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P:\Temporary (but not really because no one removes their stuff)\Allie\SMART Review\"/>
    </mc:Choice>
  </mc:AlternateContent>
  <bookViews>
    <workbookView xWindow="-150" yWindow="-480" windowWidth="25350" windowHeight="12465" tabRatio="547"/>
  </bookViews>
  <sheets>
    <sheet name="Smart" sheetId="1" r:id="rId1"/>
    <sheet name="Instructions" sheetId="10" r:id="rId2"/>
    <sheet name="Data Sheet" sheetId="6" r:id="rId3"/>
    <sheet name="Drawings" sheetId="9" state="veryHidden" r:id="rId4"/>
    <sheet name="Spec_Sheet" sheetId="4" state="veryHidden" r:id="rId5"/>
    <sheet name="Shaft Weight" sheetId="5" state="veryHidden" r:id="rId6"/>
    <sheet name="Custom" sheetId="7" r:id="rId7"/>
    <sheet name="LSM List Pricing" sheetId="8" state="veryHidden" r:id="rId8"/>
  </sheets>
  <definedNames>
    <definedName name="__dim040">Drawings!$B$2</definedName>
    <definedName name="__dim080">Drawings!$B$1</definedName>
    <definedName name="__dim120">Drawings!$B$3</definedName>
    <definedName name="__dim160">Drawings!$B$4</definedName>
    <definedName name="__dim200">Drawings!$C$1</definedName>
    <definedName name="__dim250">Drawings!$C$2</definedName>
    <definedName name="__dim320">Drawings!$C$3</definedName>
    <definedName name="__dim350">Drawings!$C$4</definedName>
    <definedName name="__dim427">Drawings!$A$4</definedName>
    <definedName name="__dim435">Drawings!$A$3</definedName>
    <definedName name="__dim500">Drawings!$A$2</definedName>
    <definedName name="__dim605">Drawings!$A$1</definedName>
    <definedName name="_dim040">Drawings!$B$2</definedName>
    <definedName name="_dim080">Drawings!$B$1</definedName>
    <definedName name="_dim100">Drawings!$D$3</definedName>
    <definedName name="_dim120">Drawings!$B$3</definedName>
    <definedName name="_dim160">Drawings!$B$4</definedName>
    <definedName name="_dim160L">Drawings!$F$4</definedName>
    <definedName name="_dim200">Drawings!$C$1</definedName>
    <definedName name="_dim250">Drawings!$C$2</definedName>
    <definedName name="_dim250L">Drawings!$D$1</definedName>
    <definedName name="_dim250LS">Drawings!$D$4</definedName>
    <definedName name="_dim320">Drawings!$C$3</definedName>
    <definedName name="_dim320L">Drawings!$D$2</definedName>
    <definedName name="_dim350">Drawings!$C$4</definedName>
    <definedName name="_dim427">Drawings!$A$4</definedName>
    <definedName name="_dim435">Drawings!$A$3</definedName>
    <definedName name="_dim500">Drawings!$A$2</definedName>
    <definedName name="_dim605">Drawings!$A$1</definedName>
    <definedName name="_dimCR0">Drawings!$F$2</definedName>
    <definedName name="_dimCR05">Drawings!$F$1</definedName>
    <definedName name="_dimCR1">Drawings!$F$3</definedName>
    <definedName name="_dimCR15">Drawings!$E$4</definedName>
    <definedName name="_dimLP1">Drawings!$E$2</definedName>
    <definedName name="_dimLP2">Drawings!$E$1</definedName>
    <definedName name="_dimLP3">Drawings!$E$3</definedName>
    <definedName name="a">Smart!$O$6</definedName>
    <definedName name="ACC">Smart!$BX$30</definedName>
    <definedName name="ACCT">Smart!$BX$33</definedName>
    <definedName name="ADvt">Smart!$BN$35</definedName>
    <definedName name="ATvt">Smart!$BN$33</definedName>
    <definedName name="AvMotor">Smart!$CP$4:$CP$123</definedName>
    <definedName name="Avt">Smart!$BN$30</definedName>
    <definedName name="dim250L">Drawings!$D$1</definedName>
    <definedName name="dim320L">Drawings!$D$2</definedName>
    <definedName name="Fl">Smart!$O$8</definedName>
    <definedName name="Fr">Smart!$O$9</definedName>
    <definedName name="Mc">Smart!$AQ$35</definedName>
    <definedName name="MDvt">Smart!$BN$34</definedName>
    <definedName name="ML">Smart!$O$5</definedName>
    <definedName name="MoveT">Smart!$BX$31</definedName>
    <definedName name="MTvt">Smart!$BN$31</definedName>
    <definedName name="NestAcc">Smart!$BW$30</definedName>
    <definedName name="NestVel">Smart!$BW$29</definedName>
    <definedName name="picture">INDIRECT('Data Sheet'!$A$23)</definedName>
    <definedName name="_xlnm.Print_Area" localSheetId="2">'Data Sheet'!$A$1:$BC$61,'Data Sheet'!$BJ$1:$BU$55</definedName>
    <definedName name="_xlnm.Print_Titles" localSheetId="4">Spec_Sheet!$C:$D</definedName>
    <definedName name="Select_Motor">Smart!$CO$124:$CO$256</definedName>
    <definedName name="T1V">Smart!$BM$29</definedName>
    <definedName name="T2V">Smart!$BM$30</definedName>
    <definedName name="T3V">Smart!$BM$31</definedName>
    <definedName name="T4V">Smart!$BM$32</definedName>
    <definedName name="T5V">Smart!$BM$33</definedName>
    <definedName name="T6V">Smart!$BM$34</definedName>
    <definedName name="T7V">Smart!$BM$35</definedName>
    <definedName name="T8V">Smart!$BM$36</definedName>
    <definedName name="TDvt">Smart!$BN$36</definedName>
    <definedName name="Trat">Smart!$BX$32</definedName>
    <definedName name="TTvt">Smart!$BN$32</definedName>
    <definedName name="u">Smart!$O$7</definedName>
    <definedName name="Vel">Smart!$BX$29</definedName>
    <definedName name="Velvt">Smart!$BN$29</definedName>
  </definedNames>
  <calcPr calcId="152511"/>
</workbook>
</file>

<file path=xl/calcChain.xml><?xml version="1.0" encoding="utf-8"?>
<calcChain xmlns="http://schemas.openxmlformats.org/spreadsheetml/2006/main">
  <c r="AF30" i="1" l="1"/>
  <c r="CO135" i="1" l="1"/>
  <c r="CO130" i="1"/>
  <c r="CO131" i="1"/>
  <c r="CO132" i="1"/>
  <c r="CO133" i="1"/>
  <c r="CO134" i="1"/>
  <c r="CO129" i="1"/>
  <c r="IT124" i="1" l="1"/>
  <c r="JD124" i="1"/>
  <c r="JE124" i="1"/>
  <c r="JF124" i="1"/>
  <c r="JG124" i="1"/>
  <c r="JH124" i="1"/>
  <c r="JI124" i="1"/>
  <c r="JJ124" i="1"/>
  <c r="JK124" i="1"/>
  <c r="JL124" i="1"/>
  <c r="JM124" i="1"/>
  <c r="JN124" i="1"/>
  <c r="JO124" i="1"/>
  <c r="JP124" i="1"/>
  <c r="JQ124" i="1"/>
  <c r="JR124" i="1"/>
  <c r="JS124" i="1"/>
  <c r="IT125" i="1"/>
  <c r="JD125" i="1"/>
  <c r="JE125" i="1"/>
  <c r="JF125" i="1"/>
  <c r="JG125" i="1"/>
  <c r="JH125" i="1"/>
  <c r="JI125" i="1"/>
  <c r="JJ125" i="1"/>
  <c r="JK125" i="1"/>
  <c r="JL125" i="1"/>
  <c r="JM125" i="1"/>
  <c r="JN125" i="1"/>
  <c r="JO125" i="1"/>
  <c r="JP125" i="1"/>
  <c r="JQ125" i="1"/>
  <c r="JR125" i="1"/>
  <c r="JS125" i="1"/>
  <c r="JD112" i="1"/>
  <c r="JE112" i="1"/>
  <c r="JF112" i="1"/>
  <c r="JG112" i="1"/>
  <c r="JH112" i="1"/>
  <c r="JI112" i="1"/>
  <c r="JJ112" i="1"/>
  <c r="JK112" i="1"/>
  <c r="JL112" i="1"/>
  <c r="JM112" i="1"/>
  <c r="JN112" i="1"/>
  <c r="JO112" i="1"/>
  <c r="JP112" i="1"/>
  <c r="JQ112" i="1"/>
  <c r="JR112" i="1"/>
  <c r="JS112" i="1"/>
  <c r="JD113" i="1"/>
  <c r="JE113" i="1"/>
  <c r="JF113" i="1"/>
  <c r="JG113" i="1"/>
  <c r="JH113" i="1"/>
  <c r="JI113" i="1"/>
  <c r="JJ113" i="1"/>
  <c r="JK113" i="1"/>
  <c r="JL113" i="1"/>
  <c r="JM113" i="1"/>
  <c r="JN113" i="1"/>
  <c r="JO113" i="1"/>
  <c r="JP113" i="1"/>
  <c r="JQ113" i="1"/>
  <c r="JR113" i="1"/>
  <c r="JS113" i="1"/>
  <c r="JD114" i="1"/>
  <c r="JE114" i="1"/>
  <c r="JF114" i="1"/>
  <c r="JG114" i="1"/>
  <c r="JH114" i="1"/>
  <c r="JI114" i="1"/>
  <c r="JJ114" i="1"/>
  <c r="JK114" i="1"/>
  <c r="JL114" i="1"/>
  <c r="JM114" i="1"/>
  <c r="JN114" i="1"/>
  <c r="JO114" i="1"/>
  <c r="JP114" i="1"/>
  <c r="JQ114" i="1"/>
  <c r="JR114" i="1"/>
  <c r="JS114" i="1"/>
  <c r="JD115" i="1"/>
  <c r="JE115" i="1"/>
  <c r="JF115" i="1"/>
  <c r="JG115" i="1"/>
  <c r="JH115" i="1"/>
  <c r="JI115" i="1"/>
  <c r="JJ115" i="1"/>
  <c r="JK115" i="1"/>
  <c r="JL115" i="1"/>
  <c r="JM115" i="1"/>
  <c r="JN115" i="1"/>
  <c r="JO115" i="1"/>
  <c r="JP115" i="1"/>
  <c r="JQ115" i="1"/>
  <c r="JR115" i="1"/>
  <c r="JS115" i="1"/>
  <c r="JD116" i="1"/>
  <c r="JE116" i="1"/>
  <c r="JF116" i="1"/>
  <c r="JG116" i="1"/>
  <c r="JH116" i="1"/>
  <c r="JI116" i="1"/>
  <c r="JJ116" i="1"/>
  <c r="JK116" i="1"/>
  <c r="JL116" i="1"/>
  <c r="JM116" i="1"/>
  <c r="JN116" i="1"/>
  <c r="JO116" i="1"/>
  <c r="JP116" i="1"/>
  <c r="JQ116" i="1"/>
  <c r="JR116" i="1"/>
  <c r="JS116" i="1"/>
  <c r="JD117" i="1"/>
  <c r="JE117" i="1"/>
  <c r="JF117" i="1"/>
  <c r="JG117" i="1"/>
  <c r="JH117" i="1"/>
  <c r="JI117" i="1"/>
  <c r="JJ117" i="1"/>
  <c r="JK117" i="1"/>
  <c r="JL117" i="1"/>
  <c r="JM117" i="1"/>
  <c r="JN117" i="1"/>
  <c r="JO117" i="1"/>
  <c r="JP117" i="1"/>
  <c r="JQ117" i="1"/>
  <c r="JR117" i="1"/>
  <c r="JS117" i="1"/>
  <c r="JD118" i="1"/>
  <c r="JE118" i="1"/>
  <c r="JF118" i="1"/>
  <c r="JG118" i="1"/>
  <c r="JH118" i="1"/>
  <c r="JI118" i="1"/>
  <c r="JJ118" i="1"/>
  <c r="JK118" i="1"/>
  <c r="JL118" i="1"/>
  <c r="JM118" i="1"/>
  <c r="JN118" i="1"/>
  <c r="JO118" i="1"/>
  <c r="JP118" i="1"/>
  <c r="JQ118" i="1"/>
  <c r="JR118" i="1"/>
  <c r="JS118" i="1"/>
  <c r="JD119" i="1"/>
  <c r="JE119" i="1"/>
  <c r="JF119" i="1"/>
  <c r="JG119" i="1"/>
  <c r="JH119" i="1"/>
  <c r="JI119" i="1"/>
  <c r="JJ119" i="1"/>
  <c r="JK119" i="1"/>
  <c r="JL119" i="1"/>
  <c r="JM119" i="1"/>
  <c r="JN119" i="1"/>
  <c r="JO119" i="1"/>
  <c r="JP119" i="1"/>
  <c r="JQ119" i="1"/>
  <c r="JR119" i="1"/>
  <c r="JS119" i="1"/>
  <c r="JD120" i="1"/>
  <c r="JE120" i="1"/>
  <c r="JF120" i="1"/>
  <c r="JG120" i="1"/>
  <c r="JH120" i="1"/>
  <c r="JI120" i="1"/>
  <c r="JJ120" i="1"/>
  <c r="JK120" i="1"/>
  <c r="JL120" i="1"/>
  <c r="JM120" i="1"/>
  <c r="JN120" i="1"/>
  <c r="JO120" i="1"/>
  <c r="JP120" i="1"/>
  <c r="JQ120" i="1"/>
  <c r="JR120" i="1"/>
  <c r="JS120" i="1"/>
  <c r="JD121" i="1"/>
  <c r="JE121" i="1"/>
  <c r="JF121" i="1"/>
  <c r="JG121" i="1"/>
  <c r="JH121" i="1"/>
  <c r="JI121" i="1"/>
  <c r="JJ121" i="1"/>
  <c r="JK121" i="1"/>
  <c r="JL121" i="1"/>
  <c r="JM121" i="1"/>
  <c r="JN121" i="1"/>
  <c r="JO121" i="1"/>
  <c r="JP121" i="1"/>
  <c r="JQ121" i="1"/>
  <c r="JR121" i="1"/>
  <c r="JS121" i="1"/>
  <c r="JD122" i="1"/>
  <c r="JE122" i="1"/>
  <c r="JF122" i="1"/>
  <c r="JG122" i="1"/>
  <c r="JH122" i="1"/>
  <c r="JI122" i="1"/>
  <c r="JJ122" i="1"/>
  <c r="JK122" i="1"/>
  <c r="JL122" i="1"/>
  <c r="JM122" i="1"/>
  <c r="JN122" i="1"/>
  <c r="JO122" i="1"/>
  <c r="JP122" i="1"/>
  <c r="JQ122" i="1"/>
  <c r="JR122" i="1"/>
  <c r="JS122" i="1"/>
  <c r="JD123" i="1"/>
  <c r="JE123" i="1"/>
  <c r="JF123" i="1"/>
  <c r="JG123" i="1"/>
  <c r="JH123" i="1"/>
  <c r="JI123" i="1"/>
  <c r="JJ123" i="1"/>
  <c r="JK123" i="1"/>
  <c r="JL123" i="1"/>
  <c r="JM123" i="1"/>
  <c r="JN123" i="1"/>
  <c r="JO123" i="1"/>
  <c r="JP123" i="1"/>
  <c r="JQ123" i="1"/>
  <c r="JR123" i="1"/>
  <c r="JS123" i="1"/>
  <c r="DK112" i="1"/>
  <c r="DL112" i="1"/>
  <c r="DM112" i="1"/>
  <c r="DN112" i="1"/>
  <c r="DO112" i="1"/>
  <c r="DP112" i="1"/>
  <c r="DQ112" i="1"/>
  <c r="DR112" i="1"/>
  <c r="DS112" i="1"/>
  <c r="DT112" i="1"/>
  <c r="DU112" i="1"/>
  <c r="DV112" i="1"/>
  <c r="DW112" i="1"/>
  <c r="DX112" i="1"/>
  <c r="DY112" i="1"/>
  <c r="DZ112" i="1"/>
  <c r="EL112" i="1"/>
  <c r="EM112" i="1"/>
  <c r="EN112" i="1"/>
  <c r="EO112" i="1"/>
  <c r="EP112" i="1"/>
  <c r="EQ112" i="1"/>
  <c r="ER112" i="1"/>
  <c r="ES112" i="1"/>
  <c r="ET112" i="1"/>
  <c r="EU112" i="1"/>
  <c r="EV112" i="1"/>
  <c r="EW112" i="1"/>
  <c r="EX112" i="1"/>
  <c r="EY112" i="1"/>
  <c r="EZ112" i="1"/>
  <c r="FA112" i="1"/>
  <c r="FM112" i="1"/>
  <c r="FN112" i="1"/>
  <c r="FO112" i="1"/>
  <c r="FP112" i="1"/>
  <c r="FQ112" i="1"/>
  <c r="FR112" i="1"/>
  <c r="FS112" i="1"/>
  <c r="FT112" i="1"/>
  <c r="FU112" i="1"/>
  <c r="FV112" i="1"/>
  <c r="FW112" i="1"/>
  <c r="FX112" i="1"/>
  <c r="FY112" i="1"/>
  <c r="FZ112" i="1"/>
  <c r="GA112" i="1"/>
  <c r="GB112" i="1"/>
  <c r="GN112" i="1"/>
  <c r="GO112" i="1"/>
  <c r="GP112" i="1"/>
  <c r="GQ112" i="1"/>
  <c r="GR112" i="1"/>
  <c r="GS112" i="1"/>
  <c r="GT112" i="1"/>
  <c r="GU112" i="1"/>
  <c r="GV112" i="1"/>
  <c r="GW112" i="1"/>
  <c r="GX112" i="1"/>
  <c r="GY112" i="1"/>
  <c r="GZ112" i="1"/>
  <c r="HA112" i="1"/>
  <c r="HB112" i="1"/>
  <c r="HC112" i="1"/>
  <c r="DK113" i="1"/>
  <c r="DL113" i="1"/>
  <c r="DM113" i="1"/>
  <c r="DN113" i="1"/>
  <c r="DO113" i="1"/>
  <c r="DP113" i="1"/>
  <c r="DQ113" i="1"/>
  <c r="DR113" i="1"/>
  <c r="DS113" i="1"/>
  <c r="DT113" i="1"/>
  <c r="DU113" i="1"/>
  <c r="DV113" i="1"/>
  <c r="DW113" i="1"/>
  <c r="DX113" i="1"/>
  <c r="DY113" i="1"/>
  <c r="DZ113" i="1"/>
  <c r="EL113" i="1"/>
  <c r="EM113" i="1"/>
  <c r="EN113" i="1"/>
  <c r="EO113" i="1"/>
  <c r="EP113" i="1"/>
  <c r="EQ113" i="1"/>
  <c r="ER113" i="1"/>
  <c r="ES113" i="1"/>
  <c r="ET113" i="1"/>
  <c r="EU113" i="1"/>
  <c r="EV113" i="1"/>
  <c r="EW113" i="1"/>
  <c r="EX113" i="1"/>
  <c r="EY113" i="1"/>
  <c r="EZ113" i="1"/>
  <c r="FA113" i="1"/>
  <c r="FM113" i="1"/>
  <c r="FN113" i="1"/>
  <c r="FO113" i="1"/>
  <c r="FP113" i="1"/>
  <c r="FQ113" i="1"/>
  <c r="FR113" i="1"/>
  <c r="FS113" i="1"/>
  <c r="FT113" i="1"/>
  <c r="FU113" i="1"/>
  <c r="FV113" i="1"/>
  <c r="FW113" i="1"/>
  <c r="FX113" i="1"/>
  <c r="FY113" i="1"/>
  <c r="FZ113" i="1"/>
  <c r="GA113" i="1"/>
  <c r="GB113" i="1"/>
  <c r="GN113" i="1"/>
  <c r="GO113" i="1"/>
  <c r="GP113" i="1"/>
  <c r="GQ113" i="1"/>
  <c r="GR113" i="1"/>
  <c r="GS113" i="1"/>
  <c r="GT113" i="1"/>
  <c r="GU113" i="1"/>
  <c r="GV113" i="1"/>
  <c r="GW113" i="1"/>
  <c r="GX113" i="1"/>
  <c r="GY113" i="1"/>
  <c r="GZ113" i="1"/>
  <c r="HA113" i="1"/>
  <c r="HB113" i="1"/>
  <c r="HC113" i="1"/>
  <c r="DK114" i="1"/>
  <c r="DL114" i="1"/>
  <c r="DM114" i="1"/>
  <c r="DN114" i="1"/>
  <c r="DO114" i="1"/>
  <c r="DP114" i="1"/>
  <c r="DQ114" i="1"/>
  <c r="DR114" i="1"/>
  <c r="DS114" i="1"/>
  <c r="DT114" i="1"/>
  <c r="DU114" i="1"/>
  <c r="DV114" i="1"/>
  <c r="DW114" i="1"/>
  <c r="DX114" i="1"/>
  <c r="DY114" i="1"/>
  <c r="DZ114" i="1"/>
  <c r="EL114" i="1"/>
  <c r="EM114" i="1"/>
  <c r="EN114" i="1"/>
  <c r="EO114" i="1"/>
  <c r="EP114" i="1"/>
  <c r="EQ114" i="1"/>
  <c r="ER114" i="1"/>
  <c r="ES114" i="1"/>
  <c r="ET114" i="1"/>
  <c r="EU114" i="1"/>
  <c r="EV114" i="1"/>
  <c r="EW114" i="1"/>
  <c r="EX114" i="1"/>
  <c r="EY114" i="1"/>
  <c r="EZ114" i="1"/>
  <c r="FA114" i="1"/>
  <c r="FM114" i="1"/>
  <c r="FN114" i="1"/>
  <c r="FO114" i="1"/>
  <c r="FP114" i="1"/>
  <c r="FQ114" i="1"/>
  <c r="FR114" i="1"/>
  <c r="FS114" i="1"/>
  <c r="FT114" i="1"/>
  <c r="FU114" i="1"/>
  <c r="FV114" i="1"/>
  <c r="FW114" i="1"/>
  <c r="FX114" i="1"/>
  <c r="FY114" i="1"/>
  <c r="FZ114" i="1"/>
  <c r="GA114" i="1"/>
  <c r="GB114" i="1"/>
  <c r="GN114" i="1"/>
  <c r="GO114" i="1"/>
  <c r="GP114" i="1"/>
  <c r="GQ114" i="1"/>
  <c r="GR114" i="1"/>
  <c r="GS114" i="1"/>
  <c r="GT114" i="1"/>
  <c r="GU114" i="1"/>
  <c r="GV114" i="1"/>
  <c r="GW114" i="1"/>
  <c r="GX114" i="1"/>
  <c r="GY114" i="1"/>
  <c r="GZ114" i="1"/>
  <c r="HA114" i="1"/>
  <c r="HB114" i="1"/>
  <c r="HC114" i="1"/>
  <c r="DK115" i="1"/>
  <c r="DL115" i="1"/>
  <c r="DM115" i="1"/>
  <c r="DN115" i="1"/>
  <c r="DO115" i="1"/>
  <c r="DP115" i="1"/>
  <c r="DQ115" i="1"/>
  <c r="DR115" i="1"/>
  <c r="DS115" i="1"/>
  <c r="DT115" i="1"/>
  <c r="DU115" i="1"/>
  <c r="DV115" i="1"/>
  <c r="DW115" i="1"/>
  <c r="DX115" i="1"/>
  <c r="DY115" i="1"/>
  <c r="DZ115" i="1"/>
  <c r="EL115" i="1"/>
  <c r="EM115" i="1"/>
  <c r="EN115" i="1"/>
  <c r="EO115" i="1"/>
  <c r="EP115" i="1"/>
  <c r="EQ115" i="1"/>
  <c r="ER115" i="1"/>
  <c r="ES115" i="1"/>
  <c r="ET115" i="1"/>
  <c r="EU115" i="1"/>
  <c r="EV115" i="1"/>
  <c r="EW115" i="1"/>
  <c r="EX115" i="1"/>
  <c r="EY115" i="1"/>
  <c r="EZ115" i="1"/>
  <c r="FA115" i="1"/>
  <c r="FM115" i="1"/>
  <c r="FN115" i="1"/>
  <c r="FO115" i="1"/>
  <c r="FP115" i="1"/>
  <c r="FQ115" i="1"/>
  <c r="FR115" i="1"/>
  <c r="FS115" i="1"/>
  <c r="FT115" i="1"/>
  <c r="FU115" i="1"/>
  <c r="FV115" i="1"/>
  <c r="FW115" i="1"/>
  <c r="FX115" i="1"/>
  <c r="FY115" i="1"/>
  <c r="FZ115" i="1"/>
  <c r="GA115" i="1"/>
  <c r="GB115" i="1"/>
  <c r="GN115" i="1"/>
  <c r="GO115" i="1"/>
  <c r="GP115" i="1"/>
  <c r="GQ115" i="1"/>
  <c r="GR115" i="1"/>
  <c r="GS115" i="1"/>
  <c r="GT115" i="1"/>
  <c r="GU115" i="1"/>
  <c r="GV115" i="1"/>
  <c r="GW115" i="1"/>
  <c r="GX115" i="1"/>
  <c r="GY115" i="1"/>
  <c r="GZ115" i="1"/>
  <c r="HA115" i="1"/>
  <c r="HB115" i="1"/>
  <c r="HC115" i="1"/>
  <c r="DK116" i="1"/>
  <c r="DL116" i="1"/>
  <c r="DM116" i="1"/>
  <c r="DN116" i="1"/>
  <c r="DO116" i="1"/>
  <c r="DP116" i="1"/>
  <c r="DQ116" i="1"/>
  <c r="DR116" i="1"/>
  <c r="DS116" i="1"/>
  <c r="DT116" i="1"/>
  <c r="DU116" i="1"/>
  <c r="DV116" i="1"/>
  <c r="DW116" i="1"/>
  <c r="DX116" i="1"/>
  <c r="DY116" i="1"/>
  <c r="DZ116" i="1"/>
  <c r="EL116" i="1"/>
  <c r="EM116" i="1"/>
  <c r="EN116" i="1"/>
  <c r="EO116" i="1"/>
  <c r="EP116" i="1"/>
  <c r="EQ116" i="1"/>
  <c r="ER116" i="1"/>
  <c r="ES116" i="1"/>
  <c r="ET116" i="1"/>
  <c r="EU116" i="1"/>
  <c r="EV116" i="1"/>
  <c r="EW116" i="1"/>
  <c r="EX116" i="1"/>
  <c r="EY116" i="1"/>
  <c r="EZ116" i="1"/>
  <c r="FA116" i="1"/>
  <c r="FM116" i="1"/>
  <c r="FN116" i="1"/>
  <c r="FO116" i="1"/>
  <c r="FP116" i="1"/>
  <c r="FQ116" i="1"/>
  <c r="FR116" i="1"/>
  <c r="FS116" i="1"/>
  <c r="FT116" i="1"/>
  <c r="FU116" i="1"/>
  <c r="FV116" i="1"/>
  <c r="FW116" i="1"/>
  <c r="FX116" i="1"/>
  <c r="FY116" i="1"/>
  <c r="FZ116" i="1"/>
  <c r="GA116" i="1"/>
  <c r="GB116" i="1"/>
  <c r="GN116" i="1"/>
  <c r="GO116" i="1"/>
  <c r="GP116" i="1"/>
  <c r="GQ116" i="1"/>
  <c r="GR116" i="1"/>
  <c r="GS116" i="1"/>
  <c r="GT116" i="1"/>
  <c r="GU116" i="1"/>
  <c r="GV116" i="1"/>
  <c r="GW116" i="1"/>
  <c r="GX116" i="1"/>
  <c r="GY116" i="1"/>
  <c r="GZ116" i="1"/>
  <c r="HA116" i="1"/>
  <c r="HB116" i="1"/>
  <c r="HC116" i="1"/>
  <c r="DK117" i="1"/>
  <c r="DL117" i="1"/>
  <c r="DM117" i="1"/>
  <c r="DN117" i="1"/>
  <c r="DO117" i="1"/>
  <c r="DP117" i="1"/>
  <c r="DQ117" i="1"/>
  <c r="DR117" i="1"/>
  <c r="DS117" i="1"/>
  <c r="DT117" i="1"/>
  <c r="DU117" i="1"/>
  <c r="DV117" i="1"/>
  <c r="DW117" i="1"/>
  <c r="DX117" i="1"/>
  <c r="DY117" i="1"/>
  <c r="DZ117" i="1"/>
  <c r="EL117" i="1"/>
  <c r="EM117" i="1"/>
  <c r="EN117" i="1"/>
  <c r="EO117" i="1"/>
  <c r="EP117" i="1"/>
  <c r="EQ117" i="1"/>
  <c r="ER117" i="1"/>
  <c r="ES117" i="1"/>
  <c r="ET117" i="1"/>
  <c r="EU117" i="1"/>
  <c r="EV117" i="1"/>
  <c r="EW117" i="1"/>
  <c r="EX117" i="1"/>
  <c r="EY117" i="1"/>
  <c r="EZ117" i="1"/>
  <c r="FA117" i="1"/>
  <c r="FM117" i="1"/>
  <c r="FN117" i="1"/>
  <c r="FO117" i="1"/>
  <c r="FP117" i="1"/>
  <c r="FQ117" i="1"/>
  <c r="FR117" i="1"/>
  <c r="FS117" i="1"/>
  <c r="FT117" i="1"/>
  <c r="FU117" i="1"/>
  <c r="FV117" i="1"/>
  <c r="FW117" i="1"/>
  <c r="FX117" i="1"/>
  <c r="FY117" i="1"/>
  <c r="FZ117" i="1"/>
  <c r="GA117" i="1"/>
  <c r="GB117" i="1"/>
  <c r="GN117" i="1"/>
  <c r="GO117" i="1"/>
  <c r="GP117" i="1"/>
  <c r="GQ117" i="1"/>
  <c r="GR117" i="1"/>
  <c r="GS117" i="1"/>
  <c r="GT117" i="1"/>
  <c r="GU117" i="1"/>
  <c r="GV117" i="1"/>
  <c r="GW117" i="1"/>
  <c r="GX117" i="1"/>
  <c r="GY117" i="1"/>
  <c r="GZ117" i="1"/>
  <c r="HA117" i="1"/>
  <c r="HB117" i="1"/>
  <c r="HC117" i="1"/>
  <c r="DK118" i="1"/>
  <c r="DL118" i="1"/>
  <c r="DM118" i="1"/>
  <c r="DN118" i="1"/>
  <c r="DO118" i="1"/>
  <c r="DP118" i="1"/>
  <c r="DQ118" i="1"/>
  <c r="DR118" i="1"/>
  <c r="DS118" i="1"/>
  <c r="DT118" i="1"/>
  <c r="DU118" i="1"/>
  <c r="DV118" i="1"/>
  <c r="DW118" i="1"/>
  <c r="DX118" i="1"/>
  <c r="DY118" i="1"/>
  <c r="DZ118" i="1"/>
  <c r="EL118" i="1"/>
  <c r="EM118" i="1"/>
  <c r="EN118" i="1"/>
  <c r="EO118" i="1"/>
  <c r="EP118" i="1"/>
  <c r="EQ118" i="1"/>
  <c r="ER118" i="1"/>
  <c r="ES118" i="1"/>
  <c r="ET118" i="1"/>
  <c r="EU118" i="1"/>
  <c r="EV118" i="1"/>
  <c r="EW118" i="1"/>
  <c r="EX118" i="1"/>
  <c r="EY118" i="1"/>
  <c r="EZ118" i="1"/>
  <c r="FA118" i="1"/>
  <c r="FM118" i="1"/>
  <c r="FN118" i="1"/>
  <c r="FO118" i="1"/>
  <c r="FP118" i="1"/>
  <c r="FQ118" i="1"/>
  <c r="FR118" i="1"/>
  <c r="FS118" i="1"/>
  <c r="FT118" i="1"/>
  <c r="FU118" i="1"/>
  <c r="FV118" i="1"/>
  <c r="FW118" i="1"/>
  <c r="FX118" i="1"/>
  <c r="FY118" i="1"/>
  <c r="FZ118" i="1"/>
  <c r="GA118" i="1"/>
  <c r="GB118" i="1"/>
  <c r="GN118" i="1"/>
  <c r="GO118" i="1"/>
  <c r="GP118" i="1"/>
  <c r="GQ118" i="1"/>
  <c r="GR118" i="1"/>
  <c r="GS118" i="1"/>
  <c r="GT118" i="1"/>
  <c r="GU118" i="1"/>
  <c r="GV118" i="1"/>
  <c r="GW118" i="1"/>
  <c r="GX118" i="1"/>
  <c r="GY118" i="1"/>
  <c r="GZ118" i="1"/>
  <c r="HA118" i="1"/>
  <c r="HB118" i="1"/>
  <c r="HC118" i="1"/>
  <c r="DK119" i="1"/>
  <c r="DL119" i="1"/>
  <c r="DM119" i="1"/>
  <c r="DN119" i="1"/>
  <c r="DO119" i="1"/>
  <c r="DP119" i="1"/>
  <c r="DQ119" i="1"/>
  <c r="DR119" i="1"/>
  <c r="DS119" i="1"/>
  <c r="DT119" i="1"/>
  <c r="DU119" i="1"/>
  <c r="DV119" i="1"/>
  <c r="DW119" i="1"/>
  <c r="DX119" i="1"/>
  <c r="DY119" i="1"/>
  <c r="DZ119" i="1"/>
  <c r="EL119" i="1"/>
  <c r="EM119" i="1"/>
  <c r="EN119" i="1"/>
  <c r="EO119" i="1"/>
  <c r="EP119" i="1"/>
  <c r="EQ119" i="1"/>
  <c r="ER119" i="1"/>
  <c r="ES119" i="1"/>
  <c r="ET119" i="1"/>
  <c r="EU119" i="1"/>
  <c r="EV119" i="1"/>
  <c r="EW119" i="1"/>
  <c r="EX119" i="1"/>
  <c r="EY119" i="1"/>
  <c r="EZ119" i="1"/>
  <c r="FA119" i="1"/>
  <c r="FM119" i="1"/>
  <c r="FN119" i="1"/>
  <c r="FO119" i="1"/>
  <c r="FP119" i="1"/>
  <c r="FQ119" i="1"/>
  <c r="FR119" i="1"/>
  <c r="FS119" i="1"/>
  <c r="FT119" i="1"/>
  <c r="FU119" i="1"/>
  <c r="FV119" i="1"/>
  <c r="FW119" i="1"/>
  <c r="FX119" i="1"/>
  <c r="FY119" i="1"/>
  <c r="FZ119" i="1"/>
  <c r="GA119" i="1"/>
  <c r="GB119" i="1"/>
  <c r="GN119" i="1"/>
  <c r="GO119" i="1"/>
  <c r="GP119" i="1"/>
  <c r="GQ119" i="1"/>
  <c r="GR119" i="1"/>
  <c r="GS119" i="1"/>
  <c r="GT119" i="1"/>
  <c r="GU119" i="1"/>
  <c r="GV119" i="1"/>
  <c r="GW119" i="1"/>
  <c r="GX119" i="1"/>
  <c r="GY119" i="1"/>
  <c r="GZ119" i="1"/>
  <c r="HA119" i="1"/>
  <c r="HB119" i="1"/>
  <c r="HC119" i="1"/>
  <c r="DK120" i="1"/>
  <c r="DL120" i="1"/>
  <c r="DM120" i="1"/>
  <c r="DN120" i="1"/>
  <c r="DO120" i="1"/>
  <c r="DP120" i="1"/>
  <c r="DQ120" i="1"/>
  <c r="DR120" i="1"/>
  <c r="DS120" i="1"/>
  <c r="DT120" i="1"/>
  <c r="DU120" i="1"/>
  <c r="DV120" i="1"/>
  <c r="DW120" i="1"/>
  <c r="DX120" i="1"/>
  <c r="DY120" i="1"/>
  <c r="DZ120" i="1"/>
  <c r="EL120" i="1"/>
  <c r="EM120" i="1"/>
  <c r="EN120" i="1"/>
  <c r="EO120" i="1"/>
  <c r="EP120" i="1"/>
  <c r="EQ120" i="1"/>
  <c r="ER120" i="1"/>
  <c r="ES120" i="1"/>
  <c r="ET120" i="1"/>
  <c r="EU120" i="1"/>
  <c r="EV120" i="1"/>
  <c r="EW120" i="1"/>
  <c r="EX120" i="1"/>
  <c r="EY120" i="1"/>
  <c r="EZ120" i="1"/>
  <c r="FA120" i="1"/>
  <c r="FM120" i="1"/>
  <c r="FN120" i="1"/>
  <c r="FO120" i="1"/>
  <c r="FP120" i="1"/>
  <c r="FQ120" i="1"/>
  <c r="FR120" i="1"/>
  <c r="FS120" i="1"/>
  <c r="FT120" i="1"/>
  <c r="FU120" i="1"/>
  <c r="FV120" i="1"/>
  <c r="FW120" i="1"/>
  <c r="FX120" i="1"/>
  <c r="FY120" i="1"/>
  <c r="FZ120" i="1"/>
  <c r="GA120" i="1"/>
  <c r="GB120" i="1"/>
  <c r="GN120" i="1"/>
  <c r="GO120" i="1"/>
  <c r="GP120" i="1"/>
  <c r="GQ120" i="1"/>
  <c r="GR120" i="1"/>
  <c r="GS120" i="1"/>
  <c r="GT120" i="1"/>
  <c r="GU120" i="1"/>
  <c r="GV120" i="1"/>
  <c r="GW120" i="1"/>
  <c r="GX120" i="1"/>
  <c r="GY120" i="1"/>
  <c r="GZ120" i="1"/>
  <c r="HA120" i="1"/>
  <c r="HB120" i="1"/>
  <c r="HC120" i="1"/>
  <c r="DK121" i="1"/>
  <c r="DL121" i="1"/>
  <c r="DM121" i="1"/>
  <c r="DN121" i="1"/>
  <c r="DO121" i="1"/>
  <c r="DP121" i="1"/>
  <c r="DQ121" i="1"/>
  <c r="DR121" i="1"/>
  <c r="DS121" i="1"/>
  <c r="DT121" i="1"/>
  <c r="DU121" i="1"/>
  <c r="DV121" i="1"/>
  <c r="DW121" i="1"/>
  <c r="DX121" i="1"/>
  <c r="DY121" i="1"/>
  <c r="DZ121" i="1"/>
  <c r="EL121" i="1"/>
  <c r="EM121" i="1"/>
  <c r="EN121" i="1"/>
  <c r="EO121" i="1"/>
  <c r="EP121" i="1"/>
  <c r="EQ121" i="1"/>
  <c r="ER121" i="1"/>
  <c r="ES121" i="1"/>
  <c r="ET121" i="1"/>
  <c r="EU121" i="1"/>
  <c r="EV121" i="1"/>
  <c r="EW121" i="1"/>
  <c r="EX121" i="1"/>
  <c r="EY121" i="1"/>
  <c r="EZ121" i="1"/>
  <c r="FA121" i="1"/>
  <c r="FM121" i="1"/>
  <c r="FN121" i="1"/>
  <c r="FO121" i="1"/>
  <c r="FP121" i="1"/>
  <c r="FQ121" i="1"/>
  <c r="FR121" i="1"/>
  <c r="FS121" i="1"/>
  <c r="FT121" i="1"/>
  <c r="FU121" i="1"/>
  <c r="FV121" i="1"/>
  <c r="FW121" i="1"/>
  <c r="FX121" i="1"/>
  <c r="FY121" i="1"/>
  <c r="FZ121" i="1"/>
  <c r="GA121" i="1"/>
  <c r="GB121" i="1"/>
  <c r="GN121" i="1"/>
  <c r="GO121" i="1"/>
  <c r="GP121" i="1"/>
  <c r="GQ121" i="1"/>
  <c r="GR121" i="1"/>
  <c r="GS121" i="1"/>
  <c r="GT121" i="1"/>
  <c r="GU121" i="1"/>
  <c r="GV121" i="1"/>
  <c r="GW121" i="1"/>
  <c r="GX121" i="1"/>
  <c r="GY121" i="1"/>
  <c r="GZ121" i="1"/>
  <c r="HA121" i="1"/>
  <c r="HB121" i="1"/>
  <c r="HC121" i="1"/>
  <c r="DK122" i="1"/>
  <c r="DL122" i="1"/>
  <c r="DM122" i="1"/>
  <c r="DN122" i="1"/>
  <c r="DO122" i="1"/>
  <c r="DP122" i="1"/>
  <c r="DQ122" i="1"/>
  <c r="DR122" i="1"/>
  <c r="DS122" i="1"/>
  <c r="DT122" i="1"/>
  <c r="DU122" i="1"/>
  <c r="DV122" i="1"/>
  <c r="DW122" i="1"/>
  <c r="DX122" i="1"/>
  <c r="DY122" i="1"/>
  <c r="DZ122" i="1"/>
  <c r="EL122" i="1"/>
  <c r="EM122" i="1"/>
  <c r="EN122" i="1"/>
  <c r="EO122" i="1"/>
  <c r="EP122" i="1"/>
  <c r="EQ122" i="1"/>
  <c r="ER122" i="1"/>
  <c r="ES122" i="1"/>
  <c r="ET122" i="1"/>
  <c r="EU122" i="1"/>
  <c r="EV122" i="1"/>
  <c r="EW122" i="1"/>
  <c r="EX122" i="1"/>
  <c r="EY122" i="1"/>
  <c r="EZ122" i="1"/>
  <c r="FA122" i="1"/>
  <c r="FM122" i="1"/>
  <c r="FN122" i="1"/>
  <c r="FO122" i="1"/>
  <c r="FP122" i="1"/>
  <c r="FQ122" i="1"/>
  <c r="FR122" i="1"/>
  <c r="FS122" i="1"/>
  <c r="FT122" i="1"/>
  <c r="FU122" i="1"/>
  <c r="FV122" i="1"/>
  <c r="FW122" i="1"/>
  <c r="FX122" i="1"/>
  <c r="FY122" i="1"/>
  <c r="FZ122" i="1"/>
  <c r="GA122" i="1"/>
  <c r="GB122" i="1"/>
  <c r="GN122" i="1"/>
  <c r="GO122" i="1"/>
  <c r="GP122" i="1"/>
  <c r="GQ122" i="1"/>
  <c r="GR122" i="1"/>
  <c r="GS122" i="1"/>
  <c r="GT122" i="1"/>
  <c r="GU122" i="1"/>
  <c r="GV122" i="1"/>
  <c r="GW122" i="1"/>
  <c r="GX122" i="1"/>
  <c r="GY122" i="1"/>
  <c r="GZ122" i="1"/>
  <c r="HA122" i="1"/>
  <c r="HB122" i="1"/>
  <c r="HC122" i="1"/>
  <c r="DK123" i="1"/>
  <c r="DL123" i="1"/>
  <c r="DM123" i="1"/>
  <c r="DN123" i="1"/>
  <c r="DO123" i="1"/>
  <c r="DP123" i="1"/>
  <c r="DQ123" i="1"/>
  <c r="DR123" i="1"/>
  <c r="DS123" i="1"/>
  <c r="DT123" i="1"/>
  <c r="DU123" i="1"/>
  <c r="DV123" i="1"/>
  <c r="DW123" i="1"/>
  <c r="DX123" i="1"/>
  <c r="DY123" i="1"/>
  <c r="DZ123" i="1"/>
  <c r="EL123" i="1"/>
  <c r="EM123" i="1"/>
  <c r="EN123" i="1"/>
  <c r="EO123" i="1"/>
  <c r="EP123" i="1"/>
  <c r="EQ123" i="1"/>
  <c r="ER123" i="1"/>
  <c r="ES123" i="1"/>
  <c r="ET123" i="1"/>
  <c r="EU123" i="1"/>
  <c r="EV123" i="1"/>
  <c r="EW123" i="1"/>
  <c r="EX123" i="1"/>
  <c r="EY123" i="1"/>
  <c r="EZ123" i="1"/>
  <c r="FA123" i="1"/>
  <c r="FM123" i="1"/>
  <c r="FN123" i="1"/>
  <c r="FO123" i="1"/>
  <c r="FP123" i="1"/>
  <c r="FQ123" i="1"/>
  <c r="FR123" i="1"/>
  <c r="FS123" i="1"/>
  <c r="FT123" i="1"/>
  <c r="FU123" i="1"/>
  <c r="FV123" i="1"/>
  <c r="FW123" i="1"/>
  <c r="FX123" i="1"/>
  <c r="FY123" i="1"/>
  <c r="FZ123" i="1"/>
  <c r="GA123" i="1"/>
  <c r="GB123" i="1"/>
  <c r="GN123" i="1"/>
  <c r="GO123" i="1"/>
  <c r="GP123" i="1"/>
  <c r="GQ123" i="1"/>
  <c r="GR123" i="1"/>
  <c r="GS123" i="1"/>
  <c r="GT123" i="1"/>
  <c r="GU123" i="1"/>
  <c r="GV123" i="1"/>
  <c r="GW123" i="1"/>
  <c r="GX123" i="1"/>
  <c r="GY123" i="1"/>
  <c r="GZ123" i="1"/>
  <c r="HA123" i="1"/>
  <c r="HB123" i="1"/>
  <c r="HC123" i="1"/>
  <c r="CQ112" i="1"/>
  <c r="CQ113" i="1"/>
  <c r="CQ114" i="1"/>
  <c r="CQ115" i="1"/>
  <c r="CQ116" i="1"/>
  <c r="CQ117" i="1"/>
  <c r="CQ118" i="1"/>
  <c r="CQ119" i="1"/>
  <c r="CQ120" i="1"/>
  <c r="CQ121" i="1"/>
  <c r="CQ122" i="1"/>
  <c r="CQ123" i="1"/>
  <c r="CQ72" i="1"/>
  <c r="CO205" i="1" s="1"/>
  <c r="CQ73" i="1"/>
  <c r="CO206" i="1" s="1"/>
  <c r="CQ74" i="1"/>
  <c r="CO207" i="1" s="1"/>
  <c r="CQ75" i="1"/>
  <c r="CO208" i="1" s="1"/>
  <c r="CQ76" i="1"/>
  <c r="CO209" i="1" s="1"/>
  <c r="CQ77" i="1"/>
  <c r="CO210" i="1" s="1"/>
  <c r="CQ78" i="1"/>
  <c r="CO211" i="1" s="1"/>
  <c r="CQ79" i="1"/>
  <c r="CO212" i="1" s="1"/>
  <c r="CQ80" i="1"/>
  <c r="CO213" i="1" s="1"/>
  <c r="CQ81" i="1"/>
  <c r="CO214" i="1" s="1"/>
  <c r="CQ82" i="1"/>
  <c r="CO215" i="1" s="1"/>
  <c r="CQ83" i="1"/>
  <c r="CO216" i="1" s="1"/>
  <c r="CQ84" i="1"/>
  <c r="CO217" i="1" s="1"/>
  <c r="CQ85" i="1"/>
  <c r="CO218" i="1" s="1"/>
  <c r="CQ86" i="1"/>
  <c r="CO219" i="1" s="1"/>
  <c r="CQ87" i="1"/>
  <c r="CO220" i="1" s="1"/>
  <c r="CQ88" i="1"/>
  <c r="CO221" i="1" s="1"/>
  <c r="CQ89" i="1"/>
  <c r="CO222" i="1" s="1"/>
  <c r="CQ90" i="1"/>
  <c r="CO223" i="1" s="1"/>
  <c r="CQ91" i="1"/>
  <c r="CO224" i="1" s="1"/>
  <c r="CQ92" i="1"/>
  <c r="CO225" i="1" s="1"/>
  <c r="CQ93" i="1"/>
  <c r="CO226" i="1" s="1"/>
  <c r="CQ94" i="1"/>
  <c r="CO227" i="1" s="1"/>
  <c r="CQ95" i="1"/>
  <c r="CO228" i="1" s="1"/>
  <c r="CQ96" i="1"/>
  <c r="CO229" i="1" s="1"/>
  <c r="CQ97" i="1"/>
  <c r="CO230" i="1" s="1"/>
  <c r="CQ98" i="1"/>
  <c r="CO231" i="1" s="1"/>
  <c r="CQ99" i="1"/>
  <c r="CO232" i="1" s="1"/>
  <c r="CQ100" i="1"/>
  <c r="CO233" i="1" s="1"/>
  <c r="CQ101" i="1"/>
  <c r="CO234" i="1" s="1"/>
  <c r="CQ102" i="1"/>
  <c r="CO235" i="1" s="1"/>
  <c r="CQ103" i="1"/>
  <c r="CO236" i="1" s="1"/>
  <c r="CQ104" i="1"/>
  <c r="CO237" i="1" s="1"/>
  <c r="CQ105" i="1"/>
  <c r="CO238" i="1" s="1"/>
  <c r="CQ106" i="1"/>
  <c r="CO239" i="1" s="1"/>
  <c r="CQ107" i="1"/>
  <c r="CO240" i="1" s="1"/>
  <c r="CQ108" i="1"/>
  <c r="CO241" i="1" s="1"/>
  <c r="CQ109" i="1"/>
  <c r="CO242" i="1" s="1"/>
  <c r="CQ110" i="1"/>
  <c r="CO243" i="1" s="1"/>
  <c r="CQ111" i="1"/>
  <c r="CO244" i="1" s="1"/>
  <c r="CQ71" i="1"/>
  <c r="CO204" i="1" s="1"/>
  <c r="CQ5" i="1"/>
  <c r="CO138" i="1" s="1"/>
  <c r="CQ6" i="1"/>
  <c r="CO139" i="1" s="1"/>
  <c r="CQ7" i="1"/>
  <c r="CO140" i="1" s="1"/>
  <c r="CQ8" i="1"/>
  <c r="CO141" i="1" s="1"/>
  <c r="CQ9" i="1"/>
  <c r="CO142" i="1" s="1"/>
  <c r="CQ10" i="1"/>
  <c r="CO143" i="1" s="1"/>
  <c r="CQ11" i="1"/>
  <c r="CO144" i="1" s="1"/>
  <c r="CQ12" i="1"/>
  <c r="CO145" i="1" s="1"/>
  <c r="CQ13" i="1"/>
  <c r="CO146" i="1" s="1"/>
  <c r="CQ14" i="1"/>
  <c r="CO147" i="1" s="1"/>
  <c r="CQ15" i="1"/>
  <c r="CO148" i="1" s="1"/>
  <c r="CQ16" i="1"/>
  <c r="CO149" i="1" s="1"/>
  <c r="CQ17" i="1"/>
  <c r="CO150" i="1" s="1"/>
  <c r="CQ18" i="1"/>
  <c r="CO151" i="1" s="1"/>
  <c r="CQ19" i="1"/>
  <c r="CO152" i="1" s="1"/>
  <c r="CQ20" i="1"/>
  <c r="CO153" i="1" s="1"/>
  <c r="CQ21" i="1"/>
  <c r="CO154" i="1" s="1"/>
  <c r="CQ22" i="1"/>
  <c r="CO155" i="1" s="1"/>
  <c r="CQ23" i="1"/>
  <c r="CO156" i="1" s="1"/>
  <c r="CQ24" i="1"/>
  <c r="CO157" i="1" s="1"/>
  <c r="CQ25" i="1"/>
  <c r="CO158" i="1" s="1"/>
  <c r="CQ26" i="1"/>
  <c r="CO159" i="1" s="1"/>
  <c r="CQ27" i="1"/>
  <c r="CO160" i="1" s="1"/>
  <c r="CQ28" i="1"/>
  <c r="CO161" i="1" s="1"/>
  <c r="CQ29" i="1"/>
  <c r="CO162" i="1" s="1"/>
  <c r="CQ30" i="1"/>
  <c r="CO163" i="1" s="1"/>
  <c r="CQ31" i="1"/>
  <c r="CO164" i="1" s="1"/>
  <c r="CQ32" i="1"/>
  <c r="CO165" i="1" s="1"/>
  <c r="CQ33" i="1"/>
  <c r="CO166" i="1" s="1"/>
  <c r="CQ34" i="1"/>
  <c r="CO167" i="1" s="1"/>
  <c r="CQ35" i="1"/>
  <c r="CO168" i="1" s="1"/>
  <c r="CQ36" i="1"/>
  <c r="CO169" i="1" s="1"/>
  <c r="CQ37" i="1"/>
  <c r="CO170" i="1" s="1"/>
  <c r="CQ38" i="1"/>
  <c r="CO171" i="1" s="1"/>
  <c r="CQ39" i="1"/>
  <c r="CO172" i="1" s="1"/>
  <c r="CQ40" i="1"/>
  <c r="CO173" i="1" s="1"/>
  <c r="CQ41" i="1"/>
  <c r="CO174" i="1" s="1"/>
  <c r="CQ42" i="1"/>
  <c r="CO175" i="1" s="1"/>
  <c r="CQ43" i="1"/>
  <c r="CO176" i="1" s="1"/>
  <c r="CQ44" i="1"/>
  <c r="CO177" i="1" s="1"/>
  <c r="CQ45" i="1"/>
  <c r="CO178" i="1" s="1"/>
  <c r="CQ46" i="1"/>
  <c r="CO179" i="1" s="1"/>
  <c r="CQ47" i="1"/>
  <c r="CO180" i="1" s="1"/>
  <c r="CQ48" i="1"/>
  <c r="CO181" i="1" s="1"/>
  <c r="CQ49" i="1"/>
  <c r="CO182" i="1" s="1"/>
  <c r="CQ50" i="1"/>
  <c r="CO183" i="1" s="1"/>
  <c r="CQ51" i="1"/>
  <c r="CO184" i="1" s="1"/>
  <c r="CQ52" i="1"/>
  <c r="CO185" i="1" s="1"/>
  <c r="CQ53" i="1"/>
  <c r="CO186" i="1" s="1"/>
  <c r="CQ54" i="1"/>
  <c r="CO187" i="1" s="1"/>
  <c r="CQ55" i="1"/>
  <c r="CO188" i="1" s="1"/>
  <c r="CQ56" i="1"/>
  <c r="CO189" i="1" s="1"/>
  <c r="CQ57" i="1"/>
  <c r="CO190" i="1" s="1"/>
  <c r="CQ58" i="1"/>
  <c r="CO191" i="1" s="1"/>
  <c r="CQ59" i="1"/>
  <c r="CO192" i="1" s="1"/>
  <c r="CQ60" i="1"/>
  <c r="CO193" i="1" s="1"/>
  <c r="CQ61" i="1"/>
  <c r="CO194" i="1" s="1"/>
  <c r="CQ62" i="1"/>
  <c r="CO195" i="1" s="1"/>
  <c r="CQ63" i="1"/>
  <c r="CO196" i="1" s="1"/>
  <c r="CQ64" i="1"/>
  <c r="CO197" i="1" s="1"/>
  <c r="CQ65" i="1"/>
  <c r="CO198" i="1" s="1"/>
  <c r="CQ66" i="1"/>
  <c r="CO199" i="1" s="1"/>
  <c r="CQ67" i="1"/>
  <c r="CO200" i="1" s="1"/>
  <c r="CQ68" i="1"/>
  <c r="CO201" i="1" s="1"/>
  <c r="CQ69" i="1"/>
  <c r="CO202" i="1" s="1"/>
  <c r="CQ70" i="1"/>
  <c r="CO203" i="1" s="1"/>
  <c r="HJ119" i="1" l="1"/>
  <c r="HK119" i="1" s="1"/>
  <c r="CO252" i="1"/>
  <c r="HG121" i="1"/>
  <c r="CO254" i="1"/>
  <c r="HG117" i="1"/>
  <c r="CO250" i="1"/>
  <c r="IT113" i="1"/>
  <c r="CO246" i="1"/>
  <c r="HJ123" i="1"/>
  <c r="HK123" i="1" s="1"/>
  <c r="CO256" i="1"/>
  <c r="HJ115" i="1"/>
  <c r="HK115" i="1" s="1"/>
  <c r="CO248" i="1"/>
  <c r="IT120" i="1"/>
  <c r="CO253" i="1"/>
  <c r="HJ116" i="1"/>
  <c r="HK116" i="1" s="1"/>
  <c r="CO249" i="1"/>
  <c r="IT112" i="1"/>
  <c r="CO245" i="1"/>
  <c r="HG122" i="1"/>
  <c r="CO255" i="1"/>
  <c r="CY118" i="1"/>
  <c r="CO251" i="1"/>
  <c r="DB114" i="1"/>
  <c r="CO247" i="1"/>
  <c r="IT123" i="1"/>
  <c r="CY114" i="1"/>
  <c r="IT115" i="1"/>
  <c r="DB122" i="1"/>
  <c r="HG114" i="1"/>
  <c r="IT114" i="1"/>
  <c r="CR118" i="1"/>
  <c r="IT122" i="1"/>
  <c r="CR122" i="1"/>
  <c r="HG115" i="1"/>
  <c r="IT117" i="1"/>
  <c r="HJ120" i="1"/>
  <c r="HK120" i="1" s="1"/>
  <c r="DB123" i="1"/>
  <c r="DB120" i="1"/>
  <c r="CY116" i="1"/>
  <c r="HG119" i="1"/>
  <c r="IT116" i="1"/>
  <c r="CR123" i="1"/>
  <c r="CY119" i="1"/>
  <c r="CY115" i="1"/>
  <c r="HG123" i="1"/>
  <c r="HG118" i="1"/>
  <c r="IT119" i="1"/>
  <c r="IT118" i="1"/>
  <c r="CR115" i="1"/>
  <c r="IT121" i="1"/>
  <c r="CR113" i="1"/>
  <c r="CY117" i="1"/>
  <c r="CY112" i="1"/>
  <c r="HJ117" i="1"/>
  <c r="HK117" i="1" s="1"/>
  <c r="HJ112" i="1"/>
  <c r="HK112" i="1" s="1"/>
  <c r="DB121" i="1"/>
  <c r="CR119" i="1"/>
  <c r="CR116" i="1"/>
  <c r="DB115" i="1"/>
  <c r="CR114" i="1"/>
  <c r="CY113" i="1"/>
  <c r="CR112" i="1"/>
  <c r="HJ122" i="1"/>
  <c r="HK122" i="1" s="1"/>
  <c r="HG120" i="1"/>
  <c r="HJ118" i="1"/>
  <c r="HK118" i="1" s="1"/>
  <c r="HG116" i="1"/>
  <c r="HJ114" i="1"/>
  <c r="HK114" i="1" s="1"/>
  <c r="HJ113" i="1"/>
  <c r="HK113" i="1" s="1"/>
  <c r="DB113" i="1"/>
  <c r="HG113" i="1"/>
  <c r="CR121" i="1"/>
  <c r="CY120" i="1"/>
  <c r="HJ121" i="1"/>
  <c r="HK121" i="1" s="1"/>
  <c r="CY123" i="1"/>
  <c r="CY122" i="1"/>
  <c r="CY121" i="1"/>
  <c r="CR120" i="1"/>
  <c r="DB119" i="1"/>
  <c r="DB118" i="1"/>
  <c r="DB117" i="1"/>
  <c r="CR117" i="1"/>
  <c r="DB116" i="1"/>
  <c r="DB112" i="1"/>
  <c r="HG112" i="1"/>
  <c r="BJ55" i="6"/>
  <c r="AT47" i="6"/>
  <c r="O11" i="1" l="1"/>
  <c r="O9" i="1"/>
  <c r="HY19" i="1" l="1"/>
  <c r="HY20" i="1"/>
  <c r="HY21" i="1"/>
  <c r="HY22" i="1"/>
  <c r="HY23" i="1"/>
  <c r="HY24" i="1"/>
  <c r="HY25" i="1"/>
  <c r="HY26" i="1"/>
  <c r="HY27" i="1"/>
  <c r="HY28" i="1"/>
  <c r="HY29" i="1"/>
  <c r="HY30" i="1"/>
  <c r="HY31" i="1"/>
  <c r="HY32" i="1"/>
  <c r="HY33" i="1"/>
  <c r="HY34" i="1"/>
  <c r="HY35" i="1"/>
  <c r="HY36" i="1"/>
  <c r="HY37" i="1"/>
  <c r="HY38" i="1"/>
  <c r="HY39" i="1"/>
  <c r="HY40" i="1"/>
  <c r="HY41" i="1"/>
  <c r="HY42" i="1"/>
  <c r="HY43" i="1"/>
  <c r="HY44" i="1"/>
  <c r="HY45" i="1"/>
  <c r="HY46" i="1"/>
  <c r="HY47" i="1"/>
  <c r="HY48" i="1"/>
  <c r="HY49" i="1"/>
  <c r="HY50" i="1"/>
  <c r="HY51" i="1"/>
  <c r="HY52" i="1"/>
  <c r="HY53" i="1"/>
  <c r="HY54" i="1"/>
  <c r="HY55" i="1"/>
  <c r="HY56" i="1"/>
  <c r="HY57" i="1"/>
  <c r="HY58" i="1"/>
  <c r="HY59" i="1"/>
  <c r="HY60" i="1"/>
  <c r="HY61" i="1"/>
  <c r="HY62" i="1"/>
  <c r="HY63" i="1"/>
  <c r="HY64" i="1"/>
  <c r="HY65" i="1"/>
  <c r="HY66" i="1"/>
  <c r="HY67" i="1"/>
  <c r="HY68" i="1"/>
  <c r="HY69" i="1"/>
  <c r="HY70" i="1"/>
  <c r="HY71" i="1"/>
  <c r="HY72" i="1"/>
  <c r="HY73" i="1"/>
  <c r="HY74" i="1"/>
  <c r="HY75" i="1"/>
  <c r="HY76" i="1"/>
  <c r="HY77" i="1"/>
  <c r="HY78" i="1"/>
  <c r="HY79" i="1"/>
  <c r="HY80" i="1"/>
  <c r="HY81" i="1"/>
  <c r="HY82" i="1"/>
  <c r="HY83" i="1"/>
  <c r="HY84" i="1"/>
  <c r="HY85" i="1"/>
  <c r="HY86" i="1"/>
  <c r="HY87" i="1"/>
  <c r="HY88" i="1"/>
  <c r="HY89" i="1"/>
  <c r="HY90" i="1"/>
  <c r="HY91" i="1"/>
  <c r="HY92" i="1"/>
  <c r="HY93" i="1"/>
  <c r="HY94" i="1"/>
  <c r="HY95" i="1"/>
  <c r="HY96" i="1"/>
  <c r="HY97" i="1"/>
  <c r="HY98" i="1"/>
  <c r="HY99" i="1"/>
  <c r="HY100" i="1"/>
  <c r="HY101" i="1"/>
  <c r="HY102" i="1"/>
  <c r="HY103" i="1"/>
  <c r="HY104" i="1"/>
  <c r="HY105" i="1"/>
  <c r="HY106" i="1"/>
  <c r="HY107" i="1"/>
  <c r="HY108" i="1"/>
  <c r="HY109" i="1"/>
  <c r="HY110" i="1"/>
  <c r="HY111" i="1"/>
  <c r="HY112" i="1"/>
  <c r="HY113" i="1"/>
  <c r="HY114" i="1"/>
  <c r="HY115" i="1"/>
  <c r="HY116" i="1"/>
  <c r="HY117" i="1"/>
  <c r="HY118" i="1"/>
  <c r="HY119" i="1"/>
  <c r="HY120" i="1"/>
  <c r="HY121" i="1"/>
  <c r="HY122" i="1"/>
  <c r="HY123" i="1"/>
  <c r="HY124" i="1"/>
  <c r="HY125" i="1"/>
  <c r="HY126" i="1"/>
  <c r="HY127" i="1"/>
  <c r="HY128" i="1"/>
  <c r="HY129" i="1"/>
  <c r="HY130" i="1"/>
  <c r="HY131" i="1"/>
  <c r="HY132" i="1"/>
  <c r="HY133" i="1"/>
  <c r="HY134" i="1"/>
  <c r="HY135" i="1"/>
  <c r="HY136" i="1"/>
  <c r="HY137" i="1"/>
  <c r="HY138" i="1"/>
  <c r="HY139" i="1"/>
  <c r="HY140" i="1"/>
  <c r="HY141" i="1"/>
  <c r="HY142" i="1"/>
  <c r="HY143" i="1"/>
  <c r="HY144" i="1"/>
  <c r="HY145" i="1"/>
  <c r="HY146" i="1"/>
  <c r="HY147" i="1"/>
  <c r="HY148" i="1"/>
  <c r="HY149" i="1"/>
  <c r="HY150" i="1"/>
  <c r="HY151" i="1"/>
  <c r="HY152" i="1"/>
  <c r="HY153" i="1"/>
  <c r="HY154" i="1"/>
  <c r="HY155" i="1"/>
  <c r="HY156" i="1"/>
  <c r="HY157" i="1"/>
  <c r="HY158" i="1"/>
  <c r="HY159" i="1"/>
  <c r="HY160" i="1"/>
  <c r="HY161" i="1"/>
  <c r="HY162" i="1"/>
  <c r="HY163" i="1"/>
  <c r="HY164" i="1"/>
  <c r="HY165" i="1"/>
  <c r="HY166" i="1"/>
  <c r="HY167" i="1"/>
  <c r="HY168" i="1"/>
  <c r="HY169" i="1"/>
  <c r="HY170" i="1"/>
  <c r="HY171" i="1"/>
  <c r="HY172" i="1"/>
  <c r="HY173" i="1"/>
  <c r="HY174" i="1"/>
  <c r="HY175" i="1"/>
  <c r="HY176" i="1"/>
  <c r="HY177" i="1"/>
  <c r="HY178" i="1"/>
  <c r="HY179" i="1"/>
  <c r="HY180" i="1"/>
  <c r="HY181" i="1"/>
  <c r="HY182" i="1"/>
  <c r="HY183" i="1"/>
  <c r="HY184" i="1"/>
  <c r="HY185" i="1"/>
  <c r="HY186" i="1"/>
  <c r="HY187" i="1"/>
  <c r="HY188" i="1"/>
  <c r="HY189" i="1"/>
  <c r="HY190" i="1"/>
  <c r="HY191" i="1"/>
  <c r="HY192" i="1"/>
  <c r="HY193" i="1"/>
  <c r="HY194" i="1"/>
  <c r="HY195" i="1"/>
  <c r="HY196" i="1"/>
  <c r="HY197" i="1"/>
  <c r="HY198" i="1"/>
  <c r="HY199" i="1"/>
  <c r="HY200" i="1"/>
  <c r="HY201" i="1"/>
  <c r="HY202" i="1"/>
  <c r="HY203" i="1"/>
  <c r="HY204" i="1"/>
  <c r="HY205" i="1"/>
  <c r="HY206" i="1"/>
  <c r="HY207" i="1"/>
  <c r="HY208" i="1"/>
  <c r="HY209" i="1"/>
  <c r="HY210" i="1"/>
  <c r="HY211" i="1"/>
  <c r="HY212" i="1"/>
  <c r="HY213" i="1"/>
  <c r="HY214" i="1"/>
  <c r="HY215" i="1"/>
  <c r="HY216" i="1"/>
  <c r="HY217" i="1"/>
  <c r="HY218" i="1"/>
  <c r="HY219" i="1"/>
  <c r="HY220" i="1"/>
  <c r="HY221" i="1"/>
  <c r="HY222" i="1"/>
  <c r="HY223" i="1"/>
  <c r="HY224" i="1"/>
  <c r="HY225" i="1"/>
  <c r="HY226" i="1"/>
  <c r="HY227" i="1"/>
  <c r="HY228" i="1"/>
  <c r="HY229" i="1"/>
  <c r="HY230" i="1"/>
  <c r="HY231" i="1"/>
  <c r="HY232" i="1"/>
  <c r="HY233" i="1"/>
  <c r="HY234" i="1"/>
  <c r="HY235" i="1"/>
  <c r="HY236" i="1"/>
  <c r="HY237" i="1"/>
  <c r="HY238" i="1"/>
  <c r="HY239" i="1"/>
  <c r="HY240" i="1"/>
  <c r="HY241" i="1"/>
  <c r="HY242" i="1"/>
  <c r="HY243" i="1"/>
  <c r="HY244" i="1"/>
  <c r="HY245" i="1"/>
  <c r="HY246" i="1"/>
  <c r="HY247" i="1"/>
  <c r="HY248" i="1"/>
  <c r="HY249" i="1"/>
  <c r="HY250" i="1"/>
  <c r="HY251" i="1"/>
  <c r="HY252" i="1"/>
  <c r="HY253" i="1"/>
  <c r="HY254" i="1"/>
  <c r="HY255" i="1"/>
  <c r="HY256" i="1"/>
  <c r="HY257" i="1"/>
  <c r="HY258" i="1"/>
  <c r="HY259" i="1"/>
  <c r="HY260" i="1"/>
  <c r="HY261" i="1"/>
  <c r="HY262" i="1"/>
  <c r="HY263" i="1"/>
  <c r="HY264" i="1"/>
  <c r="HY265" i="1"/>
  <c r="HY266" i="1"/>
  <c r="HY267" i="1"/>
  <c r="HY268" i="1"/>
  <c r="HY269" i="1"/>
  <c r="HY270" i="1"/>
  <c r="HY271" i="1"/>
  <c r="HY272" i="1"/>
  <c r="HY273" i="1"/>
  <c r="HY274" i="1"/>
  <c r="HY275" i="1"/>
  <c r="HY276" i="1"/>
  <c r="HY277" i="1"/>
  <c r="HY278" i="1"/>
  <c r="HY279" i="1"/>
  <c r="HY280" i="1"/>
  <c r="HY281" i="1"/>
  <c r="HY282" i="1"/>
  <c r="HY283" i="1"/>
  <c r="HY284" i="1"/>
  <c r="HY285" i="1"/>
  <c r="HY286" i="1"/>
  <c r="HY287" i="1"/>
  <c r="HY288" i="1"/>
  <c r="HY289" i="1"/>
  <c r="HY290" i="1"/>
  <c r="HY291" i="1"/>
  <c r="HY292" i="1"/>
  <c r="HY293" i="1"/>
  <c r="HY294" i="1"/>
  <c r="HY295" i="1"/>
  <c r="HY296" i="1"/>
  <c r="HY297" i="1"/>
  <c r="HY298" i="1"/>
  <c r="HY299" i="1"/>
  <c r="HY300" i="1"/>
  <c r="HY301" i="1"/>
  <c r="HY302" i="1"/>
  <c r="HY303" i="1"/>
  <c r="HY304" i="1"/>
  <c r="HY305" i="1"/>
  <c r="HY306" i="1"/>
  <c r="HY307" i="1"/>
  <c r="HY308" i="1"/>
  <c r="HY309" i="1"/>
  <c r="HY310" i="1"/>
  <c r="HY311" i="1"/>
  <c r="HY312" i="1"/>
  <c r="HY313" i="1"/>
  <c r="HY314" i="1"/>
  <c r="HY315" i="1"/>
  <c r="HY316" i="1"/>
  <c r="HY317" i="1"/>
  <c r="HY318" i="1"/>
  <c r="HY319" i="1"/>
  <c r="HY320" i="1"/>
  <c r="HY321" i="1"/>
  <c r="HY322" i="1"/>
  <c r="HY323" i="1"/>
  <c r="HY324" i="1"/>
  <c r="HY325" i="1"/>
  <c r="HY326" i="1"/>
  <c r="HY327" i="1"/>
  <c r="HY328" i="1"/>
  <c r="HY329" i="1"/>
  <c r="HY330" i="1"/>
  <c r="HY331" i="1"/>
  <c r="HY332" i="1"/>
  <c r="HY333" i="1"/>
  <c r="HY334" i="1"/>
  <c r="HY335" i="1"/>
  <c r="HY336" i="1"/>
  <c r="HY337" i="1"/>
  <c r="HY338" i="1"/>
  <c r="HY339" i="1"/>
  <c r="HY340" i="1"/>
  <c r="HY341" i="1"/>
  <c r="HY342" i="1"/>
  <c r="HY343" i="1"/>
  <c r="HY344" i="1"/>
  <c r="HY345" i="1"/>
  <c r="HY346" i="1"/>
  <c r="HY347" i="1"/>
  <c r="HY348" i="1"/>
  <c r="HY349" i="1"/>
  <c r="HY350" i="1"/>
  <c r="HY351" i="1"/>
  <c r="HY352" i="1"/>
  <c r="HY353" i="1"/>
  <c r="HY354" i="1"/>
  <c r="HY355" i="1"/>
  <c r="HY356" i="1"/>
  <c r="HY357" i="1"/>
  <c r="HY358" i="1"/>
  <c r="HY359" i="1"/>
  <c r="HY360" i="1"/>
  <c r="HY361" i="1"/>
  <c r="HY362" i="1"/>
  <c r="HY363" i="1"/>
  <c r="HY364" i="1"/>
  <c r="HY365" i="1"/>
  <c r="HY366" i="1"/>
  <c r="HY367" i="1"/>
  <c r="HY368" i="1"/>
  <c r="HY369" i="1"/>
  <c r="HY370" i="1"/>
  <c r="HY371" i="1"/>
  <c r="HY372" i="1"/>
  <c r="HY373" i="1"/>
  <c r="HY374" i="1"/>
  <c r="HY375" i="1"/>
  <c r="HY376" i="1"/>
  <c r="HY377" i="1"/>
  <c r="HY378" i="1"/>
  <c r="HY379" i="1"/>
  <c r="HY380" i="1"/>
  <c r="HY381" i="1"/>
  <c r="HY382" i="1"/>
  <c r="HY383" i="1"/>
  <c r="HY384" i="1"/>
  <c r="HY385" i="1"/>
  <c r="HY386" i="1"/>
  <c r="HY387" i="1"/>
  <c r="HY388" i="1"/>
  <c r="HY389" i="1"/>
  <c r="HY390" i="1"/>
  <c r="HY391" i="1"/>
  <c r="HY392" i="1"/>
  <c r="HY393" i="1"/>
  <c r="HY394" i="1"/>
  <c r="HY395" i="1"/>
  <c r="HY396" i="1"/>
  <c r="HY397" i="1"/>
  <c r="HY398" i="1"/>
  <c r="HY399" i="1"/>
  <c r="HY400" i="1"/>
  <c r="HY401" i="1"/>
  <c r="HY402" i="1"/>
  <c r="HY403" i="1"/>
  <c r="HY404" i="1"/>
  <c r="HY405" i="1"/>
  <c r="HY406" i="1"/>
  <c r="HY407" i="1"/>
  <c r="HY408" i="1"/>
  <c r="HY409" i="1"/>
  <c r="HY410" i="1"/>
  <c r="HY411" i="1"/>
  <c r="HY412" i="1"/>
  <c r="HY413" i="1"/>
  <c r="HY414" i="1"/>
  <c r="HY415" i="1"/>
  <c r="HY416" i="1"/>
  <c r="HY417" i="1"/>
  <c r="HY418" i="1"/>
  <c r="HY419" i="1"/>
  <c r="HY420" i="1"/>
  <c r="HY421" i="1"/>
  <c r="HY422" i="1"/>
  <c r="HY423" i="1"/>
  <c r="HY424" i="1"/>
  <c r="HY425" i="1"/>
  <c r="HY426" i="1"/>
  <c r="HY427" i="1"/>
  <c r="HY428" i="1"/>
  <c r="HY429" i="1"/>
  <c r="HY430" i="1"/>
  <c r="HY431" i="1"/>
  <c r="HY432" i="1"/>
  <c r="HY433" i="1"/>
  <c r="HY434" i="1"/>
  <c r="HY435" i="1"/>
  <c r="HY436" i="1"/>
  <c r="HY437" i="1"/>
  <c r="HY438" i="1"/>
  <c r="HY439" i="1"/>
  <c r="HY440" i="1"/>
  <c r="HY441" i="1"/>
  <c r="HY442" i="1"/>
  <c r="HY443" i="1"/>
  <c r="HY444" i="1"/>
  <c r="HY445" i="1"/>
  <c r="HY446" i="1"/>
  <c r="HY447" i="1"/>
  <c r="HY448" i="1"/>
  <c r="HY449" i="1"/>
  <c r="HY450" i="1"/>
  <c r="HY451" i="1"/>
  <c r="HY452" i="1"/>
  <c r="HY453" i="1"/>
  <c r="HY454" i="1"/>
  <c r="HY455" i="1"/>
  <c r="HY456" i="1"/>
  <c r="HY457" i="1"/>
  <c r="HY458" i="1"/>
  <c r="HY459" i="1"/>
  <c r="HY460" i="1"/>
  <c r="HY461" i="1"/>
  <c r="HY462" i="1"/>
  <c r="HY463" i="1"/>
  <c r="HY464" i="1"/>
  <c r="HY465" i="1"/>
  <c r="HY466" i="1"/>
  <c r="HY467" i="1"/>
  <c r="HY468" i="1"/>
  <c r="HY469" i="1"/>
  <c r="HY470" i="1"/>
  <c r="HY471" i="1"/>
  <c r="HY472" i="1"/>
  <c r="HY473" i="1"/>
  <c r="HY474" i="1"/>
  <c r="HY475" i="1"/>
  <c r="HY476" i="1"/>
  <c r="HY477" i="1"/>
  <c r="HY478" i="1"/>
  <c r="HY479" i="1"/>
  <c r="HY480" i="1"/>
  <c r="HY481" i="1"/>
  <c r="HY482" i="1"/>
  <c r="HY483" i="1"/>
  <c r="HY484" i="1"/>
  <c r="HY485" i="1"/>
  <c r="HY486" i="1"/>
  <c r="HY487" i="1"/>
  <c r="HY488" i="1"/>
  <c r="HY489" i="1"/>
  <c r="HY490" i="1"/>
  <c r="HY491" i="1"/>
  <c r="HY492" i="1"/>
  <c r="HY493" i="1"/>
  <c r="HY494" i="1"/>
  <c r="HY495" i="1"/>
  <c r="HY496" i="1"/>
  <c r="HY497" i="1"/>
  <c r="HY498" i="1"/>
  <c r="HY499" i="1"/>
  <c r="HY500" i="1"/>
  <c r="HY501" i="1"/>
  <c r="HY502" i="1"/>
  <c r="HY503" i="1"/>
  <c r="HY504" i="1"/>
  <c r="HY505" i="1"/>
  <c r="DK133" i="1"/>
  <c r="DL133" i="1"/>
  <c r="DM133" i="1"/>
  <c r="DN133" i="1"/>
  <c r="DO133" i="1"/>
  <c r="DP133" i="1"/>
  <c r="DQ133" i="1"/>
  <c r="DR133" i="1"/>
  <c r="DS133" i="1"/>
  <c r="DT133" i="1"/>
  <c r="DU133" i="1"/>
  <c r="DV133" i="1"/>
  <c r="DW133" i="1"/>
  <c r="DX133" i="1"/>
  <c r="DY133" i="1"/>
  <c r="DZ133" i="1"/>
  <c r="EL133" i="1"/>
  <c r="EM133" i="1"/>
  <c r="EN133" i="1"/>
  <c r="EO133" i="1"/>
  <c r="EP133" i="1"/>
  <c r="EQ133" i="1"/>
  <c r="ER133" i="1"/>
  <c r="ES133" i="1"/>
  <c r="ET133" i="1"/>
  <c r="EU133" i="1"/>
  <c r="EV133" i="1"/>
  <c r="EW133" i="1"/>
  <c r="EX133" i="1"/>
  <c r="EY133" i="1"/>
  <c r="EZ133" i="1"/>
  <c r="FA133" i="1"/>
  <c r="FM133" i="1"/>
  <c r="FN133" i="1"/>
  <c r="FO133" i="1"/>
  <c r="FP133" i="1"/>
  <c r="FQ133" i="1"/>
  <c r="FR133" i="1"/>
  <c r="FS133" i="1"/>
  <c r="FT133" i="1"/>
  <c r="FU133" i="1"/>
  <c r="FV133" i="1"/>
  <c r="FW133" i="1"/>
  <c r="FX133" i="1"/>
  <c r="FY133" i="1"/>
  <c r="FZ133" i="1"/>
  <c r="GA133" i="1"/>
  <c r="GB133" i="1"/>
  <c r="GN133" i="1"/>
  <c r="GO133" i="1"/>
  <c r="GP133" i="1"/>
  <c r="GQ133" i="1"/>
  <c r="GR133" i="1"/>
  <c r="GS133" i="1"/>
  <c r="GT133" i="1"/>
  <c r="GU133" i="1"/>
  <c r="GV133" i="1"/>
  <c r="GW133" i="1"/>
  <c r="GX133" i="1"/>
  <c r="GY133" i="1"/>
  <c r="GZ133" i="1"/>
  <c r="HA133" i="1"/>
  <c r="HB133" i="1"/>
  <c r="HC133" i="1"/>
  <c r="DK134" i="1"/>
  <c r="DL134" i="1"/>
  <c r="DM134" i="1"/>
  <c r="DN134" i="1"/>
  <c r="DO134" i="1"/>
  <c r="DP134" i="1"/>
  <c r="DQ134" i="1"/>
  <c r="DR134" i="1"/>
  <c r="DS134" i="1"/>
  <c r="DT134" i="1"/>
  <c r="DU134" i="1"/>
  <c r="DV134" i="1"/>
  <c r="DW134" i="1"/>
  <c r="DX134" i="1"/>
  <c r="DY134" i="1"/>
  <c r="DZ134" i="1"/>
  <c r="EL134" i="1"/>
  <c r="EM134" i="1"/>
  <c r="EN134" i="1"/>
  <c r="EO134" i="1"/>
  <c r="EP134" i="1"/>
  <c r="EQ134" i="1"/>
  <c r="ER134" i="1"/>
  <c r="ES134" i="1"/>
  <c r="ET134" i="1"/>
  <c r="EU134" i="1"/>
  <c r="EV134" i="1"/>
  <c r="EW134" i="1"/>
  <c r="EX134" i="1"/>
  <c r="EY134" i="1"/>
  <c r="EZ134" i="1"/>
  <c r="FA134" i="1"/>
  <c r="FM134" i="1"/>
  <c r="FN134" i="1"/>
  <c r="FO134" i="1"/>
  <c r="FP134" i="1"/>
  <c r="FQ134" i="1"/>
  <c r="FR134" i="1"/>
  <c r="FS134" i="1"/>
  <c r="FT134" i="1"/>
  <c r="FU134" i="1"/>
  <c r="FV134" i="1"/>
  <c r="FW134" i="1"/>
  <c r="FX134" i="1"/>
  <c r="FY134" i="1"/>
  <c r="FZ134" i="1"/>
  <c r="GA134" i="1"/>
  <c r="GB134" i="1"/>
  <c r="GN134" i="1"/>
  <c r="GO134" i="1"/>
  <c r="GP134" i="1"/>
  <c r="GQ134" i="1"/>
  <c r="GR134" i="1"/>
  <c r="GS134" i="1"/>
  <c r="GT134" i="1"/>
  <c r="GU134" i="1"/>
  <c r="GV134" i="1"/>
  <c r="GW134" i="1"/>
  <c r="GX134" i="1"/>
  <c r="GY134" i="1"/>
  <c r="GZ134" i="1"/>
  <c r="HA134" i="1"/>
  <c r="HB134" i="1"/>
  <c r="HC134" i="1"/>
  <c r="EL135" i="1"/>
  <c r="EM135" i="1"/>
  <c r="EN135" i="1"/>
  <c r="EO135" i="1"/>
  <c r="EP135" i="1"/>
  <c r="EQ135" i="1"/>
  <c r="ER135" i="1"/>
  <c r="ES135" i="1"/>
  <c r="ET135" i="1"/>
  <c r="EU135" i="1"/>
  <c r="EV135" i="1"/>
  <c r="EW135" i="1"/>
  <c r="EX135" i="1"/>
  <c r="EY135" i="1"/>
  <c r="EZ135" i="1"/>
  <c r="FA135" i="1"/>
  <c r="FM135" i="1"/>
  <c r="FN135" i="1"/>
  <c r="FO135" i="1"/>
  <c r="FP135" i="1"/>
  <c r="FQ135" i="1"/>
  <c r="FR135" i="1"/>
  <c r="FS135" i="1"/>
  <c r="FT135" i="1"/>
  <c r="FU135" i="1"/>
  <c r="FV135" i="1"/>
  <c r="FW135" i="1"/>
  <c r="FX135" i="1"/>
  <c r="FY135" i="1"/>
  <c r="FZ135" i="1"/>
  <c r="GA135" i="1"/>
  <c r="GB135" i="1"/>
  <c r="GN135" i="1"/>
  <c r="GO135" i="1"/>
  <c r="GP135" i="1"/>
  <c r="GQ135" i="1"/>
  <c r="GR135" i="1"/>
  <c r="GS135" i="1"/>
  <c r="GT135" i="1"/>
  <c r="GU135" i="1"/>
  <c r="GV135" i="1"/>
  <c r="GW135" i="1"/>
  <c r="GX135" i="1"/>
  <c r="GY135" i="1"/>
  <c r="GZ135" i="1"/>
  <c r="HA135" i="1"/>
  <c r="HB135" i="1"/>
  <c r="HC135" i="1"/>
  <c r="CR132" i="1"/>
  <c r="CR131" i="1"/>
  <c r="CR130" i="1"/>
  <c r="CR129" i="1"/>
  <c r="CR128" i="1"/>
  <c r="CR127" i="1"/>
  <c r="CR126" i="1"/>
  <c r="DB127" i="1"/>
  <c r="DB128" i="1"/>
  <c r="DB129" i="1"/>
  <c r="DB130" i="1"/>
  <c r="DB131" i="1"/>
  <c r="DB132" i="1"/>
  <c r="DB126" i="1"/>
  <c r="ED19" i="4"/>
  <c r="ED17" i="4"/>
  <c r="ED16" i="4"/>
  <c r="ED14" i="4"/>
  <c r="ED13" i="4"/>
  <c r="AO19" i="4"/>
  <c r="AO18" i="4"/>
  <c r="AO17" i="4"/>
  <c r="AO16" i="4"/>
  <c r="AO15" i="4"/>
  <c r="CY133" i="1" s="1"/>
  <c r="AO14" i="4"/>
  <c r="AO13" i="4"/>
  <c r="AO11" i="4"/>
  <c r="AO10" i="4"/>
  <c r="AO9" i="4"/>
  <c r="AO8" i="4"/>
  <c r="DB133" i="1" s="1"/>
  <c r="AO7" i="4"/>
  <c r="AO6" i="4"/>
  <c r="AO5" i="4"/>
  <c r="AO4" i="4"/>
  <c r="CR133" i="1" s="1"/>
  <c r="EB15" i="4"/>
  <c r="CY127" i="1" s="1"/>
  <c r="EC15" i="4"/>
  <c r="CY128" i="1" s="1"/>
  <c r="EA15" i="4"/>
  <c r="CY126" i="1" s="1"/>
  <c r="AO22" i="4" l="1"/>
  <c r="AO12" i="4" s="1"/>
  <c r="AO20" i="4"/>
  <c r="JD6" i="1"/>
  <c r="JE6" i="1"/>
  <c r="JF6" i="1"/>
  <c r="JG6" i="1"/>
  <c r="JH6" i="1"/>
  <c r="JI6" i="1"/>
  <c r="JJ6" i="1"/>
  <c r="JK6" i="1"/>
  <c r="JL6" i="1"/>
  <c r="JM6" i="1"/>
  <c r="JN6" i="1"/>
  <c r="JO6" i="1"/>
  <c r="JP6" i="1"/>
  <c r="JQ6" i="1"/>
  <c r="JR6" i="1"/>
  <c r="JS6" i="1"/>
  <c r="JD7" i="1"/>
  <c r="JE7" i="1"/>
  <c r="JF7" i="1"/>
  <c r="JG7" i="1"/>
  <c r="JH7" i="1"/>
  <c r="JI7" i="1"/>
  <c r="JJ7" i="1"/>
  <c r="JK7" i="1"/>
  <c r="JL7" i="1"/>
  <c r="JM7" i="1"/>
  <c r="JN7" i="1"/>
  <c r="JO7" i="1"/>
  <c r="JP7" i="1"/>
  <c r="JQ7" i="1"/>
  <c r="JR7" i="1"/>
  <c r="JS7" i="1"/>
  <c r="JD8" i="1"/>
  <c r="JE8" i="1"/>
  <c r="JF8" i="1"/>
  <c r="JG8" i="1"/>
  <c r="JH8" i="1"/>
  <c r="JI8" i="1"/>
  <c r="JJ8" i="1"/>
  <c r="JK8" i="1"/>
  <c r="JL8" i="1"/>
  <c r="JM8" i="1"/>
  <c r="JN8" i="1"/>
  <c r="JO8" i="1"/>
  <c r="JP8" i="1"/>
  <c r="JQ8" i="1"/>
  <c r="JR8" i="1"/>
  <c r="JS8" i="1"/>
  <c r="JD9" i="1"/>
  <c r="JE9" i="1"/>
  <c r="JF9" i="1"/>
  <c r="JG9" i="1"/>
  <c r="JH9" i="1"/>
  <c r="JI9" i="1"/>
  <c r="JJ9" i="1"/>
  <c r="JK9" i="1"/>
  <c r="JL9" i="1"/>
  <c r="JM9" i="1"/>
  <c r="JN9" i="1"/>
  <c r="JO9" i="1"/>
  <c r="JP9" i="1"/>
  <c r="JQ9" i="1"/>
  <c r="JR9" i="1"/>
  <c r="JS9" i="1"/>
  <c r="JD10" i="1"/>
  <c r="JE10" i="1"/>
  <c r="JF10" i="1"/>
  <c r="JG10" i="1"/>
  <c r="JH10" i="1"/>
  <c r="JI10" i="1"/>
  <c r="JJ10" i="1"/>
  <c r="JK10" i="1"/>
  <c r="JL10" i="1"/>
  <c r="JM10" i="1"/>
  <c r="JN10" i="1"/>
  <c r="JO10" i="1"/>
  <c r="JP10" i="1"/>
  <c r="JQ10" i="1"/>
  <c r="JR10" i="1"/>
  <c r="JS10" i="1"/>
  <c r="JD11" i="1"/>
  <c r="JE11" i="1"/>
  <c r="JF11" i="1"/>
  <c r="JG11" i="1"/>
  <c r="JH11" i="1"/>
  <c r="JI11" i="1"/>
  <c r="JJ11" i="1"/>
  <c r="JK11" i="1"/>
  <c r="JL11" i="1"/>
  <c r="JM11" i="1"/>
  <c r="JN11" i="1"/>
  <c r="JO11" i="1"/>
  <c r="JP11" i="1"/>
  <c r="JQ11" i="1"/>
  <c r="JR11" i="1"/>
  <c r="JS11" i="1"/>
  <c r="JD12" i="1"/>
  <c r="JE12" i="1"/>
  <c r="JF12" i="1"/>
  <c r="JG12" i="1"/>
  <c r="JH12" i="1"/>
  <c r="JI12" i="1"/>
  <c r="JJ12" i="1"/>
  <c r="JK12" i="1"/>
  <c r="JL12" i="1"/>
  <c r="JM12" i="1"/>
  <c r="JN12" i="1"/>
  <c r="JO12" i="1"/>
  <c r="JP12" i="1"/>
  <c r="JQ12" i="1"/>
  <c r="JR12" i="1"/>
  <c r="JS12" i="1"/>
  <c r="JD13" i="1"/>
  <c r="JE13" i="1"/>
  <c r="JF13" i="1"/>
  <c r="JG13" i="1"/>
  <c r="JH13" i="1"/>
  <c r="JI13" i="1"/>
  <c r="JJ13" i="1"/>
  <c r="JK13" i="1"/>
  <c r="JL13" i="1"/>
  <c r="JM13" i="1"/>
  <c r="JN13" i="1"/>
  <c r="JO13" i="1"/>
  <c r="JP13" i="1"/>
  <c r="JQ13" i="1"/>
  <c r="JR13" i="1"/>
  <c r="JS13" i="1"/>
  <c r="JD14" i="1"/>
  <c r="JE14" i="1"/>
  <c r="JF14" i="1"/>
  <c r="JG14" i="1"/>
  <c r="JH14" i="1"/>
  <c r="JI14" i="1"/>
  <c r="JJ14" i="1"/>
  <c r="JK14" i="1"/>
  <c r="JL14" i="1"/>
  <c r="JM14" i="1"/>
  <c r="JN14" i="1"/>
  <c r="JO14" i="1"/>
  <c r="JP14" i="1"/>
  <c r="JQ14" i="1"/>
  <c r="JR14" i="1"/>
  <c r="JS14" i="1"/>
  <c r="JD15" i="1"/>
  <c r="JE15" i="1"/>
  <c r="JF15" i="1"/>
  <c r="JG15" i="1"/>
  <c r="JH15" i="1"/>
  <c r="JI15" i="1"/>
  <c r="JJ15" i="1"/>
  <c r="JK15" i="1"/>
  <c r="JL15" i="1"/>
  <c r="JM15" i="1"/>
  <c r="JN15" i="1"/>
  <c r="JO15" i="1"/>
  <c r="JP15" i="1"/>
  <c r="JQ15" i="1"/>
  <c r="JR15" i="1"/>
  <c r="JS15" i="1"/>
  <c r="JD16" i="1"/>
  <c r="JE16" i="1"/>
  <c r="JF16" i="1"/>
  <c r="JG16" i="1"/>
  <c r="JH16" i="1"/>
  <c r="JI16" i="1"/>
  <c r="JJ16" i="1"/>
  <c r="JK16" i="1"/>
  <c r="JL16" i="1"/>
  <c r="JM16" i="1"/>
  <c r="JN16" i="1"/>
  <c r="JO16" i="1"/>
  <c r="JP16" i="1"/>
  <c r="JQ16" i="1"/>
  <c r="JR16" i="1"/>
  <c r="JS16" i="1"/>
  <c r="JD17" i="1"/>
  <c r="JE17" i="1"/>
  <c r="JF17" i="1"/>
  <c r="JG17" i="1"/>
  <c r="JH17" i="1"/>
  <c r="JI17" i="1"/>
  <c r="JJ17" i="1"/>
  <c r="JK17" i="1"/>
  <c r="JL17" i="1"/>
  <c r="JM17" i="1"/>
  <c r="JN17" i="1"/>
  <c r="JO17" i="1"/>
  <c r="JP17" i="1"/>
  <c r="JQ17" i="1"/>
  <c r="JR17" i="1"/>
  <c r="JS17" i="1"/>
  <c r="JD18" i="1"/>
  <c r="JE18" i="1"/>
  <c r="JF18" i="1"/>
  <c r="JG18" i="1"/>
  <c r="JH18" i="1"/>
  <c r="JI18" i="1"/>
  <c r="JJ18" i="1"/>
  <c r="JK18" i="1"/>
  <c r="JL18" i="1"/>
  <c r="JM18" i="1"/>
  <c r="JN18" i="1"/>
  <c r="JO18" i="1"/>
  <c r="JP18" i="1"/>
  <c r="JQ18" i="1"/>
  <c r="JR18" i="1"/>
  <c r="JS18" i="1"/>
  <c r="JD19" i="1"/>
  <c r="JE19" i="1"/>
  <c r="JF19" i="1"/>
  <c r="JG19" i="1"/>
  <c r="JH19" i="1"/>
  <c r="JI19" i="1"/>
  <c r="JJ19" i="1"/>
  <c r="JK19" i="1"/>
  <c r="JL19" i="1"/>
  <c r="JM19" i="1"/>
  <c r="JN19" i="1"/>
  <c r="JO19" i="1"/>
  <c r="JP19" i="1"/>
  <c r="JQ19" i="1"/>
  <c r="JR19" i="1"/>
  <c r="JS19" i="1"/>
  <c r="JD20" i="1"/>
  <c r="JE20" i="1"/>
  <c r="JF20" i="1"/>
  <c r="JG20" i="1"/>
  <c r="JH20" i="1"/>
  <c r="JI20" i="1"/>
  <c r="JJ20" i="1"/>
  <c r="JK20" i="1"/>
  <c r="JL20" i="1"/>
  <c r="JM20" i="1"/>
  <c r="JN20" i="1"/>
  <c r="JO20" i="1"/>
  <c r="JP20" i="1"/>
  <c r="JQ20" i="1"/>
  <c r="JR20" i="1"/>
  <c r="JS20" i="1"/>
  <c r="JD21" i="1"/>
  <c r="JE21" i="1"/>
  <c r="JF21" i="1"/>
  <c r="JG21" i="1"/>
  <c r="JH21" i="1"/>
  <c r="JI21" i="1"/>
  <c r="JJ21" i="1"/>
  <c r="JK21" i="1"/>
  <c r="JL21" i="1"/>
  <c r="JM21" i="1"/>
  <c r="JN21" i="1"/>
  <c r="JO21" i="1"/>
  <c r="JP21" i="1"/>
  <c r="JQ21" i="1"/>
  <c r="JR21" i="1"/>
  <c r="JS21" i="1"/>
  <c r="JD22" i="1"/>
  <c r="JE22" i="1"/>
  <c r="JF22" i="1"/>
  <c r="JG22" i="1"/>
  <c r="JH22" i="1"/>
  <c r="JI22" i="1"/>
  <c r="JJ22" i="1"/>
  <c r="JK22" i="1"/>
  <c r="JL22" i="1"/>
  <c r="JM22" i="1"/>
  <c r="JN22" i="1"/>
  <c r="JO22" i="1"/>
  <c r="JP22" i="1"/>
  <c r="JQ22" i="1"/>
  <c r="JR22" i="1"/>
  <c r="JS22" i="1"/>
  <c r="JD23" i="1"/>
  <c r="JE23" i="1"/>
  <c r="JF23" i="1"/>
  <c r="JG23" i="1"/>
  <c r="JH23" i="1"/>
  <c r="JI23" i="1"/>
  <c r="JJ23" i="1"/>
  <c r="JK23" i="1"/>
  <c r="JL23" i="1"/>
  <c r="JM23" i="1"/>
  <c r="JN23" i="1"/>
  <c r="JO23" i="1"/>
  <c r="JP23" i="1"/>
  <c r="JQ23" i="1"/>
  <c r="JR23" i="1"/>
  <c r="JS23" i="1"/>
  <c r="JD24" i="1"/>
  <c r="JE24" i="1"/>
  <c r="JF24" i="1"/>
  <c r="JG24" i="1"/>
  <c r="JH24" i="1"/>
  <c r="JI24" i="1"/>
  <c r="JJ24" i="1"/>
  <c r="JK24" i="1"/>
  <c r="JL24" i="1"/>
  <c r="JM24" i="1"/>
  <c r="JN24" i="1"/>
  <c r="JO24" i="1"/>
  <c r="JP24" i="1"/>
  <c r="JQ24" i="1"/>
  <c r="JR24" i="1"/>
  <c r="JS24" i="1"/>
  <c r="JD25" i="1"/>
  <c r="JE25" i="1"/>
  <c r="JF25" i="1"/>
  <c r="JG25" i="1"/>
  <c r="JH25" i="1"/>
  <c r="JI25" i="1"/>
  <c r="JJ25" i="1"/>
  <c r="JK25" i="1"/>
  <c r="JL25" i="1"/>
  <c r="JM25" i="1"/>
  <c r="JN25" i="1"/>
  <c r="JO25" i="1"/>
  <c r="JP25" i="1"/>
  <c r="JQ25" i="1"/>
  <c r="JR25" i="1"/>
  <c r="JS25" i="1"/>
  <c r="JD26" i="1"/>
  <c r="JE26" i="1"/>
  <c r="JF26" i="1"/>
  <c r="JG26" i="1"/>
  <c r="JH26" i="1"/>
  <c r="JI26" i="1"/>
  <c r="JJ26" i="1"/>
  <c r="JK26" i="1"/>
  <c r="JL26" i="1"/>
  <c r="JM26" i="1"/>
  <c r="JN26" i="1"/>
  <c r="JO26" i="1"/>
  <c r="JP26" i="1"/>
  <c r="JQ26" i="1"/>
  <c r="JR26" i="1"/>
  <c r="JS26" i="1"/>
  <c r="JD27" i="1"/>
  <c r="JE27" i="1"/>
  <c r="JF27" i="1"/>
  <c r="JG27" i="1"/>
  <c r="JH27" i="1"/>
  <c r="JI27" i="1"/>
  <c r="JJ27" i="1"/>
  <c r="JK27" i="1"/>
  <c r="JL27" i="1"/>
  <c r="JM27" i="1"/>
  <c r="JN27" i="1"/>
  <c r="JO27" i="1"/>
  <c r="JP27" i="1"/>
  <c r="JQ27" i="1"/>
  <c r="JR27" i="1"/>
  <c r="JS27" i="1"/>
  <c r="JD28" i="1"/>
  <c r="JE28" i="1"/>
  <c r="JF28" i="1"/>
  <c r="JG28" i="1"/>
  <c r="JH28" i="1"/>
  <c r="JI28" i="1"/>
  <c r="JJ28" i="1"/>
  <c r="JK28" i="1"/>
  <c r="JL28" i="1"/>
  <c r="JM28" i="1"/>
  <c r="JN28" i="1"/>
  <c r="JO28" i="1"/>
  <c r="JP28" i="1"/>
  <c r="JQ28" i="1"/>
  <c r="JR28" i="1"/>
  <c r="JS28" i="1"/>
  <c r="JD29" i="1"/>
  <c r="JE29" i="1"/>
  <c r="JF29" i="1"/>
  <c r="JG29" i="1"/>
  <c r="JH29" i="1"/>
  <c r="JI29" i="1"/>
  <c r="JJ29" i="1"/>
  <c r="JK29" i="1"/>
  <c r="JL29" i="1"/>
  <c r="JM29" i="1"/>
  <c r="JN29" i="1"/>
  <c r="JO29" i="1"/>
  <c r="JP29" i="1"/>
  <c r="JQ29" i="1"/>
  <c r="JR29" i="1"/>
  <c r="JS29" i="1"/>
  <c r="JD30" i="1"/>
  <c r="JE30" i="1"/>
  <c r="JF30" i="1"/>
  <c r="JG30" i="1"/>
  <c r="JH30" i="1"/>
  <c r="JI30" i="1"/>
  <c r="JJ30" i="1"/>
  <c r="JK30" i="1"/>
  <c r="JL30" i="1"/>
  <c r="JM30" i="1"/>
  <c r="JN30" i="1"/>
  <c r="JO30" i="1"/>
  <c r="JP30" i="1"/>
  <c r="JQ30" i="1"/>
  <c r="JR30" i="1"/>
  <c r="JS30" i="1"/>
  <c r="JD31" i="1"/>
  <c r="JE31" i="1"/>
  <c r="JF31" i="1"/>
  <c r="JG31" i="1"/>
  <c r="JH31" i="1"/>
  <c r="JI31" i="1"/>
  <c r="JJ31" i="1"/>
  <c r="JK31" i="1"/>
  <c r="JL31" i="1"/>
  <c r="JM31" i="1"/>
  <c r="JN31" i="1"/>
  <c r="JO31" i="1"/>
  <c r="JP31" i="1"/>
  <c r="JQ31" i="1"/>
  <c r="JR31" i="1"/>
  <c r="JS31" i="1"/>
  <c r="JD32" i="1"/>
  <c r="JE32" i="1"/>
  <c r="JF32" i="1"/>
  <c r="JG32" i="1"/>
  <c r="JH32" i="1"/>
  <c r="JI32" i="1"/>
  <c r="JJ32" i="1"/>
  <c r="JK32" i="1"/>
  <c r="JL32" i="1"/>
  <c r="JM32" i="1"/>
  <c r="JN32" i="1"/>
  <c r="JO32" i="1"/>
  <c r="JP32" i="1"/>
  <c r="JQ32" i="1"/>
  <c r="JR32" i="1"/>
  <c r="JS32" i="1"/>
  <c r="JD33" i="1"/>
  <c r="JE33" i="1"/>
  <c r="JF33" i="1"/>
  <c r="JG33" i="1"/>
  <c r="JH33" i="1"/>
  <c r="JI33" i="1"/>
  <c r="JJ33" i="1"/>
  <c r="JK33" i="1"/>
  <c r="JL33" i="1"/>
  <c r="JM33" i="1"/>
  <c r="JN33" i="1"/>
  <c r="JO33" i="1"/>
  <c r="JP33" i="1"/>
  <c r="JQ33" i="1"/>
  <c r="JR33" i="1"/>
  <c r="JS33" i="1"/>
  <c r="JD34" i="1"/>
  <c r="JE34" i="1"/>
  <c r="JF34" i="1"/>
  <c r="JG34" i="1"/>
  <c r="JH34" i="1"/>
  <c r="JI34" i="1"/>
  <c r="JJ34" i="1"/>
  <c r="JK34" i="1"/>
  <c r="JL34" i="1"/>
  <c r="JM34" i="1"/>
  <c r="JN34" i="1"/>
  <c r="JO34" i="1"/>
  <c r="JP34" i="1"/>
  <c r="JQ34" i="1"/>
  <c r="JR34" i="1"/>
  <c r="JS34" i="1"/>
  <c r="JD35" i="1"/>
  <c r="JE35" i="1"/>
  <c r="JF35" i="1"/>
  <c r="JG35" i="1"/>
  <c r="JH35" i="1"/>
  <c r="JI35" i="1"/>
  <c r="JJ35" i="1"/>
  <c r="JK35" i="1"/>
  <c r="JL35" i="1"/>
  <c r="JM35" i="1"/>
  <c r="JN35" i="1"/>
  <c r="JO35" i="1"/>
  <c r="JP35" i="1"/>
  <c r="JQ35" i="1"/>
  <c r="JR35" i="1"/>
  <c r="JS35" i="1"/>
  <c r="JD36" i="1"/>
  <c r="JE36" i="1"/>
  <c r="JF36" i="1"/>
  <c r="JG36" i="1"/>
  <c r="JH36" i="1"/>
  <c r="JI36" i="1"/>
  <c r="JJ36" i="1"/>
  <c r="JK36" i="1"/>
  <c r="JL36" i="1"/>
  <c r="JM36" i="1"/>
  <c r="JN36" i="1"/>
  <c r="JO36" i="1"/>
  <c r="JP36" i="1"/>
  <c r="JQ36" i="1"/>
  <c r="JR36" i="1"/>
  <c r="JS36" i="1"/>
  <c r="JD37" i="1"/>
  <c r="JE37" i="1"/>
  <c r="JF37" i="1"/>
  <c r="JG37" i="1"/>
  <c r="JH37" i="1"/>
  <c r="JI37" i="1"/>
  <c r="JJ37" i="1"/>
  <c r="JK37" i="1"/>
  <c r="JL37" i="1"/>
  <c r="JM37" i="1"/>
  <c r="JN37" i="1"/>
  <c r="JO37" i="1"/>
  <c r="JP37" i="1"/>
  <c r="JQ37" i="1"/>
  <c r="JR37" i="1"/>
  <c r="JS37" i="1"/>
  <c r="JD38" i="1"/>
  <c r="JE38" i="1"/>
  <c r="JF38" i="1"/>
  <c r="JG38" i="1"/>
  <c r="JH38" i="1"/>
  <c r="JI38" i="1"/>
  <c r="JJ38" i="1"/>
  <c r="JK38" i="1"/>
  <c r="JL38" i="1"/>
  <c r="JM38" i="1"/>
  <c r="JN38" i="1"/>
  <c r="JO38" i="1"/>
  <c r="JP38" i="1"/>
  <c r="JQ38" i="1"/>
  <c r="JR38" i="1"/>
  <c r="JS38" i="1"/>
  <c r="JD39" i="1"/>
  <c r="JE39" i="1"/>
  <c r="JF39" i="1"/>
  <c r="JG39" i="1"/>
  <c r="JH39" i="1"/>
  <c r="JI39" i="1"/>
  <c r="JJ39" i="1"/>
  <c r="JK39" i="1"/>
  <c r="JL39" i="1"/>
  <c r="JM39" i="1"/>
  <c r="JN39" i="1"/>
  <c r="JO39" i="1"/>
  <c r="JP39" i="1"/>
  <c r="JQ39" i="1"/>
  <c r="JR39" i="1"/>
  <c r="JS39" i="1"/>
  <c r="JD40" i="1"/>
  <c r="JE40" i="1"/>
  <c r="JF40" i="1"/>
  <c r="JG40" i="1"/>
  <c r="JH40" i="1"/>
  <c r="JI40" i="1"/>
  <c r="JJ40" i="1"/>
  <c r="JK40" i="1"/>
  <c r="JL40" i="1"/>
  <c r="JM40" i="1"/>
  <c r="JN40" i="1"/>
  <c r="JO40" i="1"/>
  <c r="JP40" i="1"/>
  <c r="JQ40" i="1"/>
  <c r="JR40" i="1"/>
  <c r="JS40" i="1"/>
  <c r="JD41" i="1"/>
  <c r="JE41" i="1"/>
  <c r="JF41" i="1"/>
  <c r="JG41" i="1"/>
  <c r="JH41" i="1"/>
  <c r="JI41" i="1"/>
  <c r="JJ41" i="1"/>
  <c r="JK41" i="1"/>
  <c r="JL41" i="1"/>
  <c r="JM41" i="1"/>
  <c r="JN41" i="1"/>
  <c r="JO41" i="1"/>
  <c r="JP41" i="1"/>
  <c r="JQ41" i="1"/>
  <c r="JR41" i="1"/>
  <c r="JS41" i="1"/>
  <c r="JD42" i="1"/>
  <c r="JE42" i="1"/>
  <c r="JF42" i="1"/>
  <c r="JG42" i="1"/>
  <c r="JH42" i="1"/>
  <c r="JI42" i="1"/>
  <c r="JJ42" i="1"/>
  <c r="JK42" i="1"/>
  <c r="JL42" i="1"/>
  <c r="JM42" i="1"/>
  <c r="JN42" i="1"/>
  <c r="JO42" i="1"/>
  <c r="JP42" i="1"/>
  <c r="JQ42" i="1"/>
  <c r="JR42" i="1"/>
  <c r="JS42" i="1"/>
  <c r="JD43" i="1"/>
  <c r="JE43" i="1"/>
  <c r="JF43" i="1"/>
  <c r="JG43" i="1"/>
  <c r="JH43" i="1"/>
  <c r="JI43" i="1"/>
  <c r="JJ43" i="1"/>
  <c r="JK43" i="1"/>
  <c r="JL43" i="1"/>
  <c r="JM43" i="1"/>
  <c r="JN43" i="1"/>
  <c r="JO43" i="1"/>
  <c r="JP43" i="1"/>
  <c r="JQ43" i="1"/>
  <c r="JR43" i="1"/>
  <c r="JS43" i="1"/>
  <c r="JD44" i="1"/>
  <c r="JE44" i="1"/>
  <c r="JF44" i="1"/>
  <c r="JG44" i="1"/>
  <c r="JH44" i="1"/>
  <c r="JI44" i="1"/>
  <c r="JJ44" i="1"/>
  <c r="JK44" i="1"/>
  <c r="JL44" i="1"/>
  <c r="JM44" i="1"/>
  <c r="JN44" i="1"/>
  <c r="JO44" i="1"/>
  <c r="JP44" i="1"/>
  <c r="JQ44" i="1"/>
  <c r="JR44" i="1"/>
  <c r="JS44" i="1"/>
  <c r="JD45" i="1"/>
  <c r="JE45" i="1"/>
  <c r="JF45" i="1"/>
  <c r="JG45" i="1"/>
  <c r="JH45" i="1"/>
  <c r="JI45" i="1"/>
  <c r="JJ45" i="1"/>
  <c r="JK45" i="1"/>
  <c r="JL45" i="1"/>
  <c r="JM45" i="1"/>
  <c r="JN45" i="1"/>
  <c r="JO45" i="1"/>
  <c r="JP45" i="1"/>
  <c r="JQ45" i="1"/>
  <c r="JR45" i="1"/>
  <c r="JS45" i="1"/>
  <c r="JD46" i="1"/>
  <c r="JE46" i="1"/>
  <c r="JF46" i="1"/>
  <c r="JG46" i="1"/>
  <c r="JH46" i="1"/>
  <c r="JI46" i="1"/>
  <c r="JJ46" i="1"/>
  <c r="JK46" i="1"/>
  <c r="JL46" i="1"/>
  <c r="JM46" i="1"/>
  <c r="JN46" i="1"/>
  <c r="JO46" i="1"/>
  <c r="JP46" i="1"/>
  <c r="JQ46" i="1"/>
  <c r="JR46" i="1"/>
  <c r="JS46" i="1"/>
  <c r="JD47" i="1"/>
  <c r="JE47" i="1"/>
  <c r="JF47" i="1"/>
  <c r="JG47" i="1"/>
  <c r="JH47" i="1"/>
  <c r="JI47" i="1"/>
  <c r="JJ47" i="1"/>
  <c r="JK47" i="1"/>
  <c r="JL47" i="1"/>
  <c r="JM47" i="1"/>
  <c r="JN47" i="1"/>
  <c r="JO47" i="1"/>
  <c r="JP47" i="1"/>
  <c r="JQ47" i="1"/>
  <c r="JR47" i="1"/>
  <c r="JS47" i="1"/>
  <c r="JD48" i="1"/>
  <c r="JE48" i="1"/>
  <c r="JF48" i="1"/>
  <c r="JG48" i="1"/>
  <c r="JH48" i="1"/>
  <c r="JI48" i="1"/>
  <c r="JJ48" i="1"/>
  <c r="JK48" i="1"/>
  <c r="JL48" i="1"/>
  <c r="JM48" i="1"/>
  <c r="JN48" i="1"/>
  <c r="JO48" i="1"/>
  <c r="JP48" i="1"/>
  <c r="JQ48" i="1"/>
  <c r="JR48" i="1"/>
  <c r="JS48" i="1"/>
  <c r="JD49" i="1"/>
  <c r="JE49" i="1"/>
  <c r="JF49" i="1"/>
  <c r="JG49" i="1"/>
  <c r="JH49" i="1"/>
  <c r="JI49" i="1"/>
  <c r="JJ49" i="1"/>
  <c r="JK49" i="1"/>
  <c r="JL49" i="1"/>
  <c r="JM49" i="1"/>
  <c r="JN49" i="1"/>
  <c r="JO49" i="1"/>
  <c r="JP49" i="1"/>
  <c r="JQ49" i="1"/>
  <c r="JR49" i="1"/>
  <c r="JS49" i="1"/>
  <c r="JD50" i="1"/>
  <c r="JE50" i="1"/>
  <c r="JF50" i="1"/>
  <c r="JG50" i="1"/>
  <c r="JH50" i="1"/>
  <c r="JI50" i="1"/>
  <c r="JJ50" i="1"/>
  <c r="JK50" i="1"/>
  <c r="JL50" i="1"/>
  <c r="JM50" i="1"/>
  <c r="JN50" i="1"/>
  <c r="JO50" i="1"/>
  <c r="JP50" i="1"/>
  <c r="JQ50" i="1"/>
  <c r="JR50" i="1"/>
  <c r="JS50" i="1"/>
  <c r="JD51" i="1"/>
  <c r="JE51" i="1"/>
  <c r="JF51" i="1"/>
  <c r="JG51" i="1"/>
  <c r="JH51" i="1"/>
  <c r="JI51" i="1"/>
  <c r="JJ51" i="1"/>
  <c r="JK51" i="1"/>
  <c r="JL51" i="1"/>
  <c r="JM51" i="1"/>
  <c r="JN51" i="1"/>
  <c r="JO51" i="1"/>
  <c r="JP51" i="1"/>
  <c r="JQ51" i="1"/>
  <c r="JR51" i="1"/>
  <c r="JS51" i="1"/>
  <c r="JD52" i="1"/>
  <c r="JE52" i="1"/>
  <c r="JF52" i="1"/>
  <c r="JG52" i="1"/>
  <c r="JH52" i="1"/>
  <c r="JI52" i="1"/>
  <c r="JJ52" i="1"/>
  <c r="JK52" i="1"/>
  <c r="JL52" i="1"/>
  <c r="JM52" i="1"/>
  <c r="JN52" i="1"/>
  <c r="JO52" i="1"/>
  <c r="JP52" i="1"/>
  <c r="JQ52" i="1"/>
  <c r="JR52" i="1"/>
  <c r="JS52" i="1"/>
  <c r="JD53" i="1"/>
  <c r="JE53" i="1"/>
  <c r="JF53" i="1"/>
  <c r="JG53" i="1"/>
  <c r="JH53" i="1"/>
  <c r="JI53" i="1"/>
  <c r="JJ53" i="1"/>
  <c r="JK53" i="1"/>
  <c r="JL53" i="1"/>
  <c r="JM53" i="1"/>
  <c r="JN53" i="1"/>
  <c r="JO53" i="1"/>
  <c r="JP53" i="1"/>
  <c r="JQ53" i="1"/>
  <c r="JR53" i="1"/>
  <c r="JS53" i="1"/>
  <c r="JD54" i="1"/>
  <c r="JE54" i="1"/>
  <c r="JF54" i="1"/>
  <c r="JG54" i="1"/>
  <c r="JH54" i="1"/>
  <c r="JI54" i="1"/>
  <c r="JJ54" i="1"/>
  <c r="JK54" i="1"/>
  <c r="JL54" i="1"/>
  <c r="JM54" i="1"/>
  <c r="JN54" i="1"/>
  <c r="JO54" i="1"/>
  <c r="JP54" i="1"/>
  <c r="JQ54" i="1"/>
  <c r="JR54" i="1"/>
  <c r="JS54" i="1"/>
  <c r="JD55" i="1"/>
  <c r="JE55" i="1"/>
  <c r="JF55" i="1"/>
  <c r="JG55" i="1"/>
  <c r="JH55" i="1"/>
  <c r="JI55" i="1"/>
  <c r="JJ55" i="1"/>
  <c r="JK55" i="1"/>
  <c r="JL55" i="1"/>
  <c r="JM55" i="1"/>
  <c r="JN55" i="1"/>
  <c r="JO55" i="1"/>
  <c r="JP55" i="1"/>
  <c r="JQ55" i="1"/>
  <c r="JR55" i="1"/>
  <c r="JS55" i="1"/>
  <c r="JD56" i="1"/>
  <c r="JE56" i="1"/>
  <c r="JF56" i="1"/>
  <c r="JG56" i="1"/>
  <c r="JH56" i="1"/>
  <c r="JI56" i="1"/>
  <c r="JJ56" i="1"/>
  <c r="JK56" i="1"/>
  <c r="JL56" i="1"/>
  <c r="JM56" i="1"/>
  <c r="JN56" i="1"/>
  <c r="JO56" i="1"/>
  <c r="JP56" i="1"/>
  <c r="JQ56" i="1"/>
  <c r="JR56" i="1"/>
  <c r="JS56" i="1"/>
  <c r="JD57" i="1"/>
  <c r="JE57" i="1"/>
  <c r="JF57" i="1"/>
  <c r="JG57" i="1"/>
  <c r="JH57" i="1"/>
  <c r="JI57" i="1"/>
  <c r="JJ57" i="1"/>
  <c r="JK57" i="1"/>
  <c r="JL57" i="1"/>
  <c r="JM57" i="1"/>
  <c r="JN57" i="1"/>
  <c r="JO57" i="1"/>
  <c r="JP57" i="1"/>
  <c r="JQ57" i="1"/>
  <c r="JR57" i="1"/>
  <c r="JS57" i="1"/>
  <c r="JD58" i="1"/>
  <c r="JE58" i="1"/>
  <c r="JF58" i="1"/>
  <c r="JG58" i="1"/>
  <c r="JH58" i="1"/>
  <c r="JI58" i="1"/>
  <c r="JJ58" i="1"/>
  <c r="JK58" i="1"/>
  <c r="JL58" i="1"/>
  <c r="JM58" i="1"/>
  <c r="JN58" i="1"/>
  <c r="JO58" i="1"/>
  <c r="JP58" i="1"/>
  <c r="JQ58" i="1"/>
  <c r="JR58" i="1"/>
  <c r="JS58" i="1"/>
  <c r="JD59" i="1"/>
  <c r="JE59" i="1"/>
  <c r="JF59" i="1"/>
  <c r="JG59" i="1"/>
  <c r="JH59" i="1"/>
  <c r="JI59" i="1"/>
  <c r="JJ59" i="1"/>
  <c r="JK59" i="1"/>
  <c r="JL59" i="1"/>
  <c r="JM59" i="1"/>
  <c r="JN59" i="1"/>
  <c r="JO59" i="1"/>
  <c r="JP59" i="1"/>
  <c r="JQ59" i="1"/>
  <c r="JR59" i="1"/>
  <c r="JS59" i="1"/>
  <c r="JD60" i="1"/>
  <c r="JE60" i="1"/>
  <c r="JF60" i="1"/>
  <c r="JG60" i="1"/>
  <c r="JH60" i="1"/>
  <c r="JI60" i="1"/>
  <c r="JJ60" i="1"/>
  <c r="JK60" i="1"/>
  <c r="JL60" i="1"/>
  <c r="JM60" i="1"/>
  <c r="JN60" i="1"/>
  <c r="JO60" i="1"/>
  <c r="JP60" i="1"/>
  <c r="JQ60" i="1"/>
  <c r="JR60" i="1"/>
  <c r="JS60" i="1"/>
  <c r="JD61" i="1"/>
  <c r="JE61" i="1"/>
  <c r="JF61" i="1"/>
  <c r="JG61" i="1"/>
  <c r="JH61" i="1"/>
  <c r="JI61" i="1"/>
  <c r="JJ61" i="1"/>
  <c r="JK61" i="1"/>
  <c r="JL61" i="1"/>
  <c r="JM61" i="1"/>
  <c r="JN61" i="1"/>
  <c r="JO61" i="1"/>
  <c r="JP61" i="1"/>
  <c r="JQ61" i="1"/>
  <c r="JR61" i="1"/>
  <c r="JS61" i="1"/>
  <c r="JD62" i="1"/>
  <c r="JE62" i="1"/>
  <c r="JF62" i="1"/>
  <c r="JG62" i="1"/>
  <c r="JH62" i="1"/>
  <c r="JI62" i="1"/>
  <c r="JJ62" i="1"/>
  <c r="JK62" i="1"/>
  <c r="JL62" i="1"/>
  <c r="JM62" i="1"/>
  <c r="JN62" i="1"/>
  <c r="JO62" i="1"/>
  <c r="JP62" i="1"/>
  <c r="JQ62" i="1"/>
  <c r="JR62" i="1"/>
  <c r="JS62" i="1"/>
  <c r="JD63" i="1"/>
  <c r="JE63" i="1"/>
  <c r="JF63" i="1"/>
  <c r="JG63" i="1"/>
  <c r="JH63" i="1"/>
  <c r="JI63" i="1"/>
  <c r="JJ63" i="1"/>
  <c r="JK63" i="1"/>
  <c r="JL63" i="1"/>
  <c r="JM63" i="1"/>
  <c r="JN63" i="1"/>
  <c r="JO63" i="1"/>
  <c r="JP63" i="1"/>
  <c r="JQ63" i="1"/>
  <c r="JR63" i="1"/>
  <c r="JS63" i="1"/>
  <c r="JD64" i="1"/>
  <c r="JE64" i="1"/>
  <c r="JF64" i="1"/>
  <c r="JG64" i="1"/>
  <c r="JH64" i="1"/>
  <c r="JI64" i="1"/>
  <c r="JJ64" i="1"/>
  <c r="JK64" i="1"/>
  <c r="JL64" i="1"/>
  <c r="JM64" i="1"/>
  <c r="JN64" i="1"/>
  <c r="JO64" i="1"/>
  <c r="JP64" i="1"/>
  <c r="JQ64" i="1"/>
  <c r="JR64" i="1"/>
  <c r="JS64" i="1"/>
  <c r="JD65" i="1"/>
  <c r="JE65" i="1"/>
  <c r="JF65" i="1"/>
  <c r="JG65" i="1"/>
  <c r="JH65" i="1"/>
  <c r="JI65" i="1"/>
  <c r="JJ65" i="1"/>
  <c r="JK65" i="1"/>
  <c r="JL65" i="1"/>
  <c r="JM65" i="1"/>
  <c r="JN65" i="1"/>
  <c r="JO65" i="1"/>
  <c r="JP65" i="1"/>
  <c r="JQ65" i="1"/>
  <c r="JR65" i="1"/>
  <c r="JS65" i="1"/>
  <c r="JD66" i="1"/>
  <c r="JE66" i="1"/>
  <c r="JF66" i="1"/>
  <c r="JG66" i="1"/>
  <c r="JH66" i="1"/>
  <c r="JI66" i="1"/>
  <c r="JJ66" i="1"/>
  <c r="JK66" i="1"/>
  <c r="JL66" i="1"/>
  <c r="JM66" i="1"/>
  <c r="JN66" i="1"/>
  <c r="JO66" i="1"/>
  <c r="JP66" i="1"/>
  <c r="JQ66" i="1"/>
  <c r="JR66" i="1"/>
  <c r="JS66" i="1"/>
  <c r="JD67" i="1"/>
  <c r="JE67" i="1"/>
  <c r="JF67" i="1"/>
  <c r="JG67" i="1"/>
  <c r="JH67" i="1"/>
  <c r="JI67" i="1"/>
  <c r="JJ67" i="1"/>
  <c r="JK67" i="1"/>
  <c r="JL67" i="1"/>
  <c r="JM67" i="1"/>
  <c r="JN67" i="1"/>
  <c r="JO67" i="1"/>
  <c r="JP67" i="1"/>
  <c r="JQ67" i="1"/>
  <c r="JR67" i="1"/>
  <c r="JS67" i="1"/>
  <c r="JD68" i="1"/>
  <c r="JE68" i="1"/>
  <c r="JF68" i="1"/>
  <c r="JG68" i="1"/>
  <c r="JH68" i="1"/>
  <c r="JI68" i="1"/>
  <c r="JJ68" i="1"/>
  <c r="JK68" i="1"/>
  <c r="JL68" i="1"/>
  <c r="JM68" i="1"/>
  <c r="JN68" i="1"/>
  <c r="JO68" i="1"/>
  <c r="JP68" i="1"/>
  <c r="JQ68" i="1"/>
  <c r="JR68" i="1"/>
  <c r="JS68" i="1"/>
  <c r="JD69" i="1"/>
  <c r="JE69" i="1"/>
  <c r="JF69" i="1"/>
  <c r="JG69" i="1"/>
  <c r="JH69" i="1"/>
  <c r="JI69" i="1"/>
  <c r="JJ69" i="1"/>
  <c r="JK69" i="1"/>
  <c r="JL69" i="1"/>
  <c r="JM69" i="1"/>
  <c r="JN69" i="1"/>
  <c r="JO69" i="1"/>
  <c r="JP69" i="1"/>
  <c r="JQ69" i="1"/>
  <c r="JR69" i="1"/>
  <c r="JS69" i="1"/>
  <c r="JD70" i="1"/>
  <c r="JE70" i="1"/>
  <c r="JF70" i="1"/>
  <c r="JG70" i="1"/>
  <c r="JH70" i="1"/>
  <c r="JI70" i="1"/>
  <c r="JJ70" i="1"/>
  <c r="JK70" i="1"/>
  <c r="JL70" i="1"/>
  <c r="JM70" i="1"/>
  <c r="JN70" i="1"/>
  <c r="JO70" i="1"/>
  <c r="JP70" i="1"/>
  <c r="JQ70" i="1"/>
  <c r="JR70" i="1"/>
  <c r="JS70" i="1"/>
  <c r="JD71" i="1"/>
  <c r="JE71" i="1"/>
  <c r="JF71" i="1"/>
  <c r="JG71" i="1"/>
  <c r="JH71" i="1"/>
  <c r="JI71" i="1"/>
  <c r="JJ71" i="1"/>
  <c r="JK71" i="1"/>
  <c r="JL71" i="1"/>
  <c r="JM71" i="1"/>
  <c r="JN71" i="1"/>
  <c r="JO71" i="1"/>
  <c r="JP71" i="1"/>
  <c r="JQ71" i="1"/>
  <c r="JR71" i="1"/>
  <c r="JS71" i="1"/>
  <c r="JD72" i="1"/>
  <c r="JE72" i="1"/>
  <c r="JF72" i="1"/>
  <c r="JG72" i="1"/>
  <c r="JH72" i="1"/>
  <c r="JI72" i="1"/>
  <c r="JJ72" i="1"/>
  <c r="JK72" i="1"/>
  <c r="JL72" i="1"/>
  <c r="JM72" i="1"/>
  <c r="JN72" i="1"/>
  <c r="JO72" i="1"/>
  <c r="JP72" i="1"/>
  <c r="JQ72" i="1"/>
  <c r="JR72" i="1"/>
  <c r="JS72" i="1"/>
  <c r="JD73" i="1"/>
  <c r="JE73" i="1"/>
  <c r="JF73" i="1"/>
  <c r="JG73" i="1"/>
  <c r="JH73" i="1"/>
  <c r="JI73" i="1"/>
  <c r="JJ73" i="1"/>
  <c r="JK73" i="1"/>
  <c r="JL73" i="1"/>
  <c r="JM73" i="1"/>
  <c r="JN73" i="1"/>
  <c r="JO73" i="1"/>
  <c r="JP73" i="1"/>
  <c r="JQ73" i="1"/>
  <c r="JR73" i="1"/>
  <c r="JS73" i="1"/>
  <c r="JD74" i="1"/>
  <c r="JE74" i="1"/>
  <c r="JF74" i="1"/>
  <c r="JG74" i="1"/>
  <c r="JH74" i="1"/>
  <c r="JI74" i="1"/>
  <c r="JJ74" i="1"/>
  <c r="JK74" i="1"/>
  <c r="JL74" i="1"/>
  <c r="JM74" i="1"/>
  <c r="JN74" i="1"/>
  <c r="JO74" i="1"/>
  <c r="JP74" i="1"/>
  <c r="JQ74" i="1"/>
  <c r="JR74" i="1"/>
  <c r="JS74" i="1"/>
  <c r="JD75" i="1"/>
  <c r="JE75" i="1"/>
  <c r="JF75" i="1"/>
  <c r="JG75" i="1"/>
  <c r="JH75" i="1"/>
  <c r="JI75" i="1"/>
  <c r="JJ75" i="1"/>
  <c r="JK75" i="1"/>
  <c r="JL75" i="1"/>
  <c r="JM75" i="1"/>
  <c r="JN75" i="1"/>
  <c r="JO75" i="1"/>
  <c r="JP75" i="1"/>
  <c r="JQ75" i="1"/>
  <c r="JR75" i="1"/>
  <c r="JS75" i="1"/>
  <c r="JD76" i="1"/>
  <c r="JE76" i="1"/>
  <c r="JF76" i="1"/>
  <c r="JG76" i="1"/>
  <c r="JH76" i="1"/>
  <c r="JI76" i="1"/>
  <c r="JJ76" i="1"/>
  <c r="JK76" i="1"/>
  <c r="JL76" i="1"/>
  <c r="JM76" i="1"/>
  <c r="JN76" i="1"/>
  <c r="JO76" i="1"/>
  <c r="JP76" i="1"/>
  <c r="JQ76" i="1"/>
  <c r="JR76" i="1"/>
  <c r="JS76" i="1"/>
  <c r="JD77" i="1"/>
  <c r="JE77" i="1"/>
  <c r="JF77" i="1"/>
  <c r="JG77" i="1"/>
  <c r="JH77" i="1"/>
  <c r="JI77" i="1"/>
  <c r="JJ77" i="1"/>
  <c r="JK77" i="1"/>
  <c r="JL77" i="1"/>
  <c r="JM77" i="1"/>
  <c r="JN77" i="1"/>
  <c r="JO77" i="1"/>
  <c r="JP77" i="1"/>
  <c r="JQ77" i="1"/>
  <c r="JR77" i="1"/>
  <c r="JS77" i="1"/>
  <c r="JD78" i="1"/>
  <c r="JE78" i="1"/>
  <c r="JF78" i="1"/>
  <c r="JG78" i="1"/>
  <c r="JH78" i="1"/>
  <c r="JI78" i="1"/>
  <c r="JJ78" i="1"/>
  <c r="JK78" i="1"/>
  <c r="JL78" i="1"/>
  <c r="JM78" i="1"/>
  <c r="JN78" i="1"/>
  <c r="JO78" i="1"/>
  <c r="JP78" i="1"/>
  <c r="JQ78" i="1"/>
  <c r="JR78" i="1"/>
  <c r="JS78" i="1"/>
  <c r="JD79" i="1"/>
  <c r="JE79" i="1"/>
  <c r="JF79" i="1"/>
  <c r="JG79" i="1"/>
  <c r="JH79" i="1"/>
  <c r="JI79" i="1"/>
  <c r="JJ79" i="1"/>
  <c r="JK79" i="1"/>
  <c r="JL79" i="1"/>
  <c r="JM79" i="1"/>
  <c r="JN79" i="1"/>
  <c r="JO79" i="1"/>
  <c r="JP79" i="1"/>
  <c r="JQ79" i="1"/>
  <c r="JR79" i="1"/>
  <c r="JS79" i="1"/>
  <c r="JD80" i="1"/>
  <c r="JE80" i="1"/>
  <c r="JF80" i="1"/>
  <c r="JG80" i="1"/>
  <c r="JH80" i="1"/>
  <c r="JI80" i="1"/>
  <c r="JJ80" i="1"/>
  <c r="JK80" i="1"/>
  <c r="JL80" i="1"/>
  <c r="JM80" i="1"/>
  <c r="JN80" i="1"/>
  <c r="JO80" i="1"/>
  <c r="JP80" i="1"/>
  <c r="JQ80" i="1"/>
  <c r="JR80" i="1"/>
  <c r="JS80" i="1"/>
  <c r="JD81" i="1"/>
  <c r="JE81" i="1"/>
  <c r="JF81" i="1"/>
  <c r="JG81" i="1"/>
  <c r="JH81" i="1"/>
  <c r="JI81" i="1"/>
  <c r="JJ81" i="1"/>
  <c r="JK81" i="1"/>
  <c r="JL81" i="1"/>
  <c r="JM81" i="1"/>
  <c r="JN81" i="1"/>
  <c r="JO81" i="1"/>
  <c r="JP81" i="1"/>
  <c r="JQ81" i="1"/>
  <c r="JR81" i="1"/>
  <c r="JS81" i="1"/>
  <c r="JD82" i="1"/>
  <c r="JE82" i="1"/>
  <c r="JF82" i="1"/>
  <c r="JG82" i="1"/>
  <c r="JH82" i="1"/>
  <c r="JI82" i="1"/>
  <c r="JJ82" i="1"/>
  <c r="JK82" i="1"/>
  <c r="JL82" i="1"/>
  <c r="JM82" i="1"/>
  <c r="JN82" i="1"/>
  <c r="JO82" i="1"/>
  <c r="JP82" i="1"/>
  <c r="JQ82" i="1"/>
  <c r="JR82" i="1"/>
  <c r="JS82" i="1"/>
  <c r="JD83" i="1"/>
  <c r="JE83" i="1"/>
  <c r="JF83" i="1"/>
  <c r="JG83" i="1"/>
  <c r="JH83" i="1"/>
  <c r="JI83" i="1"/>
  <c r="JJ83" i="1"/>
  <c r="JK83" i="1"/>
  <c r="JL83" i="1"/>
  <c r="JM83" i="1"/>
  <c r="JN83" i="1"/>
  <c r="JO83" i="1"/>
  <c r="JP83" i="1"/>
  <c r="JQ83" i="1"/>
  <c r="JR83" i="1"/>
  <c r="JS83" i="1"/>
  <c r="JD84" i="1"/>
  <c r="JE84" i="1"/>
  <c r="JF84" i="1"/>
  <c r="JG84" i="1"/>
  <c r="JH84" i="1"/>
  <c r="JI84" i="1"/>
  <c r="JJ84" i="1"/>
  <c r="JK84" i="1"/>
  <c r="JL84" i="1"/>
  <c r="JM84" i="1"/>
  <c r="JN84" i="1"/>
  <c r="JO84" i="1"/>
  <c r="JP84" i="1"/>
  <c r="JQ84" i="1"/>
  <c r="JR84" i="1"/>
  <c r="JS84" i="1"/>
  <c r="JD85" i="1"/>
  <c r="JE85" i="1"/>
  <c r="JF85" i="1"/>
  <c r="JG85" i="1"/>
  <c r="JH85" i="1"/>
  <c r="JI85" i="1"/>
  <c r="JJ85" i="1"/>
  <c r="JK85" i="1"/>
  <c r="JL85" i="1"/>
  <c r="JM85" i="1"/>
  <c r="JN85" i="1"/>
  <c r="JO85" i="1"/>
  <c r="JP85" i="1"/>
  <c r="JQ85" i="1"/>
  <c r="JR85" i="1"/>
  <c r="JS85" i="1"/>
  <c r="JD86" i="1"/>
  <c r="JE86" i="1"/>
  <c r="JF86" i="1"/>
  <c r="JG86" i="1"/>
  <c r="JH86" i="1"/>
  <c r="JI86" i="1"/>
  <c r="JJ86" i="1"/>
  <c r="JK86" i="1"/>
  <c r="JL86" i="1"/>
  <c r="JM86" i="1"/>
  <c r="JN86" i="1"/>
  <c r="JO86" i="1"/>
  <c r="JP86" i="1"/>
  <c r="JQ86" i="1"/>
  <c r="JR86" i="1"/>
  <c r="JS86" i="1"/>
  <c r="JD87" i="1"/>
  <c r="JE87" i="1"/>
  <c r="JF87" i="1"/>
  <c r="JG87" i="1"/>
  <c r="JH87" i="1"/>
  <c r="JI87" i="1"/>
  <c r="JJ87" i="1"/>
  <c r="JK87" i="1"/>
  <c r="JL87" i="1"/>
  <c r="JM87" i="1"/>
  <c r="JN87" i="1"/>
  <c r="JO87" i="1"/>
  <c r="JP87" i="1"/>
  <c r="JQ87" i="1"/>
  <c r="JR87" i="1"/>
  <c r="JS87" i="1"/>
  <c r="JD88" i="1"/>
  <c r="JE88" i="1"/>
  <c r="JF88" i="1"/>
  <c r="JG88" i="1"/>
  <c r="JH88" i="1"/>
  <c r="JI88" i="1"/>
  <c r="JJ88" i="1"/>
  <c r="JK88" i="1"/>
  <c r="JL88" i="1"/>
  <c r="JM88" i="1"/>
  <c r="JN88" i="1"/>
  <c r="JO88" i="1"/>
  <c r="JP88" i="1"/>
  <c r="JQ88" i="1"/>
  <c r="JR88" i="1"/>
  <c r="JS88" i="1"/>
  <c r="JD89" i="1"/>
  <c r="JE89" i="1"/>
  <c r="JF89" i="1"/>
  <c r="JG89" i="1"/>
  <c r="JH89" i="1"/>
  <c r="JI89" i="1"/>
  <c r="JJ89" i="1"/>
  <c r="JK89" i="1"/>
  <c r="JL89" i="1"/>
  <c r="JM89" i="1"/>
  <c r="JN89" i="1"/>
  <c r="JO89" i="1"/>
  <c r="JP89" i="1"/>
  <c r="JQ89" i="1"/>
  <c r="JR89" i="1"/>
  <c r="JS89" i="1"/>
  <c r="JD90" i="1"/>
  <c r="JE90" i="1"/>
  <c r="JF90" i="1"/>
  <c r="JG90" i="1"/>
  <c r="JH90" i="1"/>
  <c r="JI90" i="1"/>
  <c r="JJ90" i="1"/>
  <c r="JK90" i="1"/>
  <c r="JL90" i="1"/>
  <c r="JM90" i="1"/>
  <c r="JN90" i="1"/>
  <c r="JO90" i="1"/>
  <c r="JP90" i="1"/>
  <c r="JQ90" i="1"/>
  <c r="JR90" i="1"/>
  <c r="JS90" i="1"/>
  <c r="JD91" i="1"/>
  <c r="JE91" i="1"/>
  <c r="JF91" i="1"/>
  <c r="JG91" i="1"/>
  <c r="JH91" i="1"/>
  <c r="JI91" i="1"/>
  <c r="JJ91" i="1"/>
  <c r="JK91" i="1"/>
  <c r="JL91" i="1"/>
  <c r="JM91" i="1"/>
  <c r="JN91" i="1"/>
  <c r="JO91" i="1"/>
  <c r="JP91" i="1"/>
  <c r="JQ91" i="1"/>
  <c r="JR91" i="1"/>
  <c r="JS91" i="1"/>
  <c r="JD92" i="1"/>
  <c r="JE92" i="1"/>
  <c r="JF92" i="1"/>
  <c r="JG92" i="1"/>
  <c r="JH92" i="1"/>
  <c r="JI92" i="1"/>
  <c r="JJ92" i="1"/>
  <c r="JK92" i="1"/>
  <c r="JL92" i="1"/>
  <c r="JM92" i="1"/>
  <c r="JN92" i="1"/>
  <c r="JO92" i="1"/>
  <c r="JP92" i="1"/>
  <c r="JQ92" i="1"/>
  <c r="JR92" i="1"/>
  <c r="JS92" i="1"/>
  <c r="JD93" i="1"/>
  <c r="JE93" i="1"/>
  <c r="JF93" i="1"/>
  <c r="JG93" i="1"/>
  <c r="JH93" i="1"/>
  <c r="JI93" i="1"/>
  <c r="JJ93" i="1"/>
  <c r="JK93" i="1"/>
  <c r="JL93" i="1"/>
  <c r="JM93" i="1"/>
  <c r="JN93" i="1"/>
  <c r="JO93" i="1"/>
  <c r="JP93" i="1"/>
  <c r="JQ93" i="1"/>
  <c r="JR93" i="1"/>
  <c r="JS93" i="1"/>
  <c r="JD94" i="1"/>
  <c r="JE94" i="1"/>
  <c r="JF94" i="1"/>
  <c r="JG94" i="1"/>
  <c r="JH94" i="1"/>
  <c r="JI94" i="1"/>
  <c r="JJ94" i="1"/>
  <c r="JK94" i="1"/>
  <c r="JL94" i="1"/>
  <c r="JM94" i="1"/>
  <c r="JN94" i="1"/>
  <c r="JO94" i="1"/>
  <c r="JP94" i="1"/>
  <c r="JQ94" i="1"/>
  <c r="JR94" i="1"/>
  <c r="JS94" i="1"/>
  <c r="JD95" i="1"/>
  <c r="JE95" i="1"/>
  <c r="JF95" i="1"/>
  <c r="JG95" i="1"/>
  <c r="JH95" i="1"/>
  <c r="JI95" i="1"/>
  <c r="JJ95" i="1"/>
  <c r="JK95" i="1"/>
  <c r="JL95" i="1"/>
  <c r="JM95" i="1"/>
  <c r="JN95" i="1"/>
  <c r="JO95" i="1"/>
  <c r="JP95" i="1"/>
  <c r="JQ95" i="1"/>
  <c r="JR95" i="1"/>
  <c r="JS95" i="1"/>
  <c r="JD96" i="1"/>
  <c r="JE96" i="1"/>
  <c r="JF96" i="1"/>
  <c r="JG96" i="1"/>
  <c r="JH96" i="1"/>
  <c r="JI96" i="1"/>
  <c r="JJ96" i="1"/>
  <c r="JK96" i="1"/>
  <c r="JL96" i="1"/>
  <c r="JM96" i="1"/>
  <c r="JN96" i="1"/>
  <c r="JO96" i="1"/>
  <c r="JP96" i="1"/>
  <c r="JQ96" i="1"/>
  <c r="JR96" i="1"/>
  <c r="JS96" i="1"/>
  <c r="JD97" i="1"/>
  <c r="JE97" i="1"/>
  <c r="JF97" i="1"/>
  <c r="JG97" i="1"/>
  <c r="JH97" i="1"/>
  <c r="JI97" i="1"/>
  <c r="JJ97" i="1"/>
  <c r="JK97" i="1"/>
  <c r="JL97" i="1"/>
  <c r="JM97" i="1"/>
  <c r="JN97" i="1"/>
  <c r="JO97" i="1"/>
  <c r="JP97" i="1"/>
  <c r="JQ97" i="1"/>
  <c r="JR97" i="1"/>
  <c r="JS97" i="1"/>
  <c r="JD98" i="1"/>
  <c r="JE98" i="1"/>
  <c r="JF98" i="1"/>
  <c r="JG98" i="1"/>
  <c r="JH98" i="1"/>
  <c r="JI98" i="1"/>
  <c r="JJ98" i="1"/>
  <c r="JK98" i="1"/>
  <c r="JL98" i="1"/>
  <c r="JM98" i="1"/>
  <c r="JN98" i="1"/>
  <c r="JO98" i="1"/>
  <c r="JP98" i="1"/>
  <c r="JQ98" i="1"/>
  <c r="JR98" i="1"/>
  <c r="JS98" i="1"/>
  <c r="JD99" i="1"/>
  <c r="JE99" i="1"/>
  <c r="JF99" i="1"/>
  <c r="JG99" i="1"/>
  <c r="JH99" i="1"/>
  <c r="JI99" i="1"/>
  <c r="JJ99" i="1"/>
  <c r="JK99" i="1"/>
  <c r="JL99" i="1"/>
  <c r="JM99" i="1"/>
  <c r="JN99" i="1"/>
  <c r="JO99" i="1"/>
  <c r="JP99" i="1"/>
  <c r="JQ99" i="1"/>
  <c r="JR99" i="1"/>
  <c r="JS99" i="1"/>
  <c r="JD100" i="1"/>
  <c r="JE100" i="1"/>
  <c r="JF100" i="1"/>
  <c r="JG100" i="1"/>
  <c r="JH100" i="1"/>
  <c r="JI100" i="1"/>
  <c r="JJ100" i="1"/>
  <c r="JK100" i="1"/>
  <c r="JL100" i="1"/>
  <c r="JM100" i="1"/>
  <c r="JN100" i="1"/>
  <c r="JO100" i="1"/>
  <c r="JP100" i="1"/>
  <c r="JQ100" i="1"/>
  <c r="JR100" i="1"/>
  <c r="JS100" i="1"/>
  <c r="JD101" i="1"/>
  <c r="JE101" i="1"/>
  <c r="JF101" i="1"/>
  <c r="JG101" i="1"/>
  <c r="JH101" i="1"/>
  <c r="JI101" i="1"/>
  <c r="JJ101" i="1"/>
  <c r="JK101" i="1"/>
  <c r="JL101" i="1"/>
  <c r="JM101" i="1"/>
  <c r="JN101" i="1"/>
  <c r="JO101" i="1"/>
  <c r="JP101" i="1"/>
  <c r="JQ101" i="1"/>
  <c r="JR101" i="1"/>
  <c r="JS101" i="1"/>
  <c r="JD102" i="1"/>
  <c r="JE102" i="1"/>
  <c r="JF102" i="1"/>
  <c r="JG102" i="1"/>
  <c r="JH102" i="1"/>
  <c r="JI102" i="1"/>
  <c r="JJ102" i="1"/>
  <c r="JK102" i="1"/>
  <c r="JL102" i="1"/>
  <c r="JM102" i="1"/>
  <c r="JN102" i="1"/>
  <c r="JO102" i="1"/>
  <c r="JP102" i="1"/>
  <c r="JQ102" i="1"/>
  <c r="JR102" i="1"/>
  <c r="JS102" i="1"/>
  <c r="JD103" i="1"/>
  <c r="JE103" i="1"/>
  <c r="JF103" i="1"/>
  <c r="JG103" i="1"/>
  <c r="JH103" i="1"/>
  <c r="JI103" i="1"/>
  <c r="JJ103" i="1"/>
  <c r="JK103" i="1"/>
  <c r="JL103" i="1"/>
  <c r="JM103" i="1"/>
  <c r="JN103" i="1"/>
  <c r="JO103" i="1"/>
  <c r="JP103" i="1"/>
  <c r="JQ103" i="1"/>
  <c r="JR103" i="1"/>
  <c r="JS103" i="1"/>
  <c r="JD104" i="1"/>
  <c r="JE104" i="1"/>
  <c r="JF104" i="1"/>
  <c r="JG104" i="1"/>
  <c r="JH104" i="1"/>
  <c r="JI104" i="1"/>
  <c r="JJ104" i="1"/>
  <c r="JK104" i="1"/>
  <c r="JL104" i="1"/>
  <c r="JM104" i="1"/>
  <c r="JN104" i="1"/>
  <c r="JO104" i="1"/>
  <c r="JP104" i="1"/>
  <c r="JQ104" i="1"/>
  <c r="JR104" i="1"/>
  <c r="JS104" i="1"/>
  <c r="JD105" i="1"/>
  <c r="JE105" i="1"/>
  <c r="JF105" i="1"/>
  <c r="JG105" i="1"/>
  <c r="JH105" i="1"/>
  <c r="JI105" i="1"/>
  <c r="JJ105" i="1"/>
  <c r="JK105" i="1"/>
  <c r="JL105" i="1"/>
  <c r="JM105" i="1"/>
  <c r="JN105" i="1"/>
  <c r="JO105" i="1"/>
  <c r="JP105" i="1"/>
  <c r="JQ105" i="1"/>
  <c r="JR105" i="1"/>
  <c r="JS105" i="1"/>
  <c r="JD106" i="1"/>
  <c r="JE106" i="1"/>
  <c r="JF106" i="1"/>
  <c r="JG106" i="1"/>
  <c r="JH106" i="1"/>
  <c r="JI106" i="1"/>
  <c r="JJ106" i="1"/>
  <c r="JK106" i="1"/>
  <c r="JL106" i="1"/>
  <c r="JM106" i="1"/>
  <c r="JN106" i="1"/>
  <c r="JO106" i="1"/>
  <c r="JP106" i="1"/>
  <c r="JQ106" i="1"/>
  <c r="JR106" i="1"/>
  <c r="JS106" i="1"/>
  <c r="JD107" i="1"/>
  <c r="JE107" i="1"/>
  <c r="JF107" i="1"/>
  <c r="JG107" i="1"/>
  <c r="JH107" i="1"/>
  <c r="JI107" i="1"/>
  <c r="JJ107" i="1"/>
  <c r="JK107" i="1"/>
  <c r="JL107" i="1"/>
  <c r="JM107" i="1"/>
  <c r="JN107" i="1"/>
  <c r="JO107" i="1"/>
  <c r="JP107" i="1"/>
  <c r="JQ107" i="1"/>
  <c r="JR107" i="1"/>
  <c r="JS107" i="1"/>
  <c r="JD108" i="1"/>
  <c r="JE108" i="1"/>
  <c r="JF108" i="1"/>
  <c r="JG108" i="1"/>
  <c r="JH108" i="1"/>
  <c r="JI108" i="1"/>
  <c r="JJ108" i="1"/>
  <c r="JK108" i="1"/>
  <c r="JL108" i="1"/>
  <c r="JM108" i="1"/>
  <c r="JN108" i="1"/>
  <c r="JO108" i="1"/>
  <c r="JP108" i="1"/>
  <c r="JQ108" i="1"/>
  <c r="JR108" i="1"/>
  <c r="JS108" i="1"/>
  <c r="JD109" i="1"/>
  <c r="JE109" i="1"/>
  <c r="JF109" i="1"/>
  <c r="JG109" i="1"/>
  <c r="JH109" i="1"/>
  <c r="JI109" i="1"/>
  <c r="JJ109" i="1"/>
  <c r="JK109" i="1"/>
  <c r="JL109" i="1"/>
  <c r="JM109" i="1"/>
  <c r="JN109" i="1"/>
  <c r="JO109" i="1"/>
  <c r="JP109" i="1"/>
  <c r="JQ109" i="1"/>
  <c r="JR109" i="1"/>
  <c r="JS109" i="1"/>
  <c r="JD110" i="1"/>
  <c r="JE110" i="1"/>
  <c r="JF110" i="1"/>
  <c r="JG110" i="1"/>
  <c r="JH110" i="1"/>
  <c r="JI110" i="1"/>
  <c r="JJ110" i="1"/>
  <c r="JK110" i="1"/>
  <c r="JL110" i="1"/>
  <c r="JM110" i="1"/>
  <c r="JN110" i="1"/>
  <c r="JO110" i="1"/>
  <c r="JP110" i="1"/>
  <c r="JQ110" i="1"/>
  <c r="JR110" i="1"/>
  <c r="JS110" i="1"/>
  <c r="JD111" i="1"/>
  <c r="JE111" i="1"/>
  <c r="JF111" i="1"/>
  <c r="JG111" i="1"/>
  <c r="JH111" i="1"/>
  <c r="JI111" i="1"/>
  <c r="JJ111" i="1"/>
  <c r="JK111" i="1"/>
  <c r="JL111" i="1"/>
  <c r="JM111" i="1"/>
  <c r="JN111" i="1"/>
  <c r="JO111" i="1"/>
  <c r="JP111" i="1"/>
  <c r="JQ111" i="1"/>
  <c r="JR111" i="1"/>
  <c r="JS111" i="1"/>
  <c r="JD126" i="1"/>
  <c r="JE126" i="1"/>
  <c r="JF126" i="1"/>
  <c r="JG126" i="1"/>
  <c r="JH126" i="1"/>
  <c r="JI126" i="1"/>
  <c r="JJ126" i="1"/>
  <c r="JK126" i="1"/>
  <c r="JL126" i="1"/>
  <c r="JM126" i="1"/>
  <c r="JN126" i="1"/>
  <c r="JO126" i="1"/>
  <c r="JP126" i="1"/>
  <c r="JQ126" i="1"/>
  <c r="JR126" i="1"/>
  <c r="JS126" i="1"/>
  <c r="JD127" i="1"/>
  <c r="JE127" i="1"/>
  <c r="JF127" i="1"/>
  <c r="JG127" i="1"/>
  <c r="JH127" i="1"/>
  <c r="JI127" i="1"/>
  <c r="JJ127" i="1"/>
  <c r="JK127" i="1"/>
  <c r="JL127" i="1"/>
  <c r="JM127" i="1"/>
  <c r="JN127" i="1"/>
  <c r="JO127" i="1"/>
  <c r="JP127" i="1"/>
  <c r="JQ127" i="1"/>
  <c r="JR127" i="1"/>
  <c r="JS127" i="1"/>
  <c r="JD128" i="1"/>
  <c r="JE128" i="1"/>
  <c r="JF128" i="1"/>
  <c r="JG128" i="1"/>
  <c r="JH128" i="1"/>
  <c r="JI128" i="1"/>
  <c r="JJ128" i="1"/>
  <c r="JK128" i="1"/>
  <c r="JL128" i="1"/>
  <c r="JM128" i="1"/>
  <c r="JN128" i="1"/>
  <c r="JO128" i="1"/>
  <c r="JP128" i="1"/>
  <c r="JQ128" i="1"/>
  <c r="JR128" i="1"/>
  <c r="JS128" i="1"/>
  <c r="JD129" i="1"/>
  <c r="JE129" i="1"/>
  <c r="JF129" i="1"/>
  <c r="JG129" i="1"/>
  <c r="JH129" i="1"/>
  <c r="JI129" i="1"/>
  <c r="JJ129" i="1"/>
  <c r="JK129" i="1"/>
  <c r="JL129" i="1"/>
  <c r="JM129" i="1"/>
  <c r="JN129" i="1"/>
  <c r="JO129" i="1"/>
  <c r="JP129" i="1"/>
  <c r="JQ129" i="1"/>
  <c r="JR129" i="1"/>
  <c r="JS129" i="1"/>
  <c r="JD130" i="1"/>
  <c r="JE130" i="1"/>
  <c r="JF130" i="1"/>
  <c r="JG130" i="1"/>
  <c r="JH130" i="1"/>
  <c r="JI130" i="1"/>
  <c r="JJ130" i="1"/>
  <c r="JK130" i="1"/>
  <c r="JL130" i="1"/>
  <c r="JM130" i="1"/>
  <c r="JN130" i="1"/>
  <c r="JO130" i="1"/>
  <c r="JP130" i="1"/>
  <c r="JQ130" i="1"/>
  <c r="JR130" i="1"/>
  <c r="JS130" i="1"/>
  <c r="JD131" i="1"/>
  <c r="JE131" i="1"/>
  <c r="JF131" i="1"/>
  <c r="JG131" i="1"/>
  <c r="JH131" i="1"/>
  <c r="JI131" i="1"/>
  <c r="JJ131" i="1"/>
  <c r="JK131" i="1"/>
  <c r="JL131" i="1"/>
  <c r="JM131" i="1"/>
  <c r="JN131" i="1"/>
  <c r="JO131" i="1"/>
  <c r="JP131" i="1"/>
  <c r="JQ131" i="1"/>
  <c r="JR131" i="1"/>
  <c r="JS131" i="1"/>
  <c r="JD132" i="1"/>
  <c r="JE132" i="1"/>
  <c r="JF132" i="1"/>
  <c r="JG132" i="1"/>
  <c r="JH132" i="1"/>
  <c r="JI132" i="1"/>
  <c r="JJ132" i="1"/>
  <c r="JK132" i="1"/>
  <c r="JL132" i="1"/>
  <c r="JM132" i="1"/>
  <c r="JN132" i="1"/>
  <c r="JO132" i="1"/>
  <c r="JP132" i="1"/>
  <c r="JQ132" i="1"/>
  <c r="JR132" i="1"/>
  <c r="JS132" i="1"/>
  <c r="IT126" i="1"/>
  <c r="IT127" i="1"/>
  <c r="IT128" i="1"/>
  <c r="IT129" i="1"/>
  <c r="IT130" i="1"/>
  <c r="IT131" i="1"/>
  <c r="IT132" i="1"/>
  <c r="GN46" i="1"/>
  <c r="GO46" i="1"/>
  <c r="GP46" i="1"/>
  <c r="GQ46" i="1"/>
  <c r="GR46" i="1"/>
  <c r="GS46" i="1"/>
  <c r="GT46" i="1"/>
  <c r="GU46" i="1"/>
  <c r="GV46" i="1"/>
  <c r="GW46" i="1"/>
  <c r="GX46" i="1"/>
  <c r="GY46" i="1"/>
  <c r="GZ46" i="1"/>
  <c r="HA46" i="1"/>
  <c r="HB46" i="1"/>
  <c r="HC46" i="1"/>
  <c r="GN47" i="1"/>
  <c r="GO47" i="1"/>
  <c r="GP47" i="1"/>
  <c r="GQ47" i="1"/>
  <c r="GR47" i="1"/>
  <c r="GS47" i="1"/>
  <c r="GT47" i="1"/>
  <c r="GU47" i="1"/>
  <c r="GV47" i="1"/>
  <c r="GW47" i="1"/>
  <c r="GX47" i="1"/>
  <c r="GY47" i="1"/>
  <c r="GZ47" i="1"/>
  <c r="HA47" i="1"/>
  <c r="HB47" i="1"/>
  <c r="HC47" i="1"/>
  <c r="GN48" i="1"/>
  <c r="GO48" i="1"/>
  <c r="GP48" i="1"/>
  <c r="GQ48" i="1"/>
  <c r="GR48" i="1"/>
  <c r="GS48" i="1"/>
  <c r="GT48" i="1"/>
  <c r="GU48" i="1"/>
  <c r="GV48" i="1"/>
  <c r="GW48" i="1"/>
  <c r="GX48" i="1"/>
  <c r="GY48" i="1"/>
  <c r="GZ48" i="1"/>
  <c r="HA48" i="1"/>
  <c r="HB48" i="1"/>
  <c r="HC48" i="1"/>
  <c r="GN49" i="1"/>
  <c r="GO49" i="1"/>
  <c r="GP49" i="1"/>
  <c r="GQ49" i="1"/>
  <c r="GR49" i="1"/>
  <c r="GS49" i="1"/>
  <c r="GT49" i="1"/>
  <c r="GU49" i="1"/>
  <c r="GV49" i="1"/>
  <c r="GW49" i="1"/>
  <c r="GX49" i="1"/>
  <c r="GY49" i="1"/>
  <c r="GZ49" i="1"/>
  <c r="HA49" i="1"/>
  <c r="HB49" i="1"/>
  <c r="HC49" i="1"/>
  <c r="GN50" i="1"/>
  <c r="GO50" i="1"/>
  <c r="GP50" i="1"/>
  <c r="GQ50" i="1"/>
  <c r="GR50" i="1"/>
  <c r="GS50" i="1"/>
  <c r="GT50" i="1"/>
  <c r="GU50" i="1"/>
  <c r="GV50" i="1"/>
  <c r="GW50" i="1"/>
  <c r="GX50" i="1"/>
  <c r="GY50" i="1"/>
  <c r="GZ50" i="1"/>
  <c r="HA50" i="1"/>
  <c r="HB50" i="1"/>
  <c r="HC50" i="1"/>
  <c r="GN51" i="1"/>
  <c r="GO51" i="1"/>
  <c r="GP51" i="1"/>
  <c r="GQ51" i="1"/>
  <c r="GR51" i="1"/>
  <c r="GS51" i="1"/>
  <c r="GT51" i="1"/>
  <c r="GU51" i="1"/>
  <c r="GV51" i="1"/>
  <c r="GW51" i="1"/>
  <c r="GX51" i="1"/>
  <c r="GY51" i="1"/>
  <c r="GZ51" i="1"/>
  <c r="HA51" i="1"/>
  <c r="HB51" i="1"/>
  <c r="HC51" i="1"/>
  <c r="GN52" i="1"/>
  <c r="GO52" i="1"/>
  <c r="GP52" i="1"/>
  <c r="GQ52" i="1"/>
  <c r="GR52" i="1"/>
  <c r="GS52" i="1"/>
  <c r="GT52" i="1"/>
  <c r="GU52" i="1"/>
  <c r="GV52" i="1"/>
  <c r="GW52" i="1"/>
  <c r="GX52" i="1"/>
  <c r="GY52" i="1"/>
  <c r="GZ52" i="1"/>
  <c r="HA52" i="1"/>
  <c r="HB52" i="1"/>
  <c r="HC52" i="1"/>
  <c r="GN53" i="1"/>
  <c r="GO53" i="1"/>
  <c r="GP53" i="1"/>
  <c r="GQ53" i="1"/>
  <c r="GR53" i="1"/>
  <c r="GS53" i="1"/>
  <c r="GT53" i="1"/>
  <c r="GU53" i="1"/>
  <c r="GV53" i="1"/>
  <c r="GW53" i="1"/>
  <c r="GX53" i="1"/>
  <c r="GY53" i="1"/>
  <c r="GZ53" i="1"/>
  <c r="HA53" i="1"/>
  <c r="HB53" i="1"/>
  <c r="HC53" i="1"/>
  <c r="GN54" i="1"/>
  <c r="GO54" i="1"/>
  <c r="GP54" i="1"/>
  <c r="GQ54" i="1"/>
  <c r="GR54" i="1"/>
  <c r="GS54" i="1"/>
  <c r="GT54" i="1"/>
  <c r="GU54" i="1"/>
  <c r="GV54" i="1"/>
  <c r="GW54" i="1"/>
  <c r="GX54" i="1"/>
  <c r="GY54" i="1"/>
  <c r="GZ54" i="1"/>
  <c r="HA54" i="1"/>
  <c r="HB54" i="1"/>
  <c r="HC54" i="1"/>
  <c r="GN55" i="1"/>
  <c r="GO55" i="1"/>
  <c r="GP55" i="1"/>
  <c r="GQ55" i="1"/>
  <c r="GR55" i="1"/>
  <c r="GS55" i="1"/>
  <c r="GT55" i="1"/>
  <c r="GU55" i="1"/>
  <c r="GV55" i="1"/>
  <c r="GW55" i="1"/>
  <c r="GX55" i="1"/>
  <c r="GY55" i="1"/>
  <c r="GZ55" i="1"/>
  <c r="HA55" i="1"/>
  <c r="HB55" i="1"/>
  <c r="HC55" i="1"/>
  <c r="GN56" i="1"/>
  <c r="GO56" i="1"/>
  <c r="GP56" i="1"/>
  <c r="GQ56" i="1"/>
  <c r="GR56" i="1"/>
  <c r="GS56" i="1"/>
  <c r="GT56" i="1"/>
  <c r="GU56" i="1"/>
  <c r="GV56" i="1"/>
  <c r="GW56" i="1"/>
  <c r="GX56" i="1"/>
  <c r="GY56" i="1"/>
  <c r="GZ56" i="1"/>
  <c r="HA56" i="1"/>
  <c r="HB56" i="1"/>
  <c r="HC56" i="1"/>
  <c r="GN57" i="1"/>
  <c r="GO57" i="1"/>
  <c r="GP57" i="1"/>
  <c r="GQ57" i="1"/>
  <c r="GR57" i="1"/>
  <c r="GS57" i="1"/>
  <c r="GT57" i="1"/>
  <c r="GU57" i="1"/>
  <c r="GV57" i="1"/>
  <c r="GW57" i="1"/>
  <c r="GX57" i="1"/>
  <c r="GY57" i="1"/>
  <c r="GZ57" i="1"/>
  <c r="HA57" i="1"/>
  <c r="HB57" i="1"/>
  <c r="HC57" i="1"/>
  <c r="GN58" i="1"/>
  <c r="GO58" i="1"/>
  <c r="GP58" i="1"/>
  <c r="GQ58" i="1"/>
  <c r="GR58" i="1"/>
  <c r="GS58" i="1"/>
  <c r="GT58" i="1"/>
  <c r="GU58" i="1"/>
  <c r="GV58" i="1"/>
  <c r="GW58" i="1"/>
  <c r="GX58" i="1"/>
  <c r="GY58" i="1"/>
  <c r="GZ58" i="1"/>
  <c r="HA58" i="1"/>
  <c r="HB58" i="1"/>
  <c r="HC58" i="1"/>
  <c r="GN59" i="1"/>
  <c r="GO59" i="1"/>
  <c r="GP59" i="1"/>
  <c r="GQ59" i="1"/>
  <c r="GR59" i="1"/>
  <c r="GS59" i="1"/>
  <c r="GT59" i="1"/>
  <c r="GU59" i="1"/>
  <c r="GV59" i="1"/>
  <c r="GW59" i="1"/>
  <c r="GX59" i="1"/>
  <c r="GY59" i="1"/>
  <c r="GZ59" i="1"/>
  <c r="HA59" i="1"/>
  <c r="HB59" i="1"/>
  <c r="HC59" i="1"/>
  <c r="GN60" i="1"/>
  <c r="GO60" i="1"/>
  <c r="GP60" i="1"/>
  <c r="GQ60" i="1"/>
  <c r="GR60" i="1"/>
  <c r="GS60" i="1"/>
  <c r="GT60" i="1"/>
  <c r="GU60" i="1"/>
  <c r="GV60" i="1"/>
  <c r="GW60" i="1"/>
  <c r="GX60" i="1"/>
  <c r="GY60" i="1"/>
  <c r="GZ60" i="1"/>
  <c r="HA60" i="1"/>
  <c r="HB60" i="1"/>
  <c r="HC60" i="1"/>
  <c r="GN61" i="1"/>
  <c r="GO61" i="1"/>
  <c r="GP61" i="1"/>
  <c r="GQ61" i="1"/>
  <c r="GR61" i="1"/>
  <c r="GS61" i="1"/>
  <c r="GT61" i="1"/>
  <c r="GU61" i="1"/>
  <c r="GV61" i="1"/>
  <c r="GW61" i="1"/>
  <c r="GX61" i="1"/>
  <c r="GY61" i="1"/>
  <c r="GZ61" i="1"/>
  <c r="HA61" i="1"/>
  <c r="HB61" i="1"/>
  <c r="HC61" i="1"/>
  <c r="GN62" i="1"/>
  <c r="GO62" i="1"/>
  <c r="GP62" i="1"/>
  <c r="GQ62" i="1"/>
  <c r="GR62" i="1"/>
  <c r="GS62" i="1"/>
  <c r="GT62" i="1"/>
  <c r="GU62" i="1"/>
  <c r="GV62" i="1"/>
  <c r="GW62" i="1"/>
  <c r="GX62" i="1"/>
  <c r="GY62" i="1"/>
  <c r="GZ62" i="1"/>
  <c r="HA62" i="1"/>
  <c r="HB62" i="1"/>
  <c r="HC62" i="1"/>
  <c r="GN63" i="1"/>
  <c r="GO63" i="1"/>
  <c r="GP63" i="1"/>
  <c r="GQ63" i="1"/>
  <c r="GR63" i="1"/>
  <c r="GS63" i="1"/>
  <c r="GT63" i="1"/>
  <c r="GU63" i="1"/>
  <c r="GV63" i="1"/>
  <c r="GW63" i="1"/>
  <c r="GX63" i="1"/>
  <c r="GY63" i="1"/>
  <c r="GZ63" i="1"/>
  <c r="HA63" i="1"/>
  <c r="HB63" i="1"/>
  <c r="HC63" i="1"/>
  <c r="GN64" i="1"/>
  <c r="GO64" i="1"/>
  <c r="GP64" i="1"/>
  <c r="GQ64" i="1"/>
  <c r="GR64" i="1"/>
  <c r="GS64" i="1"/>
  <c r="GT64" i="1"/>
  <c r="GU64" i="1"/>
  <c r="GV64" i="1"/>
  <c r="GW64" i="1"/>
  <c r="GX64" i="1"/>
  <c r="GY64" i="1"/>
  <c r="GZ64" i="1"/>
  <c r="HA64" i="1"/>
  <c r="HB64" i="1"/>
  <c r="HC64" i="1"/>
  <c r="GN65" i="1"/>
  <c r="GO65" i="1"/>
  <c r="GP65" i="1"/>
  <c r="GQ65" i="1"/>
  <c r="GR65" i="1"/>
  <c r="GS65" i="1"/>
  <c r="GT65" i="1"/>
  <c r="GU65" i="1"/>
  <c r="GV65" i="1"/>
  <c r="GW65" i="1"/>
  <c r="GX65" i="1"/>
  <c r="GY65" i="1"/>
  <c r="GZ65" i="1"/>
  <c r="HA65" i="1"/>
  <c r="HB65" i="1"/>
  <c r="HC65" i="1"/>
  <c r="GN66" i="1"/>
  <c r="GO66" i="1"/>
  <c r="GP66" i="1"/>
  <c r="GQ66" i="1"/>
  <c r="GR66" i="1"/>
  <c r="GS66" i="1"/>
  <c r="GT66" i="1"/>
  <c r="GU66" i="1"/>
  <c r="GV66" i="1"/>
  <c r="GW66" i="1"/>
  <c r="GX66" i="1"/>
  <c r="GY66" i="1"/>
  <c r="GZ66" i="1"/>
  <c r="HA66" i="1"/>
  <c r="HB66" i="1"/>
  <c r="HC66" i="1"/>
  <c r="GN67" i="1"/>
  <c r="GO67" i="1"/>
  <c r="GP67" i="1"/>
  <c r="GQ67" i="1"/>
  <c r="GR67" i="1"/>
  <c r="GS67" i="1"/>
  <c r="GT67" i="1"/>
  <c r="GU67" i="1"/>
  <c r="GV67" i="1"/>
  <c r="GW67" i="1"/>
  <c r="GX67" i="1"/>
  <c r="GY67" i="1"/>
  <c r="GZ67" i="1"/>
  <c r="HA67" i="1"/>
  <c r="HB67" i="1"/>
  <c r="HC67" i="1"/>
  <c r="GN68" i="1"/>
  <c r="GO68" i="1"/>
  <c r="GP68" i="1"/>
  <c r="GQ68" i="1"/>
  <c r="GR68" i="1"/>
  <c r="GS68" i="1"/>
  <c r="GT68" i="1"/>
  <c r="GU68" i="1"/>
  <c r="GV68" i="1"/>
  <c r="GW68" i="1"/>
  <c r="GX68" i="1"/>
  <c r="GY68" i="1"/>
  <c r="GZ68" i="1"/>
  <c r="HA68" i="1"/>
  <c r="HB68" i="1"/>
  <c r="HC68" i="1"/>
  <c r="GN69" i="1"/>
  <c r="GO69" i="1"/>
  <c r="GP69" i="1"/>
  <c r="GQ69" i="1"/>
  <c r="GR69" i="1"/>
  <c r="GS69" i="1"/>
  <c r="GT69" i="1"/>
  <c r="GU69" i="1"/>
  <c r="GV69" i="1"/>
  <c r="GW69" i="1"/>
  <c r="GX69" i="1"/>
  <c r="GY69" i="1"/>
  <c r="GZ69" i="1"/>
  <c r="HA69" i="1"/>
  <c r="HB69" i="1"/>
  <c r="HC69" i="1"/>
  <c r="GN70" i="1"/>
  <c r="GO70" i="1"/>
  <c r="GP70" i="1"/>
  <c r="GQ70" i="1"/>
  <c r="GR70" i="1"/>
  <c r="GS70" i="1"/>
  <c r="GT70" i="1"/>
  <c r="GU70" i="1"/>
  <c r="GV70" i="1"/>
  <c r="GW70" i="1"/>
  <c r="GX70" i="1"/>
  <c r="GY70" i="1"/>
  <c r="GZ70" i="1"/>
  <c r="HA70" i="1"/>
  <c r="HB70" i="1"/>
  <c r="HC70" i="1"/>
  <c r="GN71" i="1"/>
  <c r="GO71" i="1"/>
  <c r="GP71" i="1"/>
  <c r="GQ71" i="1"/>
  <c r="GR71" i="1"/>
  <c r="GS71" i="1"/>
  <c r="GT71" i="1"/>
  <c r="GU71" i="1"/>
  <c r="GV71" i="1"/>
  <c r="GW71" i="1"/>
  <c r="GX71" i="1"/>
  <c r="GY71" i="1"/>
  <c r="GZ71" i="1"/>
  <c r="HA71" i="1"/>
  <c r="HB71" i="1"/>
  <c r="HC71" i="1"/>
  <c r="GN72" i="1"/>
  <c r="GO72" i="1"/>
  <c r="GP72" i="1"/>
  <c r="GQ72" i="1"/>
  <c r="GR72" i="1"/>
  <c r="GS72" i="1"/>
  <c r="GT72" i="1"/>
  <c r="GU72" i="1"/>
  <c r="GV72" i="1"/>
  <c r="GW72" i="1"/>
  <c r="GX72" i="1"/>
  <c r="GY72" i="1"/>
  <c r="GZ72" i="1"/>
  <c r="HA72" i="1"/>
  <c r="HB72" i="1"/>
  <c r="HC72" i="1"/>
  <c r="GN73" i="1"/>
  <c r="GO73" i="1"/>
  <c r="GP73" i="1"/>
  <c r="GQ73" i="1"/>
  <c r="GR73" i="1"/>
  <c r="GS73" i="1"/>
  <c r="GT73" i="1"/>
  <c r="GU73" i="1"/>
  <c r="GV73" i="1"/>
  <c r="GW73" i="1"/>
  <c r="GX73" i="1"/>
  <c r="GY73" i="1"/>
  <c r="GZ73" i="1"/>
  <c r="HA73" i="1"/>
  <c r="HB73" i="1"/>
  <c r="HC73" i="1"/>
  <c r="GN74" i="1"/>
  <c r="GO74" i="1"/>
  <c r="GP74" i="1"/>
  <c r="GQ74" i="1"/>
  <c r="GR74" i="1"/>
  <c r="GS74" i="1"/>
  <c r="GT74" i="1"/>
  <c r="GU74" i="1"/>
  <c r="GV74" i="1"/>
  <c r="GW74" i="1"/>
  <c r="GX74" i="1"/>
  <c r="GY74" i="1"/>
  <c r="GZ74" i="1"/>
  <c r="HA74" i="1"/>
  <c r="HB74" i="1"/>
  <c r="HC74" i="1"/>
  <c r="GN75" i="1"/>
  <c r="GO75" i="1"/>
  <c r="GP75" i="1"/>
  <c r="GQ75" i="1"/>
  <c r="GR75" i="1"/>
  <c r="GS75" i="1"/>
  <c r="GT75" i="1"/>
  <c r="GU75" i="1"/>
  <c r="GV75" i="1"/>
  <c r="GW75" i="1"/>
  <c r="GX75" i="1"/>
  <c r="GY75" i="1"/>
  <c r="GZ75" i="1"/>
  <c r="HA75" i="1"/>
  <c r="HB75" i="1"/>
  <c r="HC75" i="1"/>
  <c r="GN76" i="1"/>
  <c r="GO76" i="1"/>
  <c r="GP76" i="1"/>
  <c r="GQ76" i="1"/>
  <c r="GR76" i="1"/>
  <c r="GS76" i="1"/>
  <c r="GT76" i="1"/>
  <c r="GU76" i="1"/>
  <c r="GV76" i="1"/>
  <c r="GW76" i="1"/>
  <c r="GX76" i="1"/>
  <c r="GY76" i="1"/>
  <c r="GZ76" i="1"/>
  <c r="HA76" i="1"/>
  <c r="HB76" i="1"/>
  <c r="HC76" i="1"/>
  <c r="GN77" i="1"/>
  <c r="GO77" i="1"/>
  <c r="GP77" i="1"/>
  <c r="GQ77" i="1"/>
  <c r="GR77" i="1"/>
  <c r="GS77" i="1"/>
  <c r="GT77" i="1"/>
  <c r="GU77" i="1"/>
  <c r="GV77" i="1"/>
  <c r="GW77" i="1"/>
  <c r="GX77" i="1"/>
  <c r="GY77" i="1"/>
  <c r="GZ77" i="1"/>
  <c r="HA77" i="1"/>
  <c r="HB77" i="1"/>
  <c r="HC77" i="1"/>
  <c r="GN78" i="1"/>
  <c r="GO78" i="1"/>
  <c r="GP78" i="1"/>
  <c r="GQ78" i="1"/>
  <c r="GR78" i="1"/>
  <c r="GS78" i="1"/>
  <c r="GT78" i="1"/>
  <c r="GU78" i="1"/>
  <c r="GV78" i="1"/>
  <c r="GW78" i="1"/>
  <c r="GX78" i="1"/>
  <c r="GY78" i="1"/>
  <c r="GZ78" i="1"/>
  <c r="HA78" i="1"/>
  <c r="HB78" i="1"/>
  <c r="HC78" i="1"/>
  <c r="GN79" i="1"/>
  <c r="GO79" i="1"/>
  <c r="GP79" i="1"/>
  <c r="GQ79" i="1"/>
  <c r="GR79" i="1"/>
  <c r="GS79" i="1"/>
  <c r="GT79" i="1"/>
  <c r="GU79" i="1"/>
  <c r="GV79" i="1"/>
  <c r="GW79" i="1"/>
  <c r="GX79" i="1"/>
  <c r="GY79" i="1"/>
  <c r="GZ79" i="1"/>
  <c r="HA79" i="1"/>
  <c r="HB79" i="1"/>
  <c r="HC79" i="1"/>
  <c r="GN80" i="1"/>
  <c r="GO80" i="1"/>
  <c r="GP80" i="1"/>
  <c r="GQ80" i="1"/>
  <c r="GR80" i="1"/>
  <c r="GS80" i="1"/>
  <c r="GT80" i="1"/>
  <c r="GU80" i="1"/>
  <c r="GV80" i="1"/>
  <c r="GW80" i="1"/>
  <c r="GX80" i="1"/>
  <c r="GY80" i="1"/>
  <c r="GZ80" i="1"/>
  <c r="HA80" i="1"/>
  <c r="HB80" i="1"/>
  <c r="HC80" i="1"/>
  <c r="GN81" i="1"/>
  <c r="GO81" i="1"/>
  <c r="GP81" i="1"/>
  <c r="GQ81" i="1"/>
  <c r="GR81" i="1"/>
  <c r="GS81" i="1"/>
  <c r="GT81" i="1"/>
  <c r="GU81" i="1"/>
  <c r="GV81" i="1"/>
  <c r="GW81" i="1"/>
  <c r="GX81" i="1"/>
  <c r="GY81" i="1"/>
  <c r="GZ81" i="1"/>
  <c r="HA81" i="1"/>
  <c r="HB81" i="1"/>
  <c r="HC81" i="1"/>
  <c r="GN82" i="1"/>
  <c r="GO82" i="1"/>
  <c r="GP82" i="1"/>
  <c r="GQ82" i="1"/>
  <c r="GR82" i="1"/>
  <c r="GS82" i="1"/>
  <c r="GT82" i="1"/>
  <c r="GU82" i="1"/>
  <c r="GV82" i="1"/>
  <c r="GW82" i="1"/>
  <c r="GX82" i="1"/>
  <c r="GY82" i="1"/>
  <c r="GZ82" i="1"/>
  <c r="HA82" i="1"/>
  <c r="HB82" i="1"/>
  <c r="HC82" i="1"/>
  <c r="GN83" i="1"/>
  <c r="GO83" i="1"/>
  <c r="GP83" i="1"/>
  <c r="GQ83" i="1"/>
  <c r="GR83" i="1"/>
  <c r="GS83" i="1"/>
  <c r="GT83" i="1"/>
  <c r="GU83" i="1"/>
  <c r="GV83" i="1"/>
  <c r="GW83" i="1"/>
  <c r="GX83" i="1"/>
  <c r="GY83" i="1"/>
  <c r="GZ83" i="1"/>
  <c r="HA83" i="1"/>
  <c r="HB83" i="1"/>
  <c r="HC83" i="1"/>
  <c r="GN84" i="1"/>
  <c r="GO84" i="1"/>
  <c r="GP84" i="1"/>
  <c r="GQ84" i="1"/>
  <c r="GR84" i="1"/>
  <c r="GS84" i="1"/>
  <c r="GT84" i="1"/>
  <c r="GU84" i="1"/>
  <c r="GV84" i="1"/>
  <c r="GW84" i="1"/>
  <c r="GX84" i="1"/>
  <c r="GY84" i="1"/>
  <c r="GZ84" i="1"/>
  <c r="HA84" i="1"/>
  <c r="HB84" i="1"/>
  <c r="HC84" i="1"/>
  <c r="GN85" i="1"/>
  <c r="GO85" i="1"/>
  <c r="GP85" i="1"/>
  <c r="GQ85" i="1"/>
  <c r="GR85" i="1"/>
  <c r="GS85" i="1"/>
  <c r="GT85" i="1"/>
  <c r="GU85" i="1"/>
  <c r="GV85" i="1"/>
  <c r="GW85" i="1"/>
  <c r="GX85" i="1"/>
  <c r="GY85" i="1"/>
  <c r="GZ85" i="1"/>
  <c r="HA85" i="1"/>
  <c r="HB85" i="1"/>
  <c r="HC85" i="1"/>
  <c r="GN86" i="1"/>
  <c r="GO86" i="1"/>
  <c r="GP86" i="1"/>
  <c r="GQ86" i="1"/>
  <c r="GR86" i="1"/>
  <c r="GS86" i="1"/>
  <c r="GT86" i="1"/>
  <c r="GU86" i="1"/>
  <c r="GV86" i="1"/>
  <c r="GW86" i="1"/>
  <c r="GX86" i="1"/>
  <c r="GY86" i="1"/>
  <c r="GZ86" i="1"/>
  <c r="HA86" i="1"/>
  <c r="HB86" i="1"/>
  <c r="HC86" i="1"/>
  <c r="GN87" i="1"/>
  <c r="GO87" i="1"/>
  <c r="GP87" i="1"/>
  <c r="GQ87" i="1"/>
  <c r="GR87" i="1"/>
  <c r="GS87" i="1"/>
  <c r="GT87" i="1"/>
  <c r="GU87" i="1"/>
  <c r="GV87" i="1"/>
  <c r="GW87" i="1"/>
  <c r="GX87" i="1"/>
  <c r="GY87" i="1"/>
  <c r="GZ87" i="1"/>
  <c r="HA87" i="1"/>
  <c r="HB87" i="1"/>
  <c r="HC87" i="1"/>
  <c r="GN88" i="1"/>
  <c r="GO88" i="1"/>
  <c r="GP88" i="1"/>
  <c r="GQ88" i="1"/>
  <c r="GR88" i="1"/>
  <c r="GS88" i="1"/>
  <c r="GT88" i="1"/>
  <c r="GU88" i="1"/>
  <c r="GV88" i="1"/>
  <c r="GW88" i="1"/>
  <c r="GX88" i="1"/>
  <c r="GY88" i="1"/>
  <c r="GZ88" i="1"/>
  <c r="HA88" i="1"/>
  <c r="HB88" i="1"/>
  <c r="HC88" i="1"/>
  <c r="GN89" i="1"/>
  <c r="GO89" i="1"/>
  <c r="GP89" i="1"/>
  <c r="GQ89" i="1"/>
  <c r="GR89" i="1"/>
  <c r="GS89" i="1"/>
  <c r="GT89" i="1"/>
  <c r="GU89" i="1"/>
  <c r="GV89" i="1"/>
  <c r="GW89" i="1"/>
  <c r="GX89" i="1"/>
  <c r="GY89" i="1"/>
  <c r="GZ89" i="1"/>
  <c r="HA89" i="1"/>
  <c r="HB89" i="1"/>
  <c r="HC89" i="1"/>
  <c r="GN90" i="1"/>
  <c r="GO90" i="1"/>
  <c r="GP90" i="1"/>
  <c r="GQ90" i="1"/>
  <c r="GR90" i="1"/>
  <c r="GS90" i="1"/>
  <c r="GT90" i="1"/>
  <c r="GU90" i="1"/>
  <c r="GV90" i="1"/>
  <c r="GW90" i="1"/>
  <c r="GX90" i="1"/>
  <c r="GY90" i="1"/>
  <c r="GZ90" i="1"/>
  <c r="HA90" i="1"/>
  <c r="HB90" i="1"/>
  <c r="HC90" i="1"/>
  <c r="GN91" i="1"/>
  <c r="GO91" i="1"/>
  <c r="GP91" i="1"/>
  <c r="GQ91" i="1"/>
  <c r="GR91" i="1"/>
  <c r="GS91" i="1"/>
  <c r="GT91" i="1"/>
  <c r="GU91" i="1"/>
  <c r="GV91" i="1"/>
  <c r="GW91" i="1"/>
  <c r="GX91" i="1"/>
  <c r="GY91" i="1"/>
  <c r="GZ91" i="1"/>
  <c r="HA91" i="1"/>
  <c r="HB91" i="1"/>
  <c r="HC91" i="1"/>
  <c r="GN92" i="1"/>
  <c r="GO92" i="1"/>
  <c r="GP92" i="1"/>
  <c r="GQ92" i="1"/>
  <c r="GR92" i="1"/>
  <c r="GS92" i="1"/>
  <c r="GT92" i="1"/>
  <c r="GU92" i="1"/>
  <c r="GV92" i="1"/>
  <c r="GW92" i="1"/>
  <c r="GX92" i="1"/>
  <c r="GY92" i="1"/>
  <c r="GZ92" i="1"/>
  <c r="HA92" i="1"/>
  <c r="HB92" i="1"/>
  <c r="HC92" i="1"/>
  <c r="GN93" i="1"/>
  <c r="GO93" i="1"/>
  <c r="GP93" i="1"/>
  <c r="GQ93" i="1"/>
  <c r="GR93" i="1"/>
  <c r="GS93" i="1"/>
  <c r="GT93" i="1"/>
  <c r="GU93" i="1"/>
  <c r="GV93" i="1"/>
  <c r="GW93" i="1"/>
  <c r="GX93" i="1"/>
  <c r="GY93" i="1"/>
  <c r="GZ93" i="1"/>
  <c r="HA93" i="1"/>
  <c r="HB93" i="1"/>
  <c r="HC93" i="1"/>
  <c r="GN94" i="1"/>
  <c r="GO94" i="1"/>
  <c r="GP94" i="1"/>
  <c r="GQ94" i="1"/>
  <c r="GR94" i="1"/>
  <c r="GS94" i="1"/>
  <c r="GT94" i="1"/>
  <c r="GU94" i="1"/>
  <c r="GV94" i="1"/>
  <c r="GW94" i="1"/>
  <c r="GX94" i="1"/>
  <c r="GY94" i="1"/>
  <c r="GZ94" i="1"/>
  <c r="HA94" i="1"/>
  <c r="HB94" i="1"/>
  <c r="HC94" i="1"/>
  <c r="GN95" i="1"/>
  <c r="GO95" i="1"/>
  <c r="GP95" i="1"/>
  <c r="GQ95" i="1"/>
  <c r="GR95" i="1"/>
  <c r="GS95" i="1"/>
  <c r="GT95" i="1"/>
  <c r="GU95" i="1"/>
  <c r="GV95" i="1"/>
  <c r="GW95" i="1"/>
  <c r="GX95" i="1"/>
  <c r="GY95" i="1"/>
  <c r="GZ95" i="1"/>
  <c r="HA95" i="1"/>
  <c r="HB95" i="1"/>
  <c r="HC95" i="1"/>
  <c r="GN96" i="1"/>
  <c r="GO96" i="1"/>
  <c r="GP96" i="1"/>
  <c r="GQ96" i="1"/>
  <c r="GR96" i="1"/>
  <c r="GS96" i="1"/>
  <c r="GT96" i="1"/>
  <c r="GU96" i="1"/>
  <c r="GV96" i="1"/>
  <c r="GW96" i="1"/>
  <c r="GX96" i="1"/>
  <c r="GY96" i="1"/>
  <c r="GZ96" i="1"/>
  <c r="HA96" i="1"/>
  <c r="HB96" i="1"/>
  <c r="HC96" i="1"/>
  <c r="GN97" i="1"/>
  <c r="GO97" i="1"/>
  <c r="GP97" i="1"/>
  <c r="GQ97" i="1"/>
  <c r="GR97" i="1"/>
  <c r="GS97" i="1"/>
  <c r="GT97" i="1"/>
  <c r="GU97" i="1"/>
  <c r="GV97" i="1"/>
  <c r="GW97" i="1"/>
  <c r="GX97" i="1"/>
  <c r="GY97" i="1"/>
  <c r="GZ97" i="1"/>
  <c r="HA97" i="1"/>
  <c r="HB97" i="1"/>
  <c r="HC97" i="1"/>
  <c r="GN98" i="1"/>
  <c r="GO98" i="1"/>
  <c r="GP98" i="1"/>
  <c r="GQ98" i="1"/>
  <c r="GR98" i="1"/>
  <c r="GS98" i="1"/>
  <c r="GT98" i="1"/>
  <c r="GU98" i="1"/>
  <c r="GV98" i="1"/>
  <c r="GW98" i="1"/>
  <c r="GX98" i="1"/>
  <c r="GY98" i="1"/>
  <c r="GZ98" i="1"/>
  <c r="HA98" i="1"/>
  <c r="HB98" i="1"/>
  <c r="HC98" i="1"/>
  <c r="GN99" i="1"/>
  <c r="GO99" i="1"/>
  <c r="GP99" i="1"/>
  <c r="GQ99" i="1"/>
  <c r="GR99" i="1"/>
  <c r="GS99" i="1"/>
  <c r="GT99" i="1"/>
  <c r="GU99" i="1"/>
  <c r="GV99" i="1"/>
  <c r="GW99" i="1"/>
  <c r="GX99" i="1"/>
  <c r="GY99" i="1"/>
  <c r="GZ99" i="1"/>
  <c r="HA99" i="1"/>
  <c r="HB99" i="1"/>
  <c r="HC99" i="1"/>
  <c r="GN100" i="1"/>
  <c r="GO100" i="1"/>
  <c r="GP100" i="1"/>
  <c r="GQ100" i="1"/>
  <c r="GR100" i="1"/>
  <c r="GS100" i="1"/>
  <c r="GT100" i="1"/>
  <c r="GU100" i="1"/>
  <c r="GV100" i="1"/>
  <c r="GW100" i="1"/>
  <c r="GX100" i="1"/>
  <c r="GY100" i="1"/>
  <c r="GZ100" i="1"/>
  <c r="HA100" i="1"/>
  <c r="HB100" i="1"/>
  <c r="HC100" i="1"/>
  <c r="GN101" i="1"/>
  <c r="GO101" i="1"/>
  <c r="GP101" i="1"/>
  <c r="GQ101" i="1"/>
  <c r="GR101" i="1"/>
  <c r="GS101" i="1"/>
  <c r="GT101" i="1"/>
  <c r="GU101" i="1"/>
  <c r="GV101" i="1"/>
  <c r="GW101" i="1"/>
  <c r="GX101" i="1"/>
  <c r="GY101" i="1"/>
  <c r="GZ101" i="1"/>
  <c r="HA101" i="1"/>
  <c r="HB101" i="1"/>
  <c r="HC101" i="1"/>
  <c r="GN102" i="1"/>
  <c r="GO102" i="1"/>
  <c r="GP102" i="1"/>
  <c r="GQ102" i="1"/>
  <c r="GR102" i="1"/>
  <c r="GS102" i="1"/>
  <c r="GT102" i="1"/>
  <c r="GU102" i="1"/>
  <c r="GV102" i="1"/>
  <c r="GW102" i="1"/>
  <c r="GX102" i="1"/>
  <c r="GY102" i="1"/>
  <c r="GZ102" i="1"/>
  <c r="HA102" i="1"/>
  <c r="HB102" i="1"/>
  <c r="HC102" i="1"/>
  <c r="GN103" i="1"/>
  <c r="GO103" i="1"/>
  <c r="GP103" i="1"/>
  <c r="GQ103" i="1"/>
  <c r="GR103" i="1"/>
  <c r="GS103" i="1"/>
  <c r="GT103" i="1"/>
  <c r="GU103" i="1"/>
  <c r="GV103" i="1"/>
  <c r="GW103" i="1"/>
  <c r="GX103" i="1"/>
  <c r="GY103" i="1"/>
  <c r="GZ103" i="1"/>
  <c r="HA103" i="1"/>
  <c r="HB103" i="1"/>
  <c r="HC103" i="1"/>
  <c r="GN104" i="1"/>
  <c r="GO104" i="1"/>
  <c r="GP104" i="1"/>
  <c r="GQ104" i="1"/>
  <c r="GR104" i="1"/>
  <c r="GS104" i="1"/>
  <c r="GT104" i="1"/>
  <c r="GU104" i="1"/>
  <c r="GV104" i="1"/>
  <c r="GW104" i="1"/>
  <c r="GX104" i="1"/>
  <c r="GY104" i="1"/>
  <c r="GZ104" i="1"/>
  <c r="HA104" i="1"/>
  <c r="HB104" i="1"/>
  <c r="HC104" i="1"/>
  <c r="GN105" i="1"/>
  <c r="GO105" i="1"/>
  <c r="GP105" i="1"/>
  <c r="GQ105" i="1"/>
  <c r="GR105" i="1"/>
  <c r="GS105" i="1"/>
  <c r="GT105" i="1"/>
  <c r="GU105" i="1"/>
  <c r="GV105" i="1"/>
  <c r="GW105" i="1"/>
  <c r="GX105" i="1"/>
  <c r="GY105" i="1"/>
  <c r="GZ105" i="1"/>
  <c r="HA105" i="1"/>
  <c r="HB105" i="1"/>
  <c r="HC105" i="1"/>
  <c r="GN106" i="1"/>
  <c r="GO106" i="1"/>
  <c r="GP106" i="1"/>
  <c r="GQ106" i="1"/>
  <c r="GR106" i="1"/>
  <c r="GS106" i="1"/>
  <c r="GT106" i="1"/>
  <c r="GU106" i="1"/>
  <c r="GV106" i="1"/>
  <c r="GW106" i="1"/>
  <c r="GX106" i="1"/>
  <c r="GY106" i="1"/>
  <c r="GZ106" i="1"/>
  <c r="HA106" i="1"/>
  <c r="HB106" i="1"/>
  <c r="HC106" i="1"/>
  <c r="GN107" i="1"/>
  <c r="GO107" i="1"/>
  <c r="GP107" i="1"/>
  <c r="GQ107" i="1"/>
  <c r="GR107" i="1"/>
  <c r="GS107" i="1"/>
  <c r="GT107" i="1"/>
  <c r="GU107" i="1"/>
  <c r="GV107" i="1"/>
  <c r="GW107" i="1"/>
  <c r="GX107" i="1"/>
  <c r="GY107" i="1"/>
  <c r="GZ107" i="1"/>
  <c r="HA107" i="1"/>
  <c r="HB107" i="1"/>
  <c r="HC107" i="1"/>
  <c r="GN108" i="1"/>
  <c r="GO108" i="1"/>
  <c r="GP108" i="1"/>
  <c r="GQ108" i="1"/>
  <c r="GR108" i="1"/>
  <c r="GS108" i="1"/>
  <c r="GT108" i="1"/>
  <c r="GU108" i="1"/>
  <c r="GV108" i="1"/>
  <c r="GW108" i="1"/>
  <c r="GX108" i="1"/>
  <c r="GY108" i="1"/>
  <c r="GZ108" i="1"/>
  <c r="HA108" i="1"/>
  <c r="HB108" i="1"/>
  <c r="HC108" i="1"/>
  <c r="GN109" i="1"/>
  <c r="GO109" i="1"/>
  <c r="GP109" i="1"/>
  <c r="GQ109" i="1"/>
  <c r="GR109" i="1"/>
  <c r="GS109" i="1"/>
  <c r="GT109" i="1"/>
  <c r="GU109" i="1"/>
  <c r="GV109" i="1"/>
  <c r="GW109" i="1"/>
  <c r="GX109" i="1"/>
  <c r="GY109" i="1"/>
  <c r="GZ109" i="1"/>
  <c r="HA109" i="1"/>
  <c r="HB109" i="1"/>
  <c r="HC109" i="1"/>
  <c r="GN110" i="1"/>
  <c r="GO110" i="1"/>
  <c r="GP110" i="1"/>
  <c r="GQ110" i="1"/>
  <c r="GR110" i="1"/>
  <c r="GS110" i="1"/>
  <c r="GT110" i="1"/>
  <c r="GU110" i="1"/>
  <c r="GV110" i="1"/>
  <c r="GW110" i="1"/>
  <c r="GX110" i="1"/>
  <c r="GY110" i="1"/>
  <c r="GZ110" i="1"/>
  <c r="HA110" i="1"/>
  <c r="HB110" i="1"/>
  <c r="HC110" i="1"/>
  <c r="GN111" i="1"/>
  <c r="GO111" i="1"/>
  <c r="GP111" i="1"/>
  <c r="GQ111" i="1"/>
  <c r="GR111" i="1"/>
  <c r="GS111" i="1"/>
  <c r="GT111" i="1"/>
  <c r="GU111" i="1"/>
  <c r="GV111" i="1"/>
  <c r="GW111" i="1"/>
  <c r="GX111" i="1"/>
  <c r="GY111" i="1"/>
  <c r="GZ111" i="1"/>
  <c r="HA111" i="1"/>
  <c r="HB111" i="1"/>
  <c r="HC111" i="1"/>
  <c r="DK5" i="1"/>
  <c r="DL5" i="1"/>
  <c r="DM5" i="1"/>
  <c r="DN5" i="1"/>
  <c r="DO5" i="1"/>
  <c r="DP5" i="1"/>
  <c r="DQ5" i="1"/>
  <c r="DR5" i="1"/>
  <c r="DS5" i="1"/>
  <c r="DT5" i="1"/>
  <c r="DU5" i="1"/>
  <c r="DV5" i="1"/>
  <c r="DW5" i="1"/>
  <c r="DX5" i="1"/>
  <c r="DY5" i="1"/>
  <c r="DZ5" i="1"/>
  <c r="EL5" i="1"/>
  <c r="EM5" i="1"/>
  <c r="EN5" i="1"/>
  <c r="EO5" i="1"/>
  <c r="EP5" i="1"/>
  <c r="EQ5" i="1"/>
  <c r="ER5" i="1"/>
  <c r="ES5" i="1"/>
  <c r="ET5" i="1"/>
  <c r="EU5" i="1"/>
  <c r="EV5" i="1"/>
  <c r="EW5" i="1"/>
  <c r="EX5" i="1"/>
  <c r="EY5" i="1"/>
  <c r="EZ5" i="1"/>
  <c r="FA5" i="1"/>
  <c r="FM5" i="1"/>
  <c r="FN5" i="1"/>
  <c r="FO5" i="1"/>
  <c r="FP5" i="1"/>
  <c r="FQ5" i="1"/>
  <c r="FR5" i="1"/>
  <c r="FS5" i="1"/>
  <c r="FT5" i="1"/>
  <c r="FU5" i="1"/>
  <c r="FV5" i="1"/>
  <c r="FW5" i="1"/>
  <c r="FX5" i="1"/>
  <c r="FY5" i="1"/>
  <c r="FZ5" i="1"/>
  <c r="GA5" i="1"/>
  <c r="GB5" i="1"/>
  <c r="DK6" i="1"/>
  <c r="DL6" i="1"/>
  <c r="DM6" i="1"/>
  <c r="DN6" i="1"/>
  <c r="DO6" i="1"/>
  <c r="DP6" i="1"/>
  <c r="DQ6" i="1"/>
  <c r="DR6" i="1"/>
  <c r="DS6" i="1"/>
  <c r="DT6" i="1"/>
  <c r="DU6" i="1"/>
  <c r="DV6" i="1"/>
  <c r="DW6" i="1"/>
  <c r="DX6" i="1"/>
  <c r="DY6" i="1"/>
  <c r="DZ6" i="1"/>
  <c r="EL6" i="1"/>
  <c r="EM6" i="1"/>
  <c r="EN6" i="1"/>
  <c r="EO6" i="1"/>
  <c r="EP6" i="1"/>
  <c r="EQ6" i="1"/>
  <c r="ER6" i="1"/>
  <c r="ES6" i="1"/>
  <c r="ET6" i="1"/>
  <c r="EU6" i="1"/>
  <c r="EV6" i="1"/>
  <c r="EW6" i="1"/>
  <c r="EX6" i="1"/>
  <c r="EY6" i="1"/>
  <c r="EZ6" i="1"/>
  <c r="FA6" i="1"/>
  <c r="FM6" i="1"/>
  <c r="FN6" i="1"/>
  <c r="FO6" i="1"/>
  <c r="FP6" i="1"/>
  <c r="FQ6" i="1"/>
  <c r="FR6" i="1"/>
  <c r="FS6" i="1"/>
  <c r="FT6" i="1"/>
  <c r="FU6" i="1"/>
  <c r="FV6" i="1"/>
  <c r="FW6" i="1"/>
  <c r="FX6" i="1"/>
  <c r="FY6" i="1"/>
  <c r="FZ6" i="1"/>
  <c r="GA6" i="1"/>
  <c r="GB6" i="1"/>
  <c r="DK7" i="1"/>
  <c r="DL7" i="1"/>
  <c r="DM7" i="1"/>
  <c r="DN7" i="1"/>
  <c r="DO7" i="1"/>
  <c r="DP7" i="1"/>
  <c r="DQ7" i="1"/>
  <c r="DR7" i="1"/>
  <c r="DS7" i="1"/>
  <c r="DT7" i="1"/>
  <c r="DU7" i="1"/>
  <c r="DV7" i="1"/>
  <c r="DW7" i="1"/>
  <c r="DX7" i="1"/>
  <c r="DY7" i="1"/>
  <c r="DZ7" i="1"/>
  <c r="EL7" i="1"/>
  <c r="EM7" i="1"/>
  <c r="EN7" i="1"/>
  <c r="EO7" i="1"/>
  <c r="EP7" i="1"/>
  <c r="EQ7" i="1"/>
  <c r="ER7" i="1"/>
  <c r="ES7" i="1"/>
  <c r="ET7" i="1"/>
  <c r="EU7" i="1"/>
  <c r="EV7" i="1"/>
  <c r="EW7" i="1"/>
  <c r="EX7" i="1"/>
  <c r="EY7" i="1"/>
  <c r="EZ7" i="1"/>
  <c r="FA7" i="1"/>
  <c r="FM7" i="1"/>
  <c r="FN7" i="1"/>
  <c r="FO7" i="1"/>
  <c r="FP7" i="1"/>
  <c r="FQ7" i="1"/>
  <c r="FR7" i="1"/>
  <c r="FS7" i="1"/>
  <c r="FT7" i="1"/>
  <c r="FU7" i="1"/>
  <c r="FV7" i="1"/>
  <c r="FW7" i="1"/>
  <c r="FX7" i="1"/>
  <c r="FY7" i="1"/>
  <c r="FZ7" i="1"/>
  <c r="GA7" i="1"/>
  <c r="GB7" i="1"/>
  <c r="DK8" i="1"/>
  <c r="DL8" i="1"/>
  <c r="DM8" i="1"/>
  <c r="DN8" i="1"/>
  <c r="DO8" i="1"/>
  <c r="DP8" i="1"/>
  <c r="DQ8" i="1"/>
  <c r="DR8" i="1"/>
  <c r="DS8" i="1"/>
  <c r="DT8" i="1"/>
  <c r="DU8" i="1"/>
  <c r="DV8" i="1"/>
  <c r="DW8" i="1"/>
  <c r="DX8" i="1"/>
  <c r="DY8" i="1"/>
  <c r="DZ8" i="1"/>
  <c r="EL8" i="1"/>
  <c r="EM8" i="1"/>
  <c r="EN8" i="1"/>
  <c r="EO8" i="1"/>
  <c r="EP8" i="1"/>
  <c r="EQ8" i="1"/>
  <c r="ER8" i="1"/>
  <c r="ES8" i="1"/>
  <c r="ET8" i="1"/>
  <c r="EU8" i="1"/>
  <c r="EV8" i="1"/>
  <c r="EW8" i="1"/>
  <c r="EX8" i="1"/>
  <c r="EY8" i="1"/>
  <c r="EZ8" i="1"/>
  <c r="FA8" i="1"/>
  <c r="FM8" i="1"/>
  <c r="FN8" i="1"/>
  <c r="FO8" i="1"/>
  <c r="FP8" i="1"/>
  <c r="FQ8" i="1"/>
  <c r="FR8" i="1"/>
  <c r="FS8" i="1"/>
  <c r="FT8" i="1"/>
  <c r="FU8" i="1"/>
  <c r="FV8" i="1"/>
  <c r="FW8" i="1"/>
  <c r="FX8" i="1"/>
  <c r="FY8" i="1"/>
  <c r="FZ8" i="1"/>
  <c r="GA8" i="1"/>
  <c r="GB8" i="1"/>
  <c r="DK9" i="1"/>
  <c r="DL9" i="1"/>
  <c r="DM9" i="1"/>
  <c r="DN9" i="1"/>
  <c r="DO9" i="1"/>
  <c r="DP9" i="1"/>
  <c r="DQ9" i="1"/>
  <c r="DR9" i="1"/>
  <c r="DS9" i="1"/>
  <c r="DT9" i="1"/>
  <c r="DU9" i="1"/>
  <c r="DV9" i="1"/>
  <c r="DW9" i="1"/>
  <c r="DX9" i="1"/>
  <c r="DY9" i="1"/>
  <c r="DZ9" i="1"/>
  <c r="EL9" i="1"/>
  <c r="EM9" i="1"/>
  <c r="EN9" i="1"/>
  <c r="EO9" i="1"/>
  <c r="EP9" i="1"/>
  <c r="EQ9" i="1"/>
  <c r="ER9" i="1"/>
  <c r="ES9" i="1"/>
  <c r="ET9" i="1"/>
  <c r="EU9" i="1"/>
  <c r="EV9" i="1"/>
  <c r="EW9" i="1"/>
  <c r="EX9" i="1"/>
  <c r="EY9" i="1"/>
  <c r="EZ9" i="1"/>
  <c r="FA9" i="1"/>
  <c r="FM9" i="1"/>
  <c r="FN9" i="1"/>
  <c r="FO9" i="1"/>
  <c r="FP9" i="1"/>
  <c r="FQ9" i="1"/>
  <c r="FR9" i="1"/>
  <c r="FS9" i="1"/>
  <c r="FT9" i="1"/>
  <c r="FU9" i="1"/>
  <c r="FV9" i="1"/>
  <c r="FW9" i="1"/>
  <c r="FX9" i="1"/>
  <c r="FY9" i="1"/>
  <c r="FZ9" i="1"/>
  <c r="GA9" i="1"/>
  <c r="GB9" i="1"/>
  <c r="DK10" i="1"/>
  <c r="DL10" i="1"/>
  <c r="DM10" i="1"/>
  <c r="DN10" i="1"/>
  <c r="DO10" i="1"/>
  <c r="DP10" i="1"/>
  <c r="DQ10" i="1"/>
  <c r="DR10" i="1"/>
  <c r="DS10" i="1"/>
  <c r="DT10" i="1"/>
  <c r="DU10" i="1"/>
  <c r="DV10" i="1"/>
  <c r="DW10" i="1"/>
  <c r="DX10" i="1"/>
  <c r="DY10" i="1"/>
  <c r="DZ10" i="1"/>
  <c r="EL10" i="1"/>
  <c r="EM10" i="1"/>
  <c r="EN10" i="1"/>
  <c r="EO10" i="1"/>
  <c r="EP10" i="1"/>
  <c r="EQ10" i="1"/>
  <c r="ER10" i="1"/>
  <c r="ES10" i="1"/>
  <c r="ET10" i="1"/>
  <c r="EU10" i="1"/>
  <c r="EV10" i="1"/>
  <c r="EW10" i="1"/>
  <c r="EX10" i="1"/>
  <c r="EY10" i="1"/>
  <c r="EZ10" i="1"/>
  <c r="FA10" i="1"/>
  <c r="FM10" i="1"/>
  <c r="FN10" i="1"/>
  <c r="FO10" i="1"/>
  <c r="FP10" i="1"/>
  <c r="FQ10" i="1"/>
  <c r="FR10" i="1"/>
  <c r="FS10" i="1"/>
  <c r="FT10" i="1"/>
  <c r="FU10" i="1"/>
  <c r="FV10" i="1"/>
  <c r="FW10" i="1"/>
  <c r="FX10" i="1"/>
  <c r="FY10" i="1"/>
  <c r="FZ10" i="1"/>
  <c r="GA10" i="1"/>
  <c r="GB10" i="1"/>
  <c r="DK11" i="1"/>
  <c r="DL11" i="1"/>
  <c r="DM11" i="1"/>
  <c r="DN11" i="1"/>
  <c r="DO11" i="1"/>
  <c r="DP11" i="1"/>
  <c r="DQ11" i="1"/>
  <c r="DR11" i="1"/>
  <c r="DS11" i="1"/>
  <c r="DT11" i="1"/>
  <c r="DU11" i="1"/>
  <c r="DV11" i="1"/>
  <c r="DW11" i="1"/>
  <c r="DX11" i="1"/>
  <c r="DY11" i="1"/>
  <c r="DZ11" i="1"/>
  <c r="EL11" i="1"/>
  <c r="EM11" i="1"/>
  <c r="EN11" i="1"/>
  <c r="EO11" i="1"/>
  <c r="EP11" i="1"/>
  <c r="EQ11" i="1"/>
  <c r="ER11" i="1"/>
  <c r="ES11" i="1"/>
  <c r="ET11" i="1"/>
  <c r="EU11" i="1"/>
  <c r="EV11" i="1"/>
  <c r="EW11" i="1"/>
  <c r="EX11" i="1"/>
  <c r="EY11" i="1"/>
  <c r="EZ11" i="1"/>
  <c r="FA11" i="1"/>
  <c r="FM11" i="1"/>
  <c r="FN11" i="1"/>
  <c r="FO11" i="1"/>
  <c r="FP11" i="1"/>
  <c r="FQ11" i="1"/>
  <c r="FR11" i="1"/>
  <c r="FS11" i="1"/>
  <c r="FT11" i="1"/>
  <c r="FU11" i="1"/>
  <c r="FV11" i="1"/>
  <c r="FW11" i="1"/>
  <c r="FX11" i="1"/>
  <c r="FY11" i="1"/>
  <c r="FZ11" i="1"/>
  <c r="GA11" i="1"/>
  <c r="GB11" i="1"/>
  <c r="DK12" i="1"/>
  <c r="DL12" i="1"/>
  <c r="DM12" i="1"/>
  <c r="DN12" i="1"/>
  <c r="DO12" i="1"/>
  <c r="DP12" i="1"/>
  <c r="DQ12" i="1"/>
  <c r="DR12" i="1"/>
  <c r="DS12" i="1"/>
  <c r="DT12" i="1"/>
  <c r="DU12" i="1"/>
  <c r="DV12" i="1"/>
  <c r="DW12" i="1"/>
  <c r="DX12" i="1"/>
  <c r="DY12" i="1"/>
  <c r="DZ12" i="1"/>
  <c r="EL12" i="1"/>
  <c r="EM12" i="1"/>
  <c r="EN12" i="1"/>
  <c r="EO12" i="1"/>
  <c r="EP12" i="1"/>
  <c r="EQ12" i="1"/>
  <c r="ER12" i="1"/>
  <c r="ES12" i="1"/>
  <c r="ET12" i="1"/>
  <c r="EU12" i="1"/>
  <c r="EV12" i="1"/>
  <c r="EW12" i="1"/>
  <c r="EX12" i="1"/>
  <c r="EY12" i="1"/>
  <c r="EZ12" i="1"/>
  <c r="FA12" i="1"/>
  <c r="FM12" i="1"/>
  <c r="FN12" i="1"/>
  <c r="FO12" i="1"/>
  <c r="FP12" i="1"/>
  <c r="FQ12" i="1"/>
  <c r="FR12" i="1"/>
  <c r="FS12" i="1"/>
  <c r="FT12" i="1"/>
  <c r="FU12" i="1"/>
  <c r="FV12" i="1"/>
  <c r="FW12" i="1"/>
  <c r="FX12" i="1"/>
  <c r="FY12" i="1"/>
  <c r="FZ12" i="1"/>
  <c r="GA12" i="1"/>
  <c r="GB12" i="1"/>
  <c r="DK13" i="1"/>
  <c r="DL13" i="1"/>
  <c r="DM13" i="1"/>
  <c r="DN13" i="1"/>
  <c r="DO13" i="1"/>
  <c r="DP13" i="1"/>
  <c r="DQ13" i="1"/>
  <c r="DR13" i="1"/>
  <c r="DS13" i="1"/>
  <c r="DT13" i="1"/>
  <c r="DU13" i="1"/>
  <c r="DV13" i="1"/>
  <c r="DW13" i="1"/>
  <c r="DX13" i="1"/>
  <c r="DY13" i="1"/>
  <c r="DZ13" i="1"/>
  <c r="EL13" i="1"/>
  <c r="EM13" i="1"/>
  <c r="EN13" i="1"/>
  <c r="EO13" i="1"/>
  <c r="EP13" i="1"/>
  <c r="EQ13" i="1"/>
  <c r="ER13" i="1"/>
  <c r="ES13" i="1"/>
  <c r="ET13" i="1"/>
  <c r="EU13" i="1"/>
  <c r="EV13" i="1"/>
  <c r="EW13" i="1"/>
  <c r="EX13" i="1"/>
  <c r="EY13" i="1"/>
  <c r="EZ13" i="1"/>
  <c r="FA13" i="1"/>
  <c r="FM13" i="1"/>
  <c r="FN13" i="1"/>
  <c r="FO13" i="1"/>
  <c r="FP13" i="1"/>
  <c r="FQ13" i="1"/>
  <c r="FR13" i="1"/>
  <c r="FS13" i="1"/>
  <c r="FT13" i="1"/>
  <c r="FU13" i="1"/>
  <c r="FV13" i="1"/>
  <c r="FW13" i="1"/>
  <c r="FX13" i="1"/>
  <c r="FY13" i="1"/>
  <c r="FZ13" i="1"/>
  <c r="GA13" i="1"/>
  <c r="GB13" i="1"/>
  <c r="DK14" i="1"/>
  <c r="DL14" i="1"/>
  <c r="DM14" i="1"/>
  <c r="DN14" i="1"/>
  <c r="DO14" i="1"/>
  <c r="DP14" i="1"/>
  <c r="DQ14" i="1"/>
  <c r="DR14" i="1"/>
  <c r="DS14" i="1"/>
  <c r="DT14" i="1"/>
  <c r="DU14" i="1"/>
  <c r="DV14" i="1"/>
  <c r="DW14" i="1"/>
  <c r="DX14" i="1"/>
  <c r="DY14" i="1"/>
  <c r="DZ14" i="1"/>
  <c r="EL14" i="1"/>
  <c r="EM14" i="1"/>
  <c r="EN14" i="1"/>
  <c r="EO14" i="1"/>
  <c r="EP14" i="1"/>
  <c r="EQ14" i="1"/>
  <c r="ER14" i="1"/>
  <c r="ES14" i="1"/>
  <c r="ET14" i="1"/>
  <c r="EU14" i="1"/>
  <c r="EV14" i="1"/>
  <c r="EW14" i="1"/>
  <c r="EX14" i="1"/>
  <c r="EY14" i="1"/>
  <c r="EZ14" i="1"/>
  <c r="FA14" i="1"/>
  <c r="FM14" i="1"/>
  <c r="FN14" i="1"/>
  <c r="FO14" i="1"/>
  <c r="FP14" i="1"/>
  <c r="FQ14" i="1"/>
  <c r="FR14" i="1"/>
  <c r="FS14" i="1"/>
  <c r="FT14" i="1"/>
  <c r="FU14" i="1"/>
  <c r="FV14" i="1"/>
  <c r="FW14" i="1"/>
  <c r="FX14" i="1"/>
  <c r="FY14" i="1"/>
  <c r="FZ14" i="1"/>
  <c r="GA14" i="1"/>
  <c r="GB14" i="1"/>
  <c r="DK15" i="1"/>
  <c r="DL15" i="1"/>
  <c r="DM15" i="1"/>
  <c r="DN15" i="1"/>
  <c r="DO15" i="1"/>
  <c r="DP15" i="1"/>
  <c r="DQ15" i="1"/>
  <c r="DR15" i="1"/>
  <c r="DS15" i="1"/>
  <c r="DT15" i="1"/>
  <c r="DU15" i="1"/>
  <c r="DV15" i="1"/>
  <c r="DW15" i="1"/>
  <c r="DX15" i="1"/>
  <c r="DY15" i="1"/>
  <c r="DZ15" i="1"/>
  <c r="EL15" i="1"/>
  <c r="EM15" i="1"/>
  <c r="EN15" i="1"/>
  <c r="EO15" i="1"/>
  <c r="EP15" i="1"/>
  <c r="EQ15" i="1"/>
  <c r="ER15" i="1"/>
  <c r="ES15" i="1"/>
  <c r="ET15" i="1"/>
  <c r="EU15" i="1"/>
  <c r="EV15" i="1"/>
  <c r="EW15" i="1"/>
  <c r="EX15" i="1"/>
  <c r="EY15" i="1"/>
  <c r="EZ15" i="1"/>
  <c r="FA15" i="1"/>
  <c r="FM15" i="1"/>
  <c r="FN15" i="1"/>
  <c r="FO15" i="1"/>
  <c r="FP15" i="1"/>
  <c r="FQ15" i="1"/>
  <c r="FR15" i="1"/>
  <c r="FS15" i="1"/>
  <c r="FT15" i="1"/>
  <c r="FU15" i="1"/>
  <c r="FV15" i="1"/>
  <c r="FW15" i="1"/>
  <c r="FX15" i="1"/>
  <c r="FY15" i="1"/>
  <c r="FZ15" i="1"/>
  <c r="GA15" i="1"/>
  <c r="GB15" i="1"/>
  <c r="DK16" i="1"/>
  <c r="DL16" i="1"/>
  <c r="DM16" i="1"/>
  <c r="DN16" i="1"/>
  <c r="DO16" i="1"/>
  <c r="DP16" i="1"/>
  <c r="DQ16" i="1"/>
  <c r="DR16" i="1"/>
  <c r="DS16" i="1"/>
  <c r="DT16" i="1"/>
  <c r="DU16" i="1"/>
  <c r="DV16" i="1"/>
  <c r="DW16" i="1"/>
  <c r="DX16" i="1"/>
  <c r="DY16" i="1"/>
  <c r="DZ16" i="1"/>
  <c r="EL16" i="1"/>
  <c r="EM16" i="1"/>
  <c r="EN16" i="1"/>
  <c r="EO16" i="1"/>
  <c r="EP16" i="1"/>
  <c r="EQ16" i="1"/>
  <c r="ER16" i="1"/>
  <c r="ES16" i="1"/>
  <c r="ET16" i="1"/>
  <c r="EU16" i="1"/>
  <c r="EV16" i="1"/>
  <c r="EW16" i="1"/>
  <c r="EX16" i="1"/>
  <c r="EY16" i="1"/>
  <c r="EZ16" i="1"/>
  <c r="FA16" i="1"/>
  <c r="FM16" i="1"/>
  <c r="FN16" i="1"/>
  <c r="FO16" i="1"/>
  <c r="FP16" i="1"/>
  <c r="FQ16" i="1"/>
  <c r="FR16" i="1"/>
  <c r="FS16" i="1"/>
  <c r="FT16" i="1"/>
  <c r="FU16" i="1"/>
  <c r="FV16" i="1"/>
  <c r="FW16" i="1"/>
  <c r="FX16" i="1"/>
  <c r="FY16" i="1"/>
  <c r="FZ16" i="1"/>
  <c r="GA16" i="1"/>
  <c r="GB16" i="1"/>
  <c r="DK17" i="1"/>
  <c r="DL17" i="1"/>
  <c r="DM17" i="1"/>
  <c r="DN17" i="1"/>
  <c r="DO17" i="1"/>
  <c r="DP17" i="1"/>
  <c r="DQ17" i="1"/>
  <c r="DR17" i="1"/>
  <c r="DS17" i="1"/>
  <c r="DT17" i="1"/>
  <c r="DU17" i="1"/>
  <c r="DV17" i="1"/>
  <c r="DW17" i="1"/>
  <c r="DX17" i="1"/>
  <c r="DY17" i="1"/>
  <c r="DZ17" i="1"/>
  <c r="EL17" i="1"/>
  <c r="EM17" i="1"/>
  <c r="EN17" i="1"/>
  <c r="EO17" i="1"/>
  <c r="EP17" i="1"/>
  <c r="EQ17" i="1"/>
  <c r="ER17" i="1"/>
  <c r="ES17" i="1"/>
  <c r="ET17" i="1"/>
  <c r="EU17" i="1"/>
  <c r="EV17" i="1"/>
  <c r="EW17" i="1"/>
  <c r="EX17" i="1"/>
  <c r="EY17" i="1"/>
  <c r="EZ17" i="1"/>
  <c r="FA17" i="1"/>
  <c r="FM17" i="1"/>
  <c r="FN17" i="1"/>
  <c r="FO17" i="1"/>
  <c r="FP17" i="1"/>
  <c r="FQ17" i="1"/>
  <c r="FR17" i="1"/>
  <c r="FS17" i="1"/>
  <c r="FT17" i="1"/>
  <c r="FU17" i="1"/>
  <c r="FV17" i="1"/>
  <c r="FW17" i="1"/>
  <c r="FX17" i="1"/>
  <c r="FY17" i="1"/>
  <c r="FZ17" i="1"/>
  <c r="GA17" i="1"/>
  <c r="GB17" i="1"/>
  <c r="DK18" i="1"/>
  <c r="DL18" i="1"/>
  <c r="DM18" i="1"/>
  <c r="DN18" i="1"/>
  <c r="DO18" i="1"/>
  <c r="DP18" i="1"/>
  <c r="DQ18" i="1"/>
  <c r="DR18" i="1"/>
  <c r="DS18" i="1"/>
  <c r="DT18" i="1"/>
  <c r="DU18" i="1"/>
  <c r="DV18" i="1"/>
  <c r="DW18" i="1"/>
  <c r="DX18" i="1"/>
  <c r="DY18" i="1"/>
  <c r="DZ18" i="1"/>
  <c r="EL18" i="1"/>
  <c r="EM18" i="1"/>
  <c r="EN18" i="1"/>
  <c r="EO18" i="1"/>
  <c r="EP18" i="1"/>
  <c r="EQ18" i="1"/>
  <c r="ER18" i="1"/>
  <c r="ES18" i="1"/>
  <c r="ET18" i="1"/>
  <c r="EU18" i="1"/>
  <c r="EV18" i="1"/>
  <c r="EW18" i="1"/>
  <c r="EX18" i="1"/>
  <c r="EY18" i="1"/>
  <c r="EZ18" i="1"/>
  <c r="FA18" i="1"/>
  <c r="FM18" i="1"/>
  <c r="FN18" i="1"/>
  <c r="FO18" i="1"/>
  <c r="FP18" i="1"/>
  <c r="FQ18" i="1"/>
  <c r="FR18" i="1"/>
  <c r="FS18" i="1"/>
  <c r="FT18" i="1"/>
  <c r="FU18" i="1"/>
  <c r="FV18" i="1"/>
  <c r="FW18" i="1"/>
  <c r="FX18" i="1"/>
  <c r="FY18" i="1"/>
  <c r="FZ18" i="1"/>
  <c r="GA18" i="1"/>
  <c r="GB18" i="1"/>
  <c r="DK19" i="1"/>
  <c r="DL19" i="1"/>
  <c r="DM19" i="1"/>
  <c r="DN19" i="1"/>
  <c r="DO19" i="1"/>
  <c r="DP19" i="1"/>
  <c r="DQ19" i="1"/>
  <c r="DR19" i="1"/>
  <c r="DS19" i="1"/>
  <c r="DT19" i="1"/>
  <c r="DU19" i="1"/>
  <c r="DV19" i="1"/>
  <c r="DW19" i="1"/>
  <c r="DX19" i="1"/>
  <c r="DY19" i="1"/>
  <c r="DZ19" i="1"/>
  <c r="EL19" i="1"/>
  <c r="EM19" i="1"/>
  <c r="EN19" i="1"/>
  <c r="EO19" i="1"/>
  <c r="EP19" i="1"/>
  <c r="EQ19" i="1"/>
  <c r="ER19" i="1"/>
  <c r="ES19" i="1"/>
  <c r="ET19" i="1"/>
  <c r="EU19" i="1"/>
  <c r="EV19" i="1"/>
  <c r="EW19" i="1"/>
  <c r="EX19" i="1"/>
  <c r="EY19" i="1"/>
  <c r="EZ19" i="1"/>
  <c r="FA19" i="1"/>
  <c r="FM19" i="1"/>
  <c r="FN19" i="1"/>
  <c r="FO19" i="1"/>
  <c r="FP19" i="1"/>
  <c r="FQ19" i="1"/>
  <c r="FR19" i="1"/>
  <c r="FS19" i="1"/>
  <c r="FT19" i="1"/>
  <c r="FU19" i="1"/>
  <c r="FV19" i="1"/>
  <c r="FW19" i="1"/>
  <c r="FX19" i="1"/>
  <c r="FY19" i="1"/>
  <c r="FZ19" i="1"/>
  <c r="GA19" i="1"/>
  <c r="GB19" i="1"/>
  <c r="DK20" i="1"/>
  <c r="DL20" i="1"/>
  <c r="DM20" i="1"/>
  <c r="DN20" i="1"/>
  <c r="DO20" i="1"/>
  <c r="DP20" i="1"/>
  <c r="DQ20" i="1"/>
  <c r="DR20" i="1"/>
  <c r="DS20" i="1"/>
  <c r="DT20" i="1"/>
  <c r="DU20" i="1"/>
  <c r="DV20" i="1"/>
  <c r="DW20" i="1"/>
  <c r="DX20" i="1"/>
  <c r="DY20" i="1"/>
  <c r="DZ20" i="1"/>
  <c r="EL20" i="1"/>
  <c r="EM20" i="1"/>
  <c r="EN20" i="1"/>
  <c r="EO20" i="1"/>
  <c r="EP20" i="1"/>
  <c r="EQ20" i="1"/>
  <c r="ER20" i="1"/>
  <c r="ES20" i="1"/>
  <c r="ET20" i="1"/>
  <c r="EU20" i="1"/>
  <c r="EV20" i="1"/>
  <c r="EW20" i="1"/>
  <c r="EX20" i="1"/>
  <c r="EY20" i="1"/>
  <c r="EZ20" i="1"/>
  <c r="FA20" i="1"/>
  <c r="FM20" i="1"/>
  <c r="FN20" i="1"/>
  <c r="FO20" i="1"/>
  <c r="FP20" i="1"/>
  <c r="FQ20" i="1"/>
  <c r="FR20" i="1"/>
  <c r="FS20" i="1"/>
  <c r="FT20" i="1"/>
  <c r="FU20" i="1"/>
  <c r="FV20" i="1"/>
  <c r="FW20" i="1"/>
  <c r="FX20" i="1"/>
  <c r="FY20" i="1"/>
  <c r="FZ20" i="1"/>
  <c r="GA20" i="1"/>
  <c r="GB20" i="1"/>
  <c r="DK21" i="1"/>
  <c r="DL21" i="1"/>
  <c r="DM21" i="1"/>
  <c r="DN21" i="1"/>
  <c r="DO21" i="1"/>
  <c r="DP21" i="1"/>
  <c r="DQ21" i="1"/>
  <c r="DR21" i="1"/>
  <c r="DS21" i="1"/>
  <c r="DT21" i="1"/>
  <c r="DU21" i="1"/>
  <c r="DV21" i="1"/>
  <c r="DW21" i="1"/>
  <c r="DX21" i="1"/>
  <c r="DY21" i="1"/>
  <c r="DZ21" i="1"/>
  <c r="EL21" i="1"/>
  <c r="EM21" i="1"/>
  <c r="EN21" i="1"/>
  <c r="EO21" i="1"/>
  <c r="EP21" i="1"/>
  <c r="EQ21" i="1"/>
  <c r="ER21" i="1"/>
  <c r="ES21" i="1"/>
  <c r="ET21" i="1"/>
  <c r="EU21" i="1"/>
  <c r="EV21" i="1"/>
  <c r="EW21" i="1"/>
  <c r="EX21" i="1"/>
  <c r="EY21" i="1"/>
  <c r="EZ21" i="1"/>
  <c r="FA21" i="1"/>
  <c r="FM21" i="1"/>
  <c r="FN21" i="1"/>
  <c r="FO21" i="1"/>
  <c r="FP21" i="1"/>
  <c r="FQ21" i="1"/>
  <c r="FR21" i="1"/>
  <c r="FS21" i="1"/>
  <c r="FT21" i="1"/>
  <c r="FU21" i="1"/>
  <c r="FV21" i="1"/>
  <c r="FW21" i="1"/>
  <c r="FX21" i="1"/>
  <c r="FY21" i="1"/>
  <c r="FZ21" i="1"/>
  <c r="GA21" i="1"/>
  <c r="GB21" i="1"/>
  <c r="DK22" i="1"/>
  <c r="DL22" i="1"/>
  <c r="DM22" i="1"/>
  <c r="DN22" i="1"/>
  <c r="DO22" i="1"/>
  <c r="DP22" i="1"/>
  <c r="DQ22" i="1"/>
  <c r="DR22" i="1"/>
  <c r="DS22" i="1"/>
  <c r="DT22" i="1"/>
  <c r="DU22" i="1"/>
  <c r="DV22" i="1"/>
  <c r="DW22" i="1"/>
  <c r="DX22" i="1"/>
  <c r="DY22" i="1"/>
  <c r="DZ22" i="1"/>
  <c r="EL22" i="1"/>
  <c r="EM22" i="1"/>
  <c r="EN22" i="1"/>
  <c r="EO22" i="1"/>
  <c r="EP22" i="1"/>
  <c r="EQ22" i="1"/>
  <c r="ER22" i="1"/>
  <c r="ES22" i="1"/>
  <c r="ET22" i="1"/>
  <c r="EU22" i="1"/>
  <c r="EV22" i="1"/>
  <c r="EW22" i="1"/>
  <c r="EX22" i="1"/>
  <c r="EY22" i="1"/>
  <c r="EZ22" i="1"/>
  <c r="FA22" i="1"/>
  <c r="FM22" i="1"/>
  <c r="FN22" i="1"/>
  <c r="FO22" i="1"/>
  <c r="FP22" i="1"/>
  <c r="FQ22" i="1"/>
  <c r="FR22" i="1"/>
  <c r="FS22" i="1"/>
  <c r="FT22" i="1"/>
  <c r="FU22" i="1"/>
  <c r="FV22" i="1"/>
  <c r="FW22" i="1"/>
  <c r="FX22" i="1"/>
  <c r="FY22" i="1"/>
  <c r="FZ22" i="1"/>
  <c r="GA22" i="1"/>
  <c r="GB22" i="1"/>
  <c r="DK23" i="1"/>
  <c r="DL23" i="1"/>
  <c r="DM23" i="1"/>
  <c r="DN23" i="1"/>
  <c r="DO23" i="1"/>
  <c r="DP23" i="1"/>
  <c r="DQ23" i="1"/>
  <c r="DR23" i="1"/>
  <c r="DS23" i="1"/>
  <c r="DT23" i="1"/>
  <c r="DU23" i="1"/>
  <c r="DV23" i="1"/>
  <c r="DW23" i="1"/>
  <c r="DX23" i="1"/>
  <c r="DY23" i="1"/>
  <c r="DZ23" i="1"/>
  <c r="EL23" i="1"/>
  <c r="EM23" i="1"/>
  <c r="EN23" i="1"/>
  <c r="EO23" i="1"/>
  <c r="EP23" i="1"/>
  <c r="EQ23" i="1"/>
  <c r="ER23" i="1"/>
  <c r="ES23" i="1"/>
  <c r="ET23" i="1"/>
  <c r="EU23" i="1"/>
  <c r="EV23" i="1"/>
  <c r="EW23" i="1"/>
  <c r="EX23" i="1"/>
  <c r="EY23" i="1"/>
  <c r="EZ23" i="1"/>
  <c r="FA23" i="1"/>
  <c r="FM23" i="1"/>
  <c r="FN23" i="1"/>
  <c r="FO23" i="1"/>
  <c r="FP23" i="1"/>
  <c r="FQ23" i="1"/>
  <c r="FR23" i="1"/>
  <c r="FS23" i="1"/>
  <c r="FT23" i="1"/>
  <c r="FU23" i="1"/>
  <c r="FV23" i="1"/>
  <c r="FW23" i="1"/>
  <c r="FX23" i="1"/>
  <c r="FY23" i="1"/>
  <c r="FZ23" i="1"/>
  <c r="GA23" i="1"/>
  <c r="GB23" i="1"/>
  <c r="DK24" i="1"/>
  <c r="DL24" i="1"/>
  <c r="DM24" i="1"/>
  <c r="DN24" i="1"/>
  <c r="DO24" i="1"/>
  <c r="DP24" i="1"/>
  <c r="DQ24" i="1"/>
  <c r="DR24" i="1"/>
  <c r="DS24" i="1"/>
  <c r="DT24" i="1"/>
  <c r="DU24" i="1"/>
  <c r="DV24" i="1"/>
  <c r="DW24" i="1"/>
  <c r="DX24" i="1"/>
  <c r="DY24" i="1"/>
  <c r="DZ24" i="1"/>
  <c r="EL24" i="1"/>
  <c r="EM24" i="1"/>
  <c r="EN24" i="1"/>
  <c r="EO24" i="1"/>
  <c r="EP24" i="1"/>
  <c r="EQ24" i="1"/>
  <c r="ER24" i="1"/>
  <c r="ES24" i="1"/>
  <c r="ET24" i="1"/>
  <c r="EU24" i="1"/>
  <c r="EV24" i="1"/>
  <c r="EW24" i="1"/>
  <c r="EX24" i="1"/>
  <c r="EY24" i="1"/>
  <c r="EZ24" i="1"/>
  <c r="FA24" i="1"/>
  <c r="FM24" i="1"/>
  <c r="FN24" i="1"/>
  <c r="FO24" i="1"/>
  <c r="FP24" i="1"/>
  <c r="FQ24" i="1"/>
  <c r="FR24" i="1"/>
  <c r="FS24" i="1"/>
  <c r="FT24" i="1"/>
  <c r="FU24" i="1"/>
  <c r="FV24" i="1"/>
  <c r="FW24" i="1"/>
  <c r="FX24" i="1"/>
  <c r="FY24" i="1"/>
  <c r="FZ24" i="1"/>
  <c r="GA24" i="1"/>
  <c r="GB24" i="1"/>
  <c r="DK25" i="1"/>
  <c r="DL25" i="1"/>
  <c r="DM25" i="1"/>
  <c r="DN25" i="1"/>
  <c r="DO25" i="1"/>
  <c r="DP25" i="1"/>
  <c r="DQ25" i="1"/>
  <c r="DR25" i="1"/>
  <c r="DS25" i="1"/>
  <c r="DT25" i="1"/>
  <c r="DU25" i="1"/>
  <c r="DV25" i="1"/>
  <c r="DW25" i="1"/>
  <c r="DX25" i="1"/>
  <c r="DY25" i="1"/>
  <c r="DZ25" i="1"/>
  <c r="EL25" i="1"/>
  <c r="EM25" i="1"/>
  <c r="EN25" i="1"/>
  <c r="EO25" i="1"/>
  <c r="EP25" i="1"/>
  <c r="EQ25" i="1"/>
  <c r="ER25" i="1"/>
  <c r="ES25" i="1"/>
  <c r="ET25" i="1"/>
  <c r="EU25" i="1"/>
  <c r="EV25" i="1"/>
  <c r="EW25" i="1"/>
  <c r="EX25" i="1"/>
  <c r="EY25" i="1"/>
  <c r="EZ25" i="1"/>
  <c r="FA25" i="1"/>
  <c r="FM25" i="1"/>
  <c r="FN25" i="1"/>
  <c r="FO25" i="1"/>
  <c r="FP25" i="1"/>
  <c r="FQ25" i="1"/>
  <c r="FR25" i="1"/>
  <c r="FS25" i="1"/>
  <c r="FT25" i="1"/>
  <c r="FU25" i="1"/>
  <c r="FV25" i="1"/>
  <c r="FW25" i="1"/>
  <c r="FX25" i="1"/>
  <c r="FY25" i="1"/>
  <c r="FZ25" i="1"/>
  <c r="GA25" i="1"/>
  <c r="GB25" i="1"/>
  <c r="DK26" i="1"/>
  <c r="DL26" i="1"/>
  <c r="DM26" i="1"/>
  <c r="DN26" i="1"/>
  <c r="DO26" i="1"/>
  <c r="DP26" i="1"/>
  <c r="DQ26" i="1"/>
  <c r="DR26" i="1"/>
  <c r="DS26" i="1"/>
  <c r="DT26" i="1"/>
  <c r="DU26" i="1"/>
  <c r="DV26" i="1"/>
  <c r="DW26" i="1"/>
  <c r="DX26" i="1"/>
  <c r="DY26" i="1"/>
  <c r="DZ26" i="1"/>
  <c r="EL26" i="1"/>
  <c r="EM26" i="1"/>
  <c r="EN26" i="1"/>
  <c r="EO26" i="1"/>
  <c r="EP26" i="1"/>
  <c r="EQ26" i="1"/>
  <c r="ER26" i="1"/>
  <c r="ES26" i="1"/>
  <c r="ET26" i="1"/>
  <c r="EU26" i="1"/>
  <c r="EV26" i="1"/>
  <c r="EW26" i="1"/>
  <c r="EX26" i="1"/>
  <c r="EY26" i="1"/>
  <c r="EZ26" i="1"/>
  <c r="FA26" i="1"/>
  <c r="FM26" i="1"/>
  <c r="FN26" i="1"/>
  <c r="FO26" i="1"/>
  <c r="FP26" i="1"/>
  <c r="FQ26" i="1"/>
  <c r="FR26" i="1"/>
  <c r="FS26" i="1"/>
  <c r="FT26" i="1"/>
  <c r="FU26" i="1"/>
  <c r="FV26" i="1"/>
  <c r="FW26" i="1"/>
  <c r="FX26" i="1"/>
  <c r="FY26" i="1"/>
  <c r="FZ26" i="1"/>
  <c r="GA26" i="1"/>
  <c r="GB26" i="1"/>
  <c r="DK27" i="1"/>
  <c r="DL27" i="1"/>
  <c r="DM27" i="1"/>
  <c r="DN27" i="1"/>
  <c r="DO27" i="1"/>
  <c r="DP27" i="1"/>
  <c r="DQ27" i="1"/>
  <c r="DR27" i="1"/>
  <c r="DS27" i="1"/>
  <c r="DT27" i="1"/>
  <c r="DU27" i="1"/>
  <c r="DV27" i="1"/>
  <c r="DW27" i="1"/>
  <c r="DX27" i="1"/>
  <c r="DY27" i="1"/>
  <c r="DZ27" i="1"/>
  <c r="EL27" i="1"/>
  <c r="EM27" i="1"/>
  <c r="EN27" i="1"/>
  <c r="EO27" i="1"/>
  <c r="EP27" i="1"/>
  <c r="EQ27" i="1"/>
  <c r="ER27" i="1"/>
  <c r="ES27" i="1"/>
  <c r="ET27" i="1"/>
  <c r="EU27" i="1"/>
  <c r="EV27" i="1"/>
  <c r="EW27" i="1"/>
  <c r="EX27" i="1"/>
  <c r="EY27" i="1"/>
  <c r="EZ27" i="1"/>
  <c r="FA27" i="1"/>
  <c r="FM27" i="1"/>
  <c r="FN27" i="1"/>
  <c r="FO27" i="1"/>
  <c r="FP27" i="1"/>
  <c r="FQ27" i="1"/>
  <c r="FR27" i="1"/>
  <c r="FS27" i="1"/>
  <c r="FT27" i="1"/>
  <c r="FU27" i="1"/>
  <c r="FV27" i="1"/>
  <c r="FW27" i="1"/>
  <c r="FX27" i="1"/>
  <c r="FY27" i="1"/>
  <c r="FZ27" i="1"/>
  <c r="GA27" i="1"/>
  <c r="GB27" i="1"/>
  <c r="DK28" i="1"/>
  <c r="DL28" i="1"/>
  <c r="DM28" i="1"/>
  <c r="DN28" i="1"/>
  <c r="DO28" i="1"/>
  <c r="DP28" i="1"/>
  <c r="DQ28" i="1"/>
  <c r="DR28" i="1"/>
  <c r="DS28" i="1"/>
  <c r="DT28" i="1"/>
  <c r="DU28" i="1"/>
  <c r="DV28" i="1"/>
  <c r="DW28" i="1"/>
  <c r="DX28" i="1"/>
  <c r="DY28" i="1"/>
  <c r="DZ28" i="1"/>
  <c r="EL28" i="1"/>
  <c r="EM28" i="1"/>
  <c r="EN28" i="1"/>
  <c r="EO28" i="1"/>
  <c r="EP28" i="1"/>
  <c r="EQ28" i="1"/>
  <c r="ER28" i="1"/>
  <c r="ES28" i="1"/>
  <c r="ET28" i="1"/>
  <c r="EU28" i="1"/>
  <c r="EV28" i="1"/>
  <c r="EW28" i="1"/>
  <c r="EX28" i="1"/>
  <c r="EY28" i="1"/>
  <c r="EZ28" i="1"/>
  <c r="FA28" i="1"/>
  <c r="FM28" i="1"/>
  <c r="FN28" i="1"/>
  <c r="FO28" i="1"/>
  <c r="FP28" i="1"/>
  <c r="FQ28" i="1"/>
  <c r="FR28" i="1"/>
  <c r="FS28" i="1"/>
  <c r="FT28" i="1"/>
  <c r="FU28" i="1"/>
  <c r="FV28" i="1"/>
  <c r="FW28" i="1"/>
  <c r="FX28" i="1"/>
  <c r="FY28" i="1"/>
  <c r="FZ28" i="1"/>
  <c r="GA28" i="1"/>
  <c r="GB28" i="1"/>
  <c r="DK29" i="1"/>
  <c r="DL29" i="1"/>
  <c r="DM29" i="1"/>
  <c r="DN29" i="1"/>
  <c r="DO29" i="1"/>
  <c r="DP29" i="1"/>
  <c r="DQ29" i="1"/>
  <c r="DR29" i="1"/>
  <c r="DS29" i="1"/>
  <c r="DT29" i="1"/>
  <c r="DU29" i="1"/>
  <c r="DV29" i="1"/>
  <c r="DW29" i="1"/>
  <c r="DX29" i="1"/>
  <c r="DY29" i="1"/>
  <c r="DZ29" i="1"/>
  <c r="EL29" i="1"/>
  <c r="EM29" i="1"/>
  <c r="EN29" i="1"/>
  <c r="EO29" i="1"/>
  <c r="EP29" i="1"/>
  <c r="EQ29" i="1"/>
  <c r="ER29" i="1"/>
  <c r="ES29" i="1"/>
  <c r="ET29" i="1"/>
  <c r="EU29" i="1"/>
  <c r="EV29" i="1"/>
  <c r="EW29" i="1"/>
  <c r="EX29" i="1"/>
  <c r="EY29" i="1"/>
  <c r="EZ29" i="1"/>
  <c r="FA29" i="1"/>
  <c r="FM29" i="1"/>
  <c r="FN29" i="1"/>
  <c r="FO29" i="1"/>
  <c r="FP29" i="1"/>
  <c r="FQ29" i="1"/>
  <c r="FR29" i="1"/>
  <c r="FS29" i="1"/>
  <c r="FT29" i="1"/>
  <c r="FU29" i="1"/>
  <c r="FV29" i="1"/>
  <c r="FW29" i="1"/>
  <c r="FX29" i="1"/>
  <c r="FY29" i="1"/>
  <c r="FZ29" i="1"/>
  <c r="GA29" i="1"/>
  <c r="GB29" i="1"/>
  <c r="DK30" i="1"/>
  <c r="DL30" i="1"/>
  <c r="DM30" i="1"/>
  <c r="DN30" i="1"/>
  <c r="DO30" i="1"/>
  <c r="DP30" i="1"/>
  <c r="DQ30" i="1"/>
  <c r="DR30" i="1"/>
  <c r="DS30" i="1"/>
  <c r="DT30" i="1"/>
  <c r="DU30" i="1"/>
  <c r="DV30" i="1"/>
  <c r="DW30" i="1"/>
  <c r="DX30" i="1"/>
  <c r="DY30" i="1"/>
  <c r="DZ30" i="1"/>
  <c r="EL30" i="1"/>
  <c r="EM30" i="1"/>
  <c r="EN30" i="1"/>
  <c r="EO30" i="1"/>
  <c r="EP30" i="1"/>
  <c r="EQ30" i="1"/>
  <c r="ER30" i="1"/>
  <c r="ES30" i="1"/>
  <c r="ET30" i="1"/>
  <c r="EU30" i="1"/>
  <c r="EV30" i="1"/>
  <c r="EW30" i="1"/>
  <c r="EX30" i="1"/>
  <c r="EY30" i="1"/>
  <c r="EZ30" i="1"/>
  <c r="FA30" i="1"/>
  <c r="FM30" i="1"/>
  <c r="FN30" i="1"/>
  <c r="FO30" i="1"/>
  <c r="FP30" i="1"/>
  <c r="FQ30" i="1"/>
  <c r="FR30" i="1"/>
  <c r="FS30" i="1"/>
  <c r="FT30" i="1"/>
  <c r="FU30" i="1"/>
  <c r="FV30" i="1"/>
  <c r="FW30" i="1"/>
  <c r="FX30" i="1"/>
  <c r="FY30" i="1"/>
  <c r="FZ30" i="1"/>
  <c r="GA30" i="1"/>
  <c r="GB30" i="1"/>
  <c r="DK31" i="1"/>
  <c r="DL31" i="1"/>
  <c r="DM31" i="1"/>
  <c r="DN31" i="1"/>
  <c r="DO31" i="1"/>
  <c r="DP31" i="1"/>
  <c r="DQ31" i="1"/>
  <c r="DR31" i="1"/>
  <c r="DS31" i="1"/>
  <c r="DT31" i="1"/>
  <c r="DU31" i="1"/>
  <c r="DV31" i="1"/>
  <c r="DW31" i="1"/>
  <c r="DX31" i="1"/>
  <c r="DY31" i="1"/>
  <c r="DZ31" i="1"/>
  <c r="EL31" i="1"/>
  <c r="EM31" i="1"/>
  <c r="EN31" i="1"/>
  <c r="EO31" i="1"/>
  <c r="EP31" i="1"/>
  <c r="EQ31" i="1"/>
  <c r="ER31" i="1"/>
  <c r="ES31" i="1"/>
  <c r="ET31" i="1"/>
  <c r="EU31" i="1"/>
  <c r="EV31" i="1"/>
  <c r="EW31" i="1"/>
  <c r="EX31" i="1"/>
  <c r="EY31" i="1"/>
  <c r="EZ31" i="1"/>
  <c r="FA31" i="1"/>
  <c r="FM31" i="1"/>
  <c r="FN31" i="1"/>
  <c r="FO31" i="1"/>
  <c r="FP31" i="1"/>
  <c r="FQ31" i="1"/>
  <c r="FR31" i="1"/>
  <c r="FS31" i="1"/>
  <c r="FT31" i="1"/>
  <c r="FU31" i="1"/>
  <c r="FV31" i="1"/>
  <c r="FW31" i="1"/>
  <c r="FX31" i="1"/>
  <c r="FY31" i="1"/>
  <c r="FZ31" i="1"/>
  <c r="GA31" i="1"/>
  <c r="GB31" i="1"/>
  <c r="DK32" i="1"/>
  <c r="DL32" i="1"/>
  <c r="DM32" i="1"/>
  <c r="DN32" i="1"/>
  <c r="DO32" i="1"/>
  <c r="DP32" i="1"/>
  <c r="DQ32" i="1"/>
  <c r="DR32" i="1"/>
  <c r="DS32" i="1"/>
  <c r="DT32" i="1"/>
  <c r="DU32" i="1"/>
  <c r="DV32" i="1"/>
  <c r="DW32" i="1"/>
  <c r="DX32" i="1"/>
  <c r="DY32" i="1"/>
  <c r="DZ32" i="1"/>
  <c r="EL32" i="1"/>
  <c r="EM32" i="1"/>
  <c r="EN32" i="1"/>
  <c r="EO32" i="1"/>
  <c r="EP32" i="1"/>
  <c r="EQ32" i="1"/>
  <c r="ER32" i="1"/>
  <c r="ES32" i="1"/>
  <c r="ET32" i="1"/>
  <c r="EU32" i="1"/>
  <c r="EV32" i="1"/>
  <c r="EW32" i="1"/>
  <c r="EX32" i="1"/>
  <c r="EY32" i="1"/>
  <c r="EZ32" i="1"/>
  <c r="FA32" i="1"/>
  <c r="FM32" i="1"/>
  <c r="FN32" i="1"/>
  <c r="FO32" i="1"/>
  <c r="FP32" i="1"/>
  <c r="FQ32" i="1"/>
  <c r="FR32" i="1"/>
  <c r="FS32" i="1"/>
  <c r="FT32" i="1"/>
  <c r="FU32" i="1"/>
  <c r="FV32" i="1"/>
  <c r="FW32" i="1"/>
  <c r="FX32" i="1"/>
  <c r="FY32" i="1"/>
  <c r="FZ32" i="1"/>
  <c r="GA32" i="1"/>
  <c r="GB32" i="1"/>
  <c r="DK33" i="1"/>
  <c r="DL33" i="1"/>
  <c r="DM33" i="1"/>
  <c r="DN33" i="1"/>
  <c r="DO33" i="1"/>
  <c r="DP33" i="1"/>
  <c r="DQ33" i="1"/>
  <c r="DR33" i="1"/>
  <c r="DS33" i="1"/>
  <c r="DT33" i="1"/>
  <c r="DU33" i="1"/>
  <c r="DV33" i="1"/>
  <c r="DW33" i="1"/>
  <c r="DX33" i="1"/>
  <c r="DY33" i="1"/>
  <c r="DZ33" i="1"/>
  <c r="EL33" i="1"/>
  <c r="EM33" i="1"/>
  <c r="EN33" i="1"/>
  <c r="EO33" i="1"/>
  <c r="EP33" i="1"/>
  <c r="EQ33" i="1"/>
  <c r="ER33" i="1"/>
  <c r="ES33" i="1"/>
  <c r="ET33" i="1"/>
  <c r="EU33" i="1"/>
  <c r="EV33" i="1"/>
  <c r="EW33" i="1"/>
  <c r="EX33" i="1"/>
  <c r="EY33" i="1"/>
  <c r="EZ33" i="1"/>
  <c r="FA33" i="1"/>
  <c r="FM33" i="1"/>
  <c r="FN33" i="1"/>
  <c r="FO33" i="1"/>
  <c r="FP33" i="1"/>
  <c r="FQ33" i="1"/>
  <c r="FR33" i="1"/>
  <c r="FS33" i="1"/>
  <c r="FT33" i="1"/>
  <c r="FU33" i="1"/>
  <c r="FV33" i="1"/>
  <c r="FW33" i="1"/>
  <c r="FX33" i="1"/>
  <c r="FY33" i="1"/>
  <c r="FZ33" i="1"/>
  <c r="GA33" i="1"/>
  <c r="GB33" i="1"/>
  <c r="DK34" i="1"/>
  <c r="DL34" i="1"/>
  <c r="DM34" i="1"/>
  <c r="DN34" i="1"/>
  <c r="DO34" i="1"/>
  <c r="DP34" i="1"/>
  <c r="DQ34" i="1"/>
  <c r="DR34" i="1"/>
  <c r="DS34" i="1"/>
  <c r="DT34" i="1"/>
  <c r="DU34" i="1"/>
  <c r="DV34" i="1"/>
  <c r="DW34" i="1"/>
  <c r="DX34" i="1"/>
  <c r="DY34" i="1"/>
  <c r="DZ34" i="1"/>
  <c r="EL34" i="1"/>
  <c r="EM34" i="1"/>
  <c r="EN34" i="1"/>
  <c r="EO34" i="1"/>
  <c r="EP34" i="1"/>
  <c r="EQ34" i="1"/>
  <c r="ER34" i="1"/>
  <c r="ES34" i="1"/>
  <c r="ET34" i="1"/>
  <c r="EU34" i="1"/>
  <c r="EV34" i="1"/>
  <c r="EW34" i="1"/>
  <c r="EX34" i="1"/>
  <c r="EY34" i="1"/>
  <c r="EZ34" i="1"/>
  <c r="FA34" i="1"/>
  <c r="FM34" i="1"/>
  <c r="FN34" i="1"/>
  <c r="FO34" i="1"/>
  <c r="FP34" i="1"/>
  <c r="FQ34" i="1"/>
  <c r="FR34" i="1"/>
  <c r="FS34" i="1"/>
  <c r="FT34" i="1"/>
  <c r="FU34" i="1"/>
  <c r="FV34" i="1"/>
  <c r="FW34" i="1"/>
  <c r="FX34" i="1"/>
  <c r="FY34" i="1"/>
  <c r="FZ34" i="1"/>
  <c r="GA34" i="1"/>
  <c r="GB34" i="1"/>
  <c r="DK35" i="1"/>
  <c r="DL35" i="1"/>
  <c r="DM35" i="1"/>
  <c r="DN35" i="1"/>
  <c r="DO35" i="1"/>
  <c r="DP35" i="1"/>
  <c r="DQ35" i="1"/>
  <c r="DR35" i="1"/>
  <c r="DS35" i="1"/>
  <c r="DT35" i="1"/>
  <c r="DU35" i="1"/>
  <c r="DV35" i="1"/>
  <c r="DW35" i="1"/>
  <c r="DX35" i="1"/>
  <c r="DY35" i="1"/>
  <c r="DZ35" i="1"/>
  <c r="EL35" i="1"/>
  <c r="EM35" i="1"/>
  <c r="EN35" i="1"/>
  <c r="EO35" i="1"/>
  <c r="EP35" i="1"/>
  <c r="EQ35" i="1"/>
  <c r="ER35" i="1"/>
  <c r="ES35" i="1"/>
  <c r="ET35" i="1"/>
  <c r="EU35" i="1"/>
  <c r="EV35" i="1"/>
  <c r="EW35" i="1"/>
  <c r="EX35" i="1"/>
  <c r="EY35" i="1"/>
  <c r="EZ35" i="1"/>
  <c r="FA35" i="1"/>
  <c r="FM35" i="1"/>
  <c r="FN35" i="1"/>
  <c r="FO35" i="1"/>
  <c r="FP35" i="1"/>
  <c r="FQ35" i="1"/>
  <c r="FR35" i="1"/>
  <c r="FS35" i="1"/>
  <c r="FT35" i="1"/>
  <c r="FU35" i="1"/>
  <c r="FV35" i="1"/>
  <c r="FW35" i="1"/>
  <c r="FX35" i="1"/>
  <c r="FY35" i="1"/>
  <c r="FZ35" i="1"/>
  <c r="GA35" i="1"/>
  <c r="GB35" i="1"/>
  <c r="DK36" i="1"/>
  <c r="DL36" i="1"/>
  <c r="DM36" i="1"/>
  <c r="DN36" i="1"/>
  <c r="DO36" i="1"/>
  <c r="DP36" i="1"/>
  <c r="DQ36" i="1"/>
  <c r="DR36" i="1"/>
  <c r="DS36" i="1"/>
  <c r="DT36" i="1"/>
  <c r="DU36" i="1"/>
  <c r="DV36" i="1"/>
  <c r="DW36" i="1"/>
  <c r="DX36" i="1"/>
  <c r="DY36" i="1"/>
  <c r="DZ36" i="1"/>
  <c r="EL36" i="1"/>
  <c r="EM36" i="1"/>
  <c r="EN36" i="1"/>
  <c r="EO36" i="1"/>
  <c r="EP36" i="1"/>
  <c r="EQ36" i="1"/>
  <c r="ER36" i="1"/>
  <c r="ES36" i="1"/>
  <c r="ET36" i="1"/>
  <c r="EU36" i="1"/>
  <c r="EV36" i="1"/>
  <c r="EW36" i="1"/>
  <c r="EX36" i="1"/>
  <c r="EY36" i="1"/>
  <c r="EZ36" i="1"/>
  <c r="FA36" i="1"/>
  <c r="FM36" i="1"/>
  <c r="FN36" i="1"/>
  <c r="FO36" i="1"/>
  <c r="FP36" i="1"/>
  <c r="FQ36" i="1"/>
  <c r="FR36" i="1"/>
  <c r="FS36" i="1"/>
  <c r="FT36" i="1"/>
  <c r="FU36" i="1"/>
  <c r="FV36" i="1"/>
  <c r="FW36" i="1"/>
  <c r="FX36" i="1"/>
  <c r="FY36" i="1"/>
  <c r="FZ36" i="1"/>
  <c r="GA36" i="1"/>
  <c r="GB36" i="1"/>
  <c r="DK37" i="1"/>
  <c r="DL37" i="1"/>
  <c r="DM37" i="1"/>
  <c r="DN37" i="1"/>
  <c r="DO37" i="1"/>
  <c r="DP37" i="1"/>
  <c r="DQ37" i="1"/>
  <c r="DR37" i="1"/>
  <c r="DS37" i="1"/>
  <c r="DT37" i="1"/>
  <c r="DU37" i="1"/>
  <c r="DV37" i="1"/>
  <c r="DW37" i="1"/>
  <c r="DX37" i="1"/>
  <c r="DY37" i="1"/>
  <c r="DZ37" i="1"/>
  <c r="EL37" i="1"/>
  <c r="EM37" i="1"/>
  <c r="EN37" i="1"/>
  <c r="EO37" i="1"/>
  <c r="EP37" i="1"/>
  <c r="EQ37" i="1"/>
  <c r="ER37" i="1"/>
  <c r="ES37" i="1"/>
  <c r="ET37" i="1"/>
  <c r="EU37" i="1"/>
  <c r="EV37" i="1"/>
  <c r="EW37" i="1"/>
  <c r="EX37" i="1"/>
  <c r="EY37" i="1"/>
  <c r="EZ37" i="1"/>
  <c r="FA37" i="1"/>
  <c r="FM37" i="1"/>
  <c r="FN37" i="1"/>
  <c r="FO37" i="1"/>
  <c r="FP37" i="1"/>
  <c r="FQ37" i="1"/>
  <c r="FR37" i="1"/>
  <c r="FS37" i="1"/>
  <c r="FT37" i="1"/>
  <c r="FU37" i="1"/>
  <c r="FV37" i="1"/>
  <c r="FW37" i="1"/>
  <c r="FX37" i="1"/>
  <c r="FY37" i="1"/>
  <c r="FZ37" i="1"/>
  <c r="GA37" i="1"/>
  <c r="GB37" i="1"/>
  <c r="DK38" i="1"/>
  <c r="DL38" i="1"/>
  <c r="DM38" i="1"/>
  <c r="DN38" i="1"/>
  <c r="DO38" i="1"/>
  <c r="DP38" i="1"/>
  <c r="DQ38" i="1"/>
  <c r="DR38" i="1"/>
  <c r="DS38" i="1"/>
  <c r="DT38" i="1"/>
  <c r="DU38" i="1"/>
  <c r="DV38" i="1"/>
  <c r="DW38" i="1"/>
  <c r="DX38" i="1"/>
  <c r="DY38" i="1"/>
  <c r="DZ38" i="1"/>
  <c r="EL38" i="1"/>
  <c r="EM38" i="1"/>
  <c r="EN38" i="1"/>
  <c r="EO38" i="1"/>
  <c r="EP38" i="1"/>
  <c r="EQ38" i="1"/>
  <c r="ER38" i="1"/>
  <c r="ES38" i="1"/>
  <c r="ET38" i="1"/>
  <c r="EU38" i="1"/>
  <c r="EV38" i="1"/>
  <c r="EW38" i="1"/>
  <c r="EX38" i="1"/>
  <c r="EY38" i="1"/>
  <c r="EZ38" i="1"/>
  <c r="FA38" i="1"/>
  <c r="FM38" i="1"/>
  <c r="FN38" i="1"/>
  <c r="FO38" i="1"/>
  <c r="FP38" i="1"/>
  <c r="FQ38" i="1"/>
  <c r="FR38" i="1"/>
  <c r="FS38" i="1"/>
  <c r="FT38" i="1"/>
  <c r="FU38" i="1"/>
  <c r="FV38" i="1"/>
  <c r="FW38" i="1"/>
  <c r="FX38" i="1"/>
  <c r="FY38" i="1"/>
  <c r="FZ38" i="1"/>
  <c r="GA38" i="1"/>
  <c r="GB38" i="1"/>
  <c r="DK39" i="1"/>
  <c r="DL39" i="1"/>
  <c r="DM39" i="1"/>
  <c r="DN39" i="1"/>
  <c r="DO39" i="1"/>
  <c r="DP39" i="1"/>
  <c r="DQ39" i="1"/>
  <c r="DR39" i="1"/>
  <c r="DS39" i="1"/>
  <c r="DT39" i="1"/>
  <c r="DU39" i="1"/>
  <c r="DV39" i="1"/>
  <c r="DW39" i="1"/>
  <c r="DX39" i="1"/>
  <c r="DY39" i="1"/>
  <c r="DZ39" i="1"/>
  <c r="EL39" i="1"/>
  <c r="EM39" i="1"/>
  <c r="EN39" i="1"/>
  <c r="EO39" i="1"/>
  <c r="EP39" i="1"/>
  <c r="EQ39" i="1"/>
  <c r="ER39" i="1"/>
  <c r="ES39" i="1"/>
  <c r="ET39" i="1"/>
  <c r="EU39" i="1"/>
  <c r="EV39" i="1"/>
  <c r="EW39" i="1"/>
  <c r="EX39" i="1"/>
  <c r="EY39" i="1"/>
  <c r="EZ39" i="1"/>
  <c r="FA39" i="1"/>
  <c r="FM39" i="1"/>
  <c r="FN39" i="1"/>
  <c r="FO39" i="1"/>
  <c r="FP39" i="1"/>
  <c r="FQ39" i="1"/>
  <c r="FR39" i="1"/>
  <c r="FS39" i="1"/>
  <c r="FT39" i="1"/>
  <c r="FU39" i="1"/>
  <c r="FV39" i="1"/>
  <c r="FW39" i="1"/>
  <c r="FX39" i="1"/>
  <c r="FY39" i="1"/>
  <c r="FZ39" i="1"/>
  <c r="GA39" i="1"/>
  <c r="GB39" i="1"/>
  <c r="DK40" i="1"/>
  <c r="DL40" i="1"/>
  <c r="DM40" i="1"/>
  <c r="DN40" i="1"/>
  <c r="DO40" i="1"/>
  <c r="DP40" i="1"/>
  <c r="DQ40" i="1"/>
  <c r="DR40" i="1"/>
  <c r="DS40" i="1"/>
  <c r="DT40" i="1"/>
  <c r="DU40" i="1"/>
  <c r="DV40" i="1"/>
  <c r="DW40" i="1"/>
  <c r="DX40" i="1"/>
  <c r="DY40" i="1"/>
  <c r="DZ40" i="1"/>
  <c r="EL40" i="1"/>
  <c r="EM40" i="1"/>
  <c r="EN40" i="1"/>
  <c r="EO40" i="1"/>
  <c r="EP40" i="1"/>
  <c r="EQ40" i="1"/>
  <c r="ER40" i="1"/>
  <c r="ES40" i="1"/>
  <c r="ET40" i="1"/>
  <c r="EU40" i="1"/>
  <c r="EV40" i="1"/>
  <c r="EW40" i="1"/>
  <c r="EX40" i="1"/>
  <c r="EY40" i="1"/>
  <c r="EZ40" i="1"/>
  <c r="FA40" i="1"/>
  <c r="FM40" i="1"/>
  <c r="FN40" i="1"/>
  <c r="FO40" i="1"/>
  <c r="FP40" i="1"/>
  <c r="FQ40" i="1"/>
  <c r="FR40" i="1"/>
  <c r="FS40" i="1"/>
  <c r="FT40" i="1"/>
  <c r="FU40" i="1"/>
  <c r="FV40" i="1"/>
  <c r="FW40" i="1"/>
  <c r="FX40" i="1"/>
  <c r="FY40" i="1"/>
  <c r="FZ40" i="1"/>
  <c r="GA40" i="1"/>
  <c r="GB40" i="1"/>
  <c r="DK41" i="1"/>
  <c r="DL41" i="1"/>
  <c r="DM41" i="1"/>
  <c r="DN41" i="1"/>
  <c r="DO41" i="1"/>
  <c r="DP41" i="1"/>
  <c r="DQ41" i="1"/>
  <c r="DR41" i="1"/>
  <c r="DS41" i="1"/>
  <c r="DT41" i="1"/>
  <c r="DU41" i="1"/>
  <c r="DV41" i="1"/>
  <c r="DW41" i="1"/>
  <c r="DX41" i="1"/>
  <c r="DY41" i="1"/>
  <c r="DZ41" i="1"/>
  <c r="EL41" i="1"/>
  <c r="EM41" i="1"/>
  <c r="EN41" i="1"/>
  <c r="EO41" i="1"/>
  <c r="EP41" i="1"/>
  <c r="EQ41" i="1"/>
  <c r="ER41" i="1"/>
  <c r="ES41" i="1"/>
  <c r="ET41" i="1"/>
  <c r="EU41" i="1"/>
  <c r="EV41" i="1"/>
  <c r="EW41" i="1"/>
  <c r="EX41" i="1"/>
  <c r="EY41" i="1"/>
  <c r="EZ41" i="1"/>
  <c r="FA41" i="1"/>
  <c r="FM41" i="1"/>
  <c r="FN41" i="1"/>
  <c r="FO41" i="1"/>
  <c r="FP41" i="1"/>
  <c r="FQ41" i="1"/>
  <c r="FR41" i="1"/>
  <c r="FS41" i="1"/>
  <c r="FT41" i="1"/>
  <c r="FU41" i="1"/>
  <c r="FV41" i="1"/>
  <c r="FW41" i="1"/>
  <c r="FX41" i="1"/>
  <c r="FY41" i="1"/>
  <c r="FZ41" i="1"/>
  <c r="GA41" i="1"/>
  <c r="GB41" i="1"/>
  <c r="DK42" i="1"/>
  <c r="DL42" i="1"/>
  <c r="DM42" i="1"/>
  <c r="DN42" i="1"/>
  <c r="DO42" i="1"/>
  <c r="DP42" i="1"/>
  <c r="DQ42" i="1"/>
  <c r="DR42" i="1"/>
  <c r="DS42" i="1"/>
  <c r="DT42" i="1"/>
  <c r="DU42" i="1"/>
  <c r="DV42" i="1"/>
  <c r="DW42" i="1"/>
  <c r="DX42" i="1"/>
  <c r="DY42" i="1"/>
  <c r="DZ42" i="1"/>
  <c r="EL42" i="1"/>
  <c r="EM42" i="1"/>
  <c r="EN42" i="1"/>
  <c r="EO42" i="1"/>
  <c r="EP42" i="1"/>
  <c r="EQ42" i="1"/>
  <c r="ER42" i="1"/>
  <c r="ES42" i="1"/>
  <c r="ET42" i="1"/>
  <c r="EU42" i="1"/>
  <c r="EV42" i="1"/>
  <c r="EW42" i="1"/>
  <c r="EX42" i="1"/>
  <c r="EY42" i="1"/>
  <c r="EZ42" i="1"/>
  <c r="FA42" i="1"/>
  <c r="FM42" i="1"/>
  <c r="FN42" i="1"/>
  <c r="FO42" i="1"/>
  <c r="FP42" i="1"/>
  <c r="FQ42" i="1"/>
  <c r="FR42" i="1"/>
  <c r="FS42" i="1"/>
  <c r="FT42" i="1"/>
  <c r="FU42" i="1"/>
  <c r="FV42" i="1"/>
  <c r="FW42" i="1"/>
  <c r="FX42" i="1"/>
  <c r="FY42" i="1"/>
  <c r="FZ42" i="1"/>
  <c r="GA42" i="1"/>
  <c r="GB42" i="1"/>
  <c r="DK43" i="1"/>
  <c r="DL43" i="1"/>
  <c r="DM43" i="1"/>
  <c r="DN43" i="1"/>
  <c r="DO43" i="1"/>
  <c r="DP43" i="1"/>
  <c r="DQ43" i="1"/>
  <c r="DR43" i="1"/>
  <c r="DS43" i="1"/>
  <c r="DT43" i="1"/>
  <c r="DU43" i="1"/>
  <c r="DV43" i="1"/>
  <c r="DW43" i="1"/>
  <c r="DX43" i="1"/>
  <c r="DY43" i="1"/>
  <c r="DZ43" i="1"/>
  <c r="EL43" i="1"/>
  <c r="EM43" i="1"/>
  <c r="EN43" i="1"/>
  <c r="EO43" i="1"/>
  <c r="EP43" i="1"/>
  <c r="EQ43" i="1"/>
  <c r="ER43" i="1"/>
  <c r="ES43" i="1"/>
  <c r="ET43" i="1"/>
  <c r="EU43" i="1"/>
  <c r="EV43" i="1"/>
  <c r="EW43" i="1"/>
  <c r="EX43" i="1"/>
  <c r="EY43" i="1"/>
  <c r="EZ43" i="1"/>
  <c r="FA43" i="1"/>
  <c r="FM43" i="1"/>
  <c r="FN43" i="1"/>
  <c r="FO43" i="1"/>
  <c r="FP43" i="1"/>
  <c r="FQ43" i="1"/>
  <c r="FR43" i="1"/>
  <c r="FS43" i="1"/>
  <c r="FT43" i="1"/>
  <c r="FU43" i="1"/>
  <c r="FV43" i="1"/>
  <c r="FW43" i="1"/>
  <c r="FX43" i="1"/>
  <c r="FY43" i="1"/>
  <c r="FZ43" i="1"/>
  <c r="GA43" i="1"/>
  <c r="GB43" i="1"/>
  <c r="DK44" i="1"/>
  <c r="DL44" i="1"/>
  <c r="DM44" i="1"/>
  <c r="DN44" i="1"/>
  <c r="DO44" i="1"/>
  <c r="DP44" i="1"/>
  <c r="DQ44" i="1"/>
  <c r="DR44" i="1"/>
  <c r="DS44" i="1"/>
  <c r="DT44" i="1"/>
  <c r="DU44" i="1"/>
  <c r="DV44" i="1"/>
  <c r="DW44" i="1"/>
  <c r="DX44" i="1"/>
  <c r="DY44" i="1"/>
  <c r="DZ44" i="1"/>
  <c r="EL44" i="1"/>
  <c r="EM44" i="1"/>
  <c r="EN44" i="1"/>
  <c r="EO44" i="1"/>
  <c r="EP44" i="1"/>
  <c r="EQ44" i="1"/>
  <c r="ER44" i="1"/>
  <c r="ES44" i="1"/>
  <c r="ET44" i="1"/>
  <c r="EU44" i="1"/>
  <c r="EV44" i="1"/>
  <c r="EW44" i="1"/>
  <c r="EX44" i="1"/>
  <c r="EY44" i="1"/>
  <c r="EZ44" i="1"/>
  <c r="FA44" i="1"/>
  <c r="FM44" i="1"/>
  <c r="FN44" i="1"/>
  <c r="FO44" i="1"/>
  <c r="FP44" i="1"/>
  <c r="FQ44" i="1"/>
  <c r="FR44" i="1"/>
  <c r="FS44" i="1"/>
  <c r="FT44" i="1"/>
  <c r="FU44" i="1"/>
  <c r="FV44" i="1"/>
  <c r="FW44" i="1"/>
  <c r="FX44" i="1"/>
  <c r="FY44" i="1"/>
  <c r="FZ44" i="1"/>
  <c r="GA44" i="1"/>
  <c r="GB44" i="1"/>
  <c r="DK45" i="1"/>
  <c r="DL45" i="1"/>
  <c r="DM45" i="1"/>
  <c r="DN45" i="1"/>
  <c r="DO45" i="1"/>
  <c r="DP45" i="1"/>
  <c r="DQ45" i="1"/>
  <c r="DR45" i="1"/>
  <c r="DS45" i="1"/>
  <c r="DT45" i="1"/>
  <c r="DU45" i="1"/>
  <c r="DV45" i="1"/>
  <c r="DW45" i="1"/>
  <c r="DX45" i="1"/>
  <c r="DY45" i="1"/>
  <c r="DZ45" i="1"/>
  <c r="EL45" i="1"/>
  <c r="EM45" i="1"/>
  <c r="EN45" i="1"/>
  <c r="EO45" i="1"/>
  <c r="EP45" i="1"/>
  <c r="EQ45" i="1"/>
  <c r="ER45" i="1"/>
  <c r="ES45" i="1"/>
  <c r="ET45" i="1"/>
  <c r="EU45" i="1"/>
  <c r="EV45" i="1"/>
  <c r="EW45" i="1"/>
  <c r="EX45" i="1"/>
  <c r="EY45" i="1"/>
  <c r="EZ45" i="1"/>
  <c r="FA45" i="1"/>
  <c r="FM45" i="1"/>
  <c r="FN45" i="1"/>
  <c r="FO45" i="1"/>
  <c r="FP45" i="1"/>
  <c r="FQ45" i="1"/>
  <c r="FR45" i="1"/>
  <c r="FS45" i="1"/>
  <c r="FT45" i="1"/>
  <c r="FU45" i="1"/>
  <c r="FV45" i="1"/>
  <c r="FW45" i="1"/>
  <c r="FX45" i="1"/>
  <c r="FY45" i="1"/>
  <c r="FZ45" i="1"/>
  <c r="GA45" i="1"/>
  <c r="GB45" i="1"/>
  <c r="DK46" i="1"/>
  <c r="DL46" i="1"/>
  <c r="DM46" i="1"/>
  <c r="DN46" i="1"/>
  <c r="DO46" i="1"/>
  <c r="DP46" i="1"/>
  <c r="DQ46" i="1"/>
  <c r="DR46" i="1"/>
  <c r="DS46" i="1"/>
  <c r="DT46" i="1"/>
  <c r="DU46" i="1"/>
  <c r="DV46" i="1"/>
  <c r="DW46" i="1"/>
  <c r="DX46" i="1"/>
  <c r="DY46" i="1"/>
  <c r="DZ46" i="1"/>
  <c r="EL46" i="1"/>
  <c r="EM46" i="1"/>
  <c r="EN46" i="1"/>
  <c r="EO46" i="1"/>
  <c r="EP46" i="1"/>
  <c r="EQ46" i="1"/>
  <c r="ER46" i="1"/>
  <c r="ES46" i="1"/>
  <c r="ET46" i="1"/>
  <c r="EU46" i="1"/>
  <c r="EV46" i="1"/>
  <c r="EW46" i="1"/>
  <c r="EX46" i="1"/>
  <c r="EY46" i="1"/>
  <c r="EZ46" i="1"/>
  <c r="FA46" i="1"/>
  <c r="FM46" i="1"/>
  <c r="FN46" i="1"/>
  <c r="FO46" i="1"/>
  <c r="FP46" i="1"/>
  <c r="FQ46" i="1"/>
  <c r="FR46" i="1"/>
  <c r="FS46" i="1"/>
  <c r="FT46" i="1"/>
  <c r="FU46" i="1"/>
  <c r="FV46" i="1"/>
  <c r="FW46" i="1"/>
  <c r="FX46" i="1"/>
  <c r="FY46" i="1"/>
  <c r="FZ46" i="1"/>
  <c r="GA46" i="1"/>
  <c r="GB46" i="1"/>
  <c r="DK47" i="1"/>
  <c r="DL47" i="1"/>
  <c r="DM47" i="1"/>
  <c r="DN47" i="1"/>
  <c r="DO47" i="1"/>
  <c r="DP47" i="1"/>
  <c r="DQ47" i="1"/>
  <c r="DR47" i="1"/>
  <c r="DS47" i="1"/>
  <c r="DT47" i="1"/>
  <c r="DU47" i="1"/>
  <c r="DV47" i="1"/>
  <c r="DW47" i="1"/>
  <c r="DX47" i="1"/>
  <c r="DY47" i="1"/>
  <c r="DZ47" i="1"/>
  <c r="EL47" i="1"/>
  <c r="EM47" i="1"/>
  <c r="EN47" i="1"/>
  <c r="EO47" i="1"/>
  <c r="EP47" i="1"/>
  <c r="EQ47" i="1"/>
  <c r="ER47" i="1"/>
  <c r="ES47" i="1"/>
  <c r="ET47" i="1"/>
  <c r="EU47" i="1"/>
  <c r="EV47" i="1"/>
  <c r="EW47" i="1"/>
  <c r="EX47" i="1"/>
  <c r="EY47" i="1"/>
  <c r="EZ47" i="1"/>
  <c r="FA47" i="1"/>
  <c r="FM47" i="1"/>
  <c r="FN47" i="1"/>
  <c r="FO47" i="1"/>
  <c r="FP47" i="1"/>
  <c r="FQ47" i="1"/>
  <c r="FR47" i="1"/>
  <c r="FS47" i="1"/>
  <c r="FT47" i="1"/>
  <c r="FU47" i="1"/>
  <c r="FV47" i="1"/>
  <c r="FW47" i="1"/>
  <c r="FX47" i="1"/>
  <c r="FY47" i="1"/>
  <c r="FZ47" i="1"/>
  <c r="GA47" i="1"/>
  <c r="GB47" i="1"/>
  <c r="DK48" i="1"/>
  <c r="DL48" i="1"/>
  <c r="DM48" i="1"/>
  <c r="DN48" i="1"/>
  <c r="DO48" i="1"/>
  <c r="DP48" i="1"/>
  <c r="DQ48" i="1"/>
  <c r="DR48" i="1"/>
  <c r="DS48" i="1"/>
  <c r="DT48" i="1"/>
  <c r="DU48" i="1"/>
  <c r="DV48" i="1"/>
  <c r="DW48" i="1"/>
  <c r="DX48" i="1"/>
  <c r="DY48" i="1"/>
  <c r="DZ48" i="1"/>
  <c r="EL48" i="1"/>
  <c r="EM48" i="1"/>
  <c r="EN48" i="1"/>
  <c r="EO48" i="1"/>
  <c r="EP48" i="1"/>
  <c r="EQ48" i="1"/>
  <c r="ER48" i="1"/>
  <c r="ES48" i="1"/>
  <c r="ET48" i="1"/>
  <c r="EU48" i="1"/>
  <c r="EV48" i="1"/>
  <c r="EW48" i="1"/>
  <c r="EX48" i="1"/>
  <c r="EY48" i="1"/>
  <c r="EZ48" i="1"/>
  <c r="FA48" i="1"/>
  <c r="FM48" i="1"/>
  <c r="FN48" i="1"/>
  <c r="FO48" i="1"/>
  <c r="FP48" i="1"/>
  <c r="FQ48" i="1"/>
  <c r="FR48" i="1"/>
  <c r="FS48" i="1"/>
  <c r="FT48" i="1"/>
  <c r="FU48" i="1"/>
  <c r="FV48" i="1"/>
  <c r="FW48" i="1"/>
  <c r="FX48" i="1"/>
  <c r="FY48" i="1"/>
  <c r="FZ48" i="1"/>
  <c r="GA48" i="1"/>
  <c r="GB48" i="1"/>
  <c r="DK49" i="1"/>
  <c r="DL49" i="1"/>
  <c r="DM49" i="1"/>
  <c r="DN49" i="1"/>
  <c r="DO49" i="1"/>
  <c r="DP49" i="1"/>
  <c r="DQ49" i="1"/>
  <c r="DR49" i="1"/>
  <c r="DS49" i="1"/>
  <c r="DT49" i="1"/>
  <c r="DU49" i="1"/>
  <c r="DV49" i="1"/>
  <c r="DW49" i="1"/>
  <c r="DX49" i="1"/>
  <c r="DY49" i="1"/>
  <c r="DZ49" i="1"/>
  <c r="EL49" i="1"/>
  <c r="EM49" i="1"/>
  <c r="EN49" i="1"/>
  <c r="EO49" i="1"/>
  <c r="EP49" i="1"/>
  <c r="EQ49" i="1"/>
  <c r="ER49" i="1"/>
  <c r="ES49" i="1"/>
  <c r="ET49" i="1"/>
  <c r="EU49" i="1"/>
  <c r="EV49" i="1"/>
  <c r="EW49" i="1"/>
  <c r="EX49" i="1"/>
  <c r="EY49" i="1"/>
  <c r="EZ49" i="1"/>
  <c r="FA49" i="1"/>
  <c r="FM49" i="1"/>
  <c r="FN49" i="1"/>
  <c r="FO49" i="1"/>
  <c r="FP49" i="1"/>
  <c r="FQ49" i="1"/>
  <c r="FR49" i="1"/>
  <c r="FS49" i="1"/>
  <c r="FT49" i="1"/>
  <c r="FU49" i="1"/>
  <c r="FV49" i="1"/>
  <c r="FW49" i="1"/>
  <c r="FX49" i="1"/>
  <c r="FY49" i="1"/>
  <c r="FZ49" i="1"/>
  <c r="GA49" i="1"/>
  <c r="GB49" i="1"/>
  <c r="DK50" i="1"/>
  <c r="DL50" i="1"/>
  <c r="DM50" i="1"/>
  <c r="DN50" i="1"/>
  <c r="DO50" i="1"/>
  <c r="DP50" i="1"/>
  <c r="DQ50" i="1"/>
  <c r="DR50" i="1"/>
  <c r="DS50" i="1"/>
  <c r="DT50" i="1"/>
  <c r="DU50" i="1"/>
  <c r="DV50" i="1"/>
  <c r="DW50" i="1"/>
  <c r="DX50" i="1"/>
  <c r="DY50" i="1"/>
  <c r="DZ50" i="1"/>
  <c r="EL50" i="1"/>
  <c r="EM50" i="1"/>
  <c r="EN50" i="1"/>
  <c r="EO50" i="1"/>
  <c r="EP50" i="1"/>
  <c r="EQ50" i="1"/>
  <c r="ER50" i="1"/>
  <c r="ES50" i="1"/>
  <c r="ET50" i="1"/>
  <c r="EU50" i="1"/>
  <c r="EV50" i="1"/>
  <c r="EW50" i="1"/>
  <c r="EX50" i="1"/>
  <c r="EY50" i="1"/>
  <c r="EZ50" i="1"/>
  <c r="FA50" i="1"/>
  <c r="FM50" i="1"/>
  <c r="FN50" i="1"/>
  <c r="FO50" i="1"/>
  <c r="FP50" i="1"/>
  <c r="FQ50" i="1"/>
  <c r="FR50" i="1"/>
  <c r="FS50" i="1"/>
  <c r="FT50" i="1"/>
  <c r="FU50" i="1"/>
  <c r="FV50" i="1"/>
  <c r="FW50" i="1"/>
  <c r="FX50" i="1"/>
  <c r="FY50" i="1"/>
  <c r="FZ50" i="1"/>
  <c r="GA50" i="1"/>
  <c r="GB50" i="1"/>
  <c r="DK51" i="1"/>
  <c r="DL51" i="1"/>
  <c r="DM51" i="1"/>
  <c r="DN51" i="1"/>
  <c r="DO51" i="1"/>
  <c r="DP51" i="1"/>
  <c r="DQ51" i="1"/>
  <c r="DR51" i="1"/>
  <c r="DS51" i="1"/>
  <c r="DT51" i="1"/>
  <c r="DU51" i="1"/>
  <c r="DV51" i="1"/>
  <c r="DW51" i="1"/>
  <c r="DX51" i="1"/>
  <c r="DY51" i="1"/>
  <c r="DZ51" i="1"/>
  <c r="EL51" i="1"/>
  <c r="EM51" i="1"/>
  <c r="EN51" i="1"/>
  <c r="EO51" i="1"/>
  <c r="EP51" i="1"/>
  <c r="EQ51" i="1"/>
  <c r="ER51" i="1"/>
  <c r="ES51" i="1"/>
  <c r="ET51" i="1"/>
  <c r="EU51" i="1"/>
  <c r="EV51" i="1"/>
  <c r="EW51" i="1"/>
  <c r="EX51" i="1"/>
  <c r="EY51" i="1"/>
  <c r="EZ51" i="1"/>
  <c r="FA51" i="1"/>
  <c r="FM51" i="1"/>
  <c r="FN51" i="1"/>
  <c r="FO51" i="1"/>
  <c r="FP51" i="1"/>
  <c r="FQ51" i="1"/>
  <c r="FR51" i="1"/>
  <c r="FS51" i="1"/>
  <c r="FT51" i="1"/>
  <c r="FU51" i="1"/>
  <c r="FV51" i="1"/>
  <c r="FW51" i="1"/>
  <c r="FX51" i="1"/>
  <c r="FY51" i="1"/>
  <c r="FZ51" i="1"/>
  <c r="GA51" i="1"/>
  <c r="GB51" i="1"/>
  <c r="DK52" i="1"/>
  <c r="DL52" i="1"/>
  <c r="DM52" i="1"/>
  <c r="DN52" i="1"/>
  <c r="DO52" i="1"/>
  <c r="DP52" i="1"/>
  <c r="DQ52" i="1"/>
  <c r="DR52" i="1"/>
  <c r="DS52" i="1"/>
  <c r="DT52" i="1"/>
  <c r="DU52" i="1"/>
  <c r="DV52" i="1"/>
  <c r="DW52" i="1"/>
  <c r="DX52" i="1"/>
  <c r="DY52" i="1"/>
  <c r="DZ52" i="1"/>
  <c r="EL52" i="1"/>
  <c r="EM52" i="1"/>
  <c r="EN52" i="1"/>
  <c r="EO52" i="1"/>
  <c r="EP52" i="1"/>
  <c r="EQ52" i="1"/>
  <c r="ER52" i="1"/>
  <c r="ES52" i="1"/>
  <c r="ET52" i="1"/>
  <c r="EU52" i="1"/>
  <c r="EV52" i="1"/>
  <c r="EW52" i="1"/>
  <c r="EX52" i="1"/>
  <c r="EY52" i="1"/>
  <c r="EZ52" i="1"/>
  <c r="FA52" i="1"/>
  <c r="FM52" i="1"/>
  <c r="FN52" i="1"/>
  <c r="FO52" i="1"/>
  <c r="FP52" i="1"/>
  <c r="FQ52" i="1"/>
  <c r="FR52" i="1"/>
  <c r="FS52" i="1"/>
  <c r="FT52" i="1"/>
  <c r="FU52" i="1"/>
  <c r="FV52" i="1"/>
  <c r="FW52" i="1"/>
  <c r="FX52" i="1"/>
  <c r="FY52" i="1"/>
  <c r="FZ52" i="1"/>
  <c r="GA52" i="1"/>
  <c r="GB52" i="1"/>
  <c r="DK53" i="1"/>
  <c r="DL53" i="1"/>
  <c r="DM53" i="1"/>
  <c r="DN53" i="1"/>
  <c r="DO53" i="1"/>
  <c r="DP53" i="1"/>
  <c r="DQ53" i="1"/>
  <c r="DR53" i="1"/>
  <c r="DS53" i="1"/>
  <c r="DT53" i="1"/>
  <c r="DU53" i="1"/>
  <c r="DV53" i="1"/>
  <c r="DW53" i="1"/>
  <c r="DX53" i="1"/>
  <c r="DY53" i="1"/>
  <c r="DZ53" i="1"/>
  <c r="EL53" i="1"/>
  <c r="EM53" i="1"/>
  <c r="EN53" i="1"/>
  <c r="EO53" i="1"/>
  <c r="EP53" i="1"/>
  <c r="EQ53" i="1"/>
  <c r="ER53" i="1"/>
  <c r="ES53" i="1"/>
  <c r="ET53" i="1"/>
  <c r="EU53" i="1"/>
  <c r="EV53" i="1"/>
  <c r="EW53" i="1"/>
  <c r="EX53" i="1"/>
  <c r="EY53" i="1"/>
  <c r="EZ53" i="1"/>
  <c r="FA53" i="1"/>
  <c r="FM53" i="1"/>
  <c r="FN53" i="1"/>
  <c r="FO53" i="1"/>
  <c r="FP53" i="1"/>
  <c r="FQ53" i="1"/>
  <c r="FR53" i="1"/>
  <c r="FS53" i="1"/>
  <c r="FT53" i="1"/>
  <c r="FU53" i="1"/>
  <c r="FV53" i="1"/>
  <c r="FW53" i="1"/>
  <c r="FX53" i="1"/>
  <c r="FY53" i="1"/>
  <c r="FZ53" i="1"/>
  <c r="GA53" i="1"/>
  <c r="GB53" i="1"/>
  <c r="DK54" i="1"/>
  <c r="DL54" i="1"/>
  <c r="DM54" i="1"/>
  <c r="DN54" i="1"/>
  <c r="DO54" i="1"/>
  <c r="DP54" i="1"/>
  <c r="DQ54" i="1"/>
  <c r="DR54" i="1"/>
  <c r="DS54" i="1"/>
  <c r="DT54" i="1"/>
  <c r="DU54" i="1"/>
  <c r="DV54" i="1"/>
  <c r="DW54" i="1"/>
  <c r="DX54" i="1"/>
  <c r="DY54" i="1"/>
  <c r="DZ54" i="1"/>
  <c r="EL54" i="1"/>
  <c r="EM54" i="1"/>
  <c r="EN54" i="1"/>
  <c r="EO54" i="1"/>
  <c r="EP54" i="1"/>
  <c r="EQ54" i="1"/>
  <c r="ER54" i="1"/>
  <c r="ES54" i="1"/>
  <c r="ET54" i="1"/>
  <c r="EU54" i="1"/>
  <c r="EV54" i="1"/>
  <c r="EW54" i="1"/>
  <c r="EX54" i="1"/>
  <c r="EY54" i="1"/>
  <c r="EZ54" i="1"/>
  <c r="FA54" i="1"/>
  <c r="FM54" i="1"/>
  <c r="FN54" i="1"/>
  <c r="FO54" i="1"/>
  <c r="FP54" i="1"/>
  <c r="FQ54" i="1"/>
  <c r="FR54" i="1"/>
  <c r="FS54" i="1"/>
  <c r="FT54" i="1"/>
  <c r="FU54" i="1"/>
  <c r="FV54" i="1"/>
  <c r="FW54" i="1"/>
  <c r="FX54" i="1"/>
  <c r="FY54" i="1"/>
  <c r="FZ54" i="1"/>
  <c r="GA54" i="1"/>
  <c r="GB54" i="1"/>
  <c r="DK55" i="1"/>
  <c r="DL55" i="1"/>
  <c r="DM55" i="1"/>
  <c r="DN55" i="1"/>
  <c r="DO55" i="1"/>
  <c r="DP55" i="1"/>
  <c r="DQ55" i="1"/>
  <c r="DR55" i="1"/>
  <c r="DS55" i="1"/>
  <c r="DT55" i="1"/>
  <c r="DU55" i="1"/>
  <c r="DV55" i="1"/>
  <c r="DW55" i="1"/>
  <c r="DX55" i="1"/>
  <c r="DY55" i="1"/>
  <c r="DZ55" i="1"/>
  <c r="EL55" i="1"/>
  <c r="EM55" i="1"/>
  <c r="EN55" i="1"/>
  <c r="EO55" i="1"/>
  <c r="EP55" i="1"/>
  <c r="EQ55" i="1"/>
  <c r="ER55" i="1"/>
  <c r="ES55" i="1"/>
  <c r="ET55" i="1"/>
  <c r="EU55" i="1"/>
  <c r="EV55" i="1"/>
  <c r="EW55" i="1"/>
  <c r="EX55" i="1"/>
  <c r="EY55" i="1"/>
  <c r="EZ55" i="1"/>
  <c r="FA55" i="1"/>
  <c r="FM55" i="1"/>
  <c r="FN55" i="1"/>
  <c r="FO55" i="1"/>
  <c r="FP55" i="1"/>
  <c r="FQ55" i="1"/>
  <c r="FR55" i="1"/>
  <c r="FS55" i="1"/>
  <c r="FT55" i="1"/>
  <c r="FU55" i="1"/>
  <c r="FV55" i="1"/>
  <c r="FW55" i="1"/>
  <c r="FX55" i="1"/>
  <c r="FY55" i="1"/>
  <c r="FZ55" i="1"/>
  <c r="GA55" i="1"/>
  <c r="GB55" i="1"/>
  <c r="DK56" i="1"/>
  <c r="DL56" i="1"/>
  <c r="DM56" i="1"/>
  <c r="DN56" i="1"/>
  <c r="DO56" i="1"/>
  <c r="DP56" i="1"/>
  <c r="DQ56" i="1"/>
  <c r="DR56" i="1"/>
  <c r="DS56" i="1"/>
  <c r="DT56" i="1"/>
  <c r="DU56" i="1"/>
  <c r="DV56" i="1"/>
  <c r="DW56" i="1"/>
  <c r="DX56" i="1"/>
  <c r="DY56" i="1"/>
  <c r="DZ56" i="1"/>
  <c r="EL56" i="1"/>
  <c r="EM56" i="1"/>
  <c r="EN56" i="1"/>
  <c r="EO56" i="1"/>
  <c r="EP56" i="1"/>
  <c r="EQ56" i="1"/>
  <c r="ER56" i="1"/>
  <c r="ES56" i="1"/>
  <c r="ET56" i="1"/>
  <c r="EU56" i="1"/>
  <c r="EV56" i="1"/>
  <c r="EW56" i="1"/>
  <c r="EX56" i="1"/>
  <c r="EY56" i="1"/>
  <c r="EZ56" i="1"/>
  <c r="FA56" i="1"/>
  <c r="FM56" i="1"/>
  <c r="FN56" i="1"/>
  <c r="FO56" i="1"/>
  <c r="FP56" i="1"/>
  <c r="FQ56" i="1"/>
  <c r="FR56" i="1"/>
  <c r="FS56" i="1"/>
  <c r="FT56" i="1"/>
  <c r="FU56" i="1"/>
  <c r="FV56" i="1"/>
  <c r="FW56" i="1"/>
  <c r="FX56" i="1"/>
  <c r="FY56" i="1"/>
  <c r="FZ56" i="1"/>
  <c r="GA56" i="1"/>
  <c r="GB56" i="1"/>
  <c r="DK57" i="1"/>
  <c r="DL57" i="1"/>
  <c r="DM57" i="1"/>
  <c r="DN57" i="1"/>
  <c r="DO57" i="1"/>
  <c r="DP57" i="1"/>
  <c r="DQ57" i="1"/>
  <c r="DR57" i="1"/>
  <c r="DS57" i="1"/>
  <c r="DT57" i="1"/>
  <c r="DU57" i="1"/>
  <c r="DV57" i="1"/>
  <c r="DW57" i="1"/>
  <c r="DX57" i="1"/>
  <c r="DY57" i="1"/>
  <c r="DZ57" i="1"/>
  <c r="EL57" i="1"/>
  <c r="EM57" i="1"/>
  <c r="EN57" i="1"/>
  <c r="EO57" i="1"/>
  <c r="EP57" i="1"/>
  <c r="EQ57" i="1"/>
  <c r="ER57" i="1"/>
  <c r="ES57" i="1"/>
  <c r="ET57" i="1"/>
  <c r="EU57" i="1"/>
  <c r="EV57" i="1"/>
  <c r="EW57" i="1"/>
  <c r="EX57" i="1"/>
  <c r="EY57" i="1"/>
  <c r="EZ57" i="1"/>
  <c r="FA57" i="1"/>
  <c r="FM57" i="1"/>
  <c r="FN57" i="1"/>
  <c r="FO57" i="1"/>
  <c r="FP57" i="1"/>
  <c r="FQ57" i="1"/>
  <c r="FR57" i="1"/>
  <c r="FS57" i="1"/>
  <c r="FT57" i="1"/>
  <c r="FU57" i="1"/>
  <c r="FV57" i="1"/>
  <c r="FW57" i="1"/>
  <c r="FX57" i="1"/>
  <c r="FY57" i="1"/>
  <c r="FZ57" i="1"/>
  <c r="GA57" i="1"/>
  <c r="GB57" i="1"/>
  <c r="DK58" i="1"/>
  <c r="DL58" i="1"/>
  <c r="DM58" i="1"/>
  <c r="DN58" i="1"/>
  <c r="DO58" i="1"/>
  <c r="DP58" i="1"/>
  <c r="DQ58" i="1"/>
  <c r="DR58" i="1"/>
  <c r="DS58" i="1"/>
  <c r="DT58" i="1"/>
  <c r="DU58" i="1"/>
  <c r="DV58" i="1"/>
  <c r="DW58" i="1"/>
  <c r="DX58" i="1"/>
  <c r="DY58" i="1"/>
  <c r="DZ58" i="1"/>
  <c r="EL58" i="1"/>
  <c r="EM58" i="1"/>
  <c r="EN58" i="1"/>
  <c r="EO58" i="1"/>
  <c r="EP58" i="1"/>
  <c r="EQ58" i="1"/>
  <c r="ER58" i="1"/>
  <c r="ES58" i="1"/>
  <c r="ET58" i="1"/>
  <c r="EU58" i="1"/>
  <c r="EV58" i="1"/>
  <c r="EW58" i="1"/>
  <c r="EX58" i="1"/>
  <c r="EY58" i="1"/>
  <c r="EZ58" i="1"/>
  <c r="FA58" i="1"/>
  <c r="FM58" i="1"/>
  <c r="FN58" i="1"/>
  <c r="FO58" i="1"/>
  <c r="FP58" i="1"/>
  <c r="FQ58" i="1"/>
  <c r="FR58" i="1"/>
  <c r="FS58" i="1"/>
  <c r="FT58" i="1"/>
  <c r="FU58" i="1"/>
  <c r="FV58" i="1"/>
  <c r="FW58" i="1"/>
  <c r="FX58" i="1"/>
  <c r="FY58" i="1"/>
  <c r="FZ58" i="1"/>
  <c r="GA58" i="1"/>
  <c r="GB58" i="1"/>
  <c r="DK59" i="1"/>
  <c r="DL59" i="1"/>
  <c r="DM59" i="1"/>
  <c r="DN59" i="1"/>
  <c r="DO59" i="1"/>
  <c r="DP59" i="1"/>
  <c r="DQ59" i="1"/>
  <c r="DR59" i="1"/>
  <c r="DS59" i="1"/>
  <c r="DT59" i="1"/>
  <c r="DU59" i="1"/>
  <c r="DV59" i="1"/>
  <c r="DW59" i="1"/>
  <c r="DX59" i="1"/>
  <c r="DY59" i="1"/>
  <c r="DZ59" i="1"/>
  <c r="EL59" i="1"/>
  <c r="EM59" i="1"/>
  <c r="EN59" i="1"/>
  <c r="EO59" i="1"/>
  <c r="EP59" i="1"/>
  <c r="EQ59" i="1"/>
  <c r="ER59" i="1"/>
  <c r="ES59" i="1"/>
  <c r="ET59" i="1"/>
  <c r="EU59" i="1"/>
  <c r="EV59" i="1"/>
  <c r="EW59" i="1"/>
  <c r="EX59" i="1"/>
  <c r="EY59" i="1"/>
  <c r="EZ59" i="1"/>
  <c r="FA59" i="1"/>
  <c r="FM59" i="1"/>
  <c r="FN59" i="1"/>
  <c r="FO59" i="1"/>
  <c r="FP59" i="1"/>
  <c r="FQ59" i="1"/>
  <c r="FR59" i="1"/>
  <c r="FS59" i="1"/>
  <c r="FT59" i="1"/>
  <c r="FU59" i="1"/>
  <c r="FV59" i="1"/>
  <c r="FW59" i="1"/>
  <c r="FX59" i="1"/>
  <c r="FY59" i="1"/>
  <c r="FZ59" i="1"/>
  <c r="GA59" i="1"/>
  <c r="GB59" i="1"/>
  <c r="DK60" i="1"/>
  <c r="DL60" i="1"/>
  <c r="DM60" i="1"/>
  <c r="DN60" i="1"/>
  <c r="DO60" i="1"/>
  <c r="DP60" i="1"/>
  <c r="DQ60" i="1"/>
  <c r="DR60" i="1"/>
  <c r="DS60" i="1"/>
  <c r="DT60" i="1"/>
  <c r="DU60" i="1"/>
  <c r="DV60" i="1"/>
  <c r="DW60" i="1"/>
  <c r="DX60" i="1"/>
  <c r="DY60" i="1"/>
  <c r="DZ60" i="1"/>
  <c r="EL60" i="1"/>
  <c r="EM60" i="1"/>
  <c r="EN60" i="1"/>
  <c r="EO60" i="1"/>
  <c r="EP60" i="1"/>
  <c r="EQ60" i="1"/>
  <c r="ER60" i="1"/>
  <c r="ES60" i="1"/>
  <c r="ET60" i="1"/>
  <c r="EU60" i="1"/>
  <c r="EV60" i="1"/>
  <c r="EW60" i="1"/>
  <c r="EX60" i="1"/>
  <c r="EY60" i="1"/>
  <c r="EZ60" i="1"/>
  <c r="FA60" i="1"/>
  <c r="FM60" i="1"/>
  <c r="FN60" i="1"/>
  <c r="FO60" i="1"/>
  <c r="FP60" i="1"/>
  <c r="FQ60" i="1"/>
  <c r="FR60" i="1"/>
  <c r="FS60" i="1"/>
  <c r="FT60" i="1"/>
  <c r="FU60" i="1"/>
  <c r="FV60" i="1"/>
  <c r="FW60" i="1"/>
  <c r="FX60" i="1"/>
  <c r="FY60" i="1"/>
  <c r="FZ60" i="1"/>
  <c r="GA60" i="1"/>
  <c r="GB60" i="1"/>
  <c r="DK61" i="1"/>
  <c r="DL61" i="1"/>
  <c r="DM61" i="1"/>
  <c r="DN61" i="1"/>
  <c r="DO61" i="1"/>
  <c r="DP61" i="1"/>
  <c r="DQ61" i="1"/>
  <c r="DR61" i="1"/>
  <c r="DS61" i="1"/>
  <c r="DT61" i="1"/>
  <c r="DU61" i="1"/>
  <c r="DV61" i="1"/>
  <c r="DW61" i="1"/>
  <c r="DX61" i="1"/>
  <c r="DY61" i="1"/>
  <c r="DZ61" i="1"/>
  <c r="EL61" i="1"/>
  <c r="EM61" i="1"/>
  <c r="EN61" i="1"/>
  <c r="EO61" i="1"/>
  <c r="EP61" i="1"/>
  <c r="EQ61" i="1"/>
  <c r="ER61" i="1"/>
  <c r="ES61" i="1"/>
  <c r="ET61" i="1"/>
  <c r="EU61" i="1"/>
  <c r="EV61" i="1"/>
  <c r="EW61" i="1"/>
  <c r="EX61" i="1"/>
  <c r="EY61" i="1"/>
  <c r="EZ61" i="1"/>
  <c r="FA61" i="1"/>
  <c r="FM61" i="1"/>
  <c r="FN61" i="1"/>
  <c r="FO61" i="1"/>
  <c r="FP61" i="1"/>
  <c r="FQ61" i="1"/>
  <c r="FR61" i="1"/>
  <c r="FS61" i="1"/>
  <c r="FT61" i="1"/>
  <c r="FU61" i="1"/>
  <c r="FV61" i="1"/>
  <c r="FW61" i="1"/>
  <c r="FX61" i="1"/>
  <c r="FY61" i="1"/>
  <c r="FZ61" i="1"/>
  <c r="GA61" i="1"/>
  <c r="GB61" i="1"/>
  <c r="DK62" i="1"/>
  <c r="DL62" i="1"/>
  <c r="DM62" i="1"/>
  <c r="DN62" i="1"/>
  <c r="DO62" i="1"/>
  <c r="DP62" i="1"/>
  <c r="DQ62" i="1"/>
  <c r="DR62" i="1"/>
  <c r="DS62" i="1"/>
  <c r="DT62" i="1"/>
  <c r="DU62" i="1"/>
  <c r="DV62" i="1"/>
  <c r="DW62" i="1"/>
  <c r="DX62" i="1"/>
  <c r="DY62" i="1"/>
  <c r="DZ62" i="1"/>
  <c r="EL62" i="1"/>
  <c r="EM62" i="1"/>
  <c r="EN62" i="1"/>
  <c r="EO62" i="1"/>
  <c r="EP62" i="1"/>
  <c r="EQ62" i="1"/>
  <c r="ER62" i="1"/>
  <c r="ES62" i="1"/>
  <c r="ET62" i="1"/>
  <c r="EU62" i="1"/>
  <c r="EV62" i="1"/>
  <c r="EW62" i="1"/>
  <c r="EX62" i="1"/>
  <c r="EY62" i="1"/>
  <c r="EZ62" i="1"/>
  <c r="FA62" i="1"/>
  <c r="FM62" i="1"/>
  <c r="FN62" i="1"/>
  <c r="FO62" i="1"/>
  <c r="FP62" i="1"/>
  <c r="FQ62" i="1"/>
  <c r="FR62" i="1"/>
  <c r="FS62" i="1"/>
  <c r="FT62" i="1"/>
  <c r="FU62" i="1"/>
  <c r="FV62" i="1"/>
  <c r="FW62" i="1"/>
  <c r="FX62" i="1"/>
  <c r="FY62" i="1"/>
  <c r="FZ62" i="1"/>
  <c r="GA62" i="1"/>
  <c r="GB62" i="1"/>
  <c r="DK63" i="1"/>
  <c r="DL63" i="1"/>
  <c r="DM63" i="1"/>
  <c r="DN63" i="1"/>
  <c r="DO63" i="1"/>
  <c r="DP63" i="1"/>
  <c r="DQ63" i="1"/>
  <c r="DR63" i="1"/>
  <c r="DS63" i="1"/>
  <c r="DT63" i="1"/>
  <c r="DU63" i="1"/>
  <c r="DV63" i="1"/>
  <c r="DW63" i="1"/>
  <c r="DX63" i="1"/>
  <c r="DY63" i="1"/>
  <c r="DZ63" i="1"/>
  <c r="EL63" i="1"/>
  <c r="EM63" i="1"/>
  <c r="EN63" i="1"/>
  <c r="EO63" i="1"/>
  <c r="EP63" i="1"/>
  <c r="EQ63" i="1"/>
  <c r="ER63" i="1"/>
  <c r="ES63" i="1"/>
  <c r="ET63" i="1"/>
  <c r="EU63" i="1"/>
  <c r="EV63" i="1"/>
  <c r="EW63" i="1"/>
  <c r="EX63" i="1"/>
  <c r="EY63" i="1"/>
  <c r="EZ63" i="1"/>
  <c r="FA63" i="1"/>
  <c r="FM63" i="1"/>
  <c r="FN63" i="1"/>
  <c r="FO63" i="1"/>
  <c r="FP63" i="1"/>
  <c r="FQ63" i="1"/>
  <c r="FR63" i="1"/>
  <c r="FS63" i="1"/>
  <c r="FT63" i="1"/>
  <c r="FU63" i="1"/>
  <c r="FV63" i="1"/>
  <c r="FW63" i="1"/>
  <c r="FX63" i="1"/>
  <c r="FY63" i="1"/>
  <c r="FZ63" i="1"/>
  <c r="GA63" i="1"/>
  <c r="GB63" i="1"/>
  <c r="DK64" i="1"/>
  <c r="DL64" i="1"/>
  <c r="DM64" i="1"/>
  <c r="DN64" i="1"/>
  <c r="DO64" i="1"/>
  <c r="DP64" i="1"/>
  <c r="DQ64" i="1"/>
  <c r="DR64" i="1"/>
  <c r="DS64" i="1"/>
  <c r="DT64" i="1"/>
  <c r="DU64" i="1"/>
  <c r="DV64" i="1"/>
  <c r="DW64" i="1"/>
  <c r="DX64" i="1"/>
  <c r="DY64" i="1"/>
  <c r="DZ64" i="1"/>
  <c r="EL64" i="1"/>
  <c r="EM64" i="1"/>
  <c r="EN64" i="1"/>
  <c r="EO64" i="1"/>
  <c r="EP64" i="1"/>
  <c r="EQ64" i="1"/>
  <c r="ER64" i="1"/>
  <c r="ES64" i="1"/>
  <c r="ET64" i="1"/>
  <c r="EU64" i="1"/>
  <c r="EV64" i="1"/>
  <c r="EW64" i="1"/>
  <c r="EX64" i="1"/>
  <c r="EY64" i="1"/>
  <c r="EZ64" i="1"/>
  <c r="FA64" i="1"/>
  <c r="FM64" i="1"/>
  <c r="FN64" i="1"/>
  <c r="FO64" i="1"/>
  <c r="FP64" i="1"/>
  <c r="FQ64" i="1"/>
  <c r="FR64" i="1"/>
  <c r="FS64" i="1"/>
  <c r="FT64" i="1"/>
  <c r="FU64" i="1"/>
  <c r="FV64" i="1"/>
  <c r="FW64" i="1"/>
  <c r="FX64" i="1"/>
  <c r="FY64" i="1"/>
  <c r="FZ64" i="1"/>
  <c r="GA64" i="1"/>
  <c r="GB64" i="1"/>
  <c r="DK65" i="1"/>
  <c r="DL65" i="1"/>
  <c r="DM65" i="1"/>
  <c r="DN65" i="1"/>
  <c r="DO65" i="1"/>
  <c r="DP65" i="1"/>
  <c r="DQ65" i="1"/>
  <c r="DR65" i="1"/>
  <c r="DS65" i="1"/>
  <c r="DT65" i="1"/>
  <c r="DU65" i="1"/>
  <c r="DV65" i="1"/>
  <c r="DW65" i="1"/>
  <c r="DX65" i="1"/>
  <c r="DY65" i="1"/>
  <c r="DZ65" i="1"/>
  <c r="EL65" i="1"/>
  <c r="EM65" i="1"/>
  <c r="EN65" i="1"/>
  <c r="EO65" i="1"/>
  <c r="EP65" i="1"/>
  <c r="EQ65" i="1"/>
  <c r="ER65" i="1"/>
  <c r="ES65" i="1"/>
  <c r="ET65" i="1"/>
  <c r="EU65" i="1"/>
  <c r="EV65" i="1"/>
  <c r="EW65" i="1"/>
  <c r="EX65" i="1"/>
  <c r="EY65" i="1"/>
  <c r="EZ65" i="1"/>
  <c r="FA65" i="1"/>
  <c r="FM65" i="1"/>
  <c r="FN65" i="1"/>
  <c r="FO65" i="1"/>
  <c r="FP65" i="1"/>
  <c r="FQ65" i="1"/>
  <c r="FR65" i="1"/>
  <c r="FS65" i="1"/>
  <c r="FT65" i="1"/>
  <c r="FU65" i="1"/>
  <c r="FV65" i="1"/>
  <c r="FW65" i="1"/>
  <c r="FX65" i="1"/>
  <c r="FY65" i="1"/>
  <c r="FZ65" i="1"/>
  <c r="GA65" i="1"/>
  <c r="GB65" i="1"/>
  <c r="DK66" i="1"/>
  <c r="DL66" i="1"/>
  <c r="DM66" i="1"/>
  <c r="DN66" i="1"/>
  <c r="DO66" i="1"/>
  <c r="DP66" i="1"/>
  <c r="DQ66" i="1"/>
  <c r="DR66" i="1"/>
  <c r="DS66" i="1"/>
  <c r="DT66" i="1"/>
  <c r="DU66" i="1"/>
  <c r="DV66" i="1"/>
  <c r="DW66" i="1"/>
  <c r="DX66" i="1"/>
  <c r="DY66" i="1"/>
  <c r="DZ66" i="1"/>
  <c r="EL66" i="1"/>
  <c r="EM66" i="1"/>
  <c r="EN66" i="1"/>
  <c r="EO66" i="1"/>
  <c r="EP66" i="1"/>
  <c r="EQ66" i="1"/>
  <c r="ER66" i="1"/>
  <c r="ES66" i="1"/>
  <c r="ET66" i="1"/>
  <c r="EU66" i="1"/>
  <c r="EV66" i="1"/>
  <c r="EW66" i="1"/>
  <c r="EX66" i="1"/>
  <c r="EY66" i="1"/>
  <c r="EZ66" i="1"/>
  <c r="FA66" i="1"/>
  <c r="FM66" i="1"/>
  <c r="FN66" i="1"/>
  <c r="FO66" i="1"/>
  <c r="FP66" i="1"/>
  <c r="FQ66" i="1"/>
  <c r="FR66" i="1"/>
  <c r="FS66" i="1"/>
  <c r="FT66" i="1"/>
  <c r="FU66" i="1"/>
  <c r="FV66" i="1"/>
  <c r="FW66" i="1"/>
  <c r="FX66" i="1"/>
  <c r="FY66" i="1"/>
  <c r="FZ66" i="1"/>
  <c r="GA66" i="1"/>
  <c r="GB66" i="1"/>
  <c r="DK67" i="1"/>
  <c r="DL67" i="1"/>
  <c r="DM67" i="1"/>
  <c r="DN67" i="1"/>
  <c r="DO67" i="1"/>
  <c r="DP67" i="1"/>
  <c r="DQ67" i="1"/>
  <c r="DR67" i="1"/>
  <c r="DS67" i="1"/>
  <c r="DT67" i="1"/>
  <c r="DU67" i="1"/>
  <c r="DV67" i="1"/>
  <c r="DW67" i="1"/>
  <c r="DX67" i="1"/>
  <c r="DY67" i="1"/>
  <c r="DZ67" i="1"/>
  <c r="EL67" i="1"/>
  <c r="EM67" i="1"/>
  <c r="EN67" i="1"/>
  <c r="EO67" i="1"/>
  <c r="EP67" i="1"/>
  <c r="EQ67" i="1"/>
  <c r="ER67" i="1"/>
  <c r="ES67" i="1"/>
  <c r="ET67" i="1"/>
  <c r="EU67" i="1"/>
  <c r="EV67" i="1"/>
  <c r="EW67" i="1"/>
  <c r="EX67" i="1"/>
  <c r="EY67" i="1"/>
  <c r="EZ67" i="1"/>
  <c r="FA67" i="1"/>
  <c r="FM67" i="1"/>
  <c r="FN67" i="1"/>
  <c r="FO67" i="1"/>
  <c r="FP67" i="1"/>
  <c r="FQ67" i="1"/>
  <c r="FR67" i="1"/>
  <c r="FS67" i="1"/>
  <c r="FT67" i="1"/>
  <c r="FU67" i="1"/>
  <c r="FV67" i="1"/>
  <c r="FW67" i="1"/>
  <c r="FX67" i="1"/>
  <c r="FY67" i="1"/>
  <c r="FZ67" i="1"/>
  <c r="GA67" i="1"/>
  <c r="GB67" i="1"/>
  <c r="DK68" i="1"/>
  <c r="DL68" i="1"/>
  <c r="DM68" i="1"/>
  <c r="DN68" i="1"/>
  <c r="DO68" i="1"/>
  <c r="DP68" i="1"/>
  <c r="DQ68" i="1"/>
  <c r="DR68" i="1"/>
  <c r="DS68" i="1"/>
  <c r="DT68" i="1"/>
  <c r="DU68" i="1"/>
  <c r="DV68" i="1"/>
  <c r="DW68" i="1"/>
  <c r="DX68" i="1"/>
  <c r="DY68" i="1"/>
  <c r="DZ68" i="1"/>
  <c r="EL68" i="1"/>
  <c r="EM68" i="1"/>
  <c r="EN68" i="1"/>
  <c r="EO68" i="1"/>
  <c r="EP68" i="1"/>
  <c r="EQ68" i="1"/>
  <c r="ER68" i="1"/>
  <c r="ES68" i="1"/>
  <c r="ET68" i="1"/>
  <c r="EU68" i="1"/>
  <c r="EV68" i="1"/>
  <c r="EW68" i="1"/>
  <c r="EX68" i="1"/>
  <c r="EY68" i="1"/>
  <c r="EZ68" i="1"/>
  <c r="FA68" i="1"/>
  <c r="FM68" i="1"/>
  <c r="FN68" i="1"/>
  <c r="FO68" i="1"/>
  <c r="FP68" i="1"/>
  <c r="FQ68" i="1"/>
  <c r="FR68" i="1"/>
  <c r="FS68" i="1"/>
  <c r="FT68" i="1"/>
  <c r="FU68" i="1"/>
  <c r="FV68" i="1"/>
  <c r="FW68" i="1"/>
  <c r="FX68" i="1"/>
  <c r="FY68" i="1"/>
  <c r="FZ68" i="1"/>
  <c r="GA68" i="1"/>
  <c r="GB68" i="1"/>
  <c r="DK69" i="1"/>
  <c r="DL69" i="1"/>
  <c r="DM69" i="1"/>
  <c r="DN69" i="1"/>
  <c r="DO69" i="1"/>
  <c r="DP69" i="1"/>
  <c r="DQ69" i="1"/>
  <c r="DR69" i="1"/>
  <c r="DS69" i="1"/>
  <c r="DT69" i="1"/>
  <c r="DU69" i="1"/>
  <c r="DV69" i="1"/>
  <c r="DW69" i="1"/>
  <c r="DX69" i="1"/>
  <c r="DY69" i="1"/>
  <c r="DZ69" i="1"/>
  <c r="EL69" i="1"/>
  <c r="EM69" i="1"/>
  <c r="EN69" i="1"/>
  <c r="EO69" i="1"/>
  <c r="EP69" i="1"/>
  <c r="EQ69" i="1"/>
  <c r="ER69" i="1"/>
  <c r="ES69" i="1"/>
  <c r="ET69" i="1"/>
  <c r="EU69" i="1"/>
  <c r="EV69" i="1"/>
  <c r="EW69" i="1"/>
  <c r="EX69" i="1"/>
  <c r="EY69" i="1"/>
  <c r="EZ69" i="1"/>
  <c r="FA69" i="1"/>
  <c r="FM69" i="1"/>
  <c r="FN69" i="1"/>
  <c r="FO69" i="1"/>
  <c r="FP69" i="1"/>
  <c r="FQ69" i="1"/>
  <c r="FR69" i="1"/>
  <c r="FS69" i="1"/>
  <c r="FT69" i="1"/>
  <c r="FU69" i="1"/>
  <c r="FV69" i="1"/>
  <c r="FW69" i="1"/>
  <c r="FX69" i="1"/>
  <c r="FY69" i="1"/>
  <c r="FZ69" i="1"/>
  <c r="GA69" i="1"/>
  <c r="GB69" i="1"/>
  <c r="DK70" i="1"/>
  <c r="DL70" i="1"/>
  <c r="DM70" i="1"/>
  <c r="DN70" i="1"/>
  <c r="DO70" i="1"/>
  <c r="DP70" i="1"/>
  <c r="DQ70" i="1"/>
  <c r="DR70" i="1"/>
  <c r="DS70" i="1"/>
  <c r="DT70" i="1"/>
  <c r="DU70" i="1"/>
  <c r="DV70" i="1"/>
  <c r="DW70" i="1"/>
  <c r="DX70" i="1"/>
  <c r="DY70" i="1"/>
  <c r="DZ70" i="1"/>
  <c r="EL70" i="1"/>
  <c r="EM70" i="1"/>
  <c r="EN70" i="1"/>
  <c r="EO70" i="1"/>
  <c r="EP70" i="1"/>
  <c r="EQ70" i="1"/>
  <c r="ER70" i="1"/>
  <c r="ES70" i="1"/>
  <c r="ET70" i="1"/>
  <c r="EU70" i="1"/>
  <c r="EV70" i="1"/>
  <c r="EW70" i="1"/>
  <c r="EX70" i="1"/>
  <c r="EY70" i="1"/>
  <c r="EZ70" i="1"/>
  <c r="FA70" i="1"/>
  <c r="FM70" i="1"/>
  <c r="FN70" i="1"/>
  <c r="FO70" i="1"/>
  <c r="FP70" i="1"/>
  <c r="FQ70" i="1"/>
  <c r="FR70" i="1"/>
  <c r="FS70" i="1"/>
  <c r="FT70" i="1"/>
  <c r="FU70" i="1"/>
  <c r="FV70" i="1"/>
  <c r="FW70" i="1"/>
  <c r="FX70" i="1"/>
  <c r="FY70" i="1"/>
  <c r="FZ70" i="1"/>
  <c r="GA70" i="1"/>
  <c r="GB70" i="1"/>
  <c r="DK71" i="1"/>
  <c r="DL71" i="1"/>
  <c r="DM71" i="1"/>
  <c r="DN71" i="1"/>
  <c r="DO71" i="1"/>
  <c r="DP71" i="1"/>
  <c r="DQ71" i="1"/>
  <c r="DR71" i="1"/>
  <c r="DS71" i="1"/>
  <c r="DT71" i="1"/>
  <c r="DU71" i="1"/>
  <c r="DV71" i="1"/>
  <c r="DW71" i="1"/>
  <c r="DX71" i="1"/>
  <c r="DY71" i="1"/>
  <c r="DZ71" i="1"/>
  <c r="EL71" i="1"/>
  <c r="EM71" i="1"/>
  <c r="EN71" i="1"/>
  <c r="EO71" i="1"/>
  <c r="EP71" i="1"/>
  <c r="EQ71" i="1"/>
  <c r="ER71" i="1"/>
  <c r="ES71" i="1"/>
  <c r="ET71" i="1"/>
  <c r="EU71" i="1"/>
  <c r="EV71" i="1"/>
  <c r="EW71" i="1"/>
  <c r="EX71" i="1"/>
  <c r="EY71" i="1"/>
  <c r="EZ71" i="1"/>
  <c r="FA71" i="1"/>
  <c r="FM71" i="1"/>
  <c r="FN71" i="1"/>
  <c r="FO71" i="1"/>
  <c r="FP71" i="1"/>
  <c r="FQ71" i="1"/>
  <c r="FR71" i="1"/>
  <c r="FS71" i="1"/>
  <c r="FT71" i="1"/>
  <c r="FU71" i="1"/>
  <c r="FV71" i="1"/>
  <c r="FW71" i="1"/>
  <c r="FX71" i="1"/>
  <c r="FY71" i="1"/>
  <c r="FZ71" i="1"/>
  <c r="GA71" i="1"/>
  <c r="GB71" i="1"/>
  <c r="DK72" i="1"/>
  <c r="DL72" i="1"/>
  <c r="DM72" i="1"/>
  <c r="DN72" i="1"/>
  <c r="DO72" i="1"/>
  <c r="DP72" i="1"/>
  <c r="DQ72" i="1"/>
  <c r="DR72" i="1"/>
  <c r="DS72" i="1"/>
  <c r="DT72" i="1"/>
  <c r="DU72" i="1"/>
  <c r="DV72" i="1"/>
  <c r="DW72" i="1"/>
  <c r="DX72" i="1"/>
  <c r="DY72" i="1"/>
  <c r="DZ72" i="1"/>
  <c r="EL72" i="1"/>
  <c r="EM72" i="1"/>
  <c r="EN72" i="1"/>
  <c r="EO72" i="1"/>
  <c r="EP72" i="1"/>
  <c r="EQ72" i="1"/>
  <c r="ER72" i="1"/>
  <c r="ES72" i="1"/>
  <c r="ET72" i="1"/>
  <c r="EU72" i="1"/>
  <c r="EV72" i="1"/>
  <c r="EW72" i="1"/>
  <c r="EX72" i="1"/>
  <c r="EY72" i="1"/>
  <c r="EZ72" i="1"/>
  <c r="FA72" i="1"/>
  <c r="FM72" i="1"/>
  <c r="FN72" i="1"/>
  <c r="FO72" i="1"/>
  <c r="FP72" i="1"/>
  <c r="FQ72" i="1"/>
  <c r="FR72" i="1"/>
  <c r="FS72" i="1"/>
  <c r="FT72" i="1"/>
  <c r="FU72" i="1"/>
  <c r="FV72" i="1"/>
  <c r="FW72" i="1"/>
  <c r="FX72" i="1"/>
  <c r="FY72" i="1"/>
  <c r="FZ72" i="1"/>
  <c r="GA72" i="1"/>
  <c r="GB72" i="1"/>
  <c r="DK73" i="1"/>
  <c r="DL73" i="1"/>
  <c r="DM73" i="1"/>
  <c r="DN73" i="1"/>
  <c r="DO73" i="1"/>
  <c r="DP73" i="1"/>
  <c r="DQ73" i="1"/>
  <c r="DR73" i="1"/>
  <c r="DS73" i="1"/>
  <c r="DT73" i="1"/>
  <c r="DU73" i="1"/>
  <c r="DV73" i="1"/>
  <c r="DW73" i="1"/>
  <c r="DX73" i="1"/>
  <c r="DY73" i="1"/>
  <c r="DZ73" i="1"/>
  <c r="EL73" i="1"/>
  <c r="EM73" i="1"/>
  <c r="EN73" i="1"/>
  <c r="EO73" i="1"/>
  <c r="EP73" i="1"/>
  <c r="EQ73" i="1"/>
  <c r="ER73" i="1"/>
  <c r="ES73" i="1"/>
  <c r="ET73" i="1"/>
  <c r="EU73" i="1"/>
  <c r="EV73" i="1"/>
  <c r="EW73" i="1"/>
  <c r="EX73" i="1"/>
  <c r="EY73" i="1"/>
  <c r="EZ73" i="1"/>
  <c r="FA73" i="1"/>
  <c r="FM73" i="1"/>
  <c r="FN73" i="1"/>
  <c r="FO73" i="1"/>
  <c r="FP73" i="1"/>
  <c r="FQ73" i="1"/>
  <c r="FR73" i="1"/>
  <c r="FS73" i="1"/>
  <c r="FT73" i="1"/>
  <c r="FU73" i="1"/>
  <c r="FV73" i="1"/>
  <c r="FW73" i="1"/>
  <c r="FX73" i="1"/>
  <c r="FY73" i="1"/>
  <c r="FZ73" i="1"/>
  <c r="GA73" i="1"/>
  <c r="GB73" i="1"/>
  <c r="DK74" i="1"/>
  <c r="DL74" i="1"/>
  <c r="DM74" i="1"/>
  <c r="DN74" i="1"/>
  <c r="DO74" i="1"/>
  <c r="DP74" i="1"/>
  <c r="DQ74" i="1"/>
  <c r="DR74" i="1"/>
  <c r="DS74" i="1"/>
  <c r="DT74" i="1"/>
  <c r="DU74" i="1"/>
  <c r="DV74" i="1"/>
  <c r="DW74" i="1"/>
  <c r="DX74" i="1"/>
  <c r="DY74" i="1"/>
  <c r="DZ74" i="1"/>
  <c r="EL74" i="1"/>
  <c r="EM74" i="1"/>
  <c r="EN74" i="1"/>
  <c r="EO74" i="1"/>
  <c r="EP74" i="1"/>
  <c r="EQ74" i="1"/>
  <c r="ER74" i="1"/>
  <c r="ES74" i="1"/>
  <c r="ET74" i="1"/>
  <c r="EU74" i="1"/>
  <c r="EV74" i="1"/>
  <c r="EW74" i="1"/>
  <c r="EX74" i="1"/>
  <c r="EY74" i="1"/>
  <c r="EZ74" i="1"/>
  <c r="FA74" i="1"/>
  <c r="FM74" i="1"/>
  <c r="FN74" i="1"/>
  <c r="FO74" i="1"/>
  <c r="FP74" i="1"/>
  <c r="FQ74" i="1"/>
  <c r="FR74" i="1"/>
  <c r="FS74" i="1"/>
  <c r="FT74" i="1"/>
  <c r="FU74" i="1"/>
  <c r="FV74" i="1"/>
  <c r="FW74" i="1"/>
  <c r="FX74" i="1"/>
  <c r="FY74" i="1"/>
  <c r="FZ74" i="1"/>
  <c r="GA74" i="1"/>
  <c r="GB74" i="1"/>
  <c r="DK75" i="1"/>
  <c r="DL75" i="1"/>
  <c r="DM75" i="1"/>
  <c r="DN75" i="1"/>
  <c r="DO75" i="1"/>
  <c r="DP75" i="1"/>
  <c r="DQ75" i="1"/>
  <c r="DR75" i="1"/>
  <c r="DS75" i="1"/>
  <c r="DT75" i="1"/>
  <c r="DU75" i="1"/>
  <c r="DV75" i="1"/>
  <c r="DW75" i="1"/>
  <c r="DX75" i="1"/>
  <c r="DY75" i="1"/>
  <c r="DZ75" i="1"/>
  <c r="EL75" i="1"/>
  <c r="EM75" i="1"/>
  <c r="EN75" i="1"/>
  <c r="EO75" i="1"/>
  <c r="EP75" i="1"/>
  <c r="EQ75" i="1"/>
  <c r="ER75" i="1"/>
  <c r="ES75" i="1"/>
  <c r="ET75" i="1"/>
  <c r="EU75" i="1"/>
  <c r="EV75" i="1"/>
  <c r="EW75" i="1"/>
  <c r="EX75" i="1"/>
  <c r="EY75" i="1"/>
  <c r="EZ75" i="1"/>
  <c r="FA75" i="1"/>
  <c r="FM75" i="1"/>
  <c r="FN75" i="1"/>
  <c r="FO75" i="1"/>
  <c r="FP75" i="1"/>
  <c r="FQ75" i="1"/>
  <c r="FR75" i="1"/>
  <c r="FS75" i="1"/>
  <c r="FT75" i="1"/>
  <c r="FU75" i="1"/>
  <c r="FV75" i="1"/>
  <c r="FW75" i="1"/>
  <c r="FX75" i="1"/>
  <c r="FY75" i="1"/>
  <c r="FZ75" i="1"/>
  <c r="GA75" i="1"/>
  <c r="GB75" i="1"/>
  <c r="DK76" i="1"/>
  <c r="DL76" i="1"/>
  <c r="DM76" i="1"/>
  <c r="DN76" i="1"/>
  <c r="DO76" i="1"/>
  <c r="DP76" i="1"/>
  <c r="DQ76" i="1"/>
  <c r="DR76" i="1"/>
  <c r="DS76" i="1"/>
  <c r="DT76" i="1"/>
  <c r="DU76" i="1"/>
  <c r="DV76" i="1"/>
  <c r="DW76" i="1"/>
  <c r="DX76" i="1"/>
  <c r="DY76" i="1"/>
  <c r="DZ76" i="1"/>
  <c r="EL76" i="1"/>
  <c r="EM76" i="1"/>
  <c r="EN76" i="1"/>
  <c r="EO76" i="1"/>
  <c r="EP76" i="1"/>
  <c r="EQ76" i="1"/>
  <c r="ER76" i="1"/>
  <c r="ES76" i="1"/>
  <c r="ET76" i="1"/>
  <c r="EU76" i="1"/>
  <c r="EV76" i="1"/>
  <c r="EW76" i="1"/>
  <c r="EX76" i="1"/>
  <c r="EY76" i="1"/>
  <c r="EZ76" i="1"/>
  <c r="FA76" i="1"/>
  <c r="FM76" i="1"/>
  <c r="FN76" i="1"/>
  <c r="FO76" i="1"/>
  <c r="FP76" i="1"/>
  <c r="FQ76" i="1"/>
  <c r="FR76" i="1"/>
  <c r="FS76" i="1"/>
  <c r="FT76" i="1"/>
  <c r="FU76" i="1"/>
  <c r="FV76" i="1"/>
  <c r="FW76" i="1"/>
  <c r="FX76" i="1"/>
  <c r="FY76" i="1"/>
  <c r="FZ76" i="1"/>
  <c r="GA76" i="1"/>
  <c r="GB76" i="1"/>
  <c r="DK77" i="1"/>
  <c r="DL77" i="1"/>
  <c r="DM77" i="1"/>
  <c r="DN77" i="1"/>
  <c r="DO77" i="1"/>
  <c r="DP77" i="1"/>
  <c r="DQ77" i="1"/>
  <c r="DR77" i="1"/>
  <c r="DS77" i="1"/>
  <c r="DT77" i="1"/>
  <c r="DU77" i="1"/>
  <c r="DV77" i="1"/>
  <c r="DW77" i="1"/>
  <c r="DX77" i="1"/>
  <c r="DY77" i="1"/>
  <c r="DZ77" i="1"/>
  <c r="EL77" i="1"/>
  <c r="EM77" i="1"/>
  <c r="EN77" i="1"/>
  <c r="EO77" i="1"/>
  <c r="EP77" i="1"/>
  <c r="EQ77" i="1"/>
  <c r="ER77" i="1"/>
  <c r="ES77" i="1"/>
  <c r="ET77" i="1"/>
  <c r="EU77" i="1"/>
  <c r="EV77" i="1"/>
  <c r="EW77" i="1"/>
  <c r="EX77" i="1"/>
  <c r="EY77" i="1"/>
  <c r="EZ77" i="1"/>
  <c r="FA77" i="1"/>
  <c r="FM77" i="1"/>
  <c r="FN77" i="1"/>
  <c r="FO77" i="1"/>
  <c r="FP77" i="1"/>
  <c r="FQ77" i="1"/>
  <c r="FR77" i="1"/>
  <c r="FS77" i="1"/>
  <c r="FT77" i="1"/>
  <c r="FU77" i="1"/>
  <c r="FV77" i="1"/>
  <c r="FW77" i="1"/>
  <c r="FX77" i="1"/>
  <c r="FY77" i="1"/>
  <c r="FZ77" i="1"/>
  <c r="GA77" i="1"/>
  <c r="GB77" i="1"/>
  <c r="DK78" i="1"/>
  <c r="DL78" i="1"/>
  <c r="DM78" i="1"/>
  <c r="DN78" i="1"/>
  <c r="DO78" i="1"/>
  <c r="DP78" i="1"/>
  <c r="DQ78" i="1"/>
  <c r="DR78" i="1"/>
  <c r="DS78" i="1"/>
  <c r="DT78" i="1"/>
  <c r="DU78" i="1"/>
  <c r="DV78" i="1"/>
  <c r="DW78" i="1"/>
  <c r="DX78" i="1"/>
  <c r="DY78" i="1"/>
  <c r="DZ78" i="1"/>
  <c r="EL78" i="1"/>
  <c r="EM78" i="1"/>
  <c r="EN78" i="1"/>
  <c r="EO78" i="1"/>
  <c r="EP78" i="1"/>
  <c r="EQ78" i="1"/>
  <c r="ER78" i="1"/>
  <c r="ES78" i="1"/>
  <c r="ET78" i="1"/>
  <c r="EU78" i="1"/>
  <c r="EV78" i="1"/>
  <c r="EW78" i="1"/>
  <c r="EX78" i="1"/>
  <c r="EY78" i="1"/>
  <c r="EZ78" i="1"/>
  <c r="FA78" i="1"/>
  <c r="FM78" i="1"/>
  <c r="FN78" i="1"/>
  <c r="FO78" i="1"/>
  <c r="FP78" i="1"/>
  <c r="FQ78" i="1"/>
  <c r="FR78" i="1"/>
  <c r="FS78" i="1"/>
  <c r="FT78" i="1"/>
  <c r="FU78" i="1"/>
  <c r="FV78" i="1"/>
  <c r="FW78" i="1"/>
  <c r="FX78" i="1"/>
  <c r="FY78" i="1"/>
  <c r="FZ78" i="1"/>
  <c r="GA78" i="1"/>
  <c r="GB78" i="1"/>
  <c r="DK79" i="1"/>
  <c r="DL79" i="1"/>
  <c r="DM79" i="1"/>
  <c r="DN79" i="1"/>
  <c r="DO79" i="1"/>
  <c r="DP79" i="1"/>
  <c r="DQ79" i="1"/>
  <c r="DR79" i="1"/>
  <c r="DS79" i="1"/>
  <c r="DT79" i="1"/>
  <c r="DU79" i="1"/>
  <c r="DV79" i="1"/>
  <c r="DW79" i="1"/>
  <c r="DX79" i="1"/>
  <c r="DY79" i="1"/>
  <c r="DZ79" i="1"/>
  <c r="EL79" i="1"/>
  <c r="EM79" i="1"/>
  <c r="EN79" i="1"/>
  <c r="EO79" i="1"/>
  <c r="EP79" i="1"/>
  <c r="EQ79" i="1"/>
  <c r="ER79" i="1"/>
  <c r="ES79" i="1"/>
  <c r="ET79" i="1"/>
  <c r="EU79" i="1"/>
  <c r="EV79" i="1"/>
  <c r="EW79" i="1"/>
  <c r="EX79" i="1"/>
  <c r="EY79" i="1"/>
  <c r="EZ79" i="1"/>
  <c r="FA79" i="1"/>
  <c r="FM79" i="1"/>
  <c r="FN79" i="1"/>
  <c r="FO79" i="1"/>
  <c r="FP79" i="1"/>
  <c r="FQ79" i="1"/>
  <c r="FR79" i="1"/>
  <c r="FS79" i="1"/>
  <c r="FT79" i="1"/>
  <c r="FU79" i="1"/>
  <c r="FV79" i="1"/>
  <c r="FW79" i="1"/>
  <c r="FX79" i="1"/>
  <c r="FY79" i="1"/>
  <c r="FZ79" i="1"/>
  <c r="GA79" i="1"/>
  <c r="GB79" i="1"/>
  <c r="DK80" i="1"/>
  <c r="DL80" i="1"/>
  <c r="DM80" i="1"/>
  <c r="DN80" i="1"/>
  <c r="DO80" i="1"/>
  <c r="DP80" i="1"/>
  <c r="DQ80" i="1"/>
  <c r="DR80" i="1"/>
  <c r="DS80" i="1"/>
  <c r="DT80" i="1"/>
  <c r="DU80" i="1"/>
  <c r="DV80" i="1"/>
  <c r="DW80" i="1"/>
  <c r="DX80" i="1"/>
  <c r="DY80" i="1"/>
  <c r="DZ80" i="1"/>
  <c r="EL80" i="1"/>
  <c r="EM80" i="1"/>
  <c r="EN80" i="1"/>
  <c r="EO80" i="1"/>
  <c r="EP80" i="1"/>
  <c r="EQ80" i="1"/>
  <c r="ER80" i="1"/>
  <c r="ES80" i="1"/>
  <c r="ET80" i="1"/>
  <c r="EU80" i="1"/>
  <c r="EV80" i="1"/>
  <c r="EW80" i="1"/>
  <c r="EX80" i="1"/>
  <c r="EY80" i="1"/>
  <c r="EZ80" i="1"/>
  <c r="FA80" i="1"/>
  <c r="FM80" i="1"/>
  <c r="FN80" i="1"/>
  <c r="FO80" i="1"/>
  <c r="FP80" i="1"/>
  <c r="FQ80" i="1"/>
  <c r="FR80" i="1"/>
  <c r="FS80" i="1"/>
  <c r="FT80" i="1"/>
  <c r="FU80" i="1"/>
  <c r="FV80" i="1"/>
  <c r="FW80" i="1"/>
  <c r="FX80" i="1"/>
  <c r="FY80" i="1"/>
  <c r="FZ80" i="1"/>
  <c r="GA80" i="1"/>
  <c r="GB80" i="1"/>
  <c r="DK81" i="1"/>
  <c r="DL81" i="1"/>
  <c r="DM81" i="1"/>
  <c r="DN81" i="1"/>
  <c r="DO81" i="1"/>
  <c r="DP81" i="1"/>
  <c r="DQ81" i="1"/>
  <c r="DR81" i="1"/>
  <c r="DS81" i="1"/>
  <c r="DT81" i="1"/>
  <c r="DU81" i="1"/>
  <c r="DV81" i="1"/>
  <c r="DW81" i="1"/>
  <c r="DX81" i="1"/>
  <c r="DY81" i="1"/>
  <c r="DZ81" i="1"/>
  <c r="EL81" i="1"/>
  <c r="EM81" i="1"/>
  <c r="EN81" i="1"/>
  <c r="EO81" i="1"/>
  <c r="EP81" i="1"/>
  <c r="EQ81" i="1"/>
  <c r="ER81" i="1"/>
  <c r="ES81" i="1"/>
  <c r="ET81" i="1"/>
  <c r="EU81" i="1"/>
  <c r="EV81" i="1"/>
  <c r="EW81" i="1"/>
  <c r="EX81" i="1"/>
  <c r="EY81" i="1"/>
  <c r="EZ81" i="1"/>
  <c r="FA81" i="1"/>
  <c r="FM81" i="1"/>
  <c r="FN81" i="1"/>
  <c r="FO81" i="1"/>
  <c r="FP81" i="1"/>
  <c r="FQ81" i="1"/>
  <c r="FR81" i="1"/>
  <c r="FS81" i="1"/>
  <c r="FT81" i="1"/>
  <c r="FU81" i="1"/>
  <c r="FV81" i="1"/>
  <c r="FW81" i="1"/>
  <c r="FX81" i="1"/>
  <c r="FY81" i="1"/>
  <c r="FZ81" i="1"/>
  <c r="GA81" i="1"/>
  <c r="GB81" i="1"/>
  <c r="DK82" i="1"/>
  <c r="DL82" i="1"/>
  <c r="DM82" i="1"/>
  <c r="DN82" i="1"/>
  <c r="DO82" i="1"/>
  <c r="DP82" i="1"/>
  <c r="DQ82" i="1"/>
  <c r="DR82" i="1"/>
  <c r="DS82" i="1"/>
  <c r="DT82" i="1"/>
  <c r="DU82" i="1"/>
  <c r="DV82" i="1"/>
  <c r="DW82" i="1"/>
  <c r="DX82" i="1"/>
  <c r="DY82" i="1"/>
  <c r="DZ82" i="1"/>
  <c r="EL82" i="1"/>
  <c r="EM82" i="1"/>
  <c r="EN82" i="1"/>
  <c r="EO82" i="1"/>
  <c r="EP82" i="1"/>
  <c r="EQ82" i="1"/>
  <c r="ER82" i="1"/>
  <c r="ES82" i="1"/>
  <c r="ET82" i="1"/>
  <c r="EU82" i="1"/>
  <c r="EV82" i="1"/>
  <c r="EW82" i="1"/>
  <c r="EX82" i="1"/>
  <c r="EY82" i="1"/>
  <c r="EZ82" i="1"/>
  <c r="FA82" i="1"/>
  <c r="FM82" i="1"/>
  <c r="FN82" i="1"/>
  <c r="FO82" i="1"/>
  <c r="FP82" i="1"/>
  <c r="FQ82" i="1"/>
  <c r="FR82" i="1"/>
  <c r="FS82" i="1"/>
  <c r="FT82" i="1"/>
  <c r="FU82" i="1"/>
  <c r="FV82" i="1"/>
  <c r="FW82" i="1"/>
  <c r="FX82" i="1"/>
  <c r="FY82" i="1"/>
  <c r="FZ82" i="1"/>
  <c r="GA82" i="1"/>
  <c r="GB82" i="1"/>
  <c r="DK83" i="1"/>
  <c r="DL83" i="1"/>
  <c r="DM83" i="1"/>
  <c r="DN83" i="1"/>
  <c r="DO83" i="1"/>
  <c r="DP83" i="1"/>
  <c r="DQ83" i="1"/>
  <c r="DR83" i="1"/>
  <c r="DS83" i="1"/>
  <c r="DT83" i="1"/>
  <c r="DU83" i="1"/>
  <c r="DV83" i="1"/>
  <c r="DW83" i="1"/>
  <c r="DX83" i="1"/>
  <c r="DY83" i="1"/>
  <c r="DZ83" i="1"/>
  <c r="EL83" i="1"/>
  <c r="EM83" i="1"/>
  <c r="EN83" i="1"/>
  <c r="EO83" i="1"/>
  <c r="EP83" i="1"/>
  <c r="EQ83" i="1"/>
  <c r="ER83" i="1"/>
  <c r="ES83" i="1"/>
  <c r="ET83" i="1"/>
  <c r="EU83" i="1"/>
  <c r="EV83" i="1"/>
  <c r="EW83" i="1"/>
  <c r="EX83" i="1"/>
  <c r="EY83" i="1"/>
  <c r="EZ83" i="1"/>
  <c r="FA83" i="1"/>
  <c r="FM83" i="1"/>
  <c r="FN83" i="1"/>
  <c r="FO83" i="1"/>
  <c r="FP83" i="1"/>
  <c r="FQ83" i="1"/>
  <c r="FR83" i="1"/>
  <c r="FS83" i="1"/>
  <c r="FT83" i="1"/>
  <c r="FU83" i="1"/>
  <c r="FV83" i="1"/>
  <c r="FW83" i="1"/>
  <c r="FX83" i="1"/>
  <c r="FY83" i="1"/>
  <c r="FZ83" i="1"/>
  <c r="GA83" i="1"/>
  <c r="GB83" i="1"/>
  <c r="DK84" i="1"/>
  <c r="DL84" i="1"/>
  <c r="DM84" i="1"/>
  <c r="DN84" i="1"/>
  <c r="DO84" i="1"/>
  <c r="DP84" i="1"/>
  <c r="DQ84" i="1"/>
  <c r="DR84" i="1"/>
  <c r="DS84" i="1"/>
  <c r="DT84" i="1"/>
  <c r="DU84" i="1"/>
  <c r="DV84" i="1"/>
  <c r="DW84" i="1"/>
  <c r="DX84" i="1"/>
  <c r="DY84" i="1"/>
  <c r="DZ84" i="1"/>
  <c r="EL84" i="1"/>
  <c r="EM84" i="1"/>
  <c r="EN84" i="1"/>
  <c r="EO84" i="1"/>
  <c r="EP84" i="1"/>
  <c r="EQ84" i="1"/>
  <c r="ER84" i="1"/>
  <c r="ES84" i="1"/>
  <c r="ET84" i="1"/>
  <c r="EU84" i="1"/>
  <c r="EV84" i="1"/>
  <c r="EW84" i="1"/>
  <c r="EX84" i="1"/>
  <c r="EY84" i="1"/>
  <c r="EZ84" i="1"/>
  <c r="FA84" i="1"/>
  <c r="FM84" i="1"/>
  <c r="FN84" i="1"/>
  <c r="FO84" i="1"/>
  <c r="FP84" i="1"/>
  <c r="FQ84" i="1"/>
  <c r="FR84" i="1"/>
  <c r="FS84" i="1"/>
  <c r="FT84" i="1"/>
  <c r="FU84" i="1"/>
  <c r="FV84" i="1"/>
  <c r="FW84" i="1"/>
  <c r="FX84" i="1"/>
  <c r="FY84" i="1"/>
  <c r="FZ84" i="1"/>
  <c r="GA84" i="1"/>
  <c r="GB84" i="1"/>
  <c r="DK85" i="1"/>
  <c r="DL85" i="1"/>
  <c r="DM85" i="1"/>
  <c r="DN85" i="1"/>
  <c r="DO85" i="1"/>
  <c r="DP85" i="1"/>
  <c r="DQ85" i="1"/>
  <c r="DR85" i="1"/>
  <c r="DS85" i="1"/>
  <c r="DT85" i="1"/>
  <c r="DU85" i="1"/>
  <c r="DV85" i="1"/>
  <c r="DW85" i="1"/>
  <c r="DX85" i="1"/>
  <c r="DY85" i="1"/>
  <c r="DZ85" i="1"/>
  <c r="EL85" i="1"/>
  <c r="EM85" i="1"/>
  <c r="EN85" i="1"/>
  <c r="EO85" i="1"/>
  <c r="EP85" i="1"/>
  <c r="EQ85" i="1"/>
  <c r="ER85" i="1"/>
  <c r="ES85" i="1"/>
  <c r="ET85" i="1"/>
  <c r="EU85" i="1"/>
  <c r="EV85" i="1"/>
  <c r="EW85" i="1"/>
  <c r="EX85" i="1"/>
  <c r="EY85" i="1"/>
  <c r="EZ85" i="1"/>
  <c r="FA85" i="1"/>
  <c r="FM85" i="1"/>
  <c r="FN85" i="1"/>
  <c r="FO85" i="1"/>
  <c r="FP85" i="1"/>
  <c r="FQ85" i="1"/>
  <c r="FR85" i="1"/>
  <c r="FS85" i="1"/>
  <c r="FT85" i="1"/>
  <c r="FU85" i="1"/>
  <c r="FV85" i="1"/>
  <c r="FW85" i="1"/>
  <c r="FX85" i="1"/>
  <c r="FY85" i="1"/>
  <c r="FZ85" i="1"/>
  <c r="GA85" i="1"/>
  <c r="GB85" i="1"/>
  <c r="DK86" i="1"/>
  <c r="DL86" i="1"/>
  <c r="DM86" i="1"/>
  <c r="DN86" i="1"/>
  <c r="DO86" i="1"/>
  <c r="DP86" i="1"/>
  <c r="DQ86" i="1"/>
  <c r="DR86" i="1"/>
  <c r="DS86" i="1"/>
  <c r="DT86" i="1"/>
  <c r="DU86" i="1"/>
  <c r="DV86" i="1"/>
  <c r="DW86" i="1"/>
  <c r="DX86" i="1"/>
  <c r="DY86" i="1"/>
  <c r="DZ86" i="1"/>
  <c r="EL86" i="1"/>
  <c r="EM86" i="1"/>
  <c r="EN86" i="1"/>
  <c r="EO86" i="1"/>
  <c r="EP86" i="1"/>
  <c r="EQ86" i="1"/>
  <c r="ER86" i="1"/>
  <c r="ES86" i="1"/>
  <c r="ET86" i="1"/>
  <c r="EU86" i="1"/>
  <c r="EV86" i="1"/>
  <c r="EW86" i="1"/>
  <c r="EX86" i="1"/>
  <c r="EY86" i="1"/>
  <c r="EZ86" i="1"/>
  <c r="FA86" i="1"/>
  <c r="FM86" i="1"/>
  <c r="FN86" i="1"/>
  <c r="FO86" i="1"/>
  <c r="FP86" i="1"/>
  <c r="FQ86" i="1"/>
  <c r="FR86" i="1"/>
  <c r="FS86" i="1"/>
  <c r="FT86" i="1"/>
  <c r="FU86" i="1"/>
  <c r="FV86" i="1"/>
  <c r="FW86" i="1"/>
  <c r="FX86" i="1"/>
  <c r="FY86" i="1"/>
  <c r="FZ86" i="1"/>
  <c r="GA86" i="1"/>
  <c r="GB86" i="1"/>
  <c r="DK87" i="1"/>
  <c r="DL87" i="1"/>
  <c r="DM87" i="1"/>
  <c r="DN87" i="1"/>
  <c r="DO87" i="1"/>
  <c r="DP87" i="1"/>
  <c r="DQ87" i="1"/>
  <c r="DR87" i="1"/>
  <c r="DS87" i="1"/>
  <c r="DT87" i="1"/>
  <c r="DU87" i="1"/>
  <c r="DV87" i="1"/>
  <c r="DW87" i="1"/>
  <c r="DX87" i="1"/>
  <c r="DY87" i="1"/>
  <c r="DZ87" i="1"/>
  <c r="EL87" i="1"/>
  <c r="EM87" i="1"/>
  <c r="EN87" i="1"/>
  <c r="EO87" i="1"/>
  <c r="EP87" i="1"/>
  <c r="EQ87" i="1"/>
  <c r="ER87" i="1"/>
  <c r="ES87" i="1"/>
  <c r="ET87" i="1"/>
  <c r="EU87" i="1"/>
  <c r="EV87" i="1"/>
  <c r="EW87" i="1"/>
  <c r="EX87" i="1"/>
  <c r="EY87" i="1"/>
  <c r="EZ87" i="1"/>
  <c r="FA87" i="1"/>
  <c r="FM87" i="1"/>
  <c r="FN87" i="1"/>
  <c r="FO87" i="1"/>
  <c r="FP87" i="1"/>
  <c r="FQ87" i="1"/>
  <c r="FR87" i="1"/>
  <c r="FS87" i="1"/>
  <c r="FT87" i="1"/>
  <c r="FU87" i="1"/>
  <c r="FV87" i="1"/>
  <c r="FW87" i="1"/>
  <c r="FX87" i="1"/>
  <c r="FY87" i="1"/>
  <c r="FZ87" i="1"/>
  <c r="GA87" i="1"/>
  <c r="GB87" i="1"/>
  <c r="DK88" i="1"/>
  <c r="DL88" i="1"/>
  <c r="DM88" i="1"/>
  <c r="DN88" i="1"/>
  <c r="DO88" i="1"/>
  <c r="DP88" i="1"/>
  <c r="DQ88" i="1"/>
  <c r="DR88" i="1"/>
  <c r="DS88" i="1"/>
  <c r="DT88" i="1"/>
  <c r="DU88" i="1"/>
  <c r="DV88" i="1"/>
  <c r="DW88" i="1"/>
  <c r="DX88" i="1"/>
  <c r="DY88" i="1"/>
  <c r="DZ88" i="1"/>
  <c r="EL88" i="1"/>
  <c r="EM88" i="1"/>
  <c r="EN88" i="1"/>
  <c r="EO88" i="1"/>
  <c r="EP88" i="1"/>
  <c r="EQ88" i="1"/>
  <c r="ER88" i="1"/>
  <c r="ES88" i="1"/>
  <c r="ET88" i="1"/>
  <c r="EU88" i="1"/>
  <c r="EV88" i="1"/>
  <c r="EW88" i="1"/>
  <c r="EX88" i="1"/>
  <c r="EY88" i="1"/>
  <c r="EZ88" i="1"/>
  <c r="FA88" i="1"/>
  <c r="FM88" i="1"/>
  <c r="FN88" i="1"/>
  <c r="FO88" i="1"/>
  <c r="FP88" i="1"/>
  <c r="FQ88" i="1"/>
  <c r="FR88" i="1"/>
  <c r="FS88" i="1"/>
  <c r="FT88" i="1"/>
  <c r="FU88" i="1"/>
  <c r="FV88" i="1"/>
  <c r="FW88" i="1"/>
  <c r="FX88" i="1"/>
  <c r="FY88" i="1"/>
  <c r="FZ88" i="1"/>
  <c r="GA88" i="1"/>
  <c r="GB88" i="1"/>
  <c r="DK89" i="1"/>
  <c r="DL89" i="1"/>
  <c r="DM89" i="1"/>
  <c r="DN89" i="1"/>
  <c r="DO89" i="1"/>
  <c r="DP89" i="1"/>
  <c r="DQ89" i="1"/>
  <c r="DR89" i="1"/>
  <c r="DS89" i="1"/>
  <c r="DT89" i="1"/>
  <c r="DU89" i="1"/>
  <c r="DV89" i="1"/>
  <c r="DW89" i="1"/>
  <c r="DX89" i="1"/>
  <c r="DY89" i="1"/>
  <c r="DZ89" i="1"/>
  <c r="EL89" i="1"/>
  <c r="EM89" i="1"/>
  <c r="EN89" i="1"/>
  <c r="EO89" i="1"/>
  <c r="EP89" i="1"/>
  <c r="EQ89" i="1"/>
  <c r="ER89" i="1"/>
  <c r="ES89" i="1"/>
  <c r="ET89" i="1"/>
  <c r="EU89" i="1"/>
  <c r="EV89" i="1"/>
  <c r="EW89" i="1"/>
  <c r="EX89" i="1"/>
  <c r="EY89" i="1"/>
  <c r="EZ89" i="1"/>
  <c r="FA89" i="1"/>
  <c r="FM89" i="1"/>
  <c r="FN89" i="1"/>
  <c r="FO89" i="1"/>
  <c r="FP89" i="1"/>
  <c r="FQ89" i="1"/>
  <c r="FR89" i="1"/>
  <c r="FS89" i="1"/>
  <c r="FT89" i="1"/>
  <c r="FU89" i="1"/>
  <c r="FV89" i="1"/>
  <c r="FW89" i="1"/>
  <c r="FX89" i="1"/>
  <c r="FY89" i="1"/>
  <c r="FZ89" i="1"/>
  <c r="GA89" i="1"/>
  <c r="GB89" i="1"/>
  <c r="DK90" i="1"/>
  <c r="DL90" i="1"/>
  <c r="DM90" i="1"/>
  <c r="DN90" i="1"/>
  <c r="DO90" i="1"/>
  <c r="DP90" i="1"/>
  <c r="DQ90" i="1"/>
  <c r="DR90" i="1"/>
  <c r="DS90" i="1"/>
  <c r="DT90" i="1"/>
  <c r="DU90" i="1"/>
  <c r="DV90" i="1"/>
  <c r="DW90" i="1"/>
  <c r="DX90" i="1"/>
  <c r="DY90" i="1"/>
  <c r="DZ90" i="1"/>
  <c r="EL90" i="1"/>
  <c r="EM90" i="1"/>
  <c r="EN90" i="1"/>
  <c r="EO90" i="1"/>
  <c r="EP90" i="1"/>
  <c r="EQ90" i="1"/>
  <c r="ER90" i="1"/>
  <c r="ES90" i="1"/>
  <c r="ET90" i="1"/>
  <c r="EU90" i="1"/>
  <c r="EV90" i="1"/>
  <c r="EW90" i="1"/>
  <c r="EX90" i="1"/>
  <c r="EY90" i="1"/>
  <c r="EZ90" i="1"/>
  <c r="FA90" i="1"/>
  <c r="FM90" i="1"/>
  <c r="FN90" i="1"/>
  <c r="FO90" i="1"/>
  <c r="FP90" i="1"/>
  <c r="FQ90" i="1"/>
  <c r="FR90" i="1"/>
  <c r="FS90" i="1"/>
  <c r="FT90" i="1"/>
  <c r="FU90" i="1"/>
  <c r="FV90" i="1"/>
  <c r="FW90" i="1"/>
  <c r="FX90" i="1"/>
  <c r="FY90" i="1"/>
  <c r="FZ90" i="1"/>
  <c r="GA90" i="1"/>
  <c r="GB90" i="1"/>
  <c r="DK91" i="1"/>
  <c r="DL91" i="1"/>
  <c r="DM91" i="1"/>
  <c r="DN91" i="1"/>
  <c r="DO91" i="1"/>
  <c r="DP91" i="1"/>
  <c r="DQ91" i="1"/>
  <c r="DR91" i="1"/>
  <c r="DS91" i="1"/>
  <c r="DT91" i="1"/>
  <c r="DU91" i="1"/>
  <c r="DV91" i="1"/>
  <c r="DW91" i="1"/>
  <c r="DX91" i="1"/>
  <c r="DY91" i="1"/>
  <c r="DZ91" i="1"/>
  <c r="EL91" i="1"/>
  <c r="EM91" i="1"/>
  <c r="EN91" i="1"/>
  <c r="EO91" i="1"/>
  <c r="EP91" i="1"/>
  <c r="EQ91" i="1"/>
  <c r="ER91" i="1"/>
  <c r="ES91" i="1"/>
  <c r="ET91" i="1"/>
  <c r="EU91" i="1"/>
  <c r="EV91" i="1"/>
  <c r="EW91" i="1"/>
  <c r="EX91" i="1"/>
  <c r="EY91" i="1"/>
  <c r="EZ91" i="1"/>
  <c r="FA91" i="1"/>
  <c r="FM91" i="1"/>
  <c r="FN91" i="1"/>
  <c r="FO91" i="1"/>
  <c r="FP91" i="1"/>
  <c r="FQ91" i="1"/>
  <c r="FR91" i="1"/>
  <c r="FS91" i="1"/>
  <c r="FT91" i="1"/>
  <c r="FU91" i="1"/>
  <c r="FV91" i="1"/>
  <c r="FW91" i="1"/>
  <c r="FX91" i="1"/>
  <c r="FY91" i="1"/>
  <c r="FZ91" i="1"/>
  <c r="GA91" i="1"/>
  <c r="GB91" i="1"/>
  <c r="DK92" i="1"/>
  <c r="DL92" i="1"/>
  <c r="DM92" i="1"/>
  <c r="DN92" i="1"/>
  <c r="DO92" i="1"/>
  <c r="DP92" i="1"/>
  <c r="DQ92" i="1"/>
  <c r="DR92" i="1"/>
  <c r="DS92" i="1"/>
  <c r="DT92" i="1"/>
  <c r="DU92" i="1"/>
  <c r="DV92" i="1"/>
  <c r="DW92" i="1"/>
  <c r="DX92" i="1"/>
  <c r="DY92" i="1"/>
  <c r="DZ92" i="1"/>
  <c r="EL92" i="1"/>
  <c r="EM92" i="1"/>
  <c r="EN92" i="1"/>
  <c r="EO92" i="1"/>
  <c r="EP92" i="1"/>
  <c r="EQ92" i="1"/>
  <c r="ER92" i="1"/>
  <c r="ES92" i="1"/>
  <c r="ET92" i="1"/>
  <c r="EU92" i="1"/>
  <c r="EV92" i="1"/>
  <c r="EW92" i="1"/>
  <c r="EX92" i="1"/>
  <c r="EY92" i="1"/>
  <c r="EZ92" i="1"/>
  <c r="FA92" i="1"/>
  <c r="FM92" i="1"/>
  <c r="FN92" i="1"/>
  <c r="FO92" i="1"/>
  <c r="FP92" i="1"/>
  <c r="FQ92" i="1"/>
  <c r="FR92" i="1"/>
  <c r="FS92" i="1"/>
  <c r="FT92" i="1"/>
  <c r="FU92" i="1"/>
  <c r="FV92" i="1"/>
  <c r="FW92" i="1"/>
  <c r="FX92" i="1"/>
  <c r="FY92" i="1"/>
  <c r="FZ92" i="1"/>
  <c r="GA92" i="1"/>
  <c r="GB92" i="1"/>
  <c r="DK93" i="1"/>
  <c r="DL93" i="1"/>
  <c r="DM93" i="1"/>
  <c r="DN93" i="1"/>
  <c r="DO93" i="1"/>
  <c r="DP93" i="1"/>
  <c r="DQ93" i="1"/>
  <c r="DR93" i="1"/>
  <c r="DS93" i="1"/>
  <c r="DT93" i="1"/>
  <c r="DU93" i="1"/>
  <c r="DV93" i="1"/>
  <c r="DW93" i="1"/>
  <c r="DX93" i="1"/>
  <c r="DY93" i="1"/>
  <c r="DZ93" i="1"/>
  <c r="EL93" i="1"/>
  <c r="EM93" i="1"/>
  <c r="EN93" i="1"/>
  <c r="EO93" i="1"/>
  <c r="EP93" i="1"/>
  <c r="EQ93" i="1"/>
  <c r="ER93" i="1"/>
  <c r="ES93" i="1"/>
  <c r="ET93" i="1"/>
  <c r="EU93" i="1"/>
  <c r="EV93" i="1"/>
  <c r="EW93" i="1"/>
  <c r="EX93" i="1"/>
  <c r="EY93" i="1"/>
  <c r="EZ93" i="1"/>
  <c r="FA93" i="1"/>
  <c r="FM93" i="1"/>
  <c r="FN93" i="1"/>
  <c r="FO93" i="1"/>
  <c r="FP93" i="1"/>
  <c r="FQ93" i="1"/>
  <c r="FR93" i="1"/>
  <c r="FS93" i="1"/>
  <c r="FT93" i="1"/>
  <c r="FU93" i="1"/>
  <c r="FV93" i="1"/>
  <c r="FW93" i="1"/>
  <c r="FX93" i="1"/>
  <c r="FY93" i="1"/>
  <c r="FZ93" i="1"/>
  <c r="GA93" i="1"/>
  <c r="GB93" i="1"/>
  <c r="DK94" i="1"/>
  <c r="DL94" i="1"/>
  <c r="DM94" i="1"/>
  <c r="DN94" i="1"/>
  <c r="DO94" i="1"/>
  <c r="DP94" i="1"/>
  <c r="DQ94" i="1"/>
  <c r="DR94" i="1"/>
  <c r="DS94" i="1"/>
  <c r="DT94" i="1"/>
  <c r="DU94" i="1"/>
  <c r="DV94" i="1"/>
  <c r="DW94" i="1"/>
  <c r="DX94" i="1"/>
  <c r="DY94" i="1"/>
  <c r="DZ94" i="1"/>
  <c r="EL94" i="1"/>
  <c r="EM94" i="1"/>
  <c r="EN94" i="1"/>
  <c r="EO94" i="1"/>
  <c r="EP94" i="1"/>
  <c r="EQ94" i="1"/>
  <c r="ER94" i="1"/>
  <c r="ES94" i="1"/>
  <c r="ET94" i="1"/>
  <c r="EU94" i="1"/>
  <c r="EV94" i="1"/>
  <c r="EW94" i="1"/>
  <c r="EX94" i="1"/>
  <c r="EY94" i="1"/>
  <c r="EZ94" i="1"/>
  <c r="FA94" i="1"/>
  <c r="FM94" i="1"/>
  <c r="FN94" i="1"/>
  <c r="FO94" i="1"/>
  <c r="FP94" i="1"/>
  <c r="FQ94" i="1"/>
  <c r="FR94" i="1"/>
  <c r="FS94" i="1"/>
  <c r="FT94" i="1"/>
  <c r="FU94" i="1"/>
  <c r="FV94" i="1"/>
  <c r="FW94" i="1"/>
  <c r="FX94" i="1"/>
  <c r="FY94" i="1"/>
  <c r="FZ94" i="1"/>
  <c r="GA94" i="1"/>
  <c r="GB94" i="1"/>
  <c r="DK95" i="1"/>
  <c r="DL95" i="1"/>
  <c r="DM95" i="1"/>
  <c r="DN95" i="1"/>
  <c r="DO95" i="1"/>
  <c r="DP95" i="1"/>
  <c r="DQ95" i="1"/>
  <c r="DR95" i="1"/>
  <c r="DS95" i="1"/>
  <c r="DT95" i="1"/>
  <c r="DU95" i="1"/>
  <c r="DV95" i="1"/>
  <c r="DW95" i="1"/>
  <c r="DX95" i="1"/>
  <c r="DY95" i="1"/>
  <c r="DZ95" i="1"/>
  <c r="EL95" i="1"/>
  <c r="EM95" i="1"/>
  <c r="EN95" i="1"/>
  <c r="EO95" i="1"/>
  <c r="EP95" i="1"/>
  <c r="EQ95" i="1"/>
  <c r="ER95" i="1"/>
  <c r="ES95" i="1"/>
  <c r="ET95" i="1"/>
  <c r="EU95" i="1"/>
  <c r="EV95" i="1"/>
  <c r="EW95" i="1"/>
  <c r="EX95" i="1"/>
  <c r="EY95" i="1"/>
  <c r="EZ95" i="1"/>
  <c r="FA95" i="1"/>
  <c r="FM95" i="1"/>
  <c r="FN95" i="1"/>
  <c r="FO95" i="1"/>
  <c r="FP95" i="1"/>
  <c r="FQ95" i="1"/>
  <c r="FR95" i="1"/>
  <c r="FS95" i="1"/>
  <c r="FT95" i="1"/>
  <c r="FU95" i="1"/>
  <c r="FV95" i="1"/>
  <c r="FW95" i="1"/>
  <c r="FX95" i="1"/>
  <c r="FY95" i="1"/>
  <c r="FZ95" i="1"/>
  <c r="GA95" i="1"/>
  <c r="GB95" i="1"/>
  <c r="DK96" i="1"/>
  <c r="DL96" i="1"/>
  <c r="DM96" i="1"/>
  <c r="DN96" i="1"/>
  <c r="DO96" i="1"/>
  <c r="DP96" i="1"/>
  <c r="DQ96" i="1"/>
  <c r="DR96" i="1"/>
  <c r="DS96" i="1"/>
  <c r="DT96" i="1"/>
  <c r="DU96" i="1"/>
  <c r="DV96" i="1"/>
  <c r="DW96" i="1"/>
  <c r="DX96" i="1"/>
  <c r="DY96" i="1"/>
  <c r="DZ96" i="1"/>
  <c r="EL96" i="1"/>
  <c r="EM96" i="1"/>
  <c r="EN96" i="1"/>
  <c r="EO96" i="1"/>
  <c r="EP96" i="1"/>
  <c r="EQ96" i="1"/>
  <c r="ER96" i="1"/>
  <c r="ES96" i="1"/>
  <c r="ET96" i="1"/>
  <c r="EU96" i="1"/>
  <c r="EV96" i="1"/>
  <c r="EW96" i="1"/>
  <c r="EX96" i="1"/>
  <c r="EY96" i="1"/>
  <c r="EZ96" i="1"/>
  <c r="FA96" i="1"/>
  <c r="FM96" i="1"/>
  <c r="FN96" i="1"/>
  <c r="FO96" i="1"/>
  <c r="FP96" i="1"/>
  <c r="FQ96" i="1"/>
  <c r="FR96" i="1"/>
  <c r="FS96" i="1"/>
  <c r="FT96" i="1"/>
  <c r="FU96" i="1"/>
  <c r="FV96" i="1"/>
  <c r="FW96" i="1"/>
  <c r="FX96" i="1"/>
  <c r="FY96" i="1"/>
  <c r="FZ96" i="1"/>
  <c r="GA96" i="1"/>
  <c r="GB96" i="1"/>
  <c r="DK97" i="1"/>
  <c r="DL97" i="1"/>
  <c r="DM97" i="1"/>
  <c r="DN97" i="1"/>
  <c r="DO97" i="1"/>
  <c r="DP97" i="1"/>
  <c r="DQ97" i="1"/>
  <c r="DR97" i="1"/>
  <c r="DS97" i="1"/>
  <c r="DT97" i="1"/>
  <c r="DU97" i="1"/>
  <c r="DV97" i="1"/>
  <c r="DW97" i="1"/>
  <c r="DX97" i="1"/>
  <c r="DY97" i="1"/>
  <c r="DZ97" i="1"/>
  <c r="EL97" i="1"/>
  <c r="EM97" i="1"/>
  <c r="EN97" i="1"/>
  <c r="EO97" i="1"/>
  <c r="EP97" i="1"/>
  <c r="EQ97" i="1"/>
  <c r="ER97" i="1"/>
  <c r="ES97" i="1"/>
  <c r="ET97" i="1"/>
  <c r="EU97" i="1"/>
  <c r="EV97" i="1"/>
  <c r="EW97" i="1"/>
  <c r="EX97" i="1"/>
  <c r="EY97" i="1"/>
  <c r="EZ97" i="1"/>
  <c r="FA97" i="1"/>
  <c r="FM97" i="1"/>
  <c r="FN97" i="1"/>
  <c r="FO97" i="1"/>
  <c r="FP97" i="1"/>
  <c r="FQ97" i="1"/>
  <c r="FR97" i="1"/>
  <c r="FS97" i="1"/>
  <c r="FT97" i="1"/>
  <c r="FU97" i="1"/>
  <c r="FV97" i="1"/>
  <c r="FW97" i="1"/>
  <c r="FX97" i="1"/>
  <c r="FY97" i="1"/>
  <c r="FZ97" i="1"/>
  <c r="GA97" i="1"/>
  <c r="GB97" i="1"/>
  <c r="DK98" i="1"/>
  <c r="DL98" i="1"/>
  <c r="DM98" i="1"/>
  <c r="DN98" i="1"/>
  <c r="DO98" i="1"/>
  <c r="DP98" i="1"/>
  <c r="DQ98" i="1"/>
  <c r="DR98" i="1"/>
  <c r="DS98" i="1"/>
  <c r="DT98" i="1"/>
  <c r="DU98" i="1"/>
  <c r="DV98" i="1"/>
  <c r="DW98" i="1"/>
  <c r="DX98" i="1"/>
  <c r="DY98" i="1"/>
  <c r="DZ98" i="1"/>
  <c r="EL98" i="1"/>
  <c r="EM98" i="1"/>
  <c r="EN98" i="1"/>
  <c r="EO98" i="1"/>
  <c r="EP98" i="1"/>
  <c r="EQ98" i="1"/>
  <c r="ER98" i="1"/>
  <c r="ES98" i="1"/>
  <c r="ET98" i="1"/>
  <c r="EU98" i="1"/>
  <c r="EV98" i="1"/>
  <c r="EW98" i="1"/>
  <c r="EX98" i="1"/>
  <c r="EY98" i="1"/>
  <c r="EZ98" i="1"/>
  <c r="FA98" i="1"/>
  <c r="FM98" i="1"/>
  <c r="FN98" i="1"/>
  <c r="FO98" i="1"/>
  <c r="FP98" i="1"/>
  <c r="FQ98" i="1"/>
  <c r="FR98" i="1"/>
  <c r="FS98" i="1"/>
  <c r="FT98" i="1"/>
  <c r="FU98" i="1"/>
  <c r="FV98" i="1"/>
  <c r="FW98" i="1"/>
  <c r="FX98" i="1"/>
  <c r="FY98" i="1"/>
  <c r="FZ98" i="1"/>
  <c r="GA98" i="1"/>
  <c r="GB98" i="1"/>
  <c r="DK99" i="1"/>
  <c r="DL99" i="1"/>
  <c r="DM99" i="1"/>
  <c r="DN99" i="1"/>
  <c r="DO99" i="1"/>
  <c r="DP99" i="1"/>
  <c r="DQ99" i="1"/>
  <c r="DR99" i="1"/>
  <c r="DS99" i="1"/>
  <c r="DT99" i="1"/>
  <c r="DU99" i="1"/>
  <c r="DV99" i="1"/>
  <c r="DW99" i="1"/>
  <c r="DX99" i="1"/>
  <c r="DY99" i="1"/>
  <c r="DZ99" i="1"/>
  <c r="EL99" i="1"/>
  <c r="EM99" i="1"/>
  <c r="EN99" i="1"/>
  <c r="EO99" i="1"/>
  <c r="EP99" i="1"/>
  <c r="EQ99" i="1"/>
  <c r="ER99" i="1"/>
  <c r="ES99" i="1"/>
  <c r="ET99" i="1"/>
  <c r="EU99" i="1"/>
  <c r="EV99" i="1"/>
  <c r="EW99" i="1"/>
  <c r="EX99" i="1"/>
  <c r="EY99" i="1"/>
  <c r="EZ99" i="1"/>
  <c r="FA99" i="1"/>
  <c r="FM99" i="1"/>
  <c r="FN99" i="1"/>
  <c r="FO99" i="1"/>
  <c r="FP99" i="1"/>
  <c r="FQ99" i="1"/>
  <c r="FR99" i="1"/>
  <c r="FS99" i="1"/>
  <c r="FT99" i="1"/>
  <c r="FU99" i="1"/>
  <c r="FV99" i="1"/>
  <c r="FW99" i="1"/>
  <c r="FX99" i="1"/>
  <c r="FY99" i="1"/>
  <c r="FZ99" i="1"/>
  <c r="GA99" i="1"/>
  <c r="GB99" i="1"/>
  <c r="DK100" i="1"/>
  <c r="DL100" i="1"/>
  <c r="DM100" i="1"/>
  <c r="DN100" i="1"/>
  <c r="DO100" i="1"/>
  <c r="DP100" i="1"/>
  <c r="DQ100" i="1"/>
  <c r="DR100" i="1"/>
  <c r="DS100" i="1"/>
  <c r="DT100" i="1"/>
  <c r="DU100" i="1"/>
  <c r="DV100" i="1"/>
  <c r="DW100" i="1"/>
  <c r="DX100" i="1"/>
  <c r="DY100" i="1"/>
  <c r="DZ100" i="1"/>
  <c r="EL100" i="1"/>
  <c r="EM100" i="1"/>
  <c r="EN100" i="1"/>
  <c r="EO100" i="1"/>
  <c r="EP100" i="1"/>
  <c r="EQ100" i="1"/>
  <c r="ER100" i="1"/>
  <c r="ES100" i="1"/>
  <c r="ET100" i="1"/>
  <c r="EU100" i="1"/>
  <c r="EV100" i="1"/>
  <c r="EW100" i="1"/>
  <c r="EX100" i="1"/>
  <c r="EY100" i="1"/>
  <c r="EZ100" i="1"/>
  <c r="FA100" i="1"/>
  <c r="FM100" i="1"/>
  <c r="FN100" i="1"/>
  <c r="FO100" i="1"/>
  <c r="FP100" i="1"/>
  <c r="FQ100" i="1"/>
  <c r="FR100" i="1"/>
  <c r="FS100" i="1"/>
  <c r="FT100" i="1"/>
  <c r="FU100" i="1"/>
  <c r="FV100" i="1"/>
  <c r="FW100" i="1"/>
  <c r="FX100" i="1"/>
  <c r="FY100" i="1"/>
  <c r="FZ100" i="1"/>
  <c r="GA100" i="1"/>
  <c r="GB100" i="1"/>
  <c r="DK101" i="1"/>
  <c r="DL101" i="1"/>
  <c r="DM101" i="1"/>
  <c r="DN101" i="1"/>
  <c r="DO101" i="1"/>
  <c r="DP101" i="1"/>
  <c r="DQ101" i="1"/>
  <c r="DR101" i="1"/>
  <c r="DS101" i="1"/>
  <c r="DT101" i="1"/>
  <c r="DU101" i="1"/>
  <c r="DV101" i="1"/>
  <c r="DW101" i="1"/>
  <c r="DX101" i="1"/>
  <c r="DY101" i="1"/>
  <c r="DZ101" i="1"/>
  <c r="EL101" i="1"/>
  <c r="EM101" i="1"/>
  <c r="EN101" i="1"/>
  <c r="EO101" i="1"/>
  <c r="EP101" i="1"/>
  <c r="EQ101" i="1"/>
  <c r="ER101" i="1"/>
  <c r="ES101" i="1"/>
  <c r="ET101" i="1"/>
  <c r="EU101" i="1"/>
  <c r="EV101" i="1"/>
  <c r="EW101" i="1"/>
  <c r="EX101" i="1"/>
  <c r="EY101" i="1"/>
  <c r="EZ101" i="1"/>
  <c r="FA101" i="1"/>
  <c r="FM101" i="1"/>
  <c r="FN101" i="1"/>
  <c r="FO101" i="1"/>
  <c r="FP101" i="1"/>
  <c r="FQ101" i="1"/>
  <c r="FR101" i="1"/>
  <c r="FS101" i="1"/>
  <c r="FT101" i="1"/>
  <c r="FU101" i="1"/>
  <c r="FV101" i="1"/>
  <c r="FW101" i="1"/>
  <c r="FX101" i="1"/>
  <c r="FY101" i="1"/>
  <c r="FZ101" i="1"/>
  <c r="GA101" i="1"/>
  <c r="GB101" i="1"/>
  <c r="DK102" i="1"/>
  <c r="DL102" i="1"/>
  <c r="DM102" i="1"/>
  <c r="DN102" i="1"/>
  <c r="DO102" i="1"/>
  <c r="DP102" i="1"/>
  <c r="DQ102" i="1"/>
  <c r="DR102" i="1"/>
  <c r="DS102" i="1"/>
  <c r="DT102" i="1"/>
  <c r="DU102" i="1"/>
  <c r="DV102" i="1"/>
  <c r="DW102" i="1"/>
  <c r="DX102" i="1"/>
  <c r="DY102" i="1"/>
  <c r="DZ102" i="1"/>
  <c r="EL102" i="1"/>
  <c r="EM102" i="1"/>
  <c r="EN102" i="1"/>
  <c r="EO102" i="1"/>
  <c r="EP102" i="1"/>
  <c r="EQ102" i="1"/>
  <c r="ER102" i="1"/>
  <c r="ES102" i="1"/>
  <c r="ET102" i="1"/>
  <c r="EU102" i="1"/>
  <c r="EV102" i="1"/>
  <c r="EW102" i="1"/>
  <c r="EX102" i="1"/>
  <c r="EY102" i="1"/>
  <c r="EZ102" i="1"/>
  <c r="FA102" i="1"/>
  <c r="FM102" i="1"/>
  <c r="FN102" i="1"/>
  <c r="FO102" i="1"/>
  <c r="FP102" i="1"/>
  <c r="FQ102" i="1"/>
  <c r="FR102" i="1"/>
  <c r="FS102" i="1"/>
  <c r="FT102" i="1"/>
  <c r="FU102" i="1"/>
  <c r="FV102" i="1"/>
  <c r="FW102" i="1"/>
  <c r="FX102" i="1"/>
  <c r="FY102" i="1"/>
  <c r="FZ102" i="1"/>
  <c r="GA102" i="1"/>
  <c r="GB102" i="1"/>
  <c r="DK103" i="1"/>
  <c r="DL103" i="1"/>
  <c r="DM103" i="1"/>
  <c r="DN103" i="1"/>
  <c r="DO103" i="1"/>
  <c r="DP103" i="1"/>
  <c r="DQ103" i="1"/>
  <c r="DR103" i="1"/>
  <c r="DS103" i="1"/>
  <c r="DT103" i="1"/>
  <c r="DU103" i="1"/>
  <c r="DV103" i="1"/>
  <c r="DW103" i="1"/>
  <c r="DX103" i="1"/>
  <c r="DY103" i="1"/>
  <c r="DZ103" i="1"/>
  <c r="EL103" i="1"/>
  <c r="EM103" i="1"/>
  <c r="EN103" i="1"/>
  <c r="EO103" i="1"/>
  <c r="EP103" i="1"/>
  <c r="EQ103" i="1"/>
  <c r="ER103" i="1"/>
  <c r="ES103" i="1"/>
  <c r="ET103" i="1"/>
  <c r="EU103" i="1"/>
  <c r="EV103" i="1"/>
  <c r="EW103" i="1"/>
  <c r="EX103" i="1"/>
  <c r="EY103" i="1"/>
  <c r="EZ103" i="1"/>
  <c r="FA103" i="1"/>
  <c r="FM103" i="1"/>
  <c r="FN103" i="1"/>
  <c r="FO103" i="1"/>
  <c r="FP103" i="1"/>
  <c r="FQ103" i="1"/>
  <c r="FR103" i="1"/>
  <c r="FS103" i="1"/>
  <c r="FT103" i="1"/>
  <c r="FU103" i="1"/>
  <c r="FV103" i="1"/>
  <c r="FW103" i="1"/>
  <c r="FX103" i="1"/>
  <c r="FY103" i="1"/>
  <c r="FZ103" i="1"/>
  <c r="GA103" i="1"/>
  <c r="GB103" i="1"/>
  <c r="DK104" i="1"/>
  <c r="DL104" i="1"/>
  <c r="DM104" i="1"/>
  <c r="DN104" i="1"/>
  <c r="DO104" i="1"/>
  <c r="DP104" i="1"/>
  <c r="DQ104" i="1"/>
  <c r="DR104" i="1"/>
  <c r="DS104" i="1"/>
  <c r="DT104" i="1"/>
  <c r="DU104" i="1"/>
  <c r="DV104" i="1"/>
  <c r="DW104" i="1"/>
  <c r="DX104" i="1"/>
  <c r="DY104" i="1"/>
  <c r="DZ104" i="1"/>
  <c r="EL104" i="1"/>
  <c r="EM104" i="1"/>
  <c r="EN104" i="1"/>
  <c r="EO104" i="1"/>
  <c r="EP104" i="1"/>
  <c r="EQ104" i="1"/>
  <c r="ER104" i="1"/>
  <c r="ES104" i="1"/>
  <c r="ET104" i="1"/>
  <c r="EU104" i="1"/>
  <c r="EV104" i="1"/>
  <c r="EW104" i="1"/>
  <c r="EX104" i="1"/>
  <c r="EY104" i="1"/>
  <c r="EZ104" i="1"/>
  <c r="FA104" i="1"/>
  <c r="FM104" i="1"/>
  <c r="FN104" i="1"/>
  <c r="FO104" i="1"/>
  <c r="FP104" i="1"/>
  <c r="FQ104" i="1"/>
  <c r="FR104" i="1"/>
  <c r="FS104" i="1"/>
  <c r="FT104" i="1"/>
  <c r="FU104" i="1"/>
  <c r="FV104" i="1"/>
  <c r="FW104" i="1"/>
  <c r="FX104" i="1"/>
  <c r="FY104" i="1"/>
  <c r="FZ104" i="1"/>
  <c r="GA104" i="1"/>
  <c r="GB104" i="1"/>
  <c r="DK105" i="1"/>
  <c r="DL105" i="1"/>
  <c r="DM105" i="1"/>
  <c r="DN105" i="1"/>
  <c r="DO105" i="1"/>
  <c r="DP105" i="1"/>
  <c r="DQ105" i="1"/>
  <c r="DR105" i="1"/>
  <c r="DS105" i="1"/>
  <c r="DT105" i="1"/>
  <c r="DU105" i="1"/>
  <c r="DV105" i="1"/>
  <c r="DW105" i="1"/>
  <c r="DX105" i="1"/>
  <c r="DY105" i="1"/>
  <c r="DZ105" i="1"/>
  <c r="EL105" i="1"/>
  <c r="EM105" i="1"/>
  <c r="EN105" i="1"/>
  <c r="EO105" i="1"/>
  <c r="EP105" i="1"/>
  <c r="EQ105" i="1"/>
  <c r="ER105" i="1"/>
  <c r="ES105" i="1"/>
  <c r="ET105" i="1"/>
  <c r="EU105" i="1"/>
  <c r="EV105" i="1"/>
  <c r="EW105" i="1"/>
  <c r="EX105" i="1"/>
  <c r="EY105" i="1"/>
  <c r="EZ105" i="1"/>
  <c r="FA105" i="1"/>
  <c r="FM105" i="1"/>
  <c r="FN105" i="1"/>
  <c r="FO105" i="1"/>
  <c r="FP105" i="1"/>
  <c r="FQ105" i="1"/>
  <c r="FR105" i="1"/>
  <c r="FS105" i="1"/>
  <c r="FT105" i="1"/>
  <c r="FU105" i="1"/>
  <c r="FV105" i="1"/>
  <c r="FW105" i="1"/>
  <c r="FX105" i="1"/>
  <c r="FY105" i="1"/>
  <c r="FZ105" i="1"/>
  <c r="GA105" i="1"/>
  <c r="GB105" i="1"/>
  <c r="DK106" i="1"/>
  <c r="DL106" i="1"/>
  <c r="DM106" i="1"/>
  <c r="DN106" i="1"/>
  <c r="DO106" i="1"/>
  <c r="DP106" i="1"/>
  <c r="DQ106" i="1"/>
  <c r="DR106" i="1"/>
  <c r="DS106" i="1"/>
  <c r="DT106" i="1"/>
  <c r="DU106" i="1"/>
  <c r="DV106" i="1"/>
  <c r="DW106" i="1"/>
  <c r="DX106" i="1"/>
  <c r="DY106" i="1"/>
  <c r="DZ106" i="1"/>
  <c r="EL106" i="1"/>
  <c r="EM106" i="1"/>
  <c r="EN106" i="1"/>
  <c r="EO106" i="1"/>
  <c r="EP106" i="1"/>
  <c r="EQ106" i="1"/>
  <c r="ER106" i="1"/>
  <c r="ES106" i="1"/>
  <c r="ET106" i="1"/>
  <c r="EU106" i="1"/>
  <c r="EV106" i="1"/>
  <c r="EW106" i="1"/>
  <c r="EX106" i="1"/>
  <c r="EY106" i="1"/>
  <c r="EZ106" i="1"/>
  <c r="FA106" i="1"/>
  <c r="FM106" i="1"/>
  <c r="FN106" i="1"/>
  <c r="FO106" i="1"/>
  <c r="FP106" i="1"/>
  <c r="FQ106" i="1"/>
  <c r="FR106" i="1"/>
  <c r="FS106" i="1"/>
  <c r="FT106" i="1"/>
  <c r="FU106" i="1"/>
  <c r="FV106" i="1"/>
  <c r="FW106" i="1"/>
  <c r="FX106" i="1"/>
  <c r="FY106" i="1"/>
  <c r="FZ106" i="1"/>
  <c r="GA106" i="1"/>
  <c r="GB106" i="1"/>
  <c r="DK107" i="1"/>
  <c r="DL107" i="1"/>
  <c r="DM107" i="1"/>
  <c r="DN107" i="1"/>
  <c r="DO107" i="1"/>
  <c r="DP107" i="1"/>
  <c r="DQ107" i="1"/>
  <c r="DR107" i="1"/>
  <c r="DS107" i="1"/>
  <c r="DT107" i="1"/>
  <c r="DU107" i="1"/>
  <c r="DV107" i="1"/>
  <c r="DW107" i="1"/>
  <c r="DX107" i="1"/>
  <c r="DY107" i="1"/>
  <c r="DZ107" i="1"/>
  <c r="EL107" i="1"/>
  <c r="EM107" i="1"/>
  <c r="EN107" i="1"/>
  <c r="EO107" i="1"/>
  <c r="EP107" i="1"/>
  <c r="EQ107" i="1"/>
  <c r="ER107" i="1"/>
  <c r="ES107" i="1"/>
  <c r="ET107" i="1"/>
  <c r="EU107" i="1"/>
  <c r="EV107" i="1"/>
  <c r="EW107" i="1"/>
  <c r="EX107" i="1"/>
  <c r="EY107" i="1"/>
  <c r="EZ107" i="1"/>
  <c r="FA107" i="1"/>
  <c r="FM107" i="1"/>
  <c r="FN107" i="1"/>
  <c r="FO107" i="1"/>
  <c r="FP107" i="1"/>
  <c r="FQ107" i="1"/>
  <c r="FR107" i="1"/>
  <c r="FS107" i="1"/>
  <c r="FT107" i="1"/>
  <c r="FU107" i="1"/>
  <c r="FV107" i="1"/>
  <c r="FW107" i="1"/>
  <c r="FX107" i="1"/>
  <c r="FY107" i="1"/>
  <c r="FZ107" i="1"/>
  <c r="GA107" i="1"/>
  <c r="GB107" i="1"/>
  <c r="DK108" i="1"/>
  <c r="DL108" i="1"/>
  <c r="DM108" i="1"/>
  <c r="DN108" i="1"/>
  <c r="DO108" i="1"/>
  <c r="DP108" i="1"/>
  <c r="DQ108" i="1"/>
  <c r="DR108" i="1"/>
  <c r="DS108" i="1"/>
  <c r="DT108" i="1"/>
  <c r="DU108" i="1"/>
  <c r="DV108" i="1"/>
  <c r="DW108" i="1"/>
  <c r="DX108" i="1"/>
  <c r="DY108" i="1"/>
  <c r="DZ108" i="1"/>
  <c r="EL108" i="1"/>
  <c r="EM108" i="1"/>
  <c r="EN108" i="1"/>
  <c r="EO108" i="1"/>
  <c r="EP108" i="1"/>
  <c r="EQ108" i="1"/>
  <c r="ER108" i="1"/>
  <c r="ES108" i="1"/>
  <c r="ET108" i="1"/>
  <c r="EU108" i="1"/>
  <c r="EV108" i="1"/>
  <c r="EW108" i="1"/>
  <c r="EX108" i="1"/>
  <c r="EY108" i="1"/>
  <c r="EZ108" i="1"/>
  <c r="FA108" i="1"/>
  <c r="FM108" i="1"/>
  <c r="FN108" i="1"/>
  <c r="FO108" i="1"/>
  <c r="FP108" i="1"/>
  <c r="FQ108" i="1"/>
  <c r="FR108" i="1"/>
  <c r="FS108" i="1"/>
  <c r="FT108" i="1"/>
  <c r="FU108" i="1"/>
  <c r="FV108" i="1"/>
  <c r="FW108" i="1"/>
  <c r="FX108" i="1"/>
  <c r="FY108" i="1"/>
  <c r="FZ108" i="1"/>
  <c r="GA108" i="1"/>
  <c r="GB108" i="1"/>
  <c r="DK109" i="1"/>
  <c r="DL109" i="1"/>
  <c r="DM109" i="1"/>
  <c r="DN109" i="1"/>
  <c r="DO109" i="1"/>
  <c r="DP109" i="1"/>
  <c r="DQ109" i="1"/>
  <c r="DR109" i="1"/>
  <c r="DS109" i="1"/>
  <c r="DT109" i="1"/>
  <c r="DU109" i="1"/>
  <c r="DV109" i="1"/>
  <c r="DW109" i="1"/>
  <c r="DX109" i="1"/>
  <c r="DY109" i="1"/>
  <c r="DZ109" i="1"/>
  <c r="EL109" i="1"/>
  <c r="EM109" i="1"/>
  <c r="EN109" i="1"/>
  <c r="EO109" i="1"/>
  <c r="EP109" i="1"/>
  <c r="EQ109" i="1"/>
  <c r="ER109" i="1"/>
  <c r="ES109" i="1"/>
  <c r="ET109" i="1"/>
  <c r="EU109" i="1"/>
  <c r="EV109" i="1"/>
  <c r="EW109" i="1"/>
  <c r="EX109" i="1"/>
  <c r="EY109" i="1"/>
  <c r="EZ109" i="1"/>
  <c r="FA109" i="1"/>
  <c r="FM109" i="1"/>
  <c r="FN109" i="1"/>
  <c r="FO109" i="1"/>
  <c r="FP109" i="1"/>
  <c r="FQ109" i="1"/>
  <c r="FR109" i="1"/>
  <c r="FS109" i="1"/>
  <c r="FT109" i="1"/>
  <c r="FU109" i="1"/>
  <c r="FV109" i="1"/>
  <c r="FW109" i="1"/>
  <c r="FX109" i="1"/>
  <c r="FY109" i="1"/>
  <c r="FZ109" i="1"/>
  <c r="GA109" i="1"/>
  <c r="GB109" i="1"/>
  <c r="DK110" i="1"/>
  <c r="DL110" i="1"/>
  <c r="DM110" i="1"/>
  <c r="DN110" i="1"/>
  <c r="DO110" i="1"/>
  <c r="DP110" i="1"/>
  <c r="DQ110" i="1"/>
  <c r="DR110" i="1"/>
  <c r="DS110" i="1"/>
  <c r="DT110" i="1"/>
  <c r="DU110" i="1"/>
  <c r="DV110" i="1"/>
  <c r="DW110" i="1"/>
  <c r="DX110" i="1"/>
  <c r="DY110" i="1"/>
  <c r="DZ110" i="1"/>
  <c r="EL110" i="1"/>
  <c r="EM110" i="1"/>
  <c r="EN110" i="1"/>
  <c r="EO110" i="1"/>
  <c r="EP110" i="1"/>
  <c r="EQ110" i="1"/>
  <c r="ER110" i="1"/>
  <c r="ES110" i="1"/>
  <c r="ET110" i="1"/>
  <c r="EU110" i="1"/>
  <c r="EV110" i="1"/>
  <c r="EW110" i="1"/>
  <c r="EX110" i="1"/>
  <c r="EY110" i="1"/>
  <c r="EZ110" i="1"/>
  <c r="FA110" i="1"/>
  <c r="FM110" i="1"/>
  <c r="FN110" i="1"/>
  <c r="FO110" i="1"/>
  <c r="FP110" i="1"/>
  <c r="FQ110" i="1"/>
  <c r="FR110" i="1"/>
  <c r="FS110" i="1"/>
  <c r="FT110" i="1"/>
  <c r="FU110" i="1"/>
  <c r="FV110" i="1"/>
  <c r="FW110" i="1"/>
  <c r="FX110" i="1"/>
  <c r="FY110" i="1"/>
  <c r="FZ110" i="1"/>
  <c r="GA110" i="1"/>
  <c r="GB110" i="1"/>
  <c r="DK111" i="1"/>
  <c r="DL111" i="1"/>
  <c r="DM111" i="1"/>
  <c r="DN111" i="1"/>
  <c r="DO111" i="1"/>
  <c r="DP111" i="1"/>
  <c r="DQ111" i="1"/>
  <c r="DR111" i="1"/>
  <c r="DS111" i="1"/>
  <c r="DT111" i="1"/>
  <c r="DU111" i="1"/>
  <c r="DV111" i="1"/>
  <c r="DW111" i="1"/>
  <c r="DX111" i="1"/>
  <c r="DY111" i="1"/>
  <c r="DZ111" i="1"/>
  <c r="EL111" i="1"/>
  <c r="EM111" i="1"/>
  <c r="EN111" i="1"/>
  <c r="EO111" i="1"/>
  <c r="EP111" i="1"/>
  <c r="EQ111" i="1"/>
  <c r="ER111" i="1"/>
  <c r="ES111" i="1"/>
  <c r="ET111" i="1"/>
  <c r="EU111" i="1"/>
  <c r="EV111" i="1"/>
  <c r="EW111" i="1"/>
  <c r="EX111" i="1"/>
  <c r="EY111" i="1"/>
  <c r="EZ111" i="1"/>
  <c r="FA111" i="1"/>
  <c r="FM111" i="1"/>
  <c r="FN111" i="1"/>
  <c r="FO111" i="1"/>
  <c r="FP111" i="1"/>
  <c r="FQ111" i="1"/>
  <c r="FR111" i="1"/>
  <c r="FS111" i="1"/>
  <c r="FT111" i="1"/>
  <c r="FU111" i="1"/>
  <c r="FV111" i="1"/>
  <c r="FW111" i="1"/>
  <c r="FX111" i="1"/>
  <c r="FY111" i="1"/>
  <c r="FZ111" i="1"/>
  <c r="GA111" i="1"/>
  <c r="GB111" i="1"/>
  <c r="HO2" i="1"/>
  <c r="HP2" i="1"/>
  <c r="HN2" i="1"/>
  <c r="CQ4" i="1" l="1"/>
  <c r="CO137" i="1" s="1"/>
  <c r="DK4" i="1"/>
  <c r="DL4" i="1"/>
  <c r="DM4" i="1"/>
  <c r="DN4" i="1"/>
  <c r="DO4" i="1"/>
  <c r="DP4" i="1"/>
  <c r="DQ4" i="1"/>
  <c r="DR4" i="1"/>
  <c r="DS4" i="1"/>
  <c r="DT4" i="1"/>
  <c r="DU4" i="1"/>
  <c r="DV4" i="1"/>
  <c r="DW4" i="1"/>
  <c r="DX4" i="1"/>
  <c r="DY4" i="1"/>
  <c r="DZ4" i="1"/>
  <c r="EL4" i="1"/>
  <c r="EM4" i="1"/>
  <c r="EN4" i="1"/>
  <c r="EO4" i="1"/>
  <c r="EP4" i="1"/>
  <c r="EQ4" i="1"/>
  <c r="ER4" i="1"/>
  <c r="ES4" i="1"/>
  <c r="ET4" i="1"/>
  <c r="EU4" i="1"/>
  <c r="EV4" i="1"/>
  <c r="EW4" i="1"/>
  <c r="EX4" i="1"/>
  <c r="EY4" i="1"/>
  <c r="EZ4" i="1"/>
  <c r="FA4" i="1"/>
  <c r="FM4" i="1"/>
  <c r="FN4" i="1"/>
  <c r="FO4" i="1"/>
  <c r="FP4" i="1"/>
  <c r="FQ4" i="1"/>
  <c r="FR4" i="1"/>
  <c r="FS4" i="1"/>
  <c r="FT4" i="1"/>
  <c r="FU4" i="1"/>
  <c r="FV4" i="1"/>
  <c r="FW4" i="1"/>
  <c r="FX4" i="1"/>
  <c r="FY4" i="1"/>
  <c r="FZ4" i="1"/>
  <c r="GA4" i="1"/>
  <c r="GB4" i="1"/>
  <c r="GN4" i="1"/>
  <c r="GO4" i="1"/>
  <c r="GP4" i="1"/>
  <c r="GQ4" i="1"/>
  <c r="CR111" i="1" l="1"/>
  <c r="DB111" i="1"/>
  <c r="CY111" i="1"/>
  <c r="CR51" i="1"/>
  <c r="DB51" i="1"/>
  <c r="CY51" i="1"/>
  <c r="CR47" i="1"/>
  <c r="CY47" i="1"/>
  <c r="DB47" i="1"/>
  <c r="CR43" i="1"/>
  <c r="DB43" i="1"/>
  <c r="CY43" i="1"/>
  <c r="CR39" i="1"/>
  <c r="DB39" i="1"/>
  <c r="CY39" i="1"/>
  <c r="CR35" i="1"/>
  <c r="DB35" i="1"/>
  <c r="CY35" i="1"/>
  <c r="CR31" i="1"/>
  <c r="CY31" i="1"/>
  <c r="DB31" i="1"/>
  <c r="CR27" i="1"/>
  <c r="DB27" i="1"/>
  <c r="CY27" i="1"/>
  <c r="CR23" i="1"/>
  <c r="CY23" i="1"/>
  <c r="DB23" i="1"/>
  <c r="CR19" i="1"/>
  <c r="DB19" i="1"/>
  <c r="CY19" i="1"/>
  <c r="CR15" i="1"/>
  <c r="DB15" i="1"/>
  <c r="CY15" i="1"/>
  <c r="CR11" i="1"/>
  <c r="DB11" i="1"/>
  <c r="CY11" i="1"/>
  <c r="CR7" i="1"/>
  <c r="DB7" i="1"/>
  <c r="CY7" i="1"/>
  <c r="CR59" i="1"/>
  <c r="DB59" i="1"/>
  <c r="CY59" i="1"/>
  <c r="DB106" i="1"/>
  <c r="CY106" i="1"/>
  <c r="CR106" i="1"/>
  <c r="DB98" i="1"/>
  <c r="CY98" i="1"/>
  <c r="CR98" i="1"/>
  <c r="DB86" i="1"/>
  <c r="CY86" i="1"/>
  <c r="CR86" i="1"/>
  <c r="DB78" i="1"/>
  <c r="CY78" i="1"/>
  <c r="CR78" i="1"/>
  <c r="DB70" i="1"/>
  <c r="CY70" i="1"/>
  <c r="CR70" i="1"/>
  <c r="DB58" i="1"/>
  <c r="CY58" i="1"/>
  <c r="CR58" i="1"/>
  <c r="DB50" i="1"/>
  <c r="CR50" i="1"/>
  <c r="CY50" i="1"/>
  <c r="DB38" i="1"/>
  <c r="CY38" i="1"/>
  <c r="CR38" i="1"/>
  <c r="DB30" i="1"/>
  <c r="CY30" i="1"/>
  <c r="CR30" i="1"/>
  <c r="DB18" i="1"/>
  <c r="CR18" i="1"/>
  <c r="CY18" i="1"/>
  <c r="DB6" i="1"/>
  <c r="CY6" i="1"/>
  <c r="CR6" i="1"/>
  <c r="CY4" i="1"/>
  <c r="CR4" i="1"/>
  <c r="DB4" i="1"/>
  <c r="CY108" i="1"/>
  <c r="CR108" i="1"/>
  <c r="DB108" i="1"/>
  <c r="CY104" i="1"/>
  <c r="CR104" i="1"/>
  <c r="DB104" i="1"/>
  <c r="CY100" i="1"/>
  <c r="CR100" i="1"/>
  <c r="DB100" i="1"/>
  <c r="CY96" i="1"/>
  <c r="CR96" i="1"/>
  <c r="DB96" i="1"/>
  <c r="CY92" i="1"/>
  <c r="CR92" i="1"/>
  <c r="DB92" i="1"/>
  <c r="CY88" i="1"/>
  <c r="CR88" i="1"/>
  <c r="DB88" i="1"/>
  <c r="CY84" i="1"/>
  <c r="CR84" i="1"/>
  <c r="DB84" i="1"/>
  <c r="CY80" i="1"/>
  <c r="CR80" i="1"/>
  <c r="DB80" i="1"/>
  <c r="CY76" i="1"/>
  <c r="CR76" i="1"/>
  <c r="DB76" i="1"/>
  <c r="CY72" i="1"/>
  <c r="CR72" i="1"/>
  <c r="DB72" i="1"/>
  <c r="CY68" i="1"/>
  <c r="CR68" i="1"/>
  <c r="DB68" i="1"/>
  <c r="CY64" i="1"/>
  <c r="CR64" i="1"/>
  <c r="DB64" i="1"/>
  <c r="CY60" i="1"/>
  <c r="CR60" i="1"/>
  <c r="DB60" i="1"/>
  <c r="CY56" i="1"/>
  <c r="CR56" i="1"/>
  <c r="DB56" i="1"/>
  <c r="CY52" i="1"/>
  <c r="CR52" i="1"/>
  <c r="DB52" i="1"/>
  <c r="CY48" i="1"/>
  <c r="CR48" i="1"/>
  <c r="DB48" i="1"/>
  <c r="CY44" i="1"/>
  <c r="CR44" i="1"/>
  <c r="DB44" i="1"/>
  <c r="CY40" i="1"/>
  <c r="CR40" i="1"/>
  <c r="DB40" i="1"/>
  <c r="CY36" i="1"/>
  <c r="CR36" i="1"/>
  <c r="DB36" i="1"/>
  <c r="CY32" i="1"/>
  <c r="CR32" i="1"/>
  <c r="DB32" i="1"/>
  <c r="CY28" i="1"/>
  <c r="CR28" i="1"/>
  <c r="DB28" i="1"/>
  <c r="CY24" i="1"/>
  <c r="CR24" i="1"/>
  <c r="DB24" i="1"/>
  <c r="CY20" i="1"/>
  <c r="CR20" i="1"/>
  <c r="DB20" i="1"/>
  <c r="CY16" i="1"/>
  <c r="CR16" i="1"/>
  <c r="DB16" i="1"/>
  <c r="CY12" i="1"/>
  <c r="CR12" i="1"/>
  <c r="DB12" i="1"/>
  <c r="CY8" i="1"/>
  <c r="CR8" i="1"/>
  <c r="DB8" i="1"/>
  <c r="CR107" i="1"/>
  <c r="DB107" i="1"/>
  <c r="CY107" i="1"/>
  <c r="CR103" i="1"/>
  <c r="DB103" i="1"/>
  <c r="CY103" i="1"/>
  <c r="CR99" i="1"/>
  <c r="DB99" i="1"/>
  <c r="CY99" i="1"/>
  <c r="CR95" i="1"/>
  <c r="DB95" i="1"/>
  <c r="CY95" i="1"/>
  <c r="CR91" i="1"/>
  <c r="DB91" i="1"/>
  <c r="CY91" i="1"/>
  <c r="CR87" i="1"/>
  <c r="DB87" i="1"/>
  <c r="CY87" i="1"/>
  <c r="CR83" i="1"/>
  <c r="DB83" i="1"/>
  <c r="CY83" i="1"/>
  <c r="CR79" i="1"/>
  <c r="CY79" i="1"/>
  <c r="DB79" i="1"/>
  <c r="CR75" i="1"/>
  <c r="DB75" i="1"/>
  <c r="CY75" i="1"/>
  <c r="CR71" i="1"/>
  <c r="CY71" i="1"/>
  <c r="DB71" i="1"/>
  <c r="CR67" i="1"/>
  <c r="DB67" i="1"/>
  <c r="CY67" i="1"/>
  <c r="CR63" i="1"/>
  <c r="DB63" i="1"/>
  <c r="CY63" i="1"/>
  <c r="CR55" i="1"/>
  <c r="CY55" i="1"/>
  <c r="DB55" i="1"/>
  <c r="DB110" i="1"/>
  <c r="CY110" i="1"/>
  <c r="CR110" i="1"/>
  <c r="DB102" i="1"/>
  <c r="CR102" i="1"/>
  <c r="CY102" i="1"/>
  <c r="DB94" i="1"/>
  <c r="CY94" i="1"/>
  <c r="CR94" i="1"/>
  <c r="DB90" i="1"/>
  <c r="CR90" i="1"/>
  <c r="CY90" i="1"/>
  <c r="DB82" i="1"/>
  <c r="CY82" i="1"/>
  <c r="CR82" i="1"/>
  <c r="DB74" i="1"/>
  <c r="CY74" i="1"/>
  <c r="CR74" i="1"/>
  <c r="DB66" i="1"/>
  <c r="CR66" i="1"/>
  <c r="CY66" i="1"/>
  <c r="DB62" i="1"/>
  <c r="CY62" i="1"/>
  <c r="CR62" i="1"/>
  <c r="DB54" i="1"/>
  <c r="CY54" i="1"/>
  <c r="CR54" i="1"/>
  <c r="DB46" i="1"/>
  <c r="CY46" i="1"/>
  <c r="CR46" i="1"/>
  <c r="DB42" i="1"/>
  <c r="CR42" i="1"/>
  <c r="CY42" i="1"/>
  <c r="DB34" i="1"/>
  <c r="CY34" i="1"/>
  <c r="CR34" i="1"/>
  <c r="DB26" i="1"/>
  <c r="CR26" i="1"/>
  <c r="CY26" i="1"/>
  <c r="DB22" i="1"/>
  <c r="CY22" i="1"/>
  <c r="CR22" i="1"/>
  <c r="DB14" i="1"/>
  <c r="CY14" i="1"/>
  <c r="CR14" i="1"/>
  <c r="DB10" i="1"/>
  <c r="CR10" i="1"/>
  <c r="CY10" i="1"/>
  <c r="DB109" i="1"/>
  <c r="CY109" i="1"/>
  <c r="CR109" i="1"/>
  <c r="DB105" i="1"/>
  <c r="CY105" i="1"/>
  <c r="CR105" i="1"/>
  <c r="DB101" i="1"/>
  <c r="CR101" i="1"/>
  <c r="CY101" i="1"/>
  <c r="DB97" i="1"/>
  <c r="CY97" i="1"/>
  <c r="CR97" i="1"/>
  <c r="DB93" i="1"/>
  <c r="CY93" i="1"/>
  <c r="CR93" i="1"/>
  <c r="DB89" i="1"/>
  <c r="CY89" i="1"/>
  <c r="CR89" i="1"/>
  <c r="DB85" i="1"/>
  <c r="CY85" i="1"/>
  <c r="CR85" i="1"/>
  <c r="DB81" i="1"/>
  <c r="CY81" i="1"/>
  <c r="CR81" i="1"/>
  <c r="DB77" i="1"/>
  <c r="CY77" i="1"/>
  <c r="CR77" i="1"/>
  <c r="DB73" i="1"/>
  <c r="CY73" i="1"/>
  <c r="CR73" i="1"/>
  <c r="DB69" i="1"/>
  <c r="CY69" i="1"/>
  <c r="CR69" i="1"/>
  <c r="DB65" i="1"/>
  <c r="CY65" i="1"/>
  <c r="CR65" i="1"/>
  <c r="DB61" i="1"/>
  <c r="CY61" i="1"/>
  <c r="CR61" i="1"/>
  <c r="DB57" i="1"/>
  <c r="CY57" i="1"/>
  <c r="CR57" i="1"/>
  <c r="DB53" i="1"/>
  <c r="CY53" i="1"/>
  <c r="CR53" i="1"/>
  <c r="DB49" i="1"/>
  <c r="CY49" i="1"/>
  <c r="CR49" i="1"/>
  <c r="DB45" i="1"/>
  <c r="CY45" i="1"/>
  <c r="CR45" i="1"/>
  <c r="DB41" i="1"/>
  <c r="CY41" i="1"/>
  <c r="CR41" i="1"/>
  <c r="DB37" i="1"/>
  <c r="CY37" i="1"/>
  <c r="CR37" i="1"/>
  <c r="DB33" i="1"/>
  <c r="CY33" i="1"/>
  <c r="CR33" i="1"/>
  <c r="DB29" i="1"/>
  <c r="CY29" i="1"/>
  <c r="CR29" i="1"/>
  <c r="DB25" i="1"/>
  <c r="CY25" i="1"/>
  <c r="CR25" i="1"/>
  <c r="DB21" i="1"/>
  <c r="CY21" i="1"/>
  <c r="CR21" i="1"/>
  <c r="DB17" i="1"/>
  <c r="CY17" i="1"/>
  <c r="CR17" i="1"/>
  <c r="DB13" i="1"/>
  <c r="CY13" i="1"/>
  <c r="CR13" i="1"/>
  <c r="DB9" i="1"/>
  <c r="CY9" i="1"/>
  <c r="CR9" i="1"/>
  <c r="DB5" i="1"/>
  <c r="CY5" i="1"/>
  <c r="CR5" i="1"/>
  <c r="IT103" i="1"/>
  <c r="IT91" i="1"/>
  <c r="IT87" i="1"/>
  <c r="IT75" i="1"/>
  <c r="IT63" i="1"/>
  <c r="IT51" i="1"/>
  <c r="IT39" i="1"/>
  <c r="IT19" i="1"/>
  <c r="IT108" i="1"/>
  <c r="IT104" i="1"/>
  <c r="IT100" i="1"/>
  <c r="IT96" i="1"/>
  <c r="IT92" i="1"/>
  <c r="IT88" i="1"/>
  <c r="IT84" i="1"/>
  <c r="IT80" i="1"/>
  <c r="IT76" i="1"/>
  <c r="IT72" i="1"/>
  <c r="IT68" i="1"/>
  <c r="IT64" i="1"/>
  <c r="IT60" i="1"/>
  <c r="IT56" i="1"/>
  <c r="IT52" i="1"/>
  <c r="IT48" i="1"/>
  <c r="IT44" i="1"/>
  <c r="IT40" i="1"/>
  <c r="IT36" i="1"/>
  <c r="IT32" i="1"/>
  <c r="IT28" i="1"/>
  <c r="IT24" i="1"/>
  <c r="IT20" i="1"/>
  <c r="IT16" i="1"/>
  <c r="IT12" i="1"/>
  <c r="IT8" i="1"/>
  <c r="IT107" i="1"/>
  <c r="IT99" i="1"/>
  <c r="IT83" i="1"/>
  <c r="IT71" i="1"/>
  <c r="IT59" i="1"/>
  <c r="IT47" i="1"/>
  <c r="IT35" i="1"/>
  <c r="IT27" i="1"/>
  <c r="IT15" i="1"/>
  <c r="IT7" i="1"/>
  <c r="IT110" i="1"/>
  <c r="IT106" i="1"/>
  <c r="IT102" i="1"/>
  <c r="IT98" i="1"/>
  <c r="IT94" i="1"/>
  <c r="IT90" i="1"/>
  <c r="IT86" i="1"/>
  <c r="IT82" i="1"/>
  <c r="IT78" i="1"/>
  <c r="IT74" i="1"/>
  <c r="IT70" i="1"/>
  <c r="IT66" i="1"/>
  <c r="IT62" i="1"/>
  <c r="IT58" i="1"/>
  <c r="IT54" i="1"/>
  <c r="IT50" i="1"/>
  <c r="IT46" i="1"/>
  <c r="IT42" i="1"/>
  <c r="IT38" i="1"/>
  <c r="IT34" i="1"/>
  <c r="IT30" i="1"/>
  <c r="IT26" i="1"/>
  <c r="IT22" i="1"/>
  <c r="IT18" i="1"/>
  <c r="IT14" i="1"/>
  <c r="IT10" i="1"/>
  <c r="IT6" i="1"/>
  <c r="IT111" i="1"/>
  <c r="IT95" i="1"/>
  <c r="IT79" i="1"/>
  <c r="IT67" i="1"/>
  <c r="IT55" i="1"/>
  <c r="IT43" i="1"/>
  <c r="IT31" i="1"/>
  <c r="IT23" i="1"/>
  <c r="IT11" i="1"/>
  <c r="IT109" i="1"/>
  <c r="IT105" i="1"/>
  <c r="IT101" i="1"/>
  <c r="IT97" i="1"/>
  <c r="IT93" i="1"/>
  <c r="IT89" i="1"/>
  <c r="IT85" i="1"/>
  <c r="IT81" i="1"/>
  <c r="IT77" i="1"/>
  <c r="IT73" i="1"/>
  <c r="IT69" i="1"/>
  <c r="IT65" i="1"/>
  <c r="IT61" i="1"/>
  <c r="IT57" i="1"/>
  <c r="IT53" i="1"/>
  <c r="IT49" i="1"/>
  <c r="IT45" i="1"/>
  <c r="IT41" i="1"/>
  <c r="IT37" i="1"/>
  <c r="IT33" i="1"/>
  <c r="IT29" i="1"/>
  <c r="IT25" i="1"/>
  <c r="IT21" i="1"/>
  <c r="IT17" i="1"/>
  <c r="IT13" i="1"/>
  <c r="IT9" i="1"/>
  <c r="HG105" i="1"/>
  <c r="HG97" i="1"/>
  <c r="HG89" i="1"/>
  <c r="HG81" i="1"/>
  <c r="HG73" i="1"/>
  <c r="HG61" i="1"/>
  <c r="HG53" i="1"/>
  <c r="HG45" i="1"/>
  <c r="HG37" i="1"/>
  <c r="HG29" i="1"/>
  <c r="HG25" i="1"/>
  <c r="HG17" i="1"/>
  <c r="HG9" i="1"/>
  <c r="HG104" i="1"/>
  <c r="HG96" i="1"/>
  <c r="HG88" i="1"/>
  <c r="HG80" i="1"/>
  <c r="HG72" i="1"/>
  <c r="HG64" i="1"/>
  <c r="HG56" i="1"/>
  <c r="HG48" i="1"/>
  <c r="HG40" i="1"/>
  <c r="HG32" i="1"/>
  <c r="HG28" i="1"/>
  <c r="HG20" i="1"/>
  <c r="HG12" i="1"/>
  <c r="HG110" i="1"/>
  <c r="HG106" i="1"/>
  <c r="HG102" i="1"/>
  <c r="HG98" i="1"/>
  <c r="HG94" i="1"/>
  <c r="HG90" i="1"/>
  <c r="HG86" i="1"/>
  <c r="HG82" i="1"/>
  <c r="HG78" i="1"/>
  <c r="HG74" i="1"/>
  <c r="HG70" i="1"/>
  <c r="HG66" i="1"/>
  <c r="HG62" i="1"/>
  <c r="HG58" i="1"/>
  <c r="HG54" i="1"/>
  <c r="HG50" i="1"/>
  <c r="HG46" i="1"/>
  <c r="HG42" i="1"/>
  <c r="HG38" i="1"/>
  <c r="HG34" i="1"/>
  <c r="HG30" i="1"/>
  <c r="HG26" i="1"/>
  <c r="HG22" i="1"/>
  <c r="HG18" i="1"/>
  <c r="HG14" i="1"/>
  <c r="HG10" i="1"/>
  <c r="HG6" i="1"/>
  <c r="HG109" i="1"/>
  <c r="HG101" i="1"/>
  <c r="HG93" i="1"/>
  <c r="HG85" i="1"/>
  <c r="HG77" i="1"/>
  <c r="HG69" i="1"/>
  <c r="HG65" i="1"/>
  <c r="HG57" i="1"/>
  <c r="HG49" i="1"/>
  <c r="HG41" i="1"/>
  <c r="HG33" i="1"/>
  <c r="HG21" i="1"/>
  <c r="HG13" i="1"/>
  <c r="HG5" i="1"/>
  <c r="HG4" i="1"/>
  <c r="HG108" i="1"/>
  <c r="HG100" i="1"/>
  <c r="HG92" i="1"/>
  <c r="HG84" i="1"/>
  <c r="HG76" i="1"/>
  <c r="HG68" i="1"/>
  <c r="HG60" i="1"/>
  <c r="HG52" i="1"/>
  <c r="HG44" i="1"/>
  <c r="HG36" i="1"/>
  <c r="HG24" i="1"/>
  <c r="HG16" i="1"/>
  <c r="HG8" i="1"/>
  <c r="HG111" i="1"/>
  <c r="HG107" i="1"/>
  <c r="HG103" i="1"/>
  <c r="HG99" i="1"/>
  <c r="HG95" i="1"/>
  <c r="HG91" i="1"/>
  <c r="HG87" i="1"/>
  <c r="HG83" i="1"/>
  <c r="HG79" i="1"/>
  <c r="HG75" i="1"/>
  <c r="HG71" i="1"/>
  <c r="HG67" i="1"/>
  <c r="HG63" i="1"/>
  <c r="HG59" i="1"/>
  <c r="HG55" i="1"/>
  <c r="HG51" i="1"/>
  <c r="HG47" i="1"/>
  <c r="HG43" i="1"/>
  <c r="HG39" i="1"/>
  <c r="HG35" i="1"/>
  <c r="HG31" i="1"/>
  <c r="HG27" i="1"/>
  <c r="HG23" i="1"/>
  <c r="HG19" i="1"/>
  <c r="HG15" i="1"/>
  <c r="HG11" i="1"/>
  <c r="HG7" i="1"/>
  <c r="I1" i="4" l="1"/>
  <c r="AJ49" i="1"/>
  <c r="AQ47" i="1" s="1"/>
  <c r="W11" i="1"/>
  <c r="D32" i="1" s="1"/>
  <c r="W19" i="1"/>
  <c r="H32" i="1" s="1"/>
  <c r="I32" i="1" s="1"/>
  <c r="I29" i="1"/>
  <c r="D76" i="1"/>
  <c r="C75" i="1"/>
  <c r="C77" i="1" s="1"/>
  <c r="O5" i="1"/>
  <c r="JC29" i="1" s="1"/>
  <c r="AQ46" i="1"/>
  <c r="O6" i="1"/>
  <c r="O8" i="1"/>
  <c r="E76" i="1"/>
  <c r="F76" i="1"/>
  <c r="G76" i="1"/>
  <c r="L35" i="1"/>
  <c r="Y71" i="6" s="1"/>
  <c r="M35" i="1"/>
  <c r="Y72" i="6" s="1"/>
  <c r="AA116" i="6" s="1"/>
  <c r="AW95" i="1" s="1"/>
  <c r="N35" i="1"/>
  <c r="Y73" i="6" s="1"/>
  <c r="O35" i="1"/>
  <c r="Y74" i="6" s="1"/>
  <c r="AA128" i="6" s="1"/>
  <c r="AW107" i="1" s="1"/>
  <c r="P35" i="1"/>
  <c r="Y79" i="6" s="1"/>
  <c r="Q35" i="1"/>
  <c r="Y80" i="6" s="1"/>
  <c r="R35" i="1"/>
  <c r="Y81" i="6" s="1"/>
  <c r="S35" i="1"/>
  <c r="Y82" i="6" s="1"/>
  <c r="AA155" i="6" s="1"/>
  <c r="AW134" i="1" s="1"/>
  <c r="T35" i="1"/>
  <c r="Y87" i="6" s="1"/>
  <c r="U35" i="1"/>
  <c r="Y88" i="6" s="1"/>
  <c r="AA167" i="6" s="1"/>
  <c r="V35" i="1"/>
  <c r="Y89" i="6" s="1"/>
  <c r="W35" i="1"/>
  <c r="Y90" i="6" s="1"/>
  <c r="AA181" i="6" s="1"/>
  <c r="X35" i="1"/>
  <c r="Y95" i="6" s="1"/>
  <c r="Y35" i="1"/>
  <c r="Y96" i="6" s="1"/>
  <c r="Z35" i="1"/>
  <c r="Y97" i="6" s="1"/>
  <c r="AA35" i="1"/>
  <c r="Y98" i="6" s="1"/>
  <c r="AA207" i="6" s="1"/>
  <c r="I38" i="1"/>
  <c r="J38" i="1"/>
  <c r="K38" i="1"/>
  <c r="D31" i="1"/>
  <c r="E31" i="1" s="1"/>
  <c r="D38" i="1"/>
  <c r="D41" i="1" s="1"/>
  <c r="E38" i="1"/>
  <c r="F38" i="1"/>
  <c r="G38" i="1"/>
  <c r="B102" i="5"/>
  <c r="C102" i="5"/>
  <c r="D102" i="5"/>
  <c r="E102" i="5"/>
  <c r="F102" i="5"/>
  <c r="G102" i="5"/>
  <c r="H102" i="5"/>
  <c r="I102" i="5"/>
  <c r="J102" i="5"/>
  <c r="K102" i="5"/>
  <c r="L102" i="5"/>
  <c r="M102" i="5"/>
  <c r="N102" i="5"/>
  <c r="O102" i="5"/>
  <c r="P102" i="5"/>
  <c r="Q102" i="5"/>
  <c r="R102" i="5"/>
  <c r="S102" i="5"/>
  <c r="T102" i="5"/>
  <c r="U102" i="5"/>
  <c r="V102" i="5"/>
  <c r="W102" i="5"/>
  <c r="X102" i="5"/>
  <c r="Y102" i="5"/>
  <c r="Z102" i="5"/>
  <c r="AA102" i="5"/>
  <c r="AB102" i="5"/>
  <c r="AC102" i="5"/>
  <c r="AD102" i="5"/>
  <c r="AE102" i="5"/>
  <c r="AF102" i="5"/>
  <c r="AG102" i="5"/>
  <c r="AH102" i="5"/>
  <c r="AI102" i="5"/>
  <c r="AJ102" i="5"/>
  <c r="AK102" i="5"/>
  <c r="AL102" i="5"/>
  <c r="AM102" i="5"/>
  <c r="AN102" i="5"/>
  <c r="AO102" i="5"/>
  <c r="AP102" i="5"/>
  <c r="AQ102" i="5"/>
  <c r="AR102" i="5"/>
  <c r="AS102" i="5"/>
  <c r="AT102" i="5"/>
  <c r="AU102" i="5"/>
  <c r="AV102" i="5"/>
  <c r="AW102" i="5"/>
  <c r="AX102" i="5"/>
  <c r="AY102" i="5"/>
  <c r="AZ102" i="5"/>
  <c r="BA102" i="5"/>
  <c r="BB102" i="5"/>
  <c r="BC102" i="5"/>
  <c r="BD102" i="5"/>
  <c r="BE102" i="5"/>
  <c r="BF102" i="5"/>
  <c r="BG102" i="5"/>
  <c r="BH102" i="5"/>
  <c r="BI102" i="5"/>
  <c r="BJ102" i="5"/>
  <c r="BK102" i="5"/>
  <c r="BL102" i="5"/>
  <c r="BM102" i="5"/>
  <c r="BN102" i="5"/>
  <c r="BO102" i="5"/>
  <c r="BP102" i="5"/>
  <c r="BQ102" i="5"/>
  <c r="BR102" i="5"/>
  <c r="BS102" i="5"/>
  <c r="BT102" i="5"/>
  <c r="BU102" i="5"/>
  <c r="BV102" i="5"/>
  <c r="BW102" i="5"/>
  <c r="BX102" i="5"/>
  <c r="BY102" i="5"/>
  <c r="BZ102" i="5"/>
  <c r="CA102" i="5"/>
  <c r="CB102" i="5"/>
  <c r="CC102" i="5"/>
  <c r="CD102" i="5"/>
  <c r="AL27" i="6"/>
  <c r="A23" i="6" s="1"/>
  <c r="BM30" i="1"/>
  <c r="BN30" i="1"/>
  <c r="BM34" i="1"/>
  <c r="BN34" i="1"/>
  <c r="BM31" i="1"/>
  <c r="BN31" i="1"/>
  <c r="BN77" i="1" s="1"/>
  <c r="BN9" i="1"/>
  <c r="BN21" i="1"/>
  <c r="J82" i="1"/>
  <c r="K82" i="1"/>
  <c r="L82" i="1"/>
  <c r="M82" i="1"/>
  <c r="N82" i="1"/>
  <c r="O82" i="1"/>
  <c r="AN11" i="1"/>
  <c r="BK51" i="6" s="1"/>
  <c r="J80" i="1"/>
  <c r="K80" i="1" s="1"/>
  <c r="J76" i="1"/>
  <c r="J81" i="1"/>
  <c r="W27" i="1"/>
  <c r="AC21" i="1" s="1"/>
  <c r="AC23" i="1" s="1"/>
  <c r="AC25" i="1" s="1"/>
  <c r="H80" i="1"/>
  <c r="I80" i="1" s="1"/>
  <c r="I76" i="1"/>
  <c r="I81" i="1"/>
  <c r="I82" i="1"/>
  <c r="H76" i="1"/>
  <c r="H81" i="1"/>
  <c r="H82" i="1"/>
  <c r="AN19" i="1"/>
  <c r="AT13" i="1" s="1"/>
  <c r="AT15" i="1" s="1"/>
  <c r="AT17" i="1" s="1"/>
  <c r="AN27" i="1"/>
  <c r="AT21" i="1" s="1"/>
  <c r="AT23" i="1" s="1"/>
  <c r="L32" i="1"/>
  <c r="M32" i="1" s="1"/>
  <c r="P32" i="1"/>
  <c r="Q32" i="1" s="1"/>
  <c r="K76" i="1"/>
  <c r="K77" i="1" s="1"/>
  <c r="K81" i="1"/>
  <c r="L80" i="1"/>
  <c r="M80" i="1" s="1"/>
  <c r="L76" i="1"/>
  <c r="L81" i="1"/>
  <c r="T32" i="1"/>
  <c r="M76" i="1"/>
  <c r="M81" i="1"/>
  <c r="N80" i="1"/>
  <c r="O80" i="1" s="1"/>
  <c r="N76" i="1"/>
  <c r="N81" i="1"/>
  <c r="X32" i="1"/>
  <c r="Y32" i="1" s="1"/>
  <c r="O76" i="1"/>
  <c r="O81" i="1"/>
  <c r="T38" i="1"/>
  <c r="U38" i="1"/>
  <c r="V38" i="1"/>
  <c r="W38" i="1"/>
  <c r="X38" i="1"/>
  <c r="Y38" i="1"/>
  <c r="Z38" i="1"/>
  <c r="AA38" i="1"/>
  <c r="P38" i="1"/>
  <c r="Q38" i="1"/>
  <c r="R38" i="1"/>
  <c r="S38" i="1"/>
  <c r="L38" i="1"/>
  <c r="M38" i="1"/>
  <c r="N38" i="1"/>
  <c r="O38" i="1"/>
  <c r="H38" i="1"/>
  <c r="BN20" i="1"/>
  <c r="U63" i="1"/>
  <c r="O13" i="1"/>
  <c r="HW3" i="1" s="1"/>
  <c r="J32" i="1"/>
  <c r="AV81" i="1" s="1"/>
  <c r="K32" i="1"/>
  <c r="AV82" i="1" s="1"/>
  <c r="N32" i="1"/>
  <c r="AV107" i="1" s="1"/>
  <c r="O32" i="1"/>
  <c r="AV108" i="1" s="1"/>
  <c r="R32" i="1"/>
  <c r="AV133" i="1" s="1"/>
  <c r="S32" i="1"/>
  <c r="AV134" i="1" s="1"/>
  <c r="V32" i="1"/>
  <c r="AV159" i="1" s="1"/>
  <c r="W32" i="1"/>
  <c r="AV160" i="1" s="1"/>
  <c r="Z32" i="1"/>
  <c r="AV185" i="1" s="1"/>
  <c r="AA32" i="1"/>
  <c r="AV186" i="1" s="1"/>
  <c r="AR31" i="1"/>
  <c r="O10" i="1"/>
  <c r="B11" i="7"/>
  <c r="K18" i="7" s="1"/>
  <c r="ED4" i="4" s="1"/>
  <c r="CR134" i="1" s="1"/>
  <c r="AY34" i="1"/>
  <c r="AY38" i="1"/>
  <c r="AY42" i="1" s="1"/>
  <c r="AY46" i="1" s="1"/>
  <c r="AY50" i="1" s="1"/>
  <c r="AX30" i="1"/>
  <c r="AX31" i="1" s="1"/>
  <c r="Z52" i="6" s="1"/>
  <c r="HY4" i="1"/>
  <c r="HY5" i="1"/>
  <c r="HY6" i="1"/>
  <c r="HY7" i="1"/>
  <c r="HY8" i="1"/>
  <c r="HY9" i="1"/>
  <c r="HY10" i="1"/>
  <c r="HY11" i="1"/>
  <c r="HY12" i="1"/>
  <c r="HY13" i="1"/>
  <c r="HY14" i="1"/>
  <c r="HY15" i="1"/>
  <c r="HY16" i="1"/>
  <c r="HY17" i="1"/>
  <c r="HY18" i="1"/>
  <c r="L45" i="1"/>
  <c r="IH1" i="1" s="1"/>
  <c r="P45" i="1"/>
  <c r="IK1" i="1" s="1"/>
  <c r="IK3" i="1"/>
  <c r="T45" i="1"/>
  <c r="IN1" i="1" s="1"/>
  <c r="IN3" i="1"/>
  <c r="X45" i="1"/>
  <c r="IQ1" i="1" s="1"/>
  <c r="IQ3" i="1"/>
  <c r="Y52" i="6"/>
  <c r="BM48" i="6" s="1"/>
  <c r="Y54" i="6"/>
  <c r="BO48" i="6" s="1"/>
  <c r="Y60" i="6"/>
  <c r="BM49" i="6" s="1"/>
  <c r="Y61" i="6"/>
  <c r="BN49" i="6" s="1"/>
  <c r="Y62" i="6"/>
  <c r="Y68" i="6"/>
  <c r="BM50" i="6" s="1"/>
  <c r="G82" i="1"/>
  <c r="F82" i="1"/>
  <c r="D82" i="1"/>
  <c r="Y53" i="6"/>
  <c r="AV55" i="1"/>
  <c r="Y51" i="6"/>
  <c r="BL48" i="6" s="1"/>
  <c r="E82" i="1"/>
  <c r="AV56" i="1"/>
  <c r="AW30" i="1"/>
  <c r="AV30" i="1"/>
  <c r="GO36" i="1"/>
  <c r="GN36" i="1"/>
  <c r="GP36" i="1"/>
  <c r="GQ36" i="1"/>
  <c r="GS36" i="1"/>
  <c r="GR36" i="1"/>
  <c r="GT36" i="1"/>
  <c r="GU36" i="1"/>
  <c r="GW36" i="1"/>
  <c r="GV36" i="1"/>
  <c r="GX36" i="1"/>
  <c r="GY36" i="1"/>
  <c r="HA36" i="1"/>
  <c r="GZ36" i="1"/>
  <c r="HB36" i="1"/>
  <c r="HC36" i="1"/>
  <c r="GO21" i="1"/>
  <c r="GN21" i="1"/>
  <c r="GP21" i="1"/>
  <c r="GQ21" i="1"/>
  <c r="GS21" i="1"/>
  <c r="GR21" i="1"/>
  <c r="GT21" i="1"/>
  <c r="GU21" i="1"/>
  <c r="GW21" i="1"/>
  <c r="GV21" i="1"/>
  <c r="GX21" i="1"/>
  <c r="GY21" i="1"/>
  <c r="HA21" i="1"/>
  <c r="GZ21" i="1"/>
  <c r="HB21" i="1"/>
  <c r="HC21" i="1"/>
  <c r="GO22" i="1"/>
  <c r="GN22" i="1"/>
  <c r="GP22" i="1"/>
  <c r="GQ22" i="1"/>
  <c r="GS22" i="1"/>
  <c r="GR22" i="1"/>
  <c r="GT22" i="1"/>
  <c r="GU22" i="1"/>
  <c r="GW22" i="1"/>
  <c r="GV22" i="1"/>
  <c r="GX22" i="1"/>
  <c r="GY22" i="1"/>
  <c r="HA22" i="1"/>
  <c r="GZ22" i="1"/>
  <c r="HB22" i="1"/>
  <c r="HC22" i="1"/>
  <c r="GO23" i="1"/>
  <c r="GN23" i="1"/>
  <c r="GP23" i="1"/>
  <c r="GQ23" i="1"/>
  <c r="GS23" i="1"/>
  <c r="GR23" i="1"/>
  <c r="GT23" i="1"/>
  <c r="GU23" i="1"/>
  <c r="GW23" i="1"/>
  <c r="GV23" i="1"/>
  <c r="GX23" i="1"/>
  <c r="GY23" i="1"/>
  <c r="HA23" i="1"/>
  <c r="GZ23" i="1"/>
  <c r="HB23" i="1"/>
  <c r="HC23" i="1"/>
  <c r="GO24" i="1"/>
  <c r="GN24" i="1"/>
  <c r="GP24" i="1"/>
  <c r="GQ24" i="1"/>
  <c r="GS24" i="1"/>
  <c r="GR24" i="1"/>
  <c r="GT24" i="1"/>
  <c r="GU24" i="1"/>
  <c r="GW24" i="1"/>
  <c r="GV24" i="1"/>
  <c r="GX24" i="1"/>
  <c r="GY24" i="1"/>
  <c r="HA24" i="1"/>
  <c r="GZ24" i="1"/>
  <c r="HB24" i="1"/>
  <c r="HC24" i="1"/>
  <c r="GO25" i="1"/>
  <c r="GN25" i="1"/>
  <c r="GP25" i="1"/>
  <c r="GQ25" i="1"/>
  <c r="GS25" i="1"/>
  <c r="GR25" i="1"/>
  <c r="GT25" i="1"/>
  <c r="GU25" i="1"/>
  <c r="GW25" i="1"/>
  <c r="GV25" i="1"/>
  <c r="GX25" i="1"/>
  <c r="GY25" i="1"/>
  <c r="HA25" i="1"/>
  <c r="GZ25" i="1"/>
  <c r="HB25" i="1"/>
  <c r="HC25" i="1"/>
  <c r="GO26" i="1"/>
  <c r="GN26" i="1"/>
  <c r="GP26" i="1"/>
  <c r="GQ26" i="1"/>
  <c r="GS26" i="1"/>
  <c r="GR26" i="1"/>
  <c r="GT26" i="1"/>
  <c r="GU26" i="1"/>
  <c r="GW26" i="1"/>
  <c r="GV26" i="1"/>
  <c r="GX26" i="1"/>
  <c r="GY26" i="1"/>
  <c r="HA26" i="1"/>
  <c r="GZ26" i="1"/>
  <c r="HB26" i="1"/>
  <c r="HC26" i="1"/>
  <c r="GO27" i="1"/>
  <c r="GN27" i="1"/>
  <c r="GP27" i="1"/>
  <c r="GQ27" i="1"/>
  <c r="GS27" i="1"/>
  <c r="GR27" i="1"/>
  <c r="GT27" i="1"/>
  <c r="GU27" i="1"/>
  <c r="GW27" i="1"/>
  <c r="GV27" i="1"/>
  <c r="GX27" i="1"/>
  <c r="GY27" i="1"/>
  <c r="HA27" i="1"/>
  <c r="GZ27" i="1"/>
  <c r="HB27" i="1"/>
  <c r="HC27" i="1"/>
  <c r="GO28" i="1"/>
  <c r="GN28" i="1"/>
  <c r="GP28" i="1"/>
  <c r="GQ28" i="1"/>
  <c r="GS28" i="1"/>
  <c r="GR28" i="1"/>
  <c r="GT28" i="1"/>
  <c r="GU28" i="1"/>
  <c r="GW28" i="1"/>
  <c r="GV28" i="1"/>
  <c r="GX28" i="1"/>
  <c r="GY28" i="1"/>
  <c r="HA28" i="1"/>
  <c r="GZ28" i="1"/>
  <c r="HB28" i="1"/>
  <c r="HC28" i="1"/>
  <c r="GO29" i="1"/>
  <c r="GN29" i="1"/>
  <c r="GP29" i="1"/>
  <c r="GQ29" i="1"/>
  <c r="GS29" i="1"/>
  <c r="GR29" i="1"/>
  <c r="GT29" i="1"/>
  <c r="GU29" i="1"/>
  <c r="GW29" i="1"/>
  <c r="GV29" i="1"/>
  <c r="GX29" i="1"/>
  <c r="GY29" i="1"/>
  <c r="HA29" i="1"/>
  <c r="GZ29" i="1"/>
  <c r="HB29" i="1"/>
  <c r="HC29" i="1"/>
  <c r="GO30" i="1"/>
  <c r="GN30" i="1"/>
  <c r="GP30" i="1"/>
  <c r="GQ30" i="1"/>
  <c r="GS30" i="1"/>
  <c r="GR30" i="1"/>
  <c r="GT30" i="1"/>
  <c r="GU30" i="1"/>
  <c r="GW30" i="1"/>
  <c r="GV30" i="1"/>
  <c r="GX30" i="1"/>
  <c r="GY30" i="1"/>
  <c r="HA30" i="1"/>
  <c r="GZ30" i="1"/>
  <c r="HB30" i="1"/>
  <c r="HC30" i="1"/>
  <c r="GO31" i="1"/>
  <c r="GN31" i="1"/>
  <c r="GP31" i="1"/>
  <c r="GQ31" i="1"/>
  <c r="GS31" i="1"/>
  <c r="GR31" i="1"/>
  <c r="GT31" i="1"/>
  <c r="GU31" i="1"/>
  <c r="GW31" i="1"/>
  <c r="GV31" i="1"/>
  <c r="GX31" i="1"/>
  <c r="GY31" i="1"/>
  <c r="HA31" i="1"/>
  <c r="GZ31" i="1"/>
  <c r="HB31" i="1"/>
  <c r="HC31" i="1"/>
  <c r="GO32" i="1"/>
  <c r="GN32" i="1"/>
  <c r="GP32" i="1"/>
  <c r="GQ32" i="1"/>
  <c r="GS32" i="1"/>
  <c r="GR32" i="1"/>
  <c r="GT32" i="1"/>
  <c r="GU32" i="1"/>
  <c r="GW32" i="1"/>
  <c r="GV32" i="1"/>
  <c r="GX32" i="1"/>
  <c r="GY32" i="1"/>
  <c r="HA32" i="1"/>
  <c r="GZ32" i="1"/>
  <c r="HB32" i="1"/>
  <c r="HC32" i="1"/>
  <c r="GO33" i="1"/>
  <c r="GN33" i="1"/>
  <c r="GP33" i="1"/>
  <c r="GQ33" i="1"/>
  <c r="GS33" i="1"/>
  <c r="GR33" i="1"/>
  <c r="GT33" i="1"/>
  <c r="GU33" i="1"/>
  <c r="GW33" i="1"/>
  <c r="GV33" i="1"/>
  <c r="GX33" i="1"/>
  <c r="GY33" i="1"/>
  <c r="HA33" i="1"/>
  <c r="GZ33" i="1"/>
  <c r="HB33" i="1"/>
  <c r="HC33" i="1"/>
  <c r="GO34" i="1"/>
  <c r="GN34" i="1"/>
  <c r="GP34" i="1"/>
  <c r="GQ34" i="1"/>
  <c r="GS34" i="1"/>
  <c r="GR34" i="1"/>
  <c r="GT34" i="1"/>
  <c r="GU34" i="1"/>
  <c r="GW34" i="1"/>
  <c r="GV34" i="1"/>
  <c r="GX34" i="1"/>
  <c r="GY34" i="1"/>
  <c r="HA34" i="1"/>
  <c r="GZ34" i="1"/>
  <c r="HB34" i="1"/>
  <c r="HC34" i="1"/>
  <c r="GO35" i="1"/>
  <c r="GN35" i="1"/>
  <c r="GP35" i="1"/>
  <c r="GQ35" i="1"/>
  <c r="GS35" i="1"/>
  <c r="GR35" i="1"/>
  <c r="GT35" i="1"/>
  <c r="GU35" i="1"/>
  <c r="GW35" i="1"/>
  <c r="GV35" i="1"/>
  <c r="GX35" i="1"/>
  <c r="GY35" i="1"/>
  <c r="HA35" i="1"/>
  <c r="GZ35" i="1"/>
  <c r="HB35" i="1"/>
  <c r="HC35" i="1"/>
  <c r="GO37" i="1"/>
  <c r="GN37" i="1"/>
  <c r="GP37" i="1"/>
  <c r="GQ37" i="1"/>
  <c r="GS37" i="1"/>
  <c r="GR37" i="1"/>
  <c r="GT37" i="1"/>
  <c r="GU37" i="1"/>
  <c r="GW37" i="1"/>
  <c r="GV37" i="1"/>
  <c r="GX37" i="1"/>
  <c r="GY37" i="1"/>
  <c r="HA37" i="1"/>
  <c r="GZ37" i="1"/>
  <c r="HB37" i="1"/>
  <c r="HC37" i="1"/>
  <c r="GO38" i="1"/>
  <c r="GN38" i="1"/>
  <c r="GP38" i="1"/>
  <c r="GQ38" i="1"/>
  <c r="GS38" i="1"/>
  <c r="GR38" i="1"/>
  <c r="GT38" i="1"/>
  <c r="GU38" i="1"/>
  <c r="GW38" i="1"/>
  <c r="GV38" i="1"/>
  <c r="GX38" i="1"/>
  <c r="GY38" i="1"/>
  <c r="HA38" i="1"/>
  <c r="GZ38" i="1"/>
  <c r="HB38" i="1"/>
  <c r="HC38" i="1"/>
  <c r="GO39" i="1"/>
  <c r="GN39" i="1"/>
  <c r="GP39" i="1"/>
  <c r="GQ39" i="1"/>
  <c r="GS39" i="1"/>
  <c r="GR39" i="1"/>
  <c r="GT39" i="1"/>
  <c r="GU39" i="1"/>
  <c r="GW39" i="1"/>
  <c r="GV39" i="1"/>
  <c r="GX39" i="1"/>
  <c r="GY39" i="1"/>
  <c r="HA39" i="1"/>
  <c r="GZ39" i="1"/>
  <c r="HB39" i="1"/>
  <c r="HC39" i="1"/>
  <c r="GO40" i="1"/>
  <c r="GN40" i="1"/>
  <c r="GP40" i="1"/>
  <c r="GQ40" i="1"/>
  <c r="GS40" i="1"/>
  <c r="GR40" i="1"/>
  <c r="GT40" i="1"/>
  <c r="GU40" i="1"/>
  <c r="GW40" i="1"/>
  <c r="GV40" i="1"/>
  <c r="GX40" i="1"/>
  <c r="GY40" i="1"/>
  <c r="HA40" i="1"/>
  <c r="GZ40" i="1"/>
  <c r="HB40" i="1"/>
  <c r="HC40" i="1"/>
  <c r="GO41" i="1"/>
  <c r="GN41" i="1"/>
  <c r="GP41" i="1"/>
  <c r="GQ41" i="1"/>
  <c r="GS41" i="1"/>
  <c r="GR41" i="1"/>
  <c r="GT41" i="1"/>
  <c r="GU41" i="1"/>
  <c r="GW41" i="1"/>
  <c r="GV41" i="1"/>
  <c r="GX41" i="1"/>
  <c r="GY41" i="1"/>
  <c r="HA41" i="1"/>
  <c r="GZ41" i="1"/>
  <c r="HB41" i="1"/>
  <c r="HC41" i="1"/>
  <c r="GO42" i="1"/>
  <c r="GN42" i="1"/>
  <c r="GP42" i="1"/>
  <c r="GQ42" i="1"/>
  <c r="GS42" i="1"/>
  <c r="GR42" i="1"/>
  <c r="GT42" i="1"/>
  <c r="GU42" i="1"/>
  <c r="GW42" i="1"/>
  <c r="GV42" i="1"/>
  <c r="GX42" i="1"/>
  <c r="GY42" i="1"/>
  <c r="HA42" i="1"/>
  <c r="GZ42" i="1"/>
  <c r="HB42" i="1"/>
  <c r="HC42" i="1"/>
  <c r="GO43" i="1"/>
  <c r="GN43" i="1"/>
  <c r="GP43" i="1"/>
  <c r="GQ43" i="1"/>
  <c r="GS43" i="1"/>
  <c r="GR43" i="1"/>
  <c r="GT43" i="1"/>
  <c r="GU43" i="1"/>
  <c r="GW43" i="1"/>
  <c r="GV43" i="1"/>
  <c r="GX43" i="1"/>
  <c r="GY43" i="1"/>
  <c r="HA43" i="1"/>
  <c r="GZ43" i="1"/>
  <c r="HB43" i="1"/>
  <c r="HC43" i="1"/>
  <c r="GO44" i="1"/>
  <c r="GN44" i="1"/>
  <c r="GP44" i="1"/>
  <c r="GQ44" i="1"/>
  <c r="GS44" i="1"/>
  <c r="GR44" i="1"/>
  <c r="GT44" i="1"/>
  <c r="GU44" i="1"/>
  <c r="GW44" i="1"/>
  <c r="GV44" i="1"/>
  <c r="GX44" i="1"/>
  <c r="GY44" i="1"/>
  <c r="HA44" i="1"/>
  <c r="GZ44" i="1"/>
  <c r="HB44" i="1"/>
  <c r="HC44" i="1"/>
  <c r="GO45" i="1"/>
  <c r="GN45" i="1"/>
  <c r="GP45" i="1"/>
  <c r="GQ45" i="1"/>
  <c r="GS45" i="1"/>
  <c r="GR45" i="1"/>
  <c r="GT45" i="1"/>
  <c r="GU45" i="1"/>
  <c r="GW45" i="1"/>
  <c r="GV45" i="1"/>
  <c r="GX45" i="1"/>
  <c r="GY45" i="1"/>
  <c r="HA45" i="1"/>
  <c r="GZ45" i="1"/>
  <c r="HB45" i="1"/>
  <c r="HC45" i="1"/>
  <c r="AA103" i="5"/>
  <c r="AA104" i="5"/>
  <c r="JE5" i="1"/>
  <c r="JD5" i="1"/>
  <c r="JF5" i="1"/>
  <c r="JG5" i="1"/>
  <c r="JI5" i="1"/>
  <c r="JH5" i="1"/>
  <c r="JJ5" i="1"/>
  <c r="JK5" i="1"/>
  <c r="JM5" i="1"/>
  <c r="JL5" i="1"/>
  <c r="JN5" i="1"/>
  <c r="JO5" i="1"/>
  <c r="JQ5" i="1"/>
  <c r="JP5" i="1"/>
  <c r="JR5" i="1"/>
  <c r="JS5" i="1"/>
  <c r="GO5" i="1"/>
  <c r="GN5" i="1"/>
  <c r="GP5" i="1"/>
  <c r="GQ5" i="1"/>
  <c r="GS5" i="1"/>
  <c r="GR5" i="1"/>
  <c r="GT5" i="1"/>
  <c r="GU5" i="1"/>
  <c r="GW5" i="1"/>
  <c r="GV5" i="1"/>
  <c r="GX5" i="1"/>
  <c r="GY5" i="1"/>
  <c r="HA5" i="1"/>
  <c r="GZ5" i="1"/>
  <c r="HB5" i="1"/>
  <c r="HC5" i="1"/>
  <c r="GO6" i="1"/>
  <c r="GN6" i="1"/>
  <c r="GP6" i="1"/>
  <c r="GQ6" i="1"/>
  <c r="GS6" i="1"/>
  <c r="GR6" i="1"/>
  <c r="GT6" i="1"/>
  <c r="GU6" i="1"/>
  <c r="GW6" i="1"/>
  <c r="GV6" i="1"/>
  <c r="GX6" i="1"/>
  <c r="GY6" i="1"/>
  <c r="HA6" i="1"/>
  <c r="GZ6" i="1"/>
  <c r="HB6" i="1"/>
  <c r="HC6" i="1"/>
  <c r="GO7" i="1"/>
  <c r="GN7" i="1"/>
  <c r="GP7" i="1"/>
  <c r="GQ7" i="1"/>
  <c r="GS7" i="1"/>
  <c r="GR7" i="1"/>
  <c r="GT7" i="1"/>
  <c r="GU7" i="1"/>
  <c r="GW7" i="1"/>
  <c r="GV7" i="1"/>
  <c r="GX7" i="1"/>
  <c r="GY7" i="1"/>
  <c r="HA7" i="1"/>
  <c r="GZ7" i="1"/>
  <c r="HB7" i="1"/>
  <c r="HC7" i="1"/>
  <c r="GO8" i="1"/>
  <c r="GN8" i="1"/>
  <c r="GP8" i="1"/>
  <c r="GQ8" i="1"/>
  <c r="GS8" i="1"/>
  <c r="GR8" i="1"/>
  <c r="GT8" i="1"/>
  <c r="GU8" i="1"/>
  <c r="GW8" i="1"/>
  <c r="GV8" i="1"/>
  <c r="GX8" i="1"/>
  <c r="GY8" i="1"/>
  <c r="HA8" i="1"/>
  <c r="GZ8" i="1"/>
  <c r="HB8" i="1"/>
  <c r="HC8" i="1"/>
  <c r="GO9" i="1"/>
  <c r="GN9" i="1"/>
  <c r="GP9" i="1"/>
  <c r="GQ9" i="1"/>
  <c r="GS9" i="1"/>
  <c r="GR9" i="1"/>
  <c r="GT9" i="1"/>
  <c r="GU9" i="1"/>
  <c r="GW9" i="1"/>
  <c r="GV9" i="1"/>
  <c r="GX9" i="1"/>
  <c r="GY9" i="1"/>
  <c r="HA9" i="1"/>
  <c r="GZ9" i="1"/>
  <c r="HB9" i="1"/>
  <c r="HC9" i="1"/>
  <c r="GO10" i="1"/>
  <c r="GN10" i="1"/>
  <c r="GP10" i="1"/>
  <c r="GQ10" i="1"/>
  <c r="GS10" i="1"/>
  <c r="GR10" i="1"/>
  <c r="GT10" i="1"/>
  <c r="GU10" i="1"/>
  <c r="GW10" i="1"/>
  <c r="GV10" i="1"/>
  <c r="GX10" i="1"/>
  <c r="GY10" i="1"/>
  <c r="HA10" i="1"/>
  <c r="GZ10" i="1"/>
  <c r="HB10" i="1"/>
  <c r="HC10" i="1"/>
  <c r="GO11" i="1"/>
  <c r="GN11" i="1"/>
  <c r="GP11" i="1"/>
  <c r="GQ11" i="1"/>
  <c r="GS11" i="1"/>
  <c r="GR11" i="1"/>
  <c r="GT11" i="1"/>
  <c r="GU11" i="1"/>
  <c r="GW11" i="1"/>
  <c r="GV11" i="1"/>
  <c r="GX11" i="1"/>
  <c r="GY11" i="1"/>
  <c r="HA11" i="1"/>
  <c r="GZ11" i="1"/>
  <c r="HB11" i="1"/>
  <c r="HC11" i="1"/>
  <c r="GO12" i="1"/>
  <c r="GN12" i="1"/>
  <c r="GP12" i="1"/>
  <c r="GQ12" i="1"/>
  <c r="GS12" i="1"/>
  <c r="GR12" i="1"/>
  <c r="GT12" i="1"/>
  <c r="GU12" i="1"/>
  <c r="GW12" i="1"/>
  <c r="GV12" i="1"/>
  <c r="GX12" i="1"/>
  <c r="GY12" i="1"/>
  <c r="HA12" i="1"/>
  <c r="GZ12" i="1"/>
  <c r="HB12" i="1"/>
  <c r="HC12" i="1"/>
  <c r="GO13" i="1"/>
  <c r="GN13" i="1"/>
  <c r="GP13" i="1"/>
  <c r="GQ13" i="1"/>
  <c r="GS13" i="1"/>
  <c r="GR13" i="1"/>
  <c r="GT13" i="1"/>
  <c r="GU13" i="1"/>
  <c r="GW13" i="1"/>
  <c r="GV13" i="1"/>
  <c r="GX13" i="1"/>
  <c r="GY13" i="1"/>
  <c r="HA13" i="1"/>
  <c r="GZ13" i="1"/>
  <c r="HB13" i="1"/>
  <c r="HC13" i="1"/>
  <c r="GO14" i="1"/>
  <c r="GN14" i="1"/>
  <c r="GP14" i="1"/>
  <c r="GQ14" i="1"/>
  <c r="GS14" i="1"/>
  <c r="GR14" i="1"/>
  <c r="GT14" i="1"/>
  <c r="GU14" i="1"/>
  <c r="GW14" i="1"/>
  <c r="GV14" i="1"/>
  <c r="GX14" i="1"/>
  <c r="GY14" i="1"/>
  <c r="HA14" i="1"/>
  <c r="GZ14" i="1"/>
  <c r="HB14" i="1"/>
  <c r="HC14" i="1"/>
  <c r="GO15" i="1"/>
  <c r="GN15" i="1"/>
  <c r="GP15" i="1"/>
  <c r="GQ15" i="1"/>
  <c r="GS15" i="1"/>
  <c r="GR15" i="1"/>
  <c r="GT15" i="1"/>
  <c r="GU15" i="1"/>
  <c r="GW15" i="1"/>
  <c r="GV15" i="1"/>
  <c r="GX15" i="1"/>
  <c r="GY15" i="1"/>
  <c r="HA15" i="1"/>
  <c r="GZ15" i="1"/>
  <c r="HB15" i="1"/>
  <c r="HC15" i="1"/>
  <c r="GO16" i="1"/>
  <c r="GN16" i="1"/>
  <c r="GP16" i="1"/>
  <c r="GQ16" i="1"/>
  <c r="GS16" i="1"/>
  <c r="GR16" i="1"/>
  <c r="GT16" i="1"/>
  <c r="GU16" i="1"/>
  <c r="GW16" i="1"/>
  <c r="GV16" i="1"/>
  <c r="GX16" i="1"/>
  <c r="GY16" i="1"/>
  <c r="HA16" i="1"/>
  <c r="GZ16" i="1"/>
  <c r="HB16" i="1"/>
  <c r="HC16" i="1"/>
  <c r="GO17" i="1"/>
  <c r="GN17" i="1"/>
  <c r="GP17" i="1"/>
  <c r="GQ17" i="1"/>
  <c r="GS17" i="1"/>
  <c r="GR17" i="1"/>
  <c r="GT17" i="1"/>
  <c r="GU17" i="1"/>
  <c r="GW17" i="1"/>
  <c r="GV17" i="1"/>
  <c r="GX17" i="1"/>
  <c r="GY17" i="1"/>
  <c r="HA17" i="1"/>
  <c r="GZ17" i="1"/>
  <c r="HB17" i="1"/>
  <c r="HC17" i="1"/>
  <c r="GO18" i="1"/>
  <c r="GN18" i="1"/>
  <c r="GP18" i="1"/>
  <c r="GQ18" i="1"/>
  <c r="GS18" i="1"/>
  <c r="GR18" i="1"/>
  <c r="GT18" i="1"/>
  <c r="GU18" i="1"/>
  <c r="GW18" i="1"/>
  <c r="GV18" i="1"/>
  <c r="GX18" i="1"/>
  <c r="GY18" i="1"/>
  <c r="HA18" i="1"/>
  <c r="GZ18" i="1"/>
  <c r="HB18" i="1"/>
  <c r="HC18" i="1"/>
  <c r="GO19" i="1"/>
  <c r="GN19" i="1"/>
  <c r="GP19" i="1"/>
  <c r="GQ19" i="1"/>
  <c r="GS19" i="1"/>
  <c r="GR19" i="1"/>
  <c r="GT19" i="1"/>
  <c r="GU19" i="1"/>
  <c r="GW19" i="1"/>
  <c r="GV19" i="1"/>
  <c r="GX19" i="1"/>
  <c r="GY19" i="1"/>
  <c r="HA19" i="1"/>
  <c r="GZ19" i="1"/>
  <c r="HB19" i="1"/>
  <c r="HC19" i="1"/>
  <c r="GO20" i="1"/>
  <c r="GN20" i="1"/>
  <c r="GP20" i="1"/>
  <c r="GQ20" i="1"/>
  <c r="GS20" i="1"/>
  <c r="GR20" i="1"/>
  <c r="GT20" i="1"/>
  <c r="GU20" i="1"/>
  <c r="GW20" i="1"/>
  <c r="GV20" i="1"/>
  <c r="GX20" i="1"/>
  <c r="GY20" i="1"/>
  <c r="HA20" i="1"/>
  <c r="GZ20" i="1"/>
  <c r="HB20" i="1"/>
  <c r="HC20" i="1"/>
  <c r="JE4" i="1"/>
  <c r="JD4" i="1"/>
  <c r="JF4" i="1"/>
  <c r="JG4" i="1"/>
  <c r="JI4" i="1"/>
  <c r="JH4" i="1"/>
  <c r="JJ4" i="1"/>
  <c r="JK4" i="1"/>
  <c r="JM4" i="1"/>
  <c r="JL4" i="1"/>
  <c r="JN4" i="1"/>
  <c r="JO4" i="1"/>
  <c r="JQ4" i="1"/>
  <c r="JP4" i="1"/>
  <c r="JR4" i="1"/>
  <c r="JS4" i="1"/>
  <c r="GS4" i="1"/>
  <c r="GR4" i="1"/>
  <c r="GT4" i="1"/>
  <c r="GU4" i="1"/>
  <c r="GW4" i="1"/>
  <c r="GV4" i="1"/>
  <c r="GX4" i="1"/>
  <c r="GY4" i="1"/>
  <c r="HA4" i="1"/>
  <c r="GZ4" i="1"/>
  <c r="HB4" i="1"/>
  <c r="HC4" i="1"/>
  <c r="DR128" i="1"/>
  <c r="DR126" i="1"/>
  <c r="D20" i="1"/>
  <c r="GU126" i="1"/>
  <c r="HC126" i="1"/>
  <c r="GU127" i="1"/>
  <c r="HC127" i="1"/>
  <c r="GU128" i="1"/>
  <c r="HC128" i="1"/>
  <c r="GU129" i="1"/>
  <c r="HC129" i="1"/>
  <c r="GU130" i="1"/>
  <c r="HC130" i="1"/>
  <c r="GU131" i="1"/>
  <c r="HC131" i="1"/>
  <c r="GU132" i="1"/>
  <c r="HC132" i="1"/>
  <c r="DR194" i="1"/>
  <c r="DZ194" i="1"/>
  <c r="Y59" i="6"/>
  <c r="BL49" i="6" s="1"/>
  <c r="Y67" i="6"/>
  <c r="BL50" i="6" s="1"/>
  <c r="Y69" i="6"/>
  <c r="BN50" i="6" s="1"/>
  <c r="Y70" i="6"/>
  <c r="BO50" i="6" s="1"/>
  <c r="Y75" i="6"/>
  <c r="BL51" i="6" s="1"/>
  <c r="Y76" i="6"/>
  <c r="BM51" i="6" s="1"/>
  <c r="Y77" i="6"/>
  <c r="Y78" i="6"/>
  <c r="BO51" i="6" s="1"/>
  <c r="Y83" i="6"/>
  <c r="BL52" i="6" s="1"/>
  <c r="Y84" i="6"/>
  <c r="BM52" i="6" s="1"/>
  <c r="Y85" i="6"/>
  <c r="BN52" i="6" s="1"/>
  <c r="Y86" i="6"/>
  <c r="BO52" i="6" s="1"/>
  <c r="Y91" i="6"/>
  <c r="BL53" i="6" s="1"/>
  <c r="Y92" i="6"/>
  <c r="Y93" i="6"/>
  <c r="BN53" i="6" s="1"/>
  <c r="Y94" i="6"/>
  <c r="BO53" i="6" s="1"/>
  <c r="IB3" i="1"/>
  <c r="HY3" i="1"/>
  <c r="IC3" i="1" s="1"/>
  <c r="IE3" i="1"/>
  <c r="IH3" i="1"/>
  <c r="H15" i="7"/>
  <c r="K29" i="7" s="1"/>
  <c r="ED15" i="4" s="1"/>
  <c r="CY134" i="1" s="1"/>
  <c r="L15" i="7"/>
  <c r="DA134" i="1" s="1"/>
  <c r="I11" i="7"/>
  <c r="K25" i="7" s="1"/>
  <c r="ED11" i="4" s="1"/>
  <c r="J11" i="7"/>
  <c r="K32" i="7" s="1"/>
  <c r="ED18" i="4" s="1"/>
  <c r="L11" i="7"/>
  <c r="K11" i="7"/>
  <c r="CT2" i="1"/>
  <c r="BN19" i="1"/>
  <c r="BV19" i="1" s="1"/>
  <c r="CD22" i="1" s="1"/>
  <c r="AY16" i="1" s="1"/>
  <c r="BN22" i="1"/>
  <c r="H11" i="7"/>
  <c r="K24" i="7" s="1"/>
  <c r="ED10" i="4" s="1"/>
  <c r="I15" i="7"/>
  <c r="K26" i="7" s="1"/>
  <c r="S45" i="1"/>
  <c r="HW1" i="1"/>
  <c r="D11" i="7"/>
  <c r="K20" i="7" s="1"/>
  <c r="ED6" i="4" s="1"/>
  <c r="W15" i="7"/>
  <c r="I13" i="7"/>
  <c r="W11" i="7"/>
  <c r="W12" i="7"/>
  <c r="W13" i="7"/>
  <c r="W14" i="7"/>
  <c r="W16" i="7"/>
  <c r="W10" i="7"/>
  <c r="Q10" i="7"/>
  <c r="N12" i="7"/>
  <c r="AF4" i="7"/>
  <c r="W45" i="1"/>
  <c r="O45" i="1"/>
  <c r="K45" i="1"/>
  <c r="HY2" i="1"/>
  <c r="BM29" i="1"/>
  <c r="BM33" i="1"/>
  <c r="BM35" i="1"/>
  <c r="BM32" i="1"/>
  <c r="BM36" i="1"/>
  <c r="BN29" i="1"/>
  <c r="BN32" i="1"/>
  <c r="BN33" i="1"/>
  <c r="BN35" i="1"/>
  <c r="BN23" i="1"/>
  <c r="BM20" i="1"/>
  <c r="BM21" i="1"/>
  <c r="BM22" i="1"/>
  <c r="BM23" i="1"/>
  <c r="BM19" i="1"/>
  <c r="BM10" i="1"/>
  <c r="BM11" i="1"/>
  <c r="BM12" i="1"/>
  <c r="BM13" i="1"/>
  <c r="BM9" i="1"/>
  <c r="B44" i="1"/>
  <c r="D44" i="1" s="1"/>
  <c r="BT46" i="1"/>
  <c r="AY8" i="1"/>
  <c r="BN12" i="1"/>
  <c r="BN10" i="1"/>
  <c r="BN11" i="1"/>
  <c r="BU51" i="6"/>
  <c r="BU50" i="6"/>
  <c r="P5" i="1"/>
  <c r="BU49" i="6" s="1"/>
  <c r="BU52" i="6"/>
  <c r="BU53" i="6"/>
  <c r="BU54" i="6"/>
  <c r="BS53" i="6"/>
  <c r="BS52" i="6"/>
  <c r="BS51" i="6"/>
  <c r="BS50" i="6"/>
  <c r="BS49" i="6"/>
  <c r="BM8" i="6"/>
  <c r="BM9" i="6"/>
  <c r="BN11" i="6"/>
  <c r="BM11" i="6"/>
  <c r="BN10" i="6"/>
  <c r="BM10" i="6"/>
  <c r="BN36" i="1"/>
  <c r="BN8" i="6"/>
  <c r="BN9" i="6"/>
  <c r="BN13" i="6"/>
  <c r="BM13" i="6"/>
  <c r="BN5" i="6"/>
  <c r="BM5" i="6"/>
  <c r="BM6" i="6"/>
  <c r="AW42" i="6"/>
  <c r="Z50" i="6"/>
  <c r="CD46" i="1"/>
  <c r="CD43" i="1"/>
  <c r="CD40" i="1"/>
  <c r="BT43" i="1"/>
  <c r="BX45" i="1"/>
  <c r="BX42" i="1"/>
  <c r="BX39" i="1"/>
  <c r="BN45" i="1"/>
  <c r="BN42" i="1"/>
  <c r="BN39" i="1"/>
  <c r="BT40" i="1"/>
  <c r="Q21" i="1"/>
  <c r="AH21" i="1"/>
  <c r="DZ126" i="1"/>
  <c r="DZ128" i="1"/>
  <c r="DV128" i="1"/>
  <c r="DN128" i="1"/>
  <c r="DV126" i="1"/>
  <c r="DN126" i="1"/>
  <c r="DN193" i="1"/>
  <c r="DV193" i="1"/>
  <c r="DR193" i="1"/>
  <c r="DZ193" i="1"/>
  <c r="DR192" i="1"/>
  <c r="DZ192" i="1"/>
  <c r="DN192" i="1"/>
  <c r="DV192" i="1"/>
  <c r="DN127" i="1"/>
  <c r="DR127" i="1"/>
  <c r="DV127" i="1"/>
  <c r="DZ127" i="1"/>
  <c r="DL126" i="1"/>
  <c r="DT126" i="1"/>
  <c r="DT127" i="1"/>
  <c r="DX127" i="1"/>
  <c r="GO126" i="1"/>
  <c r="GS126" i="1"/>
  <c r="GW126" i="1"/>
  <c r="HA126" i="1"/>
  <c r="GO128" i="1"/>
  <c r="GS128" i="1"/>
  <c r="GW128" i="1"/>
  <c r="HA128" i="1"/>
  <c r="GO130" i="1"/>
  <c r="GS130" i="1"/>
  <c r="GW130" i="1"/>
  <c r="HA130" i="1"/>
  <c r="GO132" i="1"/>
  <c r="GS132" i="1"/>
  <c r="GW132" i="1"/>
  <c r="HA132" i="1"/>
  <c r="DL194" i="1"/>
  <c r="DP194" i="1"/>
  <c r="DT194" i="1"/>
  <c r="DX194" i="1"/>
  <c r="GO127" i="1"/>
  <c r="GS127" i="1"/>
  <c r="GW127" i="1"/>
  <c r="HA127" i="1"/>
  <c r="GO129" i="1"/>
  <c r="GS129" i="1"/>
  <c r="GW129" i="1"/>
  <c r="HA129" i="1"/>
  <c r="GO131" i="1"/>
  <c r="GS131" i="1"/>
  <c r="GW131" i="1"/>
  <c r="HA131" i="1"/>
  <c r="DX128" i="1"/>
  <c r="DT128" i="1"/>
  <c r="DP128" i="1"/>
  <c r="DL128" i="1"/>
  <c r="DX192" i="1"/>
  <c r="DT192" i="1"/>
  <c r="DP192" i="1"/>
  <c r="DL192" i="1"/>
  <c r="DX193" i="1"/>
  <c r="DT193" i="1"/>
  <c r="DP193" i="1"/>
  <c r="DL193" i="1"/>
  <c r="GZ129" i="1"/>
  <c r="GR129" i="1"/>
  <c r="DO193" i="1"/>
  <c r="DW193" i="1"/>
  <c r="DO192" i="1"/>
  <c r="DW192" i="1"/>
  <c r="DO128" i="1"/>
  <c r="DW128" i="1"/>
  <c r="GZ131" i="1"/>
  <c r="GR131" i="1"/>
  <c r="GZ127" i="1"/>
  <c r="GR127" i="1"/>
  <c r="DW194" i="1"/>
  <c r="DO194" i="1"/>
  <c r="GZ132" i="1"/>
  <c r="GR132" i="1"/>
  <c r="GZ128" i="1"/>
  <c r="GR128" i="1"/>
  <c r="DW127" i="1"/>
  <c r="GZ130" i="1"/>
  <c r="GR130" i="1"/>
  <c r="GZ126" i="1"/>
  <c r="GR126" i="1"/>
  <c r="DP127" i="1"/>
  <c r="DO127" i="1"/>
  <c r="DL127" i="1"/>
  <c r="DX126" i="1"/>
  <c r="DW126" i="1"/>
  <c r="DP126" i="1"/>
  <c r="DO126" i="1"/>
  <c r="DV194" i="1"/>
  <c r="DN194" i="1"/>
  <c r="GY132" i="1"/>
  <c r="GQ132" i="1"/>
  <c r="GY131" i="1"/>
  <c r="GQ131" i="1"/>
  <c r="GY130" i="1"/>
  <c r="GQ130" i="1"/>
  <c r="GY129" i="1"/>
  <c r="GQ129" i="1"/>
  <c r="GY128" i="1"/>
  <c r="GQ128" i="1"/>
  <c r="GY127" i="1"/>
  <c r="GQ127" i="1"/>
  <c r="GY126" i="1"/>
  <c r="GQ126" i="1"/>
  <c r="GT129" i="1"/>
  <c r="DQ193" i="1"/>
  <c r="DQ192" i="1"/>
  <c r="DQ128" i="1"/>
  <c r="GT131" i="1"/>
  <c r="GT127" i="1"/>
  <c r="DQ194" i="1"/>
  <c r="GT132" i="1"/>
  <c r="GT128" i="1"/>
  <c r="GT130" i="1"/>
  <c r="GT126" i="1"/>
  <c r="DQ127" i="1"/>
  <c r="DQ126" i="1"/>
  <c r="DY193" i="1"/>
  <c r="DY192" i="1"/>
  <c r="DY128" i="1"/>
  <c r="HB131" i="1"/>
  <c r="HB127" i="1"/>
  <c r="DY194" i="1"/>
  <c r="HB132" i="1"/>
  <c r="HB128" i="1"/>
  <c r="DY127" i="1"/>
  <c r="HB130" i="1"/>
  <c r="HB126" i="1"/>
  <c r="HB129" i="1"/>
  <c r="DY126" i="1"/>
  <c r="GP131" i="1"/>
  <c r="DM192" i="1"/>
  <c r="DM128" i="1"/>
  <c r="GP127" i="1"/>
  <c r="DM193" i="1"/>
  <c r="GP126" i="1"/>
  <c r="GP129" i="1"/>
  <c r="GP130" i="1"/>
  <c r="DM126" i="1"/>
  <c r="DM194" i="1"/>
  <c r="GP132" i="1"/>
  <c r="GP128" i="1"/>
  <c r="DM127" i="1"/>
  <c r="DS193" i="1"/>
  <c r="DS128" i="1"/>
  <c r="GV131" i="1"/>
  <c r="GV127" i="1"/>
  <c r="GV130" i="1"/>
  <c r="DS126" i="1"/>
  <c r="DS194" i="1"/>
  <c r="GV132" i="1"/>
  <c r="GV128" i="1"/>
  <c r="DS192" i="1"/>
  <c r="GV129" i="1"/>
  <c r="GV126" i="1"/>
  <c r="DS127" i="1"/>
  <c r="DK192" i="1"/>
  <c r="DK128" i="1"/>
  <c r="GN127" i="1"/>
  <c r="GN129" i="1"/>
  <c r="GN130" i="1"/>
  <c r="DK126" i="1"/>
  <c r="DK194" i="1"/>
  <c r="GN132" i="1"/>
  <c r="GN128" i="1"/>
  <c r="GN131" i="1"/>
  <c r="DK193" i="1"/>
  <c r="GN126" i="1"/>
  <c r="DK127" i="1"/>
  <c r="GX131" i="1"/>
  <c r="DU192" i="1"/>
  <c r="GX129" i="1"/>
  <c r="GX126" i="1"/>
  <c r="DU127" i="1"/>
  <c r="DU193" i="1"/>
  <c r="DU128" i="1"/>
  <c r="GX127" i="1"/>
  <c r="GX130" i="1"/>
  <c r="DU126" i="1"/>
  <c r="DU194" i="1"/>
  <c r="GX132" i="1"/>
  <c r="GX128" i="1"/>
  <c r="FX128" i="1"/>
  <c r="FN128" i="1"/>
  <c r="FP128" i="1"/>
  <c r="EU128" i="1"/>
  <c r="FV128" i="1"/>
  <c r="FU128" i="1"/>
  <c r="EW128" i="1"/>
  <c r="EO128" i="1"/>
  <c r="FZ128" i="1"/>
  <c r="FY128" i="1"/>
  <c r="EY128" i="1"/>
  <c r="EX128" i="1"/>
  <c r="GB128" i="1"/>
  <c r="EQ128" i="1"/>
  <c r="EP128" i="1"/>
  <c r="ES128" i="1"/>
  <c r="FM128" i="1"/>
  <c r="EM128" i="1"/>
  <c r="EL128" i="1"/>
  <c r="FA128" i="1"/>
  <c r="EV128" i="1"/>
  <c r="FW128" i="1"/>
  <c r="FT128" i="1"/>
  <c r="FR128" i="1"/>
  <c r="FQ128" i="1"/>
  <c r="FO128" i="1"/>
  <c r="EN128" i="1"/>
  <c r="EZ128" i="1"/>
  <c r="ET128" i="1"/>
  <c r="DL131" i="1"/>
  <c r="DT131" i="1"/>
  <c r="DU131" i="1"/>
  <c r="DP131" i="1"/>
  <c r="DQ131" i="1"/>
  <c r="DX131" i="1"/>
  <c r="DK131" i="1"/>
  <c r="DW131" i="1"/>
  <c r="DR131" i="1"/>
  <c r="DZ131" i="1"/>
  <c r="DM131" i="1"/>
  <c r="DY131" i="1"/>
  <c r="DS131" i="1"/>
  <c r="DN131" i="1"/>
  <c r="DV131" i="1"/>
  <c r="DO131" i="1"/>
  <c r="FA127" i="1"/>
  <c r="FX127" i="1"/>
  <c r="FN127" i="1"/>
  <c r="FP127" i="1"/>
  <c r="EQ127" i="1"/>
  <c r="ER127" i="1"/>
  <c r="FR127" i="1"/>
  <c r="FQ127" i="1"/>
  <c r="ES127" i="1"/>
  <c r="GB127" i="1"/>
  <c r="FT127" i="1"/>
  <c r="EU127" i="1"/>
  <c r="EV127" i="1"/>
  <c r="EM127" i="1"/>
  <c r="EL127" i="1"/>
  <c r="FM127" i="1"/>
  <c r="FZ127" i="1"/>
  <c r="FY127" i="1"/>
  <c r="FV127" i="1"/>
  <c r="FU127" i="1"/>
  <c r="FO127" i="1"/>
  <c r="EY127" i="1"/>
  <c r="EZ127" i="1"/>
  <c r="EW127" i="1"/>
  <c r="EO127" i="1"/>
  <c r="FW127" i="1"/>
  <c r="GA127" i="1"/>
  <c r="EX127" i="1"/>
  <c r="EY130" i="1"/>
  <c r="FX130" i="1"/>
  <c r="FN130" i="1"/>
  <c r="FP130" i="1"/>
  <c r="FZ130" i="1"/>
  <c r="GB130" i="1"/>
  <c r="FT130" i="1"/>
  <c r="GA130" i="1"/>
  <c r="FA130" i="1"/>
  <c r="EX130" i="1"/>
  <c r="EQ130" i="1"/>
  <c r="ER130" i="1"/>
  <c r="FR130" i="1"/>
  <c r="FS130" i="1"/>
  <c r="ES130" i="1"/>
  <c r="FM130" i="1"/>
  <c r="FY130" i="1"/>
  <c r="EU130" i="1"/>
  <c r="EV130" i="1"/>
  <c r="FV130" i="1"/>
  <c r="FW130" i="1"/>
  <c r="EW130" i="1"/>
  <c r="EM130" i="1"/>
  <c r="EN130" i="1"/>
  <c r="EO130" i="1"/>
  <c r="EZ130" i="1"/>
  <c r="FO130" i="1"/>
  <c r="EP130" i="1"/>
  <c r="FZ131" i="1"/>
  <c r="EY131" i="1"/>
  <c r="EZ131" i="1"/>
  <c r="FA131" i="1"/>
  <c r="FX131" i="1"/>
  <c r="FR131" i="1"/>
  <c r="FN131" i="1"/>
  <c r="FO131" i="1"/>
  <c r="FP131" i="1"/>
  <c r="EU131" i="1"/>
  <c r="ET131" i="1"/>
  <c r="FV131" i="1"/>
  <c r="FW131" i="1"/>
  <c r="EW131" i="1"/>
  <c r="EM131" i="1"/>
  <c r="EL131" i="1"/>
  <c r="EO131" i="1"/>
  <c r="GB131" i="1"/>
  <c r="GA131" i="1"/>
  <c r="EX131" i="1"/>
  <c r="FT131" i="1"/>
  <c r="FQ131" i="1"/>
  <c r="FY131" i="1"/>
  <c r="EV131" i="1"/>
  <c r="FU131" i="1"/>
  <c r="EQ131" i="1"/>
  <c r="ER131" i="1"/>
  <c r="ES131" i="1"/>
  <c r="FS131" i="1"/>
  <c r="FA129" i="1"/>
  <c r="FT129" i="1"/>
  <c r="EM129" i="1"/>
  <c r="GB129" i="1"/>
  <c r="EQ129" i="1"/>
  <c r="EP129" i="1"/>
  <c r="ES129" i="1"/>
  <c r="EO129" i="1"/>
  <c r="EN129" i="1"/>
  <c r="FZ129" i="1"/>
  <c r="GA129" i="1"/>
  <c r="EY129" i="1"/>
  <c r="EX129" i="1"/>
  <c r="FY129" i="1"/>
  <c r="FX129" i="1"/>
  <c r="FR129" i="1"/>
  <c r="FS129" i="1"/>
  <c r="FN129" i="1"/>
  <c r="FO129" i="1"/>
  <c r="FP129" i="1"/>
  <c r="EL129" i="1"/>
  <c r="EU129" i="1"/>
  <c r="EV129" i="1"/>
  <c r="FV129" i="1"/>
  <c r="FU129" i="1"/>
  <c r="EW129" i="1"/>
  <c r="GB132" i="1"/>
  <c r="EQ132" i="1"/>
  <c r="FN132" i="1"/>
  <c r="FM132" i="1"/>
  <c r="FP132" i="1"/>
  <c r="EY132" i="1"/>
  <c r="EZ132" i="1"/>
  <c r="EU132" i="1"/>
  <c r="FV132" i="1"/>
  <c r="FW132" i="1"/>
  <c r="EW132" i="1"/>
  <c r="ER132" i="1"/>
  <c r="EO132" i="1"/>
  <c r="EP132" i="1"/>
  <c r="FA132" i="1"/>
  <c r="FZ132" i="1"/>
  <c r="GA132" i="1"/>
  <c r="FX132" i="1"/>
  <c r="FR132" i="1"/>
  <c r="FS132" i="1"/>
  <c r="ES132" i="1"/>
  <c r="EM132" i="1"/>
  <c r="EN132" i="1"/>
  <c r="EV132" i="1"/>
  <c r="FT132" i="1"/>
  <c r="ET132" i="1"/>
  <c r="DN130" i="1"/>
  <c r="DV130" i="1"/>
  <c r="DR130" i="1"/>
  <c r="DP130" i="1"/>
  <c r="DO130" i="1"/>
  <c r="DX130" i="1"/>
  <c r="DW130" i="1"/>
  <c r="DZ130" i="1"/>
  <c r="DL130" i="1"/>
  <c r="DK130" i="1"/>
  <c r="DT130" i="1"/>
  <c r="DS130" i="1"/>
  <c r="FA126" i="1"/>
  <c r="FZ126" i="1"/>
  <c r="FY126" i="1"/>
  <c r="FX126" i="1"/>
  <c r="FN126" i="1"/>
  <c r="FO126" i="1"/>
  <c r="FP126" i="1"/>
  <c r="FT126" i="1"/>
  <c r="GB126" i="1"/>
  <c r="GA126" i="1"/>
  <c r="FV126" i="1"/>
  <c r="FU126" i="1"/>
  <c r="EQ126" i="1"/>
  <c r="EP126" i="1"/>
  <c r="FR126" i="1"/>
  <c r="FQ126" i="1"/>
  <c r="ES126" i="1"/>
  <c r="EM126" i="1"/>
  <c r="EL126" i="1"/>
  <c r="EY126" i="1"/>
  <c r="EZ126" i="1"/>
  <c r="EU126" i="1"/>
  <c r="EV126" i="1"/>
  <c r="EW126" i="1"/>
  <c r="EO126" i="1"/>
  <c r="EX126" i="1"/>
  <c r="FW126" i="1"/>
  <c r="DN129" i="1"/>
  <c r="DV129" i="1"/>
  <c r="DP129" i="1"/>
  <c r="DQ129" i="1"/>
  <c r="DX129" i="1"/>
  <c r="DY129" i="1"/>
  <c r="DL129" i="1"/>
  <c r="DM129" i="1"/>
  <c r="DT129" i="1"/>
  <c r="DU129" i="1"/>
  <c r="DR129" i="1"/>
  <c r="DZ129" i="1"/>
  <c r="DS129" i="1"/>
  <c r="ER129" i="1"/>
  <c r="FM131" i="1"/>
  <c r="EP127" i="1"/>
  <c r="FS128" i="1"/>
  <c r="DO129" i="1"/>
  <c r="ET126" i="1"/>
  <c r="EL132" i="1"/>
  <c r="FO132" i="1"/>
  <c r="FW129" i="1"/>
  <c r="EN131" i="1"/>
  <c r="FS127" i="1"/>
  <c r="DY130" i="1"/>
  <c r="FU132" i="1"/>
  <c r="EX132" i="1"/>
  <c r="FS126" i="1"/>
  <c r="DK129" i="1"/>
  <c r="DW129" i="1"/>
  <c r="FM126" i="1"/>
  <c r="FY132" i="1"/>
  <c r="FQ132" i="1"/>
  <c r="ET129" i="1"/>
  <c r="EZ129" i="1"/>
  <c r="FM129" i="1"/>
  <c r="FQ130" i="1"/>
  <c r="DM130" i="1"/>
  <c r="ET130" i="1"/>
  <c r="ER128" i="1"/>
  <c r="DL132" i="1"/>
  <c r="DK132" i="1"/>
  <c r="DP132" i="1"/>
  <c r="DT132" i="1"/>
  <c r="DS132" i="1"/>
  <c r="DX132" i="1"/>
  <c r="DX191" i="1"/>
  <c r="DV191" i="1"/>
  <c r="DT191" i="1"/>
  <c r="DU191" i="1"/>
  <c r="DR191" i="1"/>
  <c r="DL191" i="1"/>
  <c r="DM191" i="1"/>
  <c r="DO132" i="1"/>
  <c r="DW132" i="1"/>
  <c r="DR132" i="1"/>
  <c r="DZ132" i="1"/>
  <c r="DY191" i="1"/>
  <c r="DM132" i="1"/>
  <c r="DQ132" i="1"/>
  <c r="DU132" i="1"/>
  <c r="DY132" i="1"/>
  <c r="DW191" i="1"/>
  <c r="DP191" i="1"/>
  <c r="DQ191" i="1"/>
  <c r="DN191" i="1"/>
  <c r="DZ191" i="1"/>
  <c r="DN132" i="1"/>
  <c r="DV132" i="1"/>
  <c r="ER126" i="1"/>
  <c r="DU130" i="1"/>
  <c r="DQ130" i="1"/>
  <c r="EN126" i="1"/>
  <c r="FQ129" i="1"/>
  <c r="EP131" i="1"/>
  <c r="FU130" i="1"/>
  <c r="EL130" i="1"/>
  <c r="EN127" i="1"/>
  <c r="ET127" i="1"/>
  <c r="GA128" i="1"/>
  <c r="DK191" i="1"/>
  <c r="DS191" i="1"/>
  <c r="DO191" i="1"/>
  <c r="DJ35" i="1" l="1"/>
  <c r="DJ72" i="1"/>
  <c r="DJ62" i="1"/>
  <c r="DJ17" i="1"/>
  <c r="DJ92" i="1"/>
  <c r="DJ79" i="1"/>
  <c r="DJ53" i="1"/>
  <c r="JC11" i="1"/>
  <c r="DJ48" i="1"/>
  <c r="DJ42" i="1"/>
  <c r="DJ25" i="1"/>
  <c r="DJ52" i="1"/>
  <c r="DJ102" i="1"/>
  <c r="DJ29" i="1"/>
  <c r="DJ19" i="1"/>
  <c r="DJ40" i="1"/>
  <c r="DJ26" i="1"/>
  <c r="DJ39" i="1"/>
  <c r="DJ60" i="1"/>
  <c r="DJ94" i="1"/>
  <c r="DJ21" i="1"/>
  <c r="JC70" i="1"/>
  <c r="DJ16" i="1"/>
  <c r="DJ105" i="1"/>
  <c r="DJ15" i="1"/>
  <c r="DJ20" i="1"/>
  <c r="DJ54" i="1"/>
  <c r="DJ86" i="1"/>
  <c r="DJ8" i="1"/>
  <c r="DJ81" i="1"/>
  <c r="DJ98" i="1"/>
  <c r="DJ28" i="1"/>
  <c r="DJ14" i="1"/>
  <c r="JC47" i="1"/>
  <c r="JC18" i="1"/>
  <c r="DJ63" i="1"/>
  <c r="DJ89" i="1"/>
  <c r="DJ38" i="1"/>
  <c r="DJ83" i="1"/>
  <c r="DJ93" i="1"/>
  <c r="DJ104" i="1"/>
  <c r="DJ87" i="1"/>
  <c r="DJ49" i="1"/>
  <c r="DJ50" i="1"/>
  <c r="DJ107" i="1"/>
  <c r="DJ85" i="1"/>
  <c r="JC31" i="1"/>
  <c r="DJ80" i="1"/>
  <c r="DJ66" i="1"/>
  <c r="DJ57" i="1"/>
  <c r="DJ84" i="1"/>
  <c r="DJ67" i="1"/>
  <c r="DJ61" i="1"/>
  <c r="BV9" i="1"/>
  <c r="CD12" i="1" s="1"/>
  <c r="AY10" i="1" s="1"/>
  <c r="JC35" i="1"/>
  <c r="JC19" i="1"/>
  <c r="JC86" i="1"/>
  <c r="JC104" i="1"/>
  <c r="JC72" i="1"/>
  <c r="JC40" i="1"/>
  <c r="JC8" i="1"/>
  <c r="JC87" i="1"/>
  <c r="JC62" i="1"/>
  <c r="JC26" i="1"/>
  <c r="JC81" i="1"/>
  <c r="JC49" i="1"/>
  <c r="JC17" i="1"/>
  <c r="JC39" i="1"/>
  <c r="JC98" i="1"/>
  <c r="JC50" i="1"/>
  <c r="JC92" i="1"/>
  <c r="JC60" i="1"/>
  <c r="JC28" i="1"/>
  <c r="JC107" i="1"/>
  <c r="JC79" i="1"/>
  <c r="JC94" i="1"/>
  <c r="JC14" i="1"/>
  <c r="JC85" i="1"/>
  <c r="JC53" i="1"/>
  <c r="JC21" i="1"/>
  <c r="DJ43" i="1"/>
  <c r="DJ27" i="1"/>
  <c r="DJ106" i="1"/>
  <c r="DJ30" i="1"/>
  <c r="DJ4" i="1"/>
  <c r="JC80" i="1"/>
  <c r="JC48" i="1"/>
  <c r="JC16" i="1"/>
  <c r="JC63" i="1"/>
  <c r="JC66" i="1"/>
  <c r="JC42" i="1"/>
  <c r="JC105" i="1"/>
  <c r="JC89" i="1"/>
  <c r="JC57" i="1"/>
  <c r="JC25" i="1"/>
  <c r="JC15" i="1"/>
  <c r="JC38" i="1"/>
  <c r="JC84" i="1"/>
  <c r="JC52" i="1"/>
  <c r="JC20" i="1"/>
  <c r="JC83" i="1"/>
  <c r="JC67" i="1"/>
  <c r="JC102" i="1"/>
  <c r="JC54" i="1"/>
  <c r="JC93" i="1"/>
  <c r="JC61" i="1"/>
  <c r="JC125" i="1"/>
  <c r="JC124" i="1"/>
  <c r="JC113" i="1"/>
  <c r="JC118" i="1"/>
  <c r="JC120" i="1"/>
  <c r="JC115" i="1"/>
  <c r="JC119" i="1"/>
  <c r="JC123" i="1"/>
  <c r="DJ117" i="1"/>
  <c r="DJ122" i="1"/>
  <c r="DJ113" i="1"/>
  <c r="DJ118" i="1"/>
  <c r="DJ120" i="1"/>
  <c r="DJ115" i="1"/>
  <c r="DJ119" i="1"/>
  <c r="DJ123" i="1"/>
  <c r="DJ121" i="1"/>
  <c r="DJ116" i="1"/>
  <c r="JC112" i="1"/>
  <c r="JC121" i="1"/>
  <c r="JC117" i="1"/>
  <c r="JC122" i="1"/>
  <c r="JC116" i="1"/>
  <c r="JC114" i="1"/>
  <c r="DJ112" i="1"/>
  <c r="DJ114" i="1"/>
  <c r="GM134" i="1"/>
  <c r="GM135" i="1"/>
  <c r="EK135" i="1"/>
  <c r="FL135" i="1"/>
  <c r="GM133" i="1"/>
  <c r="DJ133" i="1"/>
  <c r="JC127" i="1"/>
  <c r="JC128" i="1"/>
  <c r="JC126" i="1"/>
  <c r="DJ51" i="1"/>
  <c r="DJ23" i="1"/>
  <c r="DJ59" i="1"/>
  <c r="DJ6" i="1"/>
  <c r="DJ88" i="1"/>
  <c r="DJ56" i="1"/>
  <c r="DJ24" i="1"/>
  <c r="DJ103" i="1"/>
  <c r="DJ55" i="1"/>
  <c r="DJ34" i="1"/>
  <c r="DJ97" i="1"/>
  <c r="DJ65" i="1"/>
  <c r="DJ33" i="1"/>
  <c r="DJ111" i="1"/>
  <c r="DJ7" i="1"/>
  <c r="DJ58" i="1"/>
  <c r="DJ108" i="1"/>
  <c r="DJ76" i="1"/>
  <c r="DJ44" i="1"/>
  <c r="DJ12" i="1"/>
  <c r="DJ91" i="1"/>
  <c r="DJ75" i="1"/>
  <c r="DJ90" i="1"/>
  <c r="DJ10" i="1"/>
  <c r="DJ69" i="1"/>
  <c r="DJ37" i="1"/>
  <c r="DJ5" i="1"/>
  <c r="JC43" i="1"/>
  <c r="JC27" i="1"/>
  <c r="JC106" i="1"/>
  <c r="JC30" i="1"/>
  <c r="DJ96" i="1"/>
  <c r="DJ64" i="1"/>
  <c r="DJ32" i="1"/>
  <c r="DJ95" i="1"/>
  <c r="DJ74" i="1"/>
  <c r="DJ46" i="1"/>
  <c r="DJ22" i="1"/>
  <c r="DJ101" i="1"/>
  <c r="DJ73" i="1"/>
  <c r="DJ41" i="1"/>
  <c r="DJ9" i="1"/>
  <c r="DJ78" i="1"/>
  <c r="DJ100" i="1"/>
  <c r="DJ68" i="1"/>
  <c r="DJ36" i="1"/>
  <c r="DJ99" i="1"/>
  <c r="DJ71" i="1"/>
  <c r="DJ110" i="1"/>
  <c r="DJ82" i="1"/>
  <c r="DJ109" i="1"/>
  <c r="DJ77" i="1"/>
  <c r="DJ45" i="1"/>
  <c r="DJ13" i="1"/>
  <c r="JC51" i="1"/>
  <c r="JC23" i="1"/>
  <c r="JC59" i="1"/>
  <c r="JC6" i="1"/>
  <c r="JC88" i="1"/>
  <c r="JC56" i="1"/>
  <c r="JC24" i="1"/>
  <c r="JC103" i="1"/>
  <c r="JC55" i="1"/>
  <c r="JC34" i="1"/>
  <c r="JC97" i="1"/>
  <c r="JC65" i="1"/>
  <c r="JC33" i="1"/>
  <c r="JC111" i="1"/>
  <c r="JC7" i="1"/>
  <c r="JC58" i="1"/>
  <c r="JC108" i="1"/>
  <c r="JC76" i="1"/>
  <c r="JC44" i="1"/>
  <c r="JC12" i="1"/>
  <c r="JC91" i="1"/>
  <c r="JC75" i="1"/>
  <c r="JC90" i="1"/>
  <c r="JC10" i="1"/>
  <c r="JC69" i="1"/>
  <c r="JC37" i="1"/>
  <c r="DJ47" i="1"/>
  <c r="DJ31" i="1"/>
  <c r="DJ11" i="1"/>
  <c r="DJ70" i="1"/>
  <c r="DJ18" i="1"/>
  <c r="JC96" i="1"/>
  <c r="JC64" i="1"/>
  <c r="JC32" i="1"/>
  <c r="JC95" i="1"/>
  <c r="JC74" i="1"/>
  <c r="JC46" i="1"/>
  <c r="JC22" i="1"/>
  <c r="JC101" i="1"/>
  <c r="JC73" i="1"/>
  <c r="JC41" i="1"/>
  <c r="JC9" i="1"/>
  <c r="JC78" i="1"/>
  <c r="JC100" i="1"/>
  <c r="JC68" i="1"/>
  <c r="JC36" i="1"/>
  <c r="JC99" i="1"/>
  <c r="JC71" i="1"/>
  <c r="JC110" i="1"/>
  <c r="JC82" i="1"/>
  <c r="JC109" i="1"/>
  <c r="JC77" i="1"/>
  <c r="JC45" i="1"/>
  <c r="JC13" i="1"/>
  <c r="H45" i="1"/>
  <c r="IE1" i="1" s="1"/>
  <c r="DJ134" i="1"/>
  <c r="H77" i="1"/>
  <c r="DH135" i="1"/>
  <c r="DX135" i="1"/>
  <c r="DL135" i="1"/>
  <c r="BS48" i="6"/>
  <c r="IY124" i="1"/>
  <c r="IY125" i="1"/>
  <c r="IY117" i="1"/>
  <c r="IY118" i="1"/>
  <c r="IY115" i="1"/>
  <c r="IY116" i="1"/>
  <c r="IY123" i="1"/>
  <c r="IY113" i="1"/>
  <c r="IY114" i="1"/>
  <c r="IY121" i="1"/>
  <c r="IY122" i="1"/>
  <c r="IY112" i="1"/>
  <c r="IY119" i="1"/>
  <c r="IY120" i="1"/>
  <c r="DF115" i="1"/>
  <c r="DF119" i="1"/>
  <c r="DF112" i="1"/>
  <c r="DF120" i="1"/>
  <c r="DF123" i="1"/>
  <c r="DF116" i="1"/>
  <c r="DF114" i="1"/>
  <c r="DF117" i="1"/>
  <c r="DF113" i="1"/>
  <c r="DF118" i="1"/>
  <c r="DF121" i="1"/>
  <c r="DF122" i="1"/>
  <c r="AT22" i="1"/>
  <c r="DF134" i="1"/>
  <c r="AT26" i="1"/>
  <c r="AT28" i="1" s="1"/>
  <c r="J77" i="1"/>
  <c r="AV94" i="1"/>
  <c r="AV121" i="1"/>
  <c r="DP135" i="1"/>
  <c r="AT14" i="1"/>
  <c r="GI135" i="1"/>
  <c r="GI134" i="1"/>
  <c r="EG135" i="1"/>
  <c r="GI133" i="1"/>
  <c r="FH135" i="1"/>
  <c r="DF133" i="1"/>
  <c r="O7" i="1"/>
  <c r="GK129" i="1" s="1"/>
  <c r="AG42" i="1"/>
  <c r="AQ31" i="1"/>
  <c r="AG41" i="1"/>
  <c r="AQ40" i="1"/>
  <c r="AQ34" i="1"/>
  <c r="HJ3" i="1"/>
  <c r="HK3" i="1" s="1"/>
  <c r="HJ29" i="1"/>
  <c r="HJ96" i="1"/>
  <c r="HK96" i="1" s="1"/>
  <c r="HJ64" i="1"/>
  <c r="HK64" i="1" s="1"/>
  <c r="HJ56" i="1"/>
  <c r="HK56" i="1" s="1"/>
  <c r="HJ28" i="1"/>
  <c r="HJ110" i="1"/>
  <c r="HJ98" i="1"/>
  <c r="HK98" i="1" s="1"/>
  <c r="HJ90" i="1"/>
  <c r="HK90" i="1" s="1"/>
  <c r="HJ66" i="1"/>
  <c r="HK66" i="1" s="1"/>
  <c r="HJ54" i="1"/>
  <c r="HK54" i="1" s="1"/>
  <c r="HJ46" i="1"/>
  <c r="HJ14" i="1"/>
  <c r="HJ21" i="1"/>
  <c r="HJ100" i="1"/>
  <c r="HK100" i="1" s="1"/>
  <c r="HJ92" i="1"/>
  <c r="HK92" i="1" s="1"/>
  <c r="HJ84" i="1"/>
  <c r="HK84" i="1" s="1"/>
  <c r="HJ76" i="1"/>
  <c r="HK76" i="1" s="1"/>
  <c r="HJ68" i="1"/>
  <c r="HK68" i="1" s="1"/>
  <c r="HJ60" i="1"/>
  <c r="HK60" i="1" s="1"/>
  <c r="HJ52" i="1"/>
  <c r="HK52" i="1" s="1"/>
  <c r="HJ16" i="1"/>
  <c r="HJ103" i="1"/>
  <c r="HK103" i="1" s="1"/>
  <c r="HJ99" i="1"/>
  <c r="HK99" i="1" s="1"/>
  <c r="HJ91" i="1"/>
  <c r="HK91" i="1" s="1"/>
  <c r="HJ83" i="1"/>
  <c r="HK83" i="1" s="1"/>
  <c r="HJ75" i="1"/>
  <c r="HK75" i="1" s="1"/>
  <c r="HJ71" i="1"/>
  <c r="HK71" i="1" s="1"/>
  <c r="HJ67" i="1"/>
  <c r="HK67" i="1" s="1"/>
  <c r="HJ63" i="1"/>
  <c r="HK63" i="1" s="1"/>
  <c r="HJ59" i="1"/>
  <c r="HK59" i="1" s="1"/>
  <c r="HJ55" i="1"/>
  <c r="HK55" i="1" s="1"/>
  <c r="HJ51" i="1"/>
  <c r="HK51" i="1" s="1"/>
  <c r="HJ7" i="1"/>
  <c r="HJ4" i="1"/>
  <c r="HJ24" i="1"/>
  <c r="HJ43" i="1"/>
  <c r="HJ39" i="1"/>
  <c r="HJ27" i="1"/>
  <c r="HJ23" i="1"/>
  <c r="HJ5" i="1"/>
  <c r="HJ36" i="1"/>
  <c r="HJ37" i="1"/>
  <c r="HJ9" i="1"/>
  <c r="HJ104" i="1"/>
  <c r="HK104" i="1" s="1"/>
  <c r="HJ88" i="1"/>
  <c r="HK88" i="1" s="1"/>
  <c r="HJ80" i="1"/>
  <c r="HK80" i="1" s="1"/>
  <c r="HJ72" i="1"/>
  <c r="HK72" i="1" s="1"/>
  <c r="HJ32" i="1"/>
  <c r="HJ106" i="1"/>
  <c r="HK106" i="1" s="1"/>
  <c r="HJ102" i="1"/>
  <c r="HK102" i="1" s="1"/>
  <c r="HJ94" i="1"/>
  <c r="HK94" i="1" s="1"/>
  <c r="HJ86" i="1"/>
  <c r="HK86" i="1" s="1"/>
  <c r="HJ82" i="1"/>
  <c r="HK82" i="1" s="1"/>
  <c r="HJ78" i="1"/>
  <c r="HK78" i="1" s="1"/>
  <c r="HJ74" i="1"/>
  <c r="HK74" i="1" s="1"/>
  <c r="HJ70" i="1"/>
  <c r="HK70" i="1" s="1"/>
  <c r="HJ62" i="1"/>
  <c r="HK62" i="1" s="1"/>
  <c r="HJ58" i="1"/>
  <c r="HK58" i="1" s="1"/>
  <c r="HJ50" i="1"/>
  <c r="HK50" i="1" s="1"/>
  <c r="HJ38" i="1"/>
  <c r="HJ34" i="1"/>
  <c r="HJ22" i="1"/>
  <c r="HJ18" i="1"/>
  <c r="HJ109" i="1"/>
  <c r="HJ33" i="1"/>
  <c r="HJ45" i="1"/>
  <c r="HJ17" i="1"/>
  <c r="HJ101" i="1"/>
  <c r="HK101" i="1" s="1"/>
  <c r="HJ65" i="1"/>
  <c r="HK65" i="1" s="1"/>
  <c r="HJ57" i="1"/>
  <c r="HK57" i="1" s="1"/>
  <c r="HJ111" i="1"/>
  <c r="HJ15" i="1"/>
  <c r="HJ11" i="1"/>
  <c r="HJ105" i="1"/>
  <c r="HK105" i="1" s="1"/>
  <c r="HJ97" i="1"/>
  <c r="HK97" i="1" s="1"/>
  <c r="HJ89" i="1"/>
  <c r="HK89" i="1" s="1"/>
  <c r="HJ81" i="1"/>
  <c r="HK81" i="1" s="1"/>
  <c r="HJ73" i="1"/>
  <c r="HK73" i="1" s="1"/>
  <c r="HJ61" i="1"/>
  <c r="HK61" i="1" s="1"/>
  <c r="HJ53" i="1"/>
  <c r="HK53" i="1" s="1"/>
  <c r="HJ25" i="1"/>
  <c r="HJ48" i="1"/>
  <c r="HK48" i="1" s="1"/>
  <c r="HJ20" i="1"/>
  <c r="HJ42" i="1"/>
  <c r="HJ30" i="1"/>
  <c r="HJ26" i="1"/>
  <c r="HJ10" i="1"/>
  <c r="HJ93" i="1"/>
  <c r="HK93" i="1" s="1"/>
  <c r="HJ85" i="1"/>
  <c r="HK85" i="1" s="1"/>
  <c r="HJ77" i="1"/>
  <c r="HK77" i="1" s="1"/>
  <c r="HJ69" i="1"/>
  <c r="HK69" i="1" s="1"/>
  <c r="HJ49" i="1"/>
  <c r="HK49" i="1" s="1"/>
  <c r="HJ13" i="1"/>
  <c r="HJ108" i="1"/>
  <c r="HJ44" i="1"/>
  <c r="HJ8" i="1"/>
  <c r="HJ107" i="1"/>
  <c r="HJ95" i="1"/>
  <c r="HK95" i="1" s="1"/>
  <c r="HJ79" i="1"/>
  <c r="HK79" i="1" s="1"/>
  <c r="HJ47" i="1"/>
  <c r="HJ35" i="1"/>
  <c r="HJ31" i="1"/>
  <c r="HJ19" i="1"/>
  <c r="HJ40" i="1"/>
  <c r="HJ12" i="1"/>
  <c r="HJ41" i="1"/>
  <c r="HJ87" i="1"/>
  <c r="HK87" i="1" s="1"/>
  <c r="HJ6" i="1"/>
  <c r="IY13" i="1"/>
  <c r="IY16" i="1"/>
  <c r="IY23" i="1"/>
  <c r="IY28" i="1"/>
  <c r="IY45" i="1"/>
  <c r="IY46" i="1"/>
  <c r="IY48" i="1"/>
  <c r="IY52" i="1"/>
  <c r="IY56" i="1"/>
  <c r="IY58" i="1"/>
  <c r="IY65" i="1"/>
  <c r="IY66" i="1"/>
  <c r="IY7" i="1"/>
  <c r="IY15" i="1"/>
  <c r="IY21" i="1"/>
  <c r="IY24" i="1"/>
  <c r="IY26" i="1"/>
  <c r="IY33" i="1"/>
  <c r="IY34" i="1"/>
  <c r="IY37" i="1"/>
  <c r="IY38" i="1"/>
  <c r="IY41" i="1"/>
  <c r="IY43" i="1"/>
  <c r="IY47" i="1"/>
  <c r="IY51" i="1"/>
  <c r="IY55" i="1"/>
  <c r="IY60" i="1"/>
  <c r="IY6" i="1"/>
  <c r="IY11" i="1"/>
  <c r="IY14" i="1"/>
  <c r="IY17" i="1"/>
  <c r="IY18" i="1"/>
  <c r="IY20" i="1"/>
  <c r="IY29" i="1"/>
  <c r="IY30" i="1"/>
  <c r="IY32" i="1"/>
  <c r="IY36" i="1"/>
  <c r="IY40" i="1"/>
  <c r="IY42" i="1"/>
  <c r="IY49" i="1"/>
  <c r="IY50" i="1"/>
  <c r="IY53" i="1"/>
  <c r="IY54" i="1"/>
  <c r="IY57" i="1"/>
  <c r="IY59" i="1"/>
  <c r="IY63" i="1"/>
  <c r="IY9" i="1"/>
  <c r="IY31" i="1"/>
  <c r="IY62" i="1"/>
  <c r="IY71" i="1"/>
  <c r="IY76" i="1"/>
  <c r="IY93" i="1"/>
  <c r="IY94" i="1"/>
  <c r="IY96" i="1"/>
  <c r="IY100" i="1"/>
  <c r="IY104" i="1"/>
  <c r="IY106" i="1"/>
  <c r="IY10" i="1"/>
  <c r="IY22" i="1"/>
  <c r="IY27" i="1"/>
  <c r="IY64" i="1"/>
  <c r="IY67" i="1"/>
  <c r="IY69" i="1"/>
  <c r="IY70" i="1"/>
  <c r="IY73" i="1"/>
  <c r="IY75" i="1"/>
  <c r="IY79" i="1"/>
  <c r="IY83" i="1"/>
  <c r="IY87" i="1"/>
  <c r="IY92" i="1"/>
  <c r="IY109" i="1"/>
  <c r="IY110" i="1"/>
  <c r="IY12" i="1"/>
  <c r="IY39" i="1"/>
  <c r="IY44" i="1"/>
  <c r="IY68" i="1"/>
  <c r="IY72" i="1"/>
  <c r="IY74" i="1"/>
  <c r="IY81" i="1"/>
  <c r="IY82" i="1"/>
  <c r="IY85" i="1"/>
  <c r="IY86" i="1"/>
  <c r="IY89" i="1"/>
  <c r="IY91" i="1"/>
  <c r="IY95" i="1"/>
  <c r="IY99" i="1"/>
  <c r="IY103" i="1"/>
  <c r="IY108" i="1"/>
  <c r="IY8" i="1"/>
  <c r="IY19" i="1"/>
  <c r="IY25" i="1"/>
  <c r="IY35" i="1"/>
  <c r="IY61" i="1"/>
  <c r="IY77" i="1"/>
  <c r="IY78" i="1"/>
  <c r="IY80" i="1"/>
  <c r="IY84" i="1"/>
  <c r="IY88" i="1"/>
  <c r="IY90" i="1"/>
  <c r="IY97" i="1"/>
  <c r="IY98" i="1"/>
  <c r="IY101" i="1"/>
  <c r="IY102" i="1"/>
  <c r="IY105" i="1"/>
  <c r="IY107" i="1"/>
  <c r="IY111" i="1"/>
  <c r="DF5" i="1"/>
  <c r="DF8" i="1"/>
  <c r="DF11" i="1"/>
  <c r="DF13" i="1"/>
  <c r="DF22" i="1"/>
  <c r="DF24" i="1"/>
  <c r="DF10" i="1"/>
  <c r="DF12" i="1"/>
  <c r="DF15" i="1"/>
  <c r="DF17" i="1"/>
  <c r="DF26" i="1"/>
  <c r="DF6" i="1"/>
  <c r="DF7" i="1"/>
  <c r="DF20" i="1"/>
  <c r="DF25" i="1"/>
  <c r="DF34" i="1"/>
  <c r="DF36" i="1"/>
  <c r="DF40" i="1"/>
  <c r="DF41" i="1"/>
  <c r="DF49" i="1"/>
  <c r="DF9" i="1"/>
  <c r="DF18" i="1"/>
  <c r="DF23" i="1"/>
  <c r="DF28" i="1"/>
  <c r="DF31" i="1"/>
  <c r="DF33" i="1"/>
  <c r="DF43" i="1"/>
  <c r="DF16" i="1"/>
  <c r="DF21" i="1"/>
  <c r="DF30" i="1"/>
  <c r="DF35" i="1"/>
  <c r="DF39" i="1"/>
  <c r="DF46" i="1"/>
  <c r="DF50" i="1"/>
  <c r="DF57" i="1"/>
  <c r="DF59" i="1"/>
  <c r="DF60" i="1"/>
  <c r="DF63" i="1"/>
  <c r="DF64" i="1"/>
  <c r="DF66" i="1"/>
  <c r="DF69" i="1"/>
  <c r="DF73" i="1"/>
  <c r="DF76" i="1"/>
  <c r="DF78" i="1"/>
  <c r="DF87" i="1"/>
  <c r="DF89" i="1"/>
  <c r="DF90" i="1"/>
  <c r="DF92" i="1"/>
  <c r="DF94" i="1"/>
  <c r="DF32" i="1"/>
  <c r="DF37" i="1"/>
  <c r="DF44" i="1"/>
  <c r="DF52" i="1"/>
  <c r="DF54" i="1"/>
  <c r="DF58" i="1"/>
  <c r="DF65" i="1"/>
  <c r="DF68" i="1"/>
  <c r="DF72" i="1"/>
  <c r="DF79" i="1"/>
  <c r="DF81" i="1"/>
  <c r="DF84" i="1"/>
  <c r="DF86" i="1"/>
  <c r="DF93" i="1"/>
  <c r="DF27" i="1"/>
  <c r="DF48" i="1"/>
  <c r="DF61" i="1"/>
  <c r="DF67" i="1"/>
  <c r="DF85" i="1"/>
  <c r="DF98" i="1"/>
  <c r="DF105" i="1"/>
  <c r="DF109" i="1"/>
  <c r="DF19" i="1"/>
  <c r="DF29" i="1"/>
  <c r="DF42" i="1"/>
  <c r="DF47" i="1"/>
  <c r="DF55" i="1"/>
  <c r="DF56" i="1"/>
  <c r="DF62" i="1"/>
  <c r="DF77" i="1"/>
  <c r="DF82" i="1"/>
  <c r="DF91" i="1"/>
  <c r="DF14" i="1"/>
  <c r="DF38" i="1"/>
  <c r="DF51" i="1"/>
  <c r="DF53" i="1"/>
  <c r="DF71" i="1"/>
  <c r="DF75" i="1"/>
  <c r="DF80" i="1"/>
  <c r="DF95" i="1"/>
  <c r="DF100" i="1"/>
  <c r="DF101" i="1"/>
  <c r="DF103" i="1"/>
  <c r="DF104" i="1"/>
  <c r="DF107" i="1"/>
  <c r="DF108" i="1"/>
  <c r="DF111" i="1"/>
  <c r="DF70" i="1"/>
  <c r="DF83" i="1"/>
  <c r="DF99" i="1"/>
  <c r="DF106" i="1"/>
  <c r="DF45" i="1"/>
  <c r="DF74" i="1"/>
  <c r="DF96" i="1"/>
  <c r="DF97" i="1"/>
  <c r="DF88" i="1"/>
  <c r="DF102" i="1"/>
  <c r="DF110" i="1"/>
  <c r="AT5" i="1"/>
  <c r="AT7" i="1" s="1"/>
  <c r="BK52" i="6"/>
  <c r="AV120" i="1"/>
  <c r="AT18" i="1"/>
  <c r="AT19" i="1" s="1"/>
  <c r="BK49" i="6"/>
  <c r="CJ14" i="1"/>
  <c r="AV172" i="1"/>
  <c r="BK50" i="6"/>
  <c r="CJ13" i="1"/>
  <c r="CJ12" i="1"/>
  <c r="Z51" i="6"/>
  <c r="AO23" i="4"/>
  <c r="AO24" i="4"/>
  <c r="BO51" i="4"/>
  <c r="DF194" i="1"/>
  <c r="O77" i="1"/>
  <c r="N77" i="1"/>
  <c r="I77" i="1"/>
  <c r="J12" i="1"/>
  <c r="BB7" i="1" s="1"/>
  <c r="BB8" i="1" s="1"/>
  <c r="AR35" i="1"/>
  <c r="BW29" i="1"/>
  <c r="BX29" i="1" s="1"/>
  <c r="BV22" i="1"/>
  <c r="CD19" i="1" s="1"/>
  <c r="AY13" i="1" s="1"/>
  <c r="GM131" i="1"/>
  <c r="CV2" i="1"/>
  <c r="BV12" i="1"/>
  <c r="CD11" i="1" s="1"/>
  <c r="AY9" i="1" s="1"/>
  <c r="D77" i="1"/>
  <c r="AA49" i="6"/>
  <c r="GI131" i="1"/>
  <c r="GM127" i="1"/>
  <c r="E32" i="1"/>
  <c r="AV42" i="1"/>
  <c r="BK48" i="6"/>
  <c r="BM12" i="6"/>
  <c r="GI127" i="1"/>
  <c r="GM129" i="1"/>
  <c r="GI132" i="1"/>
  <c r="AF49" i="6"/>
  <c r="F31" i="1"/>
  <c r="G31" i="1" s="1"/>
  <c r="AX43" i="1"/>
  <c r="Z64" i="6" s="1"/>
  <c r="AX42" i="1"/>
  <c r="Z63" i="6" s="1"/>
  <c r="D37" i="1"/>
  <c r="D45" i="1"/>
  <c r="IB1" i="1" s="1"/>
  <c r="D40" i="1"/>
  <c r="GI128" i="1"/>
  <c r="BQ52" i="6"/>
  <c r="AT16" i="1"/>
  <c r="AC26" i="1"/>
  <c r="BR50" i="6" s="1"/>
  <c r="E39" i="1"/>
  <c r="Q34" i="1"/>
  <c r="Y34" i="1"/>
  <c r="M34" i="1"/>
  <c r="AV95" i="1"/>
  <c r="AC24" i="1"/>
  <c r="I34" i="1"/>
  <c r="AV69" i="1"/>
  <c r="BQ50" i="6"/>
  <c r="AV173" i="1"/>
  <c r="CJ11" i="1"/>
  <c r="AT25" i="1"/>
  <c r="AT24" i="1"/>
  <c r="AV68" i="1"/>
  <c r="BN48" i="6"/>
  <c r="BQ48" i="6"/>
  <c r="U32" i="1"/>
  <c r="DT135" i="1" s="1"/>
  <c r="AV146" i="1"/>
  <c r="DJ194" i="1"/>
  <c r="GM132" i="1"/>
  <c r="GM128" i="1"/>
  <c r="AX32" i="1"/>
  <c r="AX33" i="1" s="1"/>
  <c r="GI129" i="1"/>
  <c r="GI126" i="1"/>
  <c r="AC13" i="1"/>
  <c r="AC22" i="1"/>
  <c r="BK53" i="6"/>
  <c r="GM130" i="1"/>
  <c r="GM126" i="1"/>
  <c r="GI130" i="1"/>
  <c r="BT50" i="6"/>
  <c r="AA206" i="6"/>
  <c r="AW185" i="1" s="1"/>
  <c r="BT51" i="6"/>
  <c r="AA168" i="6"/>
  <c r="AW147" i="1" s="1"/>
  <c r="AA129" i="6"/>
  <c r="AW108" i="1" s="1"/>
  <c r="BT53" i="6"/>
  <c r="AA180" i="6"/>
  <c r="AW159" i="1" s="1"/>
  <c r="BT52" i="6"/>
  <c r="AA154" i="6"/>
  <c r="AW133" i="1" s="1"/>
  <c r="AA115" i="6"/>
  <c r="AW94" i="1" s="1"/>
  <c r="B15" i="7"/>
  <c r="K22" i="7" s="1"/>
  <c r="ED8" i="4" s="1"/>
  <c r="DB134" i="1" s="1"/>
  <c r="D15" i="7"/>
  <c r="K23" i="7" s="1"/>
  <c r="ED9" i="4" s="1"/>
  <c r="BQ51" i="6"/>
  <c r="BN51" i="6"/>
  <c r="K34" i="7"/>
  <c r="BQ49" i="6"/>
  <c r="BO49" i="6"/>
  <c r="BM53" i="6"/>
  <c r="BQ53" i="6"/>
  <c r="AW146" i="1"/>
  <c r="AA193" i="6"/>
  <c r="AA194" i="6"/>
  <c r="AA141" i="6"/>
  <c r="AA142" i="6"/>
  <c r="AW160" i="1"/>
  <c r="AW186" i="1"/>
  <c r="E77" i="1"/>
  <c r="F77" i="1"/>
  <c r="C78" i="1"/>
  <c r="H87" i="1" s="1"/>
  <c r="AV87" i="1" s="1"/>
  <c r="C79" i="1"/>
  <c r="L77" i="1"/>
  <c r="M77" i="1"/>
  <c r="G77" i="1"/>
  <c r="G33" i="1"/>
  <c r="AC5" i="1"/>
  <c r="BW30" i="1" l="1"/>
  <c r="BX30" i="1" s="1"/>
  <c r="BX33" i="1" s="1"/>
  <c r="IW118" i="1"/>
  <c r="JA124" i="1"/>
  <c r="JA125" i="1"/>
  <c r="DH113" i="1"/>
  <c r="DH112" i="1"/>
  <c r="DH118" i="1"/>
  <c r="JA120" i="1"/>
  <c r="DH117" i="1"/>
  <c r="JA115" i="1"/>
  <c r="DH119" i="1"/>
  <c r="DH116" i="1"/>
  <c r="DH114" i="1"/>
  <c r="JA121" i="1"/>
  <c r="DH115" i="1"/>
  <c r="DH122" i="1"/>
  <c r="JA113" i="1"/>
  <c r="JA118" i="1"/>
  <c r="DH121" i="1"/>
  <c r="DH120" i="1"/>
  <c r="JA116" i="1"/>
  <c r="JA123" i="1"/>
  <c r="JA112" i="1"/>
  <c r="JA117" i="1"/>
  <c r="JA122" i="1"/>
  <c r="JA119" i="1"/>
  <c r="DH123" i="1"/>
  <c r="JA114" i="1"/>
  <c r="EI135" i="1"/>
  <c r="GK134" i="1"/>
  <c r="GK133" i="1"/>
  <c r="GK135" i="1"/>
  <c r="FJ135" i="1"/>
  <c r="JA128" i="1"/>
  <c r="JA127" i="1"/>
  <c r="JA126" i="1"/>
  <c r="DH133" i="1"/>
  <c r="JA45" i="1"/>
  <c r="JA77" i="1"/>
  <c r="JA54" i="1"/>
  <c r="DH83" i="1"/>
  <c r="JA20" i="1"/>
  <c r="DH52" i="1"/>
  <c r="DH68" i="1"/>
  <c r="DH100" i="1"/>
  <c r="JA42" i="1"/>
  <c r="JA66" i="1"/>
  <c r="DH95" i="1"/>
  <c r="DH48" i="1"/>
  <c r="JA96" i="1"/>
  <c r="DH4" i="1"/>
  <c r="JA18" i="1"/>
  <c r="DH11" i="1"/>
  <c r="DH27" i="1"/>
  <c r="DH5" i="1"/>
  <c r="JA21" i="1"/>
  <c r="DH85" i="1"/>
  <c r="JA14" i="1"/>
  <c r="JA94" i="1"/>
  <c r="DH75" i="1"/>
  <c r="JA28" i="1"/>
  <c r="JA44" i="1"/>
  <c r="JA60" i="1"/>
  <c r="JA76" i="1"/>
  <c r="DH76" i="1"/>
  <c r="DH111" i="1"/>
  <c r="JA17" i="1"/>
  <c r="JA33" i="1"/>
  <c r="JA81" i="1"/>
  <c r="DH97" i="1"/>
  <c r="JA26" i="1"/>
  <c r="JA34" i="1"/>
  <c r="JA55" i="1"/>
  <c r="JA87" i="1"/>
  <c r="DH103" i="1"/>
  <c r="JA24" i="1"/>
  <c r="JA40" i="1"/>
  <c r="JA88" i="1"/>
  <c r="DH88" i="1"/>
  <c r="DH86" i="1"/>
  <c r="JA59" i="1"/>
  <c r="DH23" i="1"/>
  <c r="DH35" i="1"/>
  <c r="DH51" i="1"/>
  <c r="JA29" i="1"/>
  <c r="DH61" i="1"/>
  <c r="JA93" i="1"/>
  <c r="DH82" i="1"/>
  <c r="JA102" i="1"/>
  <c r="DH13" i="1"/>
  <c r="DH45" i="1"/>
  <c r="DH93" i="1"/>
  <c r="DH109" i="1"/>
  <c r="DH110" i="1"/>
  <c r="DH71" i="1"/>
  <c r="JA36" i="1"/>
  <c r="JA84" i="1"/>
  <c r="DH84" i="1"/>
  <c r="DH38" i="1"/>
  <c r="JA15" i="1"/>
  <c r="DH89" i="1"/>
  <c r="DH101" i="1"/>
  <c r="JA105" i="1"/>
  <c r="DH74" i="1"/>
  <c r="JA63" i="1"/>
  <c r="DH16" i="1"/>
  <c r="JA48" i="1"/>
  <c r="JA64" i="1"/>
  <c r="DH80" i="1"/>
  <c r="DH96" i="1"/>
  <c r="JA70" i="1"/>
  <c r="JA106" i="1"/>
  <c r="JA31" i="1"/>
  <c r="JA47" i="1"/>
  <c r="JA37" i="1"/>
  <c r="JA90" i="1"/>
  <c r="DH94" i="1"/>
  <c r="JA75" i="1"/>
  <c r="JA79" i="1"/>
  <c r="DH91" i="1"/>
  <c r="DH107" i="1"/>
  <c r="DH60" i="1"/>
  <c r="JA108" i="1"/>
  <c r="DH55" i="1"/>
  <c r="DH87" i="1"/>
  <c r="DH8" i="1"/>
  <c r="DH24" i="1"/>
  <c r="DH56" i="1"/>
  <c r="DH72" i="1"/>
  <c r="DH6" i="1"/>
  <c r="JA86" i="1"/>
  <c r="JA13" i="1"/>
  <c r="DH29" i="1"/>
  <c r="JA61" i="1"/>
  <c r="DH77" i="1"/>
  <c r="JA110" i="1"/>
  <c r="JA67" i="1"/>
  <c r="JA83" i="1"/>
  <c r="JA99" i="1"/>
  <c r="DH20" i="1"/>
  <c r="JA52" i="1"/>
  <c r="JA68" i="1"/>
  <c r="DH105" i="1"/>
  <c r="DH22" i="1"/>
  <c r="JA46" i="1"/>
  <c r="JA16" i="1"/>
  <c r="DH32" i="1"/>
  <c r="JA80" i="1"/>
  <c r="DH18" i="1"/>
  <c r="DH30" i="1"/>
  <c r="DH70" i="1"/>
  <c r="DH106" i="1"/>
  <c r="DH21" i="1"/>
  <c r="DH37" i="1"/>
  <c r="JA53" i="1"/>
  <c r="JA10" i="1"/>
  <c r="DH14" i="1"/>
  <c r="DH90" i="1"/>
  <c r="DH44" i="1"/>
  <c r="JA50" i="1"/>
  <c r="JA58" i="1"/>
  <c r="JA98" i="1"/>
  <c r="JA7" i="1"/>
  <c r="JA39" i="1"/>
  <c r="DH34" i="1"/>
  <c r="JA104" i="1"/>
  <c r="DH19" i="1"/>
  <c r="JA23" i="1"/>
  <c r="JA51" i="1"/>
  <c r="JA82" i="1"/>
  <c r="DH102" i="1"/>
  <c r="DH99" i="1"/>
  <c r="DH36" i="1"/>
  <c r="JA100" i="1"/>
  <c r="DH15" i="1"/>
  <c r="JA9" i="1"/>
  <c r="JA25" i="1"/>
  <c r="JA41" i="1"/>
  <c r="JA57" i="1"/>
  <c r="JA73" i="1"/>
  <c r="JA101" i="1"/>
  <c r="JA22" i="1"/>
  <c r="DH66" i="1"/>
  <c r="DH63" i="1"/>
  <c r="DH64" i="1"/>
  <c r="JA27" i="1"/>
  <c r="DH31" i="1"/>
  <c r="DH43" i="1"/>
  <c r="DH47" i="1"/>
  <c r="DH53" i="1"/>
  <c r="JA69" i="1"/>
  <c r="JA85" i="1"/>
  <c r="DH10" i="1"/>
  <c r="JA12" i="1"/>
  <c r="DH28" i="1"/>
  <c r="DH92" i="1"/>
  <c r="DH108" i="1"/>
  <c r="DH50" i="1"/>
  <c r="DH58" i="1"/>
  <c r="DH98" i="1"/>
  <c r="DH7" i="1"/>
  <c r="DH39" i="1"/>
  <c r="DH33" i="1"/>
  <c r="JA49" i="1"/>
  <c r="JA65" i="1"/>
  <c r="JA97" i="1"/>
  <c r="DH26" i="1"/>
  <c r="DH62" i="1"/>
  <c r="DH67" i="1"/>
  <c r="JA78" i="1"/>
  <c r="DH41" i="1"/>
  <c r="JA95" i="1"/>
  <c r="JA111" i="1"/>
  <c r="JA72" i="1"/>
  <c r="DH59" i="1"/>
  <c r="JA19" i="1"/>
  <c r="DH54" i="1"/>
  <c r="DH25" i="1"/>
  <c r="JA32" i="1"/>
  <c r="JA43" i="1"/>
  <c r="JA107" i="1"/>
  <c r="JA8" i="1"/>
  <c r="JA56" i="1"/>
  <c r="JA35" i="1"/>
  <c r="JA109" i="1"/>
  <c r="JA38" i="1"/>
  <c r="DH78" i="1"/>
  <c r="DH9" i="1"/>
  <c r="DH73" i="1"/>
  <c r="JA89" i="1"/>
  <c r="DH46" i="1"/>
  <c r="JA11" i="1"/>
  <c r="DH69" i="1"/>
  <c r="JA91" i="1"/>
  <c r="DH17" i="1"/>
  <c r="DH65" i="1"/>
  <c r="DH81" i="1"/>
  <c r="JA103" i="1"/>
  <c r="DH40" i="1"/>
  <c r="JA71" i="1"/>
  <c r="DH57" i="1"/>
  <c r="DH42" i="1"/>
  <c r="JA74" i="1"/>
  <c r="JA30" i="1"/>
  <c r="DH79" i="1"/>
  <c r="DH12" i="1"/>
  <c r="JA92" i="1"/>
  <c r="DH49" i="1"/>
  <c r="JA62" i="1"/>
  <c r="DH104" i="1"/>
  <c r="JA6" i="1"/>
  <c r="DH134" i="1"/>
  <c r="GK130" i="1"/>
  <c r="DH194" i="1"/>
  <c r="GK128" i="1"/>
  <c r="GK126" i="1"/>
  <c r="GK132" i="1"/>
  <c r="GK131" i="1"/>
  <c r="GK127" i="1"/>
  <c r="BR53" i="6"/>
  <c r="AT27" i="1"/>
  <c r="V42" i="1"/>
  <c r="DD110" i="1"/>
  <c r="IW112" i="1"/>
  <c r="IW100" i="1"/>
  <c r="IW13" i="1"/>
  <c r="IW58" i="1"/>
  <c r="DD123" i="1"/>
  <c r="IW123" i="1"/>
  <c r="IW117" i="1"/>
  <c r="EE135" i="1"/>
  <c r="IW124" i="1"/>
  <c r="IW125" i="1"/>
  <c r="DD116" i="1"/>
  <c r="DD122" i="1"/>
  <c r="DD119" i="1"/>
  <c r="IW116" i="1"/>
  <c r="IW121" i="1"/>
  <c r="IW122" i="1"/>
  <c r="IW115" i="1"/>
  <c r="DD112" i="1"/>
  <c r="DD117" i="1"/>
  <c r="IW119" i="1"/>
  <c r="IW120" i="1"/>
  <c r="IW113" i="1"/>
  <c r="IW114" i="1"/>
  <c r="DD120" i="1"/>
  <c r="DD118" i="1"/>
  <c r="DD115" i="1"/>
  <c r="DD114" i="1"/>
  <c r="Z42" i="1"/>
  <c r="AT20" i="1"/>
  <c r="AT6" i="1"/>
  <c r="DD104" i="1"/>
  <c r="DD6" i="1"/>
  <c r="DD121" i="1"/>
  <c r="DD113" i="1"/>
  <c r="HK111" i="1"/>
  <c r="DD88" i="1"/>
  <c r="DD12" i="1"/>
  <c r="IW51" i="1"/>
  <c r="BM7" i="6"/>
  <c r="DD96" i="1"/>
  <c r="DD20" i="1"/>
  <c r="IW90" i="1"/>
  <c r="IW44" i="1"/>
  <c r="GG129" i="1"/>
  <c r="DD103" i="1"/>
  <c r="DD108" i="1"/>
  <c r="DD61" i="1"/>
  <c r="DD28" i="1"/>
  <c r="DD5" i="1"/>
  <c r="IW32" i="1"/>
  <c r="IW31" i="1"/>
  <c r="DD93" i="1"/>
  <c r="DD92" i="1"/>
  <c r="DD64" i="1"/>
  <c r="DD102" i="1"/>
  <c r="DD37" i="1"/>
  <c r="IW93" i="1"/>
  <c r="IW111" i="1"/>
  <c r="IW24" i="1"/>
  <c r="IW109" i="1"/>
  <c r="IW73" i="1"/>
  <c r="IW56" i="1"/>
  <c r="IW35" i="1"/>
  <c r="IW28" i="1"/>
  <c r="DD65" i="1"/>
  <c r="DD67" i="1"/>
  <c r="DD78" i="1"/>
  <c r="DD66" i="1"/>
  <c r="DD17" i="1"/>
  <c r="DD48" i="1"/>
  <c r="DD40" i="1"/>
  <c r="DD43" i="1"/>
  <c r="DD13" i="1"/>
  <c r="IW88" i="1"/>
  <c r="IW60" i="1"/>
  <c r="IW102" i="1"/>
  <c r="IW54" i="1"/>
  <c r="IW82" i="1"/>
  <c r="IW23" i="1"/>
  <c r="FF135" i="1"/>
  <c r="GG131" i="1"/>
  <c r="GG132" i="1"/>
  <c r="GG128" i="1"/>
  <c r="DD52" i="1"/>
  <c r="DD51" i="1"/>
  <c r="DD71" i="1"/>
  <c r="DD101" i="1"/>
  <c r="DD105" i="1"/>
  <c r="DD94" i="1"/>
  <c r="DD76" i="1"/>
  <c r="DD60" i="1"/>
  <c r="DD30" i="1"/>
  <c r="DD77" i="1"/>
  <c r="DD62" i="1"/>
  <c r="DD32" i="1"/>
  <c r="DD89" i="1"/>
  <c r="DD82" i="1"/>
  <c r="DD73" i="1"/>
  <c r="DD56" i="1"/>
  <c r="DD33" i="1"/>
  <c r="DD97" i="1"/>
  <c r="DD54" i="1"/>
  <c r="DD31" i="1"/>
  <c r="DD36" i="1"/>
  <c r="DD29" i="1"/>
  <c r="DD19" i="1"/>
  <c r="DD50" i="1"/>
  <c r="DD18" i="1"/>
  <c r="DD25" i="1"/>
  <c r="DD16" i="1"/>
  <c r="DD9" i="1"/>
  <c r="IW104" i="1"/>
  <c r="IW83" i="1"/>
  <c r="IW76" i="1"/>
  <c r="IW41" i="1"/>
  <c r="IW101" i="1"/>
  <c r="IW94" i="1"/>
  <c r="IW50" i="1"/>
  <c r="IW18" i="1"/>
  <c r="IW98" i="1"/>
  <c r="IW89" i="1"/>
  <c r="IW81" i="1"/>
  <c r="IW33" i="1"/>
  <c r="IW6" i="1"/>
  <c r="IW99" i="1"/>
  <c r="IW92" i="1"/>
  <c r="IW79" i="1"/>
  <c r="IW47" i="1"/>
  <c r="IW21" i="1"/>
  <c r="IW62" i="1"/>
  <c r="IW27" i="1"/>
  <c r="IW66" i="1"/>
  <c r="IW57" i="1"/>
  <c r="IW49" i="1"/>
  <c r="IW36" i="1"/>
  <c r="IW29" i="1"/>
  <c r="IW11" i="1"/>
  <c r="IW43" i="1"/>
  <c r="IW19" i="1"/>
  <c r="IW12" i="1"/>
  <c r="GG134" i="1"/>
  <c r="GG133" i="1"/>
  <c r="DD194" i="1"/>
  <c r="GG130" i="1"/>
  <c r="DD111" i="1"/>
  <c r="DD41" i="1"/>
  <c r="DD100" i="1"/>
  <c r="DD109" i="1"/>
  <c r="DD99" i="1"/>
  <c r="DD90" i="1"/>
  <c r="DD24" i="1"/>
  <c r="DD83" i="1"/>
  <c r="DD70" i="1"/>
  <c r="DD57" i="1"/>
  <c r="DD46" i="1"/>
  <c r="DD106" i="1"/>
  <c r="DD91" i="1"/>
  <c r="DD72" i="1"/>
  <c r="DD87" i="1"/>
  <c r="DD63" i="1"/>
  <c r="DD42" i="1"/>
  <c r="DD95" i="1"/>
  <c r="DD81" i="1"/>
  <c r="DD74" i="1"/>
  <c r="DD45" i="1"/>
  <c r="DD8" i="1"/>
  <c r="DD34" i="1"/>
  <c r="DD35" i="1"/>
  <c r="DD21" i="1"/>
  <c r="DD11" i="1"/>
  <c r="DD14" i="1"/>
  <c r="IW110" i="1"/>
  <c r="IW75" i="1"/>
  <c r="IW14" i="1"/>
  <c r="IW106" i="1"/>
  <c r="IW80" i="1"/>
  <c r="IW71" i="1"/>
  <c r="IW108" i="1"/>
  <c r="IW95" i="1"/>
  <c r="IW72" i="1"/>
  <c r="IW91" i="1"/>
  <c r="IW69" i="1"/>
  <c r="IW42" i="1"/>
  <c r="IW48" i="1"/>
  <c r="IW39" i="1"/>
  <c r="IW22" i="1"/>
  <c r="IW16" i="1"/>
  <c r="IW10" i="1"/>
  <c r="IW63" i="1"/>
  <c r="IW40" i="1"/>
  <c r="IW20" i="1"/>
  <c r="IW64" i="1"/>
  <c r="IW55" i="1"/>
  <c r="IW38" i="1"/>
  <c r="IW26" i="1"/>
  <c r="IW8" i="1"/>
  <c r="DD134" i="1"/>
  <c r="GG135" i="1"/>
  <c r="GG127" i="1"/>
  <c r="GG126" i="1"/>
  <c r="DD75" i="1"/>
  <c r="DD84" i="1"/>
  <c r="DD107" i="1"/>
  <c r="DD44" i="1"/>
  <c r="DD98" i="1"/>
  <c r="DD85" i="1"/>
  <c r="DD69" i="1"/>
  <c r="DD86" i="1"/>
  <c r="DD68" i="1"/>
  <c r="DD55" i="1"/>
  <c r="DD15" i="1"/>
  <c r="DD80" i="1"/>
  <c r="DD59" i="1"/>
  <c r="DD53" i="1"/>
  <c r="DD38" i="1"/>
  <c r="DD22" i="1"/>
  <c r="DD79" i="1"/>
  <c r="DD58" i="1"/>
  <c r="DD49" i="1"/>
  <c r="DD26" i="1"/>
  <c r="DD27" i="1"/>
  <c r="DD10" i="1"/>
  <c r="DD47" i="1"/>
  <c r="DD39" i="1"/>
  <c r="DD23" i="1"/>
  <c r="DD7" i="1"/>
  <c r="IW96" i="1"/>
  <c r="IW87" i="1"/>
  <c r="IW70" i="1"/>
  <c r="IW30" i="1"/>
  <c r="IW105" i="1"/>
  <c r="IW97" i="1"/>
  <c r="IW84" i="1"/>
  <c r="IW77" i="1"/>
  <c r="IW107" i="1"/>
  <c r="IW85" i="1"/>
  <c r="IW78" i="1"/>
  <c r="IW59" i="1"/>
  <c r="IW103" i="1"/>
  <c r="IW86" i="1"/>
  <c r="IW74" i="1"/>
  <c r="IW67" i="1"/>
  <c r="IW37" i="1"/>
  <c r="IW65" i="1"/>
  <c r="IW52" i="1"/>
  <c r="IW45" i="1"/>
  <c r="IW9" i="1"/>
  <c r="IW53" i="1"/>
  <c r="IW46" i="1"/>
  <c r="IW17" i="1"/>
  <c r="IW68" i="1"/>
  <c r="IW61" i="1"/>
  <c r="IW34" i="1"/>
  <c r="IW25" i="1"/>
  <c r="IW15" i="1"/>
  <c r="IW7" i="1"/>
  <c r="DD133" i="1"/>
  <c r="HK108" i="1"/>
  <c r="HK110" i="1"/>
  <c r="HK107" i="1"/>
  <c r="HK109" i="1"/>
  <c r="AV43" i="1"/>
  <c r="DD135" i="1"/>
  <c r="K21" i="7"/>
  <c r="ED7" i="4" s="1"/>
  <c r="BR52" i="6"/>
  <c r="AT10" i="1"/>
  <c r="AT11" i="1" s="1"/>
  <c r="BN51" i="4"/>
  <c r="BN50" i="4"/>
  <c r="H84" i="1"/>
  <c r="AV84" i="1" s="1"/>
  <c r="BB4" i="1"/>
  <c r="BB6" i="1"/>
  <c r="BB5" i="1"/>
  <c r="AX44" i="1"/>
  <c r="AX45" i="1" s="1"/>
  <c r="AX46" i="1" s="1"/>
  <c r="E34" i="1"/>
  <c r="J83" i="1"/>
  <c r="AV109" i="1" s="1"/>
  <c r="K84" i="1"/>
  <c r="AV131" i="1" s="1"/>
  <c r="N84" i="1"/>
  <c r="AV162" i="1" s="1"/>
  <c r="H83" i="1"/>
  <c r="AV83" i="1" s="1"/>
  <c r="J84" i="1"/>
  <c r="AV110" i="1" s="1"/>
  <c r="N85" i="1"/>
  <c r="AV163" i="1" s="1"/>
  <c r="I85" i="1"/>
  <c r="AV104" i="1" s="1"/>
  <c r="H85" i="1"/>
  <c r="AV85" i="1" s="1"/>
  <c r="O84" i="1"/>
  <c r="AV183" i="1" s="1"/>
  <c r="I84" i="1"/>
  <c r="AV105" i="1" s="1"/>
  <c r="CD20" i="1"/>
  <c r="CD21" i="1" s="1"/>
  <c r="CH20" i="1"/>
  <c r="E40" i="1"/>
  <c r="F40" i="1" s="1"/>
  <c r="G40" i="1" s="1"/>
  <c r="CD9" i="1"/>
  <c r="CH12" i="1" s="1"/>
  <c r="CH13" i="1" s="1"/>
  <c r="CH14" i="1" s="1"/>
  <c r="H89" i="1"/>
  <c r="AV89" i="1" s="1"/>
  <c r="I90" i="1"/>
  <c r="AV99" i="1" s="1"/>
  <c r="I83" i="1"/>
  <c r="AV106" i="1" s="1"/>
  <c r="J85" i="1"/>
  <c r="AV111" i="1" s="1"/>
  <c r="O83" i="1"/>
  <c r="AV184" i="1" s="1"/>
  <c r="O85" i="1"/>
  <c r="AV182" i="1" s="1"/>
  <c r="K83" i="1"/>
  <c r="AV132" i="1" s="1"/>
  <c r="N83" i="1"/>
  <c r="AV161" i="1" s="1"/>
  <c r="K85" i="1"/>
  <c r="AV130" i="1" s="1"/>
  <c r="AE32" i="1"/>
  <c r="BT10" i="6" s="1"/>
  <c r="Z53" i="6"/>
  <c r="AX55" i="1"/>
  <c r="Z76" i="6" s="1"/>
  <c r="I88" i="1"/>
  <c r="AV101" i="1" s="1"/>
  <c r="AC27" i="1"/>
  <c r="AC28" i="1"/>
  <c r="N42" i="1"/>
  <c r="AD37" i="6"/>
  <c r="I86" i="1"/>
  <c r="AV103" i="1" s="1"/>
  <c r="A24" i="6"/>
  <c r="AP25" i="6" s="1"/>
  <c r="H31" i="1"/>
  <c r="E46" i="1"/>
  <c r="G46" i="1"/>
  <c r="IF3" i="1" s="1"/>
  <c r="IC1" i="1" s="1"/>
  <c r="AX56" i="1"/>
  <c r="F80" i="1"/>
  <c r="G80" i="1" s="1"/>
  <c r="AC15" i="1"/>
  <c r="AC14" i="1"/>
  <c r="AC18" i="1"/>
  <c r="U34" i="1"/>
  <c r="AV147" i="1"/>
  <c r="AT9" i="1"/>
  <c r="AT8" i="1"/>
  <c r="E79" i="1"/>
  <c r="F79" i="1"/>
  <c r="H79" i="1"/>
  <c r="I79" i="1"/>
  <c r="D79" i="1"/>
  <c r="G79" i="1"/>
  <c r="J79" i="1"/>
  <c r="M79" i="1"/>
  <c r="K79" i="1"/>
  <c r="L79" i="1"/>
  <c r="O79" i="1"/>
  <c r="N79" i="1"/>
  <c r="AW120" i="1"/>
  <c r="D80" i="1"/>
  <c r="AC7" i="1"/>
  <c r="AC10" i="1"/>
  <c r="AC6" i="1"/>
  <c r="L85" i="1"/>
  <c r="AV137" i="1" s="1"/>
  <c r="L83" i="1"/>
  <c r="AV135" i="1" s="1"/>
  <c r="L84" i="1"/>
  <c r="AV136" i="1" s="1"/>
  <c r="G78" i="1"/>
  <c r="J78" i="1"/>
  <c r="D78" i="1"/>
  <c r="I78" i="1"/>
  <c r="L78" i="1"/>
  <c r="F78" i="1"/>
  <c r="E78" i="1"/>
  <c r="H86" i="1"/>
  <c r="AV86" i="1" s="1"/>
  <c r="K78" i="1"/>
  <c r="O78" i="1"/>
  <c r="I87" i="1"/>
  <c r="AV102" i="1" s="1"/>
  <c r="H88" i="1"/>
  <c r="AV88" i="1" s="1"/>
  <c r="N78" i="1"/>
  <c r="H78" i="1"/>
  <c r="M78" i="1"/>
  <c r="K86" i="1"/>
  <c r="AV129" i="1" s="1"/>
  <c r="K88" i="1"/>
  <c r="AV127" i="1" s="1"/>
  <c r="K90" i="1"/>
  <c r="AV125" i="1" s="1"/>
  <c r="O87" i="1"/>
  <c r="AV180" i="1" s="1"/>
  <c r="N87" i="1"/>
  <c r="AV165" i="1" s="1"/>
  <c r="N89" i="1"/>
  <c r="AV167" i="1" s="1"/>
  <c r="M87" i="1"/>
  <c r="AV154" i="1" s="1"/>
  <c r="M89" i="1"/>
  <c r="AV152" i="1" s="1"/>
  <c r="L87" i="1"/>
  <c r="AV139" i="1" s="1"/>
  <c r="L89" i="1"/>
  <c r="AV141" i="1" s="1"/>
  <c r="J86" i="1"/>
  <c r="AV112" i="1" s="1"/>
  <c r="J88" i="1"/>
  <c r="AV114" i="1" s="1"/>
  <c r="J90" i="1"/>
  <c r="AV116" i="1" s="1"/>
  <c r="N88" i="1"/>
  <c r="AV166" i="1" s="1"/>
  <c r="M86" i="1"/>
  <c r="AV155" i="1" s="1"/>
  <c r="M90" i="1"/>
  <c r="AV151" i="1" s="1"/>
  <c r="L88" i="1"/>
  <c r="AV140" i="1" s="1"/>
  <c r="O88" i="1"/>
  <c r="AV179" i="1" s="1"/>
  <c r="K87" i="1"/>
  <c r="AV128" i="1" s="1"/>
  <c r="O86" i="1"/>
  <c r="AV181" i="1" s="1"/>
  <c r="O90" i="1"/>
  <c r="AV177" i="1" s="1"/>
  <c r="K89" i="1"/>
  <c r="AV126" i="1" s="1"/>
  <c r="J87" i="1"/>
  <c r="AV113" i="1" s="1"/>
  <c r="N86" i="1"/>
  <c r="AV164" i="1" s="1"/>
  <c r="L86" i="1"/>
  <c r="AV138" i="1" s="1"/>
  <c r="N90" i="1"/>
  <c r="AV168" i="1" s="1"/>
  <c r="M88" i="1"/>
  <c r="AV153" i="1" s="1"/>
  <c r="AW173" i="1"/>
  <c r="M31" i="6"/>
  <c r="AB193" i="6" s="1"/>
  <c r="K33" i="1"/>
  <c r="O33" i="1" s="1"/>
  <c r="S33" i="1" s="1"/>
  <c r="W33" i="1" s="1"/>
  <c r="AA33" i="1" s="1"/>
  <c r="I22" i="1" s="1"/>
  <c r="AW172" i="1"/>
  <c r="AX34" i="1"/>
  <c r="Z54" i="6"/>
  <c r="M83" i="1"/>
  <c r="AV158" i="1" s="1"/>
  <c r="M85" i="1"/>
  <c r="AV156" i="1" s="1"/>
  <c r="M84" i="1"/>
  <c r="AV157" i="1" s="1"/>
  <c r="M35" i="6"/>
  <c r="BI4" i="6"/>
  <c r="AR35" i="6"/>
  <c r="AW35" i="6" s="1"/>
  <c r="AR32" i="6"/>
  <c r="AW32" i="6" s="1"/>
  <c r="BI7" i="6"/>
  <c r="BI3" i="6"/>
  <c r="BI5" i="6"/>
  <c r="BI1" i="6"/>
  <c r="AR37" i="6"/>
  <c r="AR30" i="6"/>
  <c r="AW30" i="6" s="1"/>
  <c r="AR31" i="6"/>
  <c r="AR28" i="6"/>
  <c r="BI6" i="6"/>
  <c r="AR29" i="6"/>
  <c r="AW29" i="6" s="1"/>
  <c r="BI2" i="6"/>
  <c r="AW121" i="1"/>
  <c r="K19" i="7"/>
  <c r="ED5" i="4" s="1"/>
  <c r="BX31" i="1" l="1"/>
  <c r="DI104" i="1"/>
  <c r="DG104" i="1"/>
  <c r="DG12" i="1"/>
  <c r="DI12" i="1"/>
  <c r="DI42" i="1"/>
  <c r="DG42" i="1"/>
  <c r="IZ103" i="1"/>
  <c r="JB103" i="1"/>
  <c r="IZ91" i="1"/>
  <c r="JB91" i="1"/>
  <c r="JB89" i="1"/>
  <c r="IZ89" i="1"/>
  <c r="JB38" i="1"/>
  <c r="IZ38" i="1"/>
  <c r="JB8" i="1"/>
  <c r="IZ8" i="1"/>
  <c r="DG25" i="1"/>
  <c r="DI25" i="1"/>
  <c r="JB72" i="1"/>
  <c r="IZ72" i="1"/>
  <c r="JB78" i="1"/>
  <c r="IZ78" i="1"/>
  <c r="JB97" i="1"/>
  <c r="IZ97" i="1"/>
  <c r="DI39" i="1"/>
  <c r="DG39" i="1"/>
  <c r="DI50" i="1"/>
  <c r="DG50" i="1"/>
  <c r="JB12" i="1"/>
  <c r="IZ12" i="1"/>
  <c r="DG53" i="1"/>
  <c r="DI53" i="1"/>
  <c r="IZ27" i="1"/>
  <c r="JB27" i="1"/>
  <c r="IZ22" i="1"/>
  <c r="JB22" i="1"/>
  <c r="JB41" i="1"/>
  <c r="IZ41" i="1"/>
  <c r="IZ100" i="1"/>
  <c r="JB100" i="1"/>
  <c r="IZ82" i="1"/>
  <c r="JB82" i="1"/>
  <c r="JB104" i="1"/>
  <c r="IZ104" i="1"/>
  <c r="IZ98" i="1"/>
  <c r="JB98" i="1"/>
  <c r="DI90" i="1"/>
  <c r="DG90" i="1"/>
  <c r="DI37" i="1"/>
  <c r="DG37" i="1"/>
  <c r="DI30" i="1"/>
  <c r="DG30" i="1"/>
  <c r="IZ16" i="1"/>
  <c r="JB16" i="1"/>
  <c r="JB68" i="1"/>
  <c r="IZ68" i="1"/>
  <c r="IZ83" i="1"/>
  <c r="JB83" i="1"/>
  <c r="JB61" i="1"/>
  <c r="IZ61" i="1"/>
  <c r="DI6" i="1"/>
  <c r="DG6" i="1"/>
  <c r="DI8" i="1"/>
  <c r="DG8" i="1"/>
  <c r="DG60" i="1"/>
  <c r="DI60" i="1"/>
  <c r="IZ75" i="1"/>
  <c r="JB75" i="1"/>
  <c r="IZ47" i="1"/>
  <c r="JB47" i="1"/>
  <c r="DG96" i="1"/>
  <c r="DI96" i="1"/>
  <c r="DI16" i="1"/>
  <c r="DG16" i="1"/>
  <c r="DG101" i="1"/>
  <c r="DI101" i="1"/>
  <c r="DI84" i="1"/>
  <c r="DG84" i="1"/>
  <c r="DG110" i="1"/>
  <c r="DI110" i="1"/>
  <c r="DG13" i="1"/>
  <c r="DI13" i="1"/>
  <c r="DG61" i="1"/>
  <c r="DI61" i="1"/>
  <c r="DI23" i="1"/>
  <c r="DG23" i="1"/>
  <c r="IZ88" i="1"/>
  <c r="JB88" i="1"/>
  <c r="IZ87" i="1"/>
  <c r="JB87" i="1"/>
  <c r="DG97" i="1"/>
  <c r="DI97" i="1"/>
  <c r="DG111" i="1"/>
  <c r="DI111" i="1"/>
  <c r="JB44" i="1"/>
  <c r="IZ44" i="1"/>
  <c r="JB14" i="1"/>
  <c r="IZ14" i="1"/>
  <c r="DI27" i="1"/>
  <c r="DG27" i="1"/>
  <c r="IZ96" i="1"/>
  <c r="JB96" i="1"/>
  <c r="JB42" i="1"/>
  <c r="IZ42" i="1"/>
  <c r="JB20" i="1"/>
  <c r="IZ20" i="1"/>
  <c r="JB45" i="1"/>
  <c r="IZ45" i="1"/>
  <c r="IZ128" i="1"/>
  <c r="JB128" i="1"/>
  <c r="GJ134" i="1"/>
  <c r="GL134" i="1"/>
  <c r="IZ119" i="1"/>
  <c r="JB119" i="1"/>
  <c r="IZ123" i="1"/>
  <c r="JB123" i="1"/>
  <c r="IZ118" i="1"/>
  <c r="JB118" i="1"/>
  <c r="IZ121" i="1"/>
  <c r="JB121" i="1"/>
  <c r="IZ115" i="1"/>
  <c r="JB115" i="1"/>
  <c r="DI112" i="1"/>
  <c r="DG112" i="1"/>
  <c r="IZ62" i="1"/>
  <c r="JB62" i="1"/>
  <c r="DI79" i="1"/>
  <c r="DG79" i="1"/>
  <c r="DG57" i="1"/>
  <c r="DI57" i="1"/>
  <c r="DI81" i="1"/>
  <c r="DG81" i="1"/>
  <c r="DG69" i="1"/>
  <c r="DI69" i="1"/>
  <c r="DG73" i="1"/>
  <c r="DI73" i="1"/>
  <c r="JB109" i="1"/>
  <c r="IZ109" i="1"/>
  <c r="IZ107" i="1"/>
  <c r="JB107" i="1"/>
  <c r="DI54" i="1"/>
  <c r="DG54" i="1"/>
  <c r="IZ111" i="1"/>
  <c r="JB111" i="1"/>
  <c r="DI67" i="1"/>
  <c r="DG67" i="1"/>
  <c r="JB65" i="1"/>
  <c r="IZ65" i="1"/>
  <c r="DI7" i="1"/>
  <c r="DG7" i="1"/>
  <c r="DG108" i="1"/>
  <c r="DI108" i="1"/>
  <c r="DI10" i="1"/>
  <c r="DG10" i="1"/>
  <c r="DI47" i="1"/>
  <c r="DG47" i="1"/>
  <c r="DI64" i="1"/>
  <c r="DG64" i="1"/>
  <c r="JB101" i="1"/>
  <c r="IZ101" i="1"/>
  <c r="JB25" i="1"/>
  <c r="IZ25" i="1"/>
  <c r="DI36" i="1"/>
  <c r="DG36" i="1"/>
  <c r="IZ51" i="1"/>
  <c r="JB51" i="1"/>
  <c r="DI34" i="1"/>
  <c r="DG34" i="1"/>
  <c r="JB58" i="1"/>
  <c r="IZ58" i="1"/>
  <c r="DI14" i="1"/>
  <c r="DG14" i="1"/>
  <c r="DG21" i="1"/>
  <c r="DI21" i="1"/>
  <c r="DI18" i="1"/>
  <c r="DG18" i="1"/>
  <c r="JB46" i="1"/>
  <c r="IZ46" i="1"/>
  <c r="JB52" i="1"/>
  <c r="IZ52" i="1"/>
  <c r="IZ67" i="1"/>
  <c r="JB67" i="1"/>
  <c r="DI29" i="1"/>
  <c r="DG29" i="1"/>
  <c r="DI72" i="1"/>
  <c r="DG72" i="1"/>
  <c r="DG87" i="1"/>
  <c r="DI87" i="1"/>
  <c r="DG107" i="1"/>
  <c r="DI107" i="1"/>
  <c r="DG94" i="1"/>
  <c r="DI94" i="1"/>
  <c r="IZ31" i="1"/>
  <c r="JB31" i="1"/>
  <c r="DG80" i="1"/>
  <c r="DI80" i="1"/>
  <c r="IZ63" i="1"/>
  <c r="JB63" i="1"/>
  <c r="DG89" i="1"/>
  <c r="DI89" i="1"/>
  <c r="IZ84" i="1"/>
  <c r="JB84" i="1"/>
  <c r="DI109" i="1"/>
  <c r="DG109" i="1"/>
  <c r="JB102" i="1"/>
  <c r="IZ102" i="1"/>
  <c r="JB29" i="1"/>
  <c r="IZ29" i="1"/>
  <c r="IZ59" i="1"/>
  <c r="JB59" i="1"/>
  <c r="IZ40" i="1"/>
  <c r="JB40" i="1"/>
  <c r="IZ55" i="1"/>
  <c r="JB55" i="1"/>
  <c r="JB81" i="1"/>
  <c r="IZ81" i="1"/>
  <c r="DI76" i="1"/>
  <c r="DG76" i="1"/>
  <c r="JB28" i="1"/>
  <c r="IZ28" i="1"/>
  <c r="DG85" i="1"/>
  <c r="DI85" i="1"/>
  <c r="DI11" i="1"/>
  <c r="DG11" i="1"/>
  <c r="DG48" i="1"/>
  <c r="DI48" i="1"/>
  <c r="DI100" i="1"/>
  <c r="DG100" i="1"/>
  <c r="DG83" i="1"/>
  <c r="DI83" i="1"/>
  <c r="DI133" i="1"/>
  <c r="DG133" i="1"/>
  <c r="FI135" i="1"/>
  <c r="FK135" i="1"/>
  <c r="EH135" i="1"/>
  <c r="EJ135" i="1"/>
  <c r="IZ122" i="1"/>
  <c r="JB122" i="1"/>
  <c r="IZ116" i="1"/>
  <c r="JB116" i="1"/>
  <c r="IZ113" i="1"/>
  <c r="JB113" i="1"/>
  <c r="DI114" i="1"/>
  <c r="DG114" i="1"/>
  <c r="DI117" i="1"/>
  <c r="DG117" i="1"/>
  <c r="DG113" i="1"/>
  <c r="DI113" i="1"/>
  <c r="DG134" i="1"/>
  <c r="DI134" i="1"/>
  <c r="DI49" i="1"/>
  <c r="DG49" i="1"/>
  <c r="IZ30" i="1"/>
  <c r="JB30" i="1"/>
  <c r="IZ71" i="1"/>
  <c r="JB71" i="1"/>
  <c r="DI65" i="1"/>
  <c r="DG65" i="1"/>
  <c r="IZ11" i="1"/>
  <c r="JB11" i="1"/>
  <c r="DG9" i="1"/>
  <c r="DI9" i="1"/>
  <c r="IZ35" i="1"/>
  <c r="JB35" i="1"/>
  <c r="IZ43" i="1"/>
  <c r="JB43" i="1"/>
  <c r="IZ19" i="1"/>
  <c r="JB19" i="1"/>
  <c r="IZ95" i="1"/>
  <c r="JB95" i="1"/>
  <c r="DI62" i="1"/>
  <c r="DG62" i="1"/>
  <c r="JB49" i="1"/>
  <c r="IZ49" i="1"/>
  <c r="DG98" i="1"/>
  <c r="DI98" i="1"/>
  <c r="DI92" i="1"/>
  <c r="DG92" i="1"/>
  <c r="JB85" i="1"/>
  <c r="IZ85" i="1"/>
  <c r="DI43" i="1"/>
  <c r="DG43" i="1"/>
  <c r="DI63" i="1"/>
  <c r="DG63" i="1"/>
  <c r="JB73" i="1"/>
  <c r="IZ73" i="1"/>
  <c r="JB9" i="1"/>
  <c r="IZ9" i="1"/>
  <c r="DG99" i="1"/>
  <c r="DI99" i="1"/>
  <c r="IZ23" i="1"/>
  <c r="JB23" i="1"/>
  <c r="IZ39" i="1"/>
  <c r="JB39" i="1"/>
  <c r="IZ50" i="1"/>
  <c r="JB50" i="1"/>
  <c r="JB10" i="1"/>
  <c r="IZ10" i="1"/>
  <c r="DI106" i="1"/>
  <c r="DG106" i="1"/>
  <c r="JB80" i="1"/>
  <c r="IZ80" i="1"/>
  <c r="DI22" i="1"/>
  <c r="DG22" i="1"/>
  <c r="DI20" i="1"/>
  <c r="DG20" i="1"/>
  <c r="IZ110" i="1"/>
  <c r="JB110" i="1"/>
  <c r="JB13" i="1"/>
  <c r="IZ13" i="1"/>
  <c r="DI56" i="1"/>
  <c r="DG56" i="1"/>
  <c r="DI55" i="1"/>
  <c r="DG55" i="1"/>
  <c r="DG91" i="1"/>
  <c r="DI91" i="1"/>
  <c r="JB90" i="1"/>
  <c r="IZ90" i="1"/>
  <c r="JB106" i="1"/>
  <c r="IZ106" i="1"/>
  <c r="JB64" i="1"/>
  <c r="IZ64" i="1"/>
  <c r="DI74" i="1"/>
  <c r="DG74" i="1"/>
  <c r="IZ15" i="1"/>
  <c r="JB15" i="1"/>
  <c r="JB36" i="1"/>
  <c r="IZ36" i="1"/>
  <c r="DG93" i="1"/>
  <c r="DI93" i="1"/>
  <c r="DG82" i="1"/>
  <c r="DI82" i="1"/>
  <c r="DI51" i="1"/>
  <c r="DG51" i="1"/>
  <c r="DI86" i="1"/>
  <c r="DG86" i="1"/>
  <c r="IZ24" i="1"/>
  <c r="JB24" i="1"/>
  <c r="JB34" i="1"/>
  <c r="IZ34" i="1"/>
  <c r="JB33" i="1"/>
  <c r="IZ33" i="1"/>
  <c r="IZ76" i="1"/>
  <c r="JB76" i="1"/>
  <c r="DG75" i="1"/>
  <c r="DI75" i="1"/>
  <c r="JB21" i="1"/>
  <c r="IZ21" i="1"/>
  <c r="IZ18" i="1"/>
  <c r="JB18" i="1"/>
  <c r="DG95" i="1"/>
  <c r="DI95" i="1"/>
  <c r="DI68" i="1"/>
  <c r="DG68" i="1"/>
  <c r="JB54" i="1"/>
  <c r="IZ54" i="1"/>
  <c r="IZ126" i="1"/>
  <c r="JB126" i="1"/>
  <c r="GJ135" i="1"/>
  <c r="GL135" i="1"/>
  <c r="IZ114" i="1"/>
  <c r="JB114" i="1"/>
  <c r="IZ117" i="1"/>
  <c r="JB117" i="1"/>
  <c r="DG120" i="1"/>
  <c r="DI120" i="1"/>
  <c r="DG122" i="1"/>
  <c r="DI122" i="1"/>
  <c r="DG116" i="1"/>
  <c r="DI116" i="1"/>
  <c r="IZ120" i="1"/>
  <c r="JB120" i="1"/>
  <c r="IZ125" i="1"/>
  <c r="JB125" i="1"/>
  <c r="IZ6" i="1"/>
  <c r="JB6" i="1"/>
  <c r="IZ92" i="1"/>
  <c r="JB92" i="1"/>
  <c r="JB74" i="1"/>
  <c r="IZ74" i="1"/>
  <c r="DI40" i="1"/>
  <c r="DG40" i="1"/>
  <c r="DI17" i="1"/>
  <c r="DG17" i="1"/>
  <c r="DI46" i="1"/>
  <c r="DG46" i="1"/>
  <c r="DG78" i="1"/>
  <c r="DI78" i="1"/>
  <c r="IZ56" i="1"/>
  <c r="JB56" i="1"/>
  <c r="IZ32" i="1"/>
  <c r="JB32" i="1"/>
  <c r="DI59" i="1"/>
  <c r="DG59" i="1"/>
  <c r="DG41" i="1"/>
  <c r="DI41" i="1"/>
  <c r="DI26" i="1"/>
  <c r="DG26" i="1"/>
  <c r="DG33" i="1"/>
  <c r="DI33" i="1"/>
  <c r="DI58" i="1"/>
  <c r="DG58" i="1"/>
  <c r="DG28" i="1"/>
  <c r="DI28" i="1"/>
  <c r="JB69" i="1"/>
  <c r="IZ69" i="1"/>
  <c r="DI31" i="1"/>
  <c r="DG31" i="1"/>
  <c r="DI66" i="1"/>
  <c r="DG66" i="1"/>
  <c r="JB57" i="1"/>
  <c r="IZ57" i="1"/>
  <c r="DI15" i="1"/>
  <c r="DG15" i="1"/>
  <c r="DG102" i="1"/>
  <c r="DI102" i="1"/>
  <c r="DI19" i="1"/>
  <c r="DG19" i="1"/>
  <c r="IZ7" i="1"/>
  <c r="JB7" i="1"/>
  <c r="DG44" i="1"/>
  <c r="DI44" i="1"/>
  <c r="JB53" i="1"/>
  <c r="IZ53" i="1"/>
  <c r="DI70" i="1"/>
  <c r="DG70" i="1"/>
  <c r="DI32" i="1"/>
  <c r="DG32" i="1"/>
  <c r="DG105" i="1"/>
  <c r="DI105" i="1"/>
  <c r="IZ99" i="1"/>
  <c r="JB99" i="1"/>
  <c r="DI77" i="1"/>
  <c r="DG77" i="1"/>
  <c r="IZ86" i="1"/>
  <c r="JB86" i="1"/>
  <c r="DI24" i="1"/>
  <c r="DG24" i="1"/>
  <c r="IZ108" i="1"/>
  <c r="JB108" i="1"/>
  <c r="IZ79" i="1"/>
  <c r="JB79" i="1"/>
  <c r="JB37" i="1"/>
  <c r="IZ37" i="1"/>
  <c r="JB70" i="1"/>
  <c r="IZ70" i="1"/>
  <c r="JB48" i="1"/>
  <c r="IZ48" i="1"/>
  <c r="JB105" i="1"/>
  <c r="IZ105" i="1"/>
  <c r="DI38" i="1"/>
  <c r="DG38" i="1"/>
  <c r="DI71" i="1"/>
  <c r="DG71" i="1"/>
  <c r="DG45" i="1"/>
  <c r="DI45" i="1"/>
  <c r="JB93" i="1"/>
  <c r="IZ93" i="1"/>
  <c r="DI35" i="1"/>
  <c r="DG35" i="1"/>
  <c r="DG88" i="1"/>
  <c r="DI88" i="1"/>
  <c r="DI103" i="1"/>
  <c r="DG103" i="1"/>
  <c r="JB26" i="1"/>
  <c r="IZ26" i="1"/>
  <c r="JB17" i="1"/>
  <c r="IZ17" i="1"/>
  <c r="IZ60" i="1"/>
  <c r="JB60" i="1"/>
  <c r="JB94" i="1"/>
  <c r="IZ94" i="1"/>
  <c r="DI5" i="1"/>
  <c r="DG5" i="1"/>
  <c r="DI4" i="1"/>
  <c r="DG4" i="1"/>
  <c r="JB66" i="1"/>
  <c r="IZ66" i="1"/>
  <c r="DI52" i="1"/>
  <c r="DG52" i="1"/>
  <c r="JB77" i="1"/>
  <c r="IZ77" i="1"/>
  <c r="IZ127" i="1"/>
  <c r="JB127" i="1"/>
  <c r="GJ133" i="1"/>
  <c r="GL133" i="1"/>
  <c r="DI123" i="1"/>
  <c r="DG123" i="1"/>
  <c r="IZ112" i="1"/>
  <c r="JB112" i="1"/>
  <c r="DI121" i="1"/>
  <c r="DG121" i="1"/>
  <c r="DI115" i="1"/>
  <c r="DG115" i="1"/>
  <c r="DI119" i="1"/>
  <c r="DG119" i="1"/>
  <c r="DI118" i="1"/>
  <c r="DG118" i="1"/>
  <c r="IZ124" i="1"/>
  <c r="JB124" i="1"/>
  <c r="IV112" i="1"/>
  <c r="IV114" i="1"/>
  <c r="IX117" i="1"/>
  <c r="IX125" i="1"/>
  <c r="IV125" i="1"/>
  <c r="IV124" i="1"/>
  <c r="IX124" i="1"/>
  <c r="IX123" i="1"/>
  <c r="IX113" i="1"/>
  <c r="IV116" i="1"/>
  <c r="BR51" i="6"/>
  <c r="DE118" i="1"/>
  <c r="IV120" i="1"/>
  <c r="IX115" i="1"/>
  <c r="DE122" i="1"/>
  <c r="IX112" i="1"/>
  <c r="IX114" i="1"/>
  <c r="IX120" i="1"/>
  <c r="IX116" i="1"/>
  <c r="IX122" i="1"/>
  <c r="IX118" i="1"/>
  <c r="IX121" i="1"/>
  <c r="DC119" i="1"/>
  <c r="IV119" i="1"/>
  <c r="IV113" i="1"/>
  <c r="IV117" i="1"/>
  <c r="IV121" i="1"/>
  <c r="IV123" i="1"/>
  <c r="IV115" i="1"/>
  <c r="IX119" i="1"/>
  <c r="IV122" i="1"/>
  <c r="IV118" i="1"/>
  <c r="DC114" i="1"/>
  <c r="DC113" i="1"/>
  <c r="DC115" i="1"/>
  <c r="DC118" i="1"/>
  <c r="DC121" i="1"/>
  <c r="DC116" i="1"/>
  <c r="DC120" i="1"/>
  <c r="DC122" i="1"/>
  <c r="DC117" i="1"/>
  <c r="DC112" i="1"/>
  <c r="DE123" i="1"/>
  <c r="DE114" i="1"/>
  <c r="DE112" i="1"/>
  <c r="DE120" i="1"/>
  <c r="DE115" i="1"/>
  <c r="DE113" i="1"/>
  <c r="DE116" i="1"/>
  <c r="DE117" i="1"/>
  <c r="DE121" i="1"/>
  <c r="DE119" i="1"/>
  <c r="DC123" i="1"/>
  <c r="IX81" i="1"/>
  <c r="DC134" i="1"/>
  <c r="IV31" i="1"/>
  <c r="FE135" i="1"/>
  <c r="GF134" i="1"/>
  <c r="DC133" i="1"/>
  <c r="DC62" i="1"/>
  <c r="IV99" i="1"/>
  <c r="GF133" i="1"/>
  <c r="IV91" i="1"/>
  <c r="ED135" i="1"/>
  <c r="DC58" i="1"/>
  <c r="IV87" i="1"/>
  <c r="IV15" i="1"/>
  <c r="FG135" i="1"/>
  <c r="GH133" i="1"/>
  <c r="DE133" i="1"/>
  <c r="GH134" i="1"/>
  <c r="GH135" i="1"/>
  <c r="DE134" i="1"/>
  <c r="IV10" i="1"/>
  <c r="GF135" i="1"/>
  <c r="EF135" i="1"/>
  <c r="EC2" i="4"/>
  <c r="ED12" i="4" s="1"/>
  <c r="ED20" i="4"/>
  <c r="ED22" i="4"/>
  <c r="IX29" i="1"/>
  <c r="IX65" i="1"/>
  <c r="IX84" i="1"/>
  <c r="IX53" i="1"/>
  <c r="IX45" i="1"/>
  <c r="IX80" i="1"/>
  <c r="IX44" i="1"/>
  <c r="IX97" i="1"/>
  <c r="IY126" i="1"/>
  <c r="IW126" i="1"/>
  <c r="IV126" i="1" s="1"/>
  <c r="DC106" i="1"/>
  <c r="IV30" i="1"/>
  <c r="IV41" i="1"/>
  <c r="IV45" i="1"/>
  <c r="IV26" i="1"/>
  <c r="IV98" i="1"/>
  <c r="IV77" i="1"/>
  <c r="IV93" i="1"/>
  <c r="IV82" i="1"/>
  <c r="IV109" i="1"/>
  <c r="IV12" i="1"/>
  <c r="IV80" i="1"/>
  <c r="IV88" i="1"/>
  <c r="IV24" i="1"/>
  <c r="IV21" i="1"/>
  <c r="IV37" i="1"/>
  <c r="IV42" i="1"/>
  <c r="IV13" i="1"/>
  <c r="IV62" i="1"/>
  <c r="IV38" i="1"/>
  <c r="IV44" i="1"/>
  <c r="IV78" i="1"/>
  <c r="IV89" i="1"/>
  <c r="IV49" i="1"/>
  <c r="IV94" i="1"/>
  <c r="IV105" i="1"/>
  <c r="IV66" i="1"/>
  <c r="IV110" i="1"/>
  <c r="IV46" i="1"/>
  <c r="IV73" i="1"/>
  <c r="IV68" i="1"/>
  <c r="IV64" i="1"/>
  <c r="IV20" i="1"/>
  <c r="IV72" i="1"/>
  <c r="IV52" i="1"/>
  <c r="IV33" i="1"/>
  <c r="IV54" i="1"/>
  <c r="IV60" i="1"/>
  <c r="IV34" i="1"/>
  <c r="IV61" i="1"/>
  <c r="IV53" i="1"/>
  <c r="IV85" i="1"/>
  <c r="IV90" i="1"/>
  <c r="IV101" i="1"/>
  <c r="IV106" i="1"/>
  <c r="IV29" i="1"/>
  <c r="IV69" i="1"/>
  <c r="IV74" i="1"/>
  <c r="IV36" i="1"/>
  <c r="IV84" i="1"/>
  <c r="IV100" i="1"/>
  <c r="IV56" i="1"/>
  <c r="IV96" i="1"/>
  <c r="IV50" i="1"/>
  <c r="IV9" i="1"/>
  <c r="IV28" i="1"/>
  <c r="IV65" i="1"/>
  <c r="IV8" i="1"/>
  <c r="IV25" i="1"/>
  <c r="IV58" i="1"/>
  <c r="IV81" i="1"/>
  <c r="IV102" i="1"/>
  <c r="IV108" i="1"/>
  <c r="IV17" i="1"/>
  <c r="IV97" i="1"/>
  <c r="IV70" i="1"/>
  <c r="IV76" i="1"/>
  <c r="IV57" i="1"/>
  <c r="IV86" i="1"/>
  <c r="IV92" i="1"/>
  <c r="IV48" i="1"/>
  <c r="IV16" i="1"/>
  <c r="IV104" i="1"/>
  <c r="IV40" i="1"/>
  <c r="IV32" i="1"/>
  <c r="DE72" i="1"/>
  <c r="IV19" i="1"/>
  <c r="IV11" i="1"/>
  <c r="IX40" i="1"/>
  <c r="IV103" i="1"/>
  <c r="IV18" i="1"/>
  <c r="IX88" i="1"/>
  <c r="IX93" i="1"/>
  <c r="IX64" i="1"/>
  <c r="IX16" i="1"/>
  <c r="IV47" i="1"/>
  <c r="IV6" i="1"/>
  <c r="IX105" i="1"/>
  <c r="IV43" i="1"/>
  <c r="IV63" i="1"/>
  <c r="IX56" i="1"/>
  <c r="IX33" i="1"/>
  <c r="IX101" i="1"/>
  <c r="IV55" i="1"/>
  <c r="IV35" i="1"/>
  <c r="IV59" i="1"/>
  <c r="IV14" i="1"/>
  <c r="IX12" i="1"/>
  <c r="IX68" i="1"/>
  <c r="IX108" i="1"/>
  <c r="IX77" i="1"/>
  <c r="IX13" i="1"/>
  <c r="IW128" i="1"/>
  <c r="IX128" i="1" s="1"/>
  <c r="IY128" i="1"/>
  <c r="DC69" i="1"/>
  <c r="IX25" i="1"/>
  <c r="IX17" i="1"/>
  <c r="IX48" i="1"/>
  <c r="IX109" i="1"/>
  <c r="IX60" i="1"/>
  <c r="IX41" i="1"/>
  <c r="IX104" i="1"/>
  <c r="IX36" i="1"/>
  <c r="IV22" i="1"/>
  <c r="IV67" i="1"/>
  <c r="IX89" i="1"/>
  <c r="IV83" i="1"/>
  <c r="IX20" i="1"/>
  <c r="IX28" i="1"/>
  <c r="IX69" i="1"/>
  <c r="IX85" i="1"/>
  <c r="IV111" i="1"/>
  <c r="IX61" i="1"/>
  <c r="IX52" i="1"/>
  <c r="IV75" i="1"/>
  <c r="IX35" i="1"/>
  <c r="IX62" i="1"/>
  <c r="IX50" i="1"/>
  <c r="IX58" i="1"/>
  <c r="IX87" i="1"/>
  <c r="IX43" i="1"/>
  <c r="IX82" i="1"/>
  <c r="IX103" i="1"/>
  <c r="IX98" i="1"/>
  <c r="IX71" i="1"/>
  <c r="IX95" i="1"/>
  <c r="IX31" i="1"/>
  <c r="IX6" i="1"/>
  <c r="IX18" i="1"/>
  <c r="IX30" i="1"/>
  <c r="IX67" i="1"/>
  <c r="IX26" i="1"/>
  <c r="IX83" i="1"/>
  <c r="IX110" i="1"/>
  <c r="IX99" i="1"/>
  <c r="IX78" i="1"/>
  <c r="IX66" i="1"/>
  <c r="IX94" i="1"/>
  <c r="IX19" i="1"/>
  <c r="IX79" i="1"/>
  <c r="IX11" i="1"/>
  <c r="IX9" i="1"/>
  <c r="IX22" i="1"/>
  <c r="IX27" i="1"/>
  <c r="IX14" i="1"/>
  <c r="IX42" i="1"/>
  <c r="IX23" i="1"/>
  <c r="IX74" i="1"/>
  <c r="IX7" i="1"/>
  <c r="IX90" i="1"/>
  <c r="IX51" i="1"/>
  <c r="IX106" i="1"/>
  <c r="IX63" i="1"/>
  <c r="IX10" i="1"/>
  <c r="IX39" i="1"/>
  <c r="IX54" i="1"/>
  <c r="IX59" i="1"/>
  <c r="IX46" i="1"/>
  <c r="IX15" i="1"/>
  <c r="IX70" i="1"/>
  <c r="IX75" i="1"/>
  <c r="IX38" i="1"/>
  <c r="IX86" i="1"/>
  <c r="IX91" i="1"/>
  <c r="IX34" i="1"/>
  <c r="IX55" i="1"/>
  <c r="IX102" i="1"/>
  <c r="IX107" i="1"/>
  <c r="IX111" i="1"/>
  <c r="IX47" i="1"/>
  <c r="IX92" i="1"/>
  <c r="IW127" i="1"/>
  <c r="IV127" i="1" s="1"/>
  <c r="IY127" i="1"/>
  <c r="DC25" i="1"/>
  <c r="IV7" i="1"/>
  <c r="IV51" i="1"/>
  <c r="IV23" i="1"/>
  <c r="IX21" i="1"/>
  <c r="IX72" i="1"/>
  <c r="IV71" i="1"/>
  <c r="IX76" i="1"/>
  <c r="IX8" i="1"/>
  <c r="IX57" i="1"/>
  <c r="IV27" i="1"/>
  <c r="IX73" i="1"/>
  <c r="IX24" i="1"/>
  <c r="IX100" i="1"/>
  <c r="IX32" i="1"/>
  <c r="IV39" i="1"/>
  <c r="IV79" i="1"/>
  <c r="IV95" i="1"/>
  <c r="IX96" i="1"/>
  <c r="IX49" i="1"/>
  <c r="IX37" i="1"/>
  <c r="IV107" i="1"/>
  <c r="DC66" i="1"/>
  <c r="DC78" i="1"/>
  <c r="DC86" i="1"/>
  <c r="DC17" i="1"/>
  <c r="DC29" i="1"/>
  <c r="DE6" i="1"/>
  <c r="DE44" i="1"/>
  <c r="AT12" i="1"/>
  <c r="R42" i="1"/>
  <c r="DC33" i="1"/>
  <c r="DC82" i="1"/>
  <c r="DC100" i="1"/>
  <c r="DC13" i="1"/>
  <c r="DC46" i="1"/>
  <c r="DE16" i="1"/>
  <c r="DE30" i="1"/>
  <c r="DE46" i="1"/>
  <c r="DE14" i="1"/>
  <c r="DE99" i="1"/>
  <c r="DE32" i="1"/>
  <c r="DE38" i="1"/>
  <c r="DE12" i="1"/>
  <c r="DE51" i="1"/>
  <c r="DE75" i="1"/>
  <c r="DE91" i="1"/>
  <c r="DE18" i="1"/>
  <c r="DE24" i="1"/>
  <c r="DE28" i="1"/>
  <c r="DE81" i="1"/>
  <c r="DE63" i="1"/>
  <c r="DE103" i="1"/>
  <c r="DE15" i="1"/>
  <c r="DE33" i="1"/>
  <c r="DE53" i="1"/>
  <c r="DE37" i="1"/>
  <c r="DE9" i="1"/>
  <c r="DE90" i="1"/>
  <c r="DE7" i="1"/>
  <c r="DE8" i="1"/>
  <c r="DE43" i="1"/>
  <c r="DE70" i="1"/>
  <c r="DE47" i="1"/>
  <c r="DE54" i="1"/>
  <c r="DE101" i="1"/>
  <c r="DE58" i="1"/>
  <c r="DE111" i="1"/>
  <c r="DE94" i="1"/>
  <c r="DE65" i="1"/>
  <c r="DE92" i="1"/>
  <c r="DE57" i="1"/>
  <c r="DE22" i="1"/>
  <c r="DE26" i="1"/>
  <c r="DE42" i="1"/>
  <c r="DE62" i="1"/>
  <c r="DE73" i="1"/>
  <c r="DE87" i="1"/>
  <c r="DE50" i="1"/>
  <c r="DE89" i="1"/>
  <c r="DE10" i="1"/>
  <c r="DE97" i="1"/>
  <c r="DE95" i="1"/>
  <c r="DE100" i="1"/>
  <c r="DE107" i="1"/>
  <c r="DE36" i="1"/>
  <c r="DE79" i="1"/>
  <c r="DE23" i="1"/>
  <c r="DE29" i="1"/>
  <c r="DE17" i="1"/>
  <c r="DE69" i="1"/>
  <c r="DE45" i="1"/>
  <c r="DE27" i="1"/>
  <c r="DE98" i="1"/>
  <c r="DE88" i="1"/>
  <c r="DE11" i="1"/>
  <c r="DE25" i="1"/>
  <c r="DE35" i="1"/>
  <c r="DE31" i="1"/>
  <c r="DE102" i="1"/>
  <c r="DE19" i="1"/>
  <c r="DE67" i="1"/>
  <c r="DE85" i="1"/>
  <c r="DE34" i="1"/>
  <c r="DE93" i="1"/>
  <c r="DE61" i="1"/>
  <c r="DE5" i="1"/>
  <c r="DE49" i="1"/>
  <c r="DE13" i="1"/>
  <c r="DE78" i="1"/>
  <c r="DE20" i="1"/>
  <c r="DE55" i="1"/>
  <c r="DE84" i="1"/>
  <c r="DE41" i="1"/>
  <c r="DE96" i="1"/>
  <c r="DE39" i="1"/>
  <c r="DE83" i="1"/>
  <c r="DE106" i="1"/>
  <c r="DE82" i="1"/>
  <c r="DE21" i="1"/>
  <c r="DE80" i="1"/>
  <c r="DE40" i="1"/>
  <c r="DE66" i="1"/>
  <c r="DE74" i="1"/>
  <c r="DE76" i="1"/>
  <c r="DE71" i="1"/>
  <c r="DE77" i="1"/>
  <c r="DE59" i="1"/>
  <c r="DE110" i="1"/>
  <c r="DE86" i="1"/>
  <c r="DC5" i="1"/>
  <c r="DE56" i="1"/>
  <c r="DC21" i="1"/>
  <c r="DE104" i="1"/>
  <c r="DC70" i="1"/>
  <c r="DE105" i="1"/>
  <c r="DE109" i="1"/>
  <c r="DE48" i="1"/>
  <c r="DE52" i="1"/>
  <c r="DC10" i="1"/>
  <c r="DC12" i="1"/>
  <c r="DC14" i="1"/>
  <c r="DC16" i="1"/>
  <c r="DC48" i="1"/>
  <c r="DC55" i="1"/>
  <c r="DC71" i="1"/>
  <c r="DC75" i="1"/>
  <c r="DC77" i="1"/>
  <c r="DC91" i="1"/>
  <c r="DC56" i="1"/>
  <c r="DC63" i="1"/>
  <c r="DC73" i="1"/>
  <c r="DC87" i="1"/>
  <c r="DC101" i="1"/>
  <c r="DC103" i="1"/>
  <c r="DC79" i="1"/>
  <c r="DC93" i="1"/>
  <c r="DC52" i="1"/>
  <c r="DC68" i="1"/>
  <c r="DC34" i="1"/>
  <c r="DC60" i="1"/>
  <c r="DC67" i="1"/>
  <c r="DC97" i="1"/>
  <c r="DC107" i="1"/>
  <c r="DC42" i="1"/>
  <c r="DC51" i="1"/>
  <c r="DC24" i="1"/>
  <c r="DC30" i="1"/>
  <c r="DC64" i="1"/>
  <c r="DC83" i="1"/>
  <c r="DC43" i="1"/>
  <c r="DC28" i="1"/>
  <c r="DC80" i="1"/>
  <c r="DC88" i="1"/>
  <c r="DC57" i="1"/>
  <c r="DC23" i="1"/>
  <c r="DC76" i="1"/>
  <c r="DC98" i="1"/>
  <c r="DC27" i="1"/>
  <c r="DC11" i="1"/>
  <c r="DC61" i="1"/>
  <c r="DC35" i="1"/>
  <c r="DC15" i="1"/>
  <c r="DC18" i="1"/>
  <c r="DC36" i="1"/>
  <c r="DC47" i="1"/>
  <c r="DC99" i="1"/>
  <c r="DC90" i="1"/>
  <c r="DC31" i="1"/>
  <c r="DC44" i="1"/>
  <c r="DC32" i="1"/>
  <c r="DC8" i="1"/>
  <c r="DC38" i="1"/>
  <c r="DC40" i="1"/>
  <c r="DC111" i="1"/>
  <c r="DC108" i="1"/>
  <c r="DC20" i="1"/>
  <c r="DC89" i="1"/>
  <c r="DC105" i="1"/>
  <c r="DC59" i="1"/>
  <c r="DC84" i="1"/>
  <c r="DC53" i="1"/>
  <c r="DC65" i="1"/>
  <c r="DC41" i="1"/>
  <c r="DC19" i="1"/>
  <c r="DC26" i="1"/>
  <c r="DC92" i="1"/>
  <c r="DC96" i="1"/>
  <c r="DC7" i="1"/>
  <c r="DC94" i="1"/>
  <c r="DC45" i="1"/>
  <c r="DC6" i="1"/>
  <c r="DC22" i="1"/>
  <c r="DC95" i="1"/>
  <c r="DC104" i="1"/>
  <c r="DC109" i="1"/>
  <c r="DC72" i="1"/>
  <c r="DC49" i="1"/>
  <c r="DC85" i="1"/>
  <c r="DC39" i="1"/>
  <c r="DC81" i="1"/>
  <c r="DC37" i="1"/>
  <c r="DC110" i="1"/>
  <c r="DC50" i="1"/>
  <c r="DC9" i="1"/>
  <c r="DE60" i="1"/>
  <c r="DC54" i="1"/>
  <c r="DE108" i="1"/>
  <c r="DE64" i="1"/>
  <c r="DE68" i="1"/>
  <c r="DC74" i="1"/>
  <c r="DC102" i="1"/>
  <c r="O91" i="1"/>
  <c r="AV176" i="1" s="1"/>
  <c r="N92" i="1"/>
  <c r="AV170" i="1" s="1"/>
  <c r="I91" i="1"/>
  <c r="AV98" i="1" s="1"/>
  <c r="H92" i="1"/>
  <c r="AV92" i="1" s="1"/>
  <c r="H93" i="1"/>
  <c r="AV93" i="1" s="1"/>
  <c r="I89" i="1"/>
  <c r="AV100" i="1" s="1"/>
  <c r="H90" i="1"/>
  <c r="AV90" i="1" s="1"/>
  <c r="O89" i="1"/>
  <c r="AV178" i="1" s="1"/>
  <c r="L90" i="1"/>
  <c r="AV142" i="1" s="1"/>
  <c r="J89" i="1"/>
  <c r="AV115" i="1" s="1"/>
  <c r="J92" i="1"/>
  <c r="AV118" i="1" s="1"/>
  <c r="K91" i="1"/>
  <c r="AV124" i="1" s="1"/>
  <c r="O93" i="1"/>
  <c r="AV174" i="1" s="1"/>
  <c r="H91" i="1"/>
  <c r="AV91" i="1" s="1"/>
  <c r="J93" i="1"/>
  <c r="AV119" i="1" s="1"/>
  <c r="O92" i="1"/>
  <c r="AV175" i="1" s="1"/>
  <c r="I92" i="1"/>
  <c r="AV97" i="1" s="1"/>
  <c r="K92" i="1"/>
  <c r="AV123" i="1" s="1"/>
  <c r="N91" i="1"/>
  <c r="AV169" i="1" s="1"/>
  <c r="Z65" i="6"/>
  <c r="Z66" i="6"/>
  <c r="AY14" i="1"/>
  <c r="F81" i="1"/>
  <c r="F88" i="1" s="1"/>
  <c r="AV62" i="1" s="1"/>
  <c r="CD29" i="1"/>
  <c r="AY19" i="1" s="1"/>
  <c r="CD31" i="1"/>
  <c r="AY21" i="1" s="1"/>
  <c r="BX32" i="1"/>
  <c r="CD30" i="1" s="1"/>
  <c r="AY20" i="1" s="1"/>
  <c r="CH21" i="1"/>
  <c r="CH22" i="1" s="1"/>
  <c r="H40" i="1"/>
  <c r="CI12" i="1"/>
  <c r="CI13" i="1" s="1"/>
  <c r="AY7" i="1"/>
  <c r="J91" i="1"/>
  <c r="AV117" i="1" s="1"/>
  <c r="N93" i="1"/>
  <c r="AV171" i="1" s="1"/>
  <c r="K93" i="1"/>
  <c r="AV122" i="1" s="1"/>
  <c r="I93" i="1"/>
  <c r="AV96" i="1" s="1"/>
  <c r="L93" i="1"/>
  <c r="AV145" i="1" s="1"/>
  <c r="BS10" i="6"/>
  <c r="BQ77" i="6"/>
  <c r="G81" i="1"/>
  <c r="G88" i="1" s="1"/>
  <c r="AV75" i="1" s="1"/>
  <c r="GL127" i="1"/>
  <c r="GL131" i="1"/>
  <c r="AC33" i="1"/>
  <c r="L92" i="1"/>
  <c r="AV144" i="1" s="1"/>
  <c r="GL126" i="1"/>
  <c r="AB142" i="6"/>
  <c r="AC17" i="1"/>
  <c r="AC16" i="1"/>
  <c r="GJ128" i="1"/>
  <c r="GJ129" i="1"/>
  <c r="BR49" i="6"/>
  <c r="GJ132" i="1"/>
  <c r="GJ127" i="1"/>
  <c r="AC19" i="1"/>
  <c r="DI194" i="1"/>
  <c r="GL132" i="1"/>
  <c r="GL128" i="1"/>
  <c r="J42" i="1"/>
  <c r="GL130" i="1"/>
  <c r="GL129" i="1"/>
  <c r="AC20" i="1"/>
  <c r="DG194" i="1"/>
  <c r="I31" i="1"/>
  <c r="AX68" i="1"/>
  <c r="Z89" i="6" s="1"/>
  <c r="GJ126" i="1"/>
  <c r="GJ130" i="1"/>
  <c r="AX57" i="1"/>
  <c r="Z77" i="6"/>
  <c r="GJ131" i="1"/>
  <c r="DD127" i="1"/>
  <c r="DE127" i="1" s="1"/>
  <c r="DF127" i="1"/>
  <c r="DH127" i="1"/>
  <c r="DI127" i="1" s="1"/>
  <c r="DJ127" i="1"/>
  <c r="DE194" i="1"/>
  <c r="GH128" i="1"/>
  <c r="GH132" i="1"/>
  <c r="GH126" i="1"/>
  <c r="GH130" i="1"/>
  <c r="GH129" i="1"/>
  <c r="GH127" i="1"/>
  <c r="GH131" i="1"/>
  <c r="AC12" i="1"/>
  <c r="F42" i="1"/>
  <c r="AC11" i="1"/>
  <c r="AX47" i="1"/>
  <c r="Z67" i="6"/>
  <c r="AW37" i="6"/>
  <c r="AR34" i="6"/>
  <c r="AW34" i="6" s="1"/>
  <c r="DD193" i="1"/>
  <c r="DE193" i="1" s="1"/>
  <c r="DF193" i="1"/>
  <c r="DJ193" i="1"/>
  <c r="DH193" i="1"/>
  <c r="DI193" i="1" s="1"/>
  <c r="U35" i="6"/>
  <c r="GF126" i="1"/>
  <c r="GF127" i="1"/>
  <c r="GF128" i="1"/>
  <c r="GF129" i="1"/>
  <c r="GF130" i="1"/>
  <c r="GF131" i="1"/>
  <c r="GF132" i="1"/>
  <c r="DC194" i="1"/>
  <c r="BR48" i="6"/>
  <c r="AC8" i="1"/>
  <c r="AC9" i="1"/>
  <c r="DD192" i="1"/>
  <c r="DE192" i="1" s="1"/>
  <c r="DF192" i="1"/>
  <c r="DJ192" i="1"/>
  <c r="DH192" i="1"/>
  <c r="DG192" i="1" s="1"/>
  <c r="AY15" i="1"/>
  <c r="CI20" i="1"/>
  <c r="CI21" i="1" s="1"/>
  <c r="AE33" i="1"/>
  <c r="M93" i="1"/>
  <c r="AV148" i="1" s="1"/>
  <c r="D81" i="1"/>
  <c r="E80" i="1"/>
  <c r="AW28" i="6"/>
  <c r="W4" i="6"/>
  <c r="B17" i="1"/>
  <c r="B23" i="1"/>
  <c r="W5" i="6"/>
  <c r="AW31" i="6"/>
  <c r="F10" i="6"/>
  <c r="F6" i="6"/>
  <c r="DD128" i="1"/>
  <c r="DE128" i="1" s="1"/>
  <c r="DF128" i="1"/>
  <c r="DJ128" i="1"/>
  <c r="DH128" i="1"/>
  <c r="DG128" i="1" s="1"/>
  <c r="DF126" i="1"/>
  <c r="DD126" i="1"/>
  <c r="DE126" i="1" s="1"/>
  <c r="DJ126" i="1"/>
  <c r="DH126" i="1"/>
  <c r="DG126" i="1" s="1"/>
  <c r="AX35" i="1"/>
  <c r="Z55" i="6"/>
  <c r="AB206" i="6"/>
  <c r="AB168" i="6"/>
  <c r="AB51" i="6"/>
  <c r="AB115" i="6"/>
  <c r="U31" i="6"/>
  <c r="AB116" i="6"/>
  <c r="AB128" i="6"/>
  <c r="AB129" i="6"/>
  <c r="AB154" i="6"/>
  <c r="AB155" i="6"/>
  <c r="AB167" i="6"/>
  <c r="AB181" i="6"/>
  <c r="AB180" i="6"/>
  <c r="AB207" i="6"/>
  <c r="AB194" i="6"/>
  <c r="M92" i="1"/>
  <c r="AV149" i="1" s="1"/>
  <c r="L91" i="1"/>
  <c r="AV143" i="1" s="1"/>
  <c r="M91" i="1"/>
  <c r="AV150" i="1" s="1"/>
  <c r="AB141" i="6"/>
  <c r="BX34" i="1" l="1"/>
  <c r="CD32" i="1" s="1"/>
  <c r="AY22" i="1" s="1"/>
  <c r="AQ42" i="1"/>
  <c r="AR33" i="6" s="1"/>
  <c r="AW33" i="6" s="1"/>
  <c r="AQ39" i="1"/>
  <c r="AQ38" i="1"/>
  <c r="AR32" i="1"/>
  <c r="AQ37" i="1"/>
  <c r="AQ36" i="1"/>
  <c r="IX126" i="1"/>
  <c r="IV128" i="1"/>
  <c r="IX127" i="1"/>
  <c r="CH30" i="1"/>
  <c r="CH31" i="1" s="1"/>
  <c r="CH32" i="1" s="1"/>
  <c r="F87" i="1"/>
  <c r="AV61" i="1" s="1"/>
  <c r="F85" i="1"/>
  <c r="AV59" i="1" s="1"/>
  <c r="F84" i="1"/>
  <c r="AV58" i="1" s="1"/>
  <c r="F83" i="1"/>
  <c r="AV57" i="1" s="1"/>
  <c r="F86" i="1"/>
  <c r="AV60" i="1" s="1"/>
  <c r="F89" i="1"/>
  <c r="AV63" i="1" s="1"/>
  <c r="G89" i="1"/>
  <c r="AV74" i="1" s="1"/>
  <c r="G84" i="1"/>
  <c r="AV79" i="1" s="1"/>
  <c r="G83" i="1"/>
  <c r="G93" i="1" s="1"/>
  <c r="AV70" i="1" s="1"/>
  <c r="G87" i="1"/>
  <c r="AV76" i="1" s="1"/>
  <c r="G86" i="1"/>
  <c r="AV77" i="1" s="1"/>
  <c r="G85" i="1"/>
  <c r="AV78" i="1" s="1"/>
  <c r="AG33" i="1"/>
  <c r="AX58" i="1"/>
  <c r="Z78" i="6"/>
  <c r="J31" i="1"/>
  <c r="AX69" i="1"/>
  <c r="I40" i="1"/>
  <c r="DI128" i="1"/>
  <c r="DC192" i="1"/>
  <c r="DI126" i="1"/>
  <c r="DI192" i="1"/>
  <c r="DC193" i="1"/>
  <c r="Z56" i="6"/>
  <c r="AX36" i="1"/>
  <c r="DC126" i="1"/>
  <c r="DC128" i="1"/>
  <c r="D83" i="1"/>
  <c r="D84" i="1"/>
  <c r="D85" i="1"/>
  <c r="D88" i="1"/>
  <c r="AV36" i="1" s="1"/>
  <c r="D87" i="1"/>
  <c r="AV35" i="1" s="1"/>
  <c r="D86" i="1"/>
  <c r="AV34" i="1" s="1"/>
  <c r="DG193" i="1"/>
  <c r="AX48" i="1"/>
  <c r="Z68" i="6"/>
  <c r="DG127" i="1"/>
  <c r="DC127" i="1"/>
  <c r="AH41" i="1"/>
  <c r="E81" i="1"/>
  <c r="CI29" i="1" l="1"/>
  <c r="CI30" i="1" s="1"/>
  <c r="AV80" i="1"/>
  <c r="D90" i="1"/>
  <c r="AV38" i="1" s="1"/>
  <c r="D89" i="1"/>
  <c r="AV37" i="1" s="1"/>
  <c r="G90" i="1"/>
  <c r="AV73" i="1" s="1"/>
  <c r="F90" i="1"/>
  <c r="AV64" i="1" s="1"/>
  <c r="F91" i="1"/>
  <c r="AV65" i="1" s="1"/>
  <c r="F92" i="1"/>
  <c r="AV66" i="1" s="1"/>
  <c r="F93" i="1"/>
  <c r="AV67" i="1" s="1"/>
  <c r="G92" i="1"/>
  <c r="AV71" i="1" s="1"/>
  <c r="G91" i="1"/>
  <c r="AV72" i="1" s="1"/>
  <c r="AC34" i="1"/>
  <c r="J40" i="1"/>
  <c r="K40" i="1" s="1"/>
  <c r="L40" i="1" s="1"/>
  <c r="M40" i="1" s="1"/>
  <c r="N40" i="1" s="1"/>
  <c r="O40" i="1" s="1"/>
  <c r="P40" i="1" s="1"/>
  <c r="Q40" i="1" s="1"/>
  <c r="R40" i="1" s="1"/>
  <c r="S40" i="1" s="1"/>
  <c r="T40" i="1" s="1"/>
  <c r="U40" i="1" s="1"/>
  <c r="V40" i="1" s="1"/>
  <c r="W40" i="1" s="1"/>
  <c r="X40" i="1" s="1"/>
  <c r="Y40" i="1" s="1"/>
  <c r="Z40" i="1" s="1"/>
  <c r="AA40" i="1" s="1"/>
  <c r="Z90" i="6"/>
  <c r="AX70" i="1"/>
  <c r="AX59" i="1"/>
  <c r="Z79" i="6"/>
  <c r="K31" i="1"/>
  <c r="AX81" i="1"/>
  <c r="Z102" i="6" s="1"/>
  <c r="E83" i="1"/>
  <c r="E85" i="1"/>
  <c r="E84" i="1"/>
  <c r="E90" i="1"/>
  <c r="AV47" i="1" s="1"/>
  <c r="E86" i="1"/>
  <c r="AV51" i="1" s="1"/>
  <c r="E87" i="1"/>
  <c r="AV50" i="1" s="1"/>
  <c r="E88" i="1"/>
  <c r="AV49" i="1" s="1"/>
  <c r="AV33" i="1"/>
  <c r="D91" i="1"/>
  <c r="AV39" i="1" s="1"/>
  <c r="AV31" i="1"/>
  <c r="D93" i="1"/>
  <c r="AV41" i="1" s="1"/>
  <c r="AQ43" i="1"/>
  <c r="M34" i="6"/>
  <c r="O39" i="6"/>
  <c r="AR33" i="1"/>
  <c r="AX37" i="1"/>
  <c r="Z57" i="6"/>
  <c r="M32" i="6"/>
  <c r="AS33" i="1"/>
  <c r="AQ44" i="1"/>
  <c r="AQ45" i="1" s="1"/>
  <c r="M33" i="6"/>
  <c r="AD51" i="6" s="1"/>
  <c r="AX49" i="1"/>
  <c r="Z69" i="6"/>
  <c r="AV32" i="1"/>
  <c r="D92" i="1"/>
  <c r="AV40" i="1" s="1"/>
  <c r="HS121" i="1" l="1"/>
  <c r="HT121" i="1" s="1"/>
  <c r="HS122" i="1"/>
  <c r="HT122" i="1" s="1"/>
  <c r="HS123" i="1"/>
  <c r="HT123" i="1" s="1"/>
  <c r="HS124" i="1"/>
  <c r="HT124" i="1" s="1"/>
  <c r="AE34" i="1"/>
  <c r="AC45" i="1" s="1"/>
  <c r="BB61" i="1" s="1"/>
  <c r="E89" i="1"/>
  <c r="AV48" i="1" s="1"/>
  <c r="HH3" i="1"/>
  <c r="L31" i="1"/>
  <c r="K46" i="1"/>
  <c r="AX82" i="1"/>
  <c r="I46" i="1"/>
  <c r="Z80" i="6"/>
  <c r="AX60" i="1"/>
  <c r="Z91" i="6"/>
  <c r="AX71" i="1"/>
  <c r="U32" i="6"/>
  <c r="AH51" i="6"/>
  <c r="AD53" i="6"/>
  <c r="AV52" i="1"/>
  <c r="E91" i="1"/>
  <c r="AV46" i="1" s="1"/>
  <c r="G60" i="6"/>
  <c r="I80" i="6"/>
  <c r="M71" i="6"/>
  <c r="L62" i="6"/>
  <c r="E109" i="6"/>
  <c r="D75" i="6"/>
  <c r="K139" i="6"/>
  <c r="L75" i="6"/>
  <c r="L76" i="6"/>
  <c r="J88" i="6"/>
  <c r="H117" i="6"/>
  <c r="B132" i="6"/>
  <c r="I91" i="6"/>
  <c r="H92" i="6"/>
  <c r="K95" i="6"/>
  <c r="I128" i="6"/>
  <c r="C73" i="6"/>
  <c r="L86" i="6"/>
  <c r="I96" i="6"/>
  <c r="B98" i="6"/>
  <c r="E100" i="6"/>
  <c r="K97" i="6"/>
  <c r="H137" i="6"/>
  <c r="J124" i="6"/>
  <c r="M109" i="6"/>
  <c r="F136" i="6"/>
  <c r="F94" i="6"/>
  <c r="I123" i="6"/>
  <c r="B87" i="6"/>
  <c r="H85" i="6"/>
  <c r="J87" i="6"/>
  <c r="G78" i="6"/>
  <c r="I68" i="6"/>
  <c r="I60" i="6"/>
  <c r="B107" i="6"/>
  <c r="K55" i="6"/>
  <c r="B78" i="6"/>
  <c r="M106" i="6"/>
  <c r="J137" i="6"/>
  <c r="C90" i="6"/>
  <c r="M72" i="6"/>
  <c r="E56" i="6"/>
  <c r="I53" i="6"/>
  <c r="C92" i="6"/>
  <c r="G106" i="6"/>
  <c r="I63" i="6"/>
  <c r="K143" i="6"/>
  <c r="J140" i="6"/>
  <c r="K105" i="6"/>
  <c r="L132" i="6"/>
  <c r="M100" i="6"/>
  <c r="E108" i="6"/>
  <c r="M126" i="6"/>
  <c r="H132" i="6"/>
  <c r="K61" i="6"/>
  <c r="B124" i="6"/>
  <c r="H74" i="6"/>
  <c r="B148" i="6"/>
  <c r="B74" i="6"/>
  <c r="M80" i="6"/>
  <c r="M112" i="6"/>
  <c r="M103" i="6"/>
  <c r="L127" i="6"/>
  <c r="G112" i="6"/>
  <c r="I92" i="6"/>
  <c r="D68" i="6"/>
  <c r="H68" i="6"/>
  <c r="G126" i="6"/>
  <c r="M57" i="6"/>
  <c r="E150" i="6"/>
  <c r="L56" i="6"/>
  <c r="G142" i="6"/>
  <c r="E101" i="6"/>
  <c r="K67" i="6"/>
  <c r="B123" i="6"/>
  <c r="D102" i="6"/>
  <c r="H58" i="6"/>
  <c r="J141" i="6"/>
  <c r="J103" i="6"/>
  <c r="L91" i="6"/>
  <c r="G80" i="6"/>
  <c r="G66" i="6"/>
  <c r="J135" i="6"/>
  <c r="G63" i="6"/>
  <c r="B54" i="6"/>
  <c r="D140" i="6"/>
  <c r="G67" i="6"/>
  <c r="L111" i="6"/>
  <c r="L63" i="6"/>
  <c r="B72" i="6"/>
  <c r="H80" i="6"/>
  <c r="H128" i="6"/>
  <c r="C145" i="6"/>
  <c r="L128" i="6"/>
  <c r="K52" i="6"/>
  <c r="H88" i="6"/>
  <c r="L85" i="6"/>
  <c r="J108" i="6"/>
  <c r="C81" i="6"/>
  <c r="J64" i="6"/>
  <c r="B102" i="6"/>
  <c r="F126" i="6"/>
  <c r="E70" i="6"/>
  <c r="K77" i="6"/>
  <c r="F59" i="6"/>
  <c r="L74" i="6"/>
  <c r="J148" i="6"/>
  <c r="F96" i="6"/>
  <c r="K74" i="6"/>
  <c r="H146" i="6"/>
  <c r="F118" i="6"/>
  <c r="E73" i="6"/>
  <c r="J115" i="6"/>
  <c r="L107" i="6"/>
  <c r="F56" i="6"/>
  <c r="C132" i="6"/>
  <c r="J58" i="6"/>
  <c r="D101" i="6"/>
  <c r="I134" i="6"/>
  <c r="F101" i="6"/>
  <c r="B69" i="6"/>
  <c r="J67" i="6"/>
  <c r="L73" i="6"/>
  <c r="D126" i="6"/>
  <c r="E74" i="6"/>
  <c r="D100" i="6"/>
  <c r="D138" i="6"/>
  <c r="E92" i="6"/>
  <c r="G128" i="6"/>
  <c r="B95" i="6"/>
  <c r="H62" i="6"/>
  <c r="B149" i="6"/>
  <c r="I71" i="6"/>
  <c r="E121" i="6"/>
  <c r="M139" i="6"/>
  <c r="E112" i="6"/>
  <c r="M74" i="6"/>
  <c r="L110" i="6"/>
  <c r="K132" i="6"/>
  <c r="E88" i="6"/>
  <c r="E116" i="6"/>
  <c r="L150" i="6"/>
  <c r="B121" i="6"/>
  <c r="C117" i="6"/>
  <c r="G105" i="6"/>
  <c r="K83" i="6"/>
  <c r="M98" i="6"/>
  <c r="L136" i="6"/>
  <c r="E97" i="6"/>
  <c r="E98" i="6"/>
  <c r="G86" i="6"/>
  <c r="J55" i="6"/>
  <c r="K51" i="6"/>
  <c r="K113" i="6"/>
  <c r="F86" i="6"/>
  <c r="K90" i="6"/>
  <c r="D86" i="6"/>
  <c r="D116" i="6"/>
  <c r="E117" i="6"/>
  <c r="J98" i="6"/>
  <c r="E78" i="6"/>
  <c r="I114" i="6"/>
  <c r="G76" i="6"/>
  <c r="C62" i="6"/>
  <c r="L81" i="6"/>
  <c r="C71" i="6"/>
  <c r="E81" i="6"/>
  <c r="M73" i="6"/>
  <c r="M58" i="6"/>
  <c r="E93" i="6"/>
  <c r="H98" i="6"/>
  <c r="B110" i="6"/>
  <c r="C65" i="6"/>
  <c r="I110" i="6"/>
  <c r="C127" i="6"/>
  <c r="M81" i="6"/>
  <c r="F54" i="6"/>
  <c r="B134" i="6"/>
  <c r="B136" i="6"/>
  <c r="I119" i="6"/>
  <c r="G89" i="6"/>
  <c r="B108" i="6"/>
  <c r="I73" i="6"/>
  <c r="H77" i="6"/>
  <c r="J150" i="6"/>
  <c r="H148" i="6"/>
  <c r="C78" i="6"/>
  <c r="I95" i="6"/>
  <c r="B104" i="6"/>
  <c r="B71" i="6"/>
  <c r="G143" i="6"/>
  <c r="H125" i="6"/>
  <c r="J68" i="6"/>
  <c r="M127" i="6"/>
  <c r="I113" i="6"/>
  <c r="C141" i="6"/>
  <c r="D109" i="6"/>
  <c r="G62" i="6"/>
  <c r="I72" i="6"/>
  <c r="I122" i="6"/>
  <c r="H95" i="6"/>
  <c r="E84" i="6"/>
  <c r="J73" i="6"/>
  <c r="D122" i="6"/>
  <c r="E136" i="6"/>
  <c r="B55" i="6"/>
  <c r="F67" i="6"/>
  <c r="K56" i="6"/>
  <c r="E55" i="6"/>
  <c r="M120" i="6"/>
  <c r="B75" i="6"/>
  <c r="E85" i="6"/>
  <c r="H115" i="6"/>
  <c r="C63" i="6"/>
  <c r="J53" i="6"/>
  <c r="L94" i="6"/>
  <c r="G79" i="6"/>
  <c r="E107" i="6"/>
  <c r="B62" i="6"/>
  <c r="J97" i="6"/>
  <c r="I87" i="6"/>
  <c r="L61" i="6"/>
  <c r="D99" i="6"/>
  <c r="L89" i="6"/>
  <c r="I62" i="6"/>
  <c r="D149" i="6"/>
  <c r="K136" i="6"/>
  <c r="D76" i="6"/>
  <c r="G148" i="6"/>
  <c r="H142" i="6"/>
  <c r="M134" i="6"/>
  <c r="D65" i="6"/>
  <c r="H61" i="6"/>
  <c r="J146" i="6"/>
  <c r="D72" i="6"/>
  <c r="G99" i="6"/>
  <c r="I64" i="6"/>
  <c r="L125" i="6"/>
  <c r="F97" i="6"/>
  <c r="D112" i="6"/>
  <c r="F122" i="6"/>
  <c r="I56" i="6"/>
  <c r="L116" i="6"/>
  <c r="K110" i="6"/>
  <c r="B109" i="6"/>
  <c r="K89" i="6"/>
  <c r="C135" i="6"/>
  <c r="M97" i="6"/>
  <c r="I106" i="6"/>
  <c r="D69" i="6"/>
  <c r="G94" i="6"/>
  <c r="B91" i="6"/>
  <c r="H78" i="6"/>
  <c r="B66" i="6"/>
  <c r="J81" i="6"/>
  <c r="K99" i="6"/>
  <c r="B133" i="6"/>
  <c r="J127" i="6"/>
  <c r="D85" i="6"/>
  <c r="L92" i="6"/>
  <c r="E96" i="6"/>
  <c r="F89" i="6"/>
  <c r="L54" i="6"/>
  <c r="M116" i="6"/>
  <c r="M92" i="6"/>
  <c r="H79" i="6"/>
  <c r="G150" i="6"/>
  <c r="H113" i="6"/>
  <c r="E68" i="6"/>
  <c r="H75" i="6"/>
  <c r="G52" i="6"/>
  <c r="G90" i="6"/>
  <c r="K54" i="6"/>
  <c r="E149" i="6"/>
  <c r="J96" i="6"/>
  <c r="G102" i="6"/>
  <c r="F105" i="6"/>
  <c r="I78" i="6"/>
  <c r="F95" i="6"/>
  <c r="J116" i="6"/>
  <c r="I125" i="6"/>
  <c r="M121" i="6"/>
  <c r="D63" i="6"/>
  <c r="F117" i="6"/>
  <c r="D90" i="6"/>
  <c r="L68" i="6"/>
  <c r="L69" i="6"/>
  <c r="E137" i="6"/>
  <c r="M79" i="6"/>
  <c r="H136" i="6"/>
  <c r="D121" i="6"/>
  <c r="K118" i="6"/>
  <c r="I127" i="6"/>
  <c r="I148" i="6"/>
  <c r="M90" i="6"/>
  <c r="H122" i="6"/>
  <c r="D93" i="6"/>
  <c r="F141" i="6"/>
  <c r="E130" i="6"/>
  <c r="J107" i="6"/>
  <c r="I116" i="6"/>
  <c r="F72" i="6"/>
  <c r="D103" i="6"/>
  <c r="M132" i="6"/>
  <c r="H120" i="6"/>
  <c r="C105" i="6"/>
  <c r="G88" i="6"/>
  <c r="E57" i="6"/>
  <c r="C55" i="6"/>
  <c r="G108" i="6"/>
  <c r="B142" i="6"/>
  <c r="J76" i="6"/>
  <c r="C53" i="6"/>
  <c r="J109" i="6"/>
  <c r="I89" i="6"/>
  <c r="L148" i="6"/>
  <c r="I132" i="6"/>
  <c r="G58" i="6"/>
  <c r="J110" i="6"/>
  <c r="F140" i="6"/>
  <c r="H145" i="6"/>
  <c r="C146" i="6"/>
  <c r="C67" i="6"/>
  <c r="C122" i="6"/>
  <c r="L147" i="6"/>
  <c r="B147" i="6"/>
  <c r="K75" i="6"/>
  <c r="B127" i="6"/>
  <c r="F70" i="6"/>
  <c r="F63" i="6"/>
  <c r="C112" i="6"/>
  <c r="M140" i="6"/>
  <c r="J54" i="6"/>
  <c r="I104" i="6"/>
  <c r="B125" i="6"/>
  <c r="L90" i="6"/>
  <c r="G125" i="6"/>
  <c r="J131" i="6"/>
  <c r="F66" i="6"/>
  <c r="F69" i="6"/>
  <c r="L121" i="6"/>
  <c r="F83" i="6"/>
  <c r="D62" i="6"/>
  <c r="D61" i="6"/>
  <c r="D107" i="6"/>
  <c r="L51" i="6"/>
  <c r="K79" i="6"/>
  <c r="I59" i="6"/>
  <c r="C139" i="6"/>
  <c r="E144" i="6"/>
  <c r="I67" i="6"/>
  <c r="J102" i="6"/>
  <c r="H52" i="6"/>
  <c r="D114" i="6"/>
  <c r="C116" i="6"/>
  <c r="C142" i="6"/>
  <c r="L142" i="6"/>
  <c r="D92" i="6"/>
  <c r="M64" i="6"/>
  <c r="F78" i="6"/>
  <c r="M62" i="6"/>
  <c r="H110" i="6"/>
  <c r="I99" i="6"/>
  <c r="L137" i="6"/>
  <c r="I57" i="6"/>
  <c r="M78" i="6"/>
  <c r="C79" i="6"/>
  <c r="M150" i="6"/>
  <c r="B83" i="6"/>
  <c r="M96" i="6"/>
  <c r="D70" i="6"/>
  <c r="H84" i="6"/>
  <c r="C60" i="6"/>
  <c r="L130" i="6"/>
  <c r="F62" i="6"/>
  <c r="C86" i="6"/>
  <c r="G122" i="6"/>
  <c r="E114" i="6"/>
  <c r="J122" i="6"/>
  <c r="M119" i="6"/>
  <c r="I108" i="6"/>
  <c r="D111" i="6"/>
  <c r="H63" i="6"/>
  <c r="M99" i="6"/>
  <c r="D113" i="6"/>
  <c r="F145" i="6"/>
  <c r="M63" i="6"/>
  <c r="M70" i="6"/>
  <c r="H72" i="6"/>
  <c r="C72" i="6"/>
  <c r="M122" i="6"/>
  <c r="J79" i="6"/>
  <c r="L109" i="6"/>
  <c r="H138" i="6"/>
  <c r="I79" i="6"/>
  <c r="B101" i="6"/>
  <c r="C119" i="6"/>
  <c r="H73" i="6"/>
  <c r="B141" i="6"/>
  <c r="K127" i="6"/>
  <c r="F76" i="6"/>
  <c r="C149" i="6"/>
  <c r="D79" i="6"/>
  <c r="F125" i="6"/>
  <c r="L67" i="6"/>
  <c r="C83" i="6"/>
  <c r="K111" i="6"/>
  <c r="M107" i="6"/>
  <c r="K119" i="6"/>
  <c r="B84" i="6"/>
  <c r="F84" i="6"/>
  <c r="B88" i="6"/>
  <c r="D127" i="6"/>
  <c r="L139" i="6"/>
  <c r="E60" i="6"/>
  <c r="L80" i="6"/>
  <c r="C59" i="6"/>
  <c r="F146" i="6"/>
  <c r="L98" i="6"/>
  <c r="I51" i="6"/>
  <c r="E102" i="6"/>
  <c r="D78" i="6"/>
  <c r="E131" i="6"/>
  <c r="B76" i="6"/>
  <c r="M135" i="6"/>
  <c r="H56" i="6"/>
  <c r="J86" i="6"/>
  <c r="F113" i="6"/>
  <c r="K137" i="6"/>
  <c r="I70" i="6"/>
  <c r="C57" i="6"/>
  <c r="H108" i="6"/>
  <c r="K86" i="6"/>
  <c r="I69" i="6"/>
  <c r="E124" i="6"/>
  <c r="G95" i="6"/>
  <c r="E54" i="6"/>
  <c r="M69" i="6"/>
  <c r="L124" i="6"/>
  <c r="K60" i="6"/>
  <c r="K76" i="6"/>
  <c r="H118" i="6"/>
  <c r="I93" i="6"/>
  <c r="M67" i="6"/>
  <c r="I74" i="6"/>
  <c r="H144" i="6"/>
  <c r="J63" i="6"/>
  <c r="C94" i="6"/>
  <c r="H119" i="6"/>
  <c r="L59" i="6"/>
  <c r="G73" i="6"/>
  <c r="K91" i="6"/>
  <c r="K109" i="6"/>
  <c r="G64" i="6"/>
  <c r="F119" i="6"/>
  <c r="H143" i="6"/>
  <c r="H96" i="6"/>
  <c r="B93" i="6"/>
  <c r="B135" i="6"/>
  <c r="F75" i="6"/>
  <c r="I141" i="6"/>
  <c r="E110" i="6"/>
  <c r="I129" i="6"/>
  <c r="K112" i="6"/>
  <c r="H134" i="6"/>
  <c r="B113" i="6"/>
  <c r="L97" i="6"/>
  <c r="I142" i="6"/>
  <c r="E94" i="6"/>
  <c r="D120" i="6"/>
  <c r="D91" i="6"/>
  <c r="B80" i="6"/>
  <c r="E76" i="6"/>
  <c r="J121" i="6"/>
  <c r="B99" i="6"/>
  <c r="M117" i="6"/>
  <c r="B97" i="6"/>
  <c r="D108" i="6"/>
  <c r="E89" i="6"/>
  <c r="H107" i="6"/>
  <c r="J130" i="6"/>
  <c r="B77" i="6"/>
  <c r="M105" i="6"/>
  <c r="C66" i="6"/>
  <c r="B92" i="6"/>
  <c r="G136" i="6"/>
  <c r="C77" i="6"/>
  <c r="K107" i="6"/>
  <c r="B81" i="6"/>
  <c r="D82" i="6"/>
  <c r="B143" i="6"/>
  <c r="L149" i="6"/>
  <c r="E141" i="6"/>
  <c r="K123" i="6"/>
  <c r="I147" i="6"/>
  <c r="I65" i="6"/>
  <c r="E77" i="6"/>
  <c r="G138" i="6"/>
  <c r="E67" i="6"/>
  <c r="D97" i="6"/>
  <c r="G54" i="6"/>
  <c r="K53" i="6"/>
  <c r="M51" i="6"/>
  <c r="H91" i="6"/>
  <c r="G123" i="6"/>
  <c r="M52" i="6"/>
  <c r="D73" i="6"/>
  <c r="I118" i="6"/>
  <c r="L71" i="6"/>
  <c r="M114" i="6"/>
  <c r="L65" i="6"/>
  <c r="E135" i="6"/>
  <c r="H131" i="6"/>
  <c r="M83" i="6"/>
  <c r="J104" i="6"/>
  <c r="C56" i="6"/>
  <c r="B145" i="6"/>
  <c r="B130" i="6"/>
  <c r="B112" i="6"/>
  <c r="D74" i="6"/>
  <c r="I107" i="6"/>
  <c r="M128" i="6"/>
  <c r="E143" i="6"/>
  <c r="J138" i="6"/>
  <c r="C125" i="6"/>
  <c r="C75" i="6"/>
  <c r="D148" i="6"/>
  <c r="G131" i="6"/>
  <c r="I149" i="6"/>
  <c r="L99" i="6"/>
  <c r="B128" i="6"/>
  <c r="J125" i="6"/>
  <c r="L115" i="6"/>
  <c r="K69" i="6"/>
  <c r="D142" i="6"/>
  <c r="F130" i="6"/>
  <c r="F137" i="6"/>
  <c r="G53" i="6"/>
  <c r="H126" i="6"/>
  <c r="I98" i="6"/>
  <c r="L145" i="6"/>
  <c r="K142" i="6"/>
  <c r="H140" i="6"/>
  <c r="B115" i="6"/>
  <c r="F61" i="6"/>
  <c r="K115" i="6"/>
  <c r="K125" i="6"/>
  <c r="D131" i="6"/>
  <c r="H109" i="6"/>
  <c r="C144" i="6"/>
  <c r="K84" i="6"/>
  <c r="L138" i="6"/>
  <c r="J143" i="6"/>
  <c r="F131" i="6"/>
  <c r="F111" i="6"/>
  <c r="G101" i="6"/>
  <c r="L55" i="6"/>
  <c r="F73" i="6"/>
  <c r="J70" i="6"/>
  <c r="J66" i="6"/>
  <c r="H87" i="6"/>
  <c r="M55" i="6"/>
  <c r="L105" i="6"/>
  <c r="C111" i="6"/>
  <c r="B67" i="6"/>
  <c r="K70" i="6"/>
  <c r="H99" i="6"/>
  <c r="L95" i="6"/>
  <c r="C76" i="6"/>
  <c r="L118" i="6"/>
  <c r="C104" i="6"/>
  <c r="M65" i="6"/>
  <c r="G130" i="6"/>
  <c r="M68" i="6"/>
  <c r="G69" i="6"/>
  <c r="H86" i="6"/>
  <c r="H127" i="6"/>
  <c r="H149" i="6"/>
  <c r="F99" i="6"/>
  <c r="F71" i="6"/>
  <c r="E113" i="6"/>
  <c r="L82" i="6"/>
  <c r="K138" i="6"/>
  <c r="E123" i="6"/>
  <c r="B94" i="6"/>
  <c r="C131" i="6"/>
  <c r="K57" i="6"/>
  <c r="D88" i="6"/>
  <c r="G83" i="6"/>
  <c r="F106" i="6"/>
  <c r="C98" i="6"/>
  <c r="B68" i="6"/>
  <c r="B103" i="6"/>
  <c r="J71" i="6"/>
  <c r="K135" i="6"/>
  <c r="H100" i="6"/>
  <c r="D145" i="6"/>
  <c r="K103" i="6"/>
  <c r="E58" i="6"/>
  <c r="G140" i="6"/>
  <c r="F150" i="6"/>
  <c r="E115" i="6"/>
  <c r="G85" i="6"/>
  <c r="M91" i="6"/>
  <c r="K92" i="6"/>
  <c r="M54" i="6"/>
  <c r="D57" i="6"/>
  <c r="M125" i="6"/>
  <c r="G146" i="6"/>
  <c r="K64" i="6"/>
  <c r="C108" i="6"/>
  <c r="M143" i="6"/>
  <c r="F98" i="6"/>
  <c r="F79" i="6"/>
  <c r="L112" i="6"/>
  <c r="C82" i="6"/>
  <c r="D150" i="6"/>
  <c r="C143" i="6"/>
  <c r="I84" i="6"/>
  <c r="D133" i="6"/>
  <c r="H81" i="6"/>
  <c r="D130" i="6"/>
  <c r="D123" i="6"/>
  <c r="G132" i="6"/>
  <c r="M102" i="6"/>
  <c r="J59" i="6"/>
  <c r="M133" i="6"/>
  <c r="B82" i="6"/>
  <c r="I124" i="6"/>
  <c r="H111" i="6"/>
  <c r="I58" i="6"/>
  <c r="E79" i="6"/>
  <c r="L79" i="6"/>
  <c r="E127" i="6"/>
  <c r="J112" i="6"/>
  <c r="C124" i="6"/>
  <c r="D110" i="6"/>
  <c r="E106" i="6"/>
  <c r="J99" i="6"/>
  <c r="F55" i="6"/>
  <c r="E126" i="6"/>
  <c r="J136" i="6"/>
  <c r="C64" i="6"/>
  <c r="H124" i="6"/>
  <c r="E145" i="6"/>
  <c r="J78" i="6"/>
  <c r="E90" i="6"/>
  <c r="G56" i="6"/>
  <c r="B63" i="6"/>
  <c r="G55" i="6"/>
  <c r="D136" i="6"/>
  <c r="I143" i="6"/>
  <c r="D77" i="6"/>
  <c r="F132" i="6"/>
  <c r="H94" i="6"/>
  <c r="L141" i="6"/>
  <c r="H129" i="6"/>
  <c r="D132" i="6"/>
  <c r="B150" i="6"/>
  <c r="C148" i="6"/>
  <c r="C120" i="6"/>
  <c r="H150" i="6"/>
  <c r="E71" i="6"/>
  <c r="G81" i="6"/>
  <c r="K65" i="6"/>
  <c r="J139" i="6"/>
  <c r="F107" i="6"/>
  <c r="H104" i="6"/>
  <c r="F115" i="6"/>
  <c r="L104" i="6"/>
  <c r="I81" i="6"/>
  <c r="E83" i="6"/>
  <c r="E63" i="6"/>
  <c r="L146" i="6"/>
  <c r="F87" i="6"/>
  <c r="K94" i="6"/>
  <c r="F143" i="6"/>
  <c r="F74" i="6"/>
  <c r="D51" i="6"/>
  <c r="K129" i="6"/>
  <c r="K80" i="6"/>
  <c r="B129" i="6"/>
  <c r="F128" i="6"/>
  <c r="E59" i="6"/>
  <c r="B79" i="6"/>
  <c r="K98" i="6"/>
  <c r="E80" i="6"/>
  <c r="E72" i="6"/>
  <c r="I131" i="6"/>
  <c r="J91" i="6"/>
  <c r="D58" i="6"/>
  <c r="L119" i="6"/>
  <c r="L135" i="6"/>
  <c r="L140" i="6"/>
  <c r="F121" i="6"/>
  <c r="F138" i="6"/>
  <c r="C136" i="6"/>
  <c r="G118" i="6"/>
  <c r="M101" i="6"/>
  <c r="G124" i="6"/>
  <c r="E120" i="6"/>
  <c r="E105" i="6"/>
  <c r="M75" i="6"/>
  <c r="I117" i="6"/>
  <c r="I140" i="6"/>
  <c r="E91" i="6"/>
  <c r="C118" i="6"/>
  <c r="J147" i="6"/>
  <c r="G74" i="6"/>
  <c r="H57" i="6"/>
  <c r="K141" i="6"/>
  <c r="L72" i="6"/>
  <c r="J69" i="6"/>
  <c r="J111" i="6"/>
  <c r="B56" i="6"/>
  <c r="L66" i="6"/>
  <c r="M137" i="6"/>
  <c r="H53" i="6"/>
  <c r="H54" i="6"/>
  <c r="B139" i="6"/>
  <c r="F102" i="6"/>
  <c r="L87" i="6"/>
  <c r="K73" i="6"/>
  <c r="J95" i="6"/>
  <c r="E99" i="6"/>
  <c r="D80" i="6"/>
  <c r="G111" i="6"/>
  <c r="I126" i="6"/>
  <c r="K68" i="6"/>
  <c r="L64" i="6"/>
  <c r="G96" i="6"/>
  <c r="I88" i="6"/>
  <c r="D135" i="6"/>
  <c r="G139" i="6"/>
  <c r="K85" i="6"/>
  <c r="G70" i="6"/>
  <c r="B57" i="6"/>
  <c r="E66" i="6"/>
  <c r="C103" i="6"/>
  <c r="F129" i="6"/>
  <c r="F142" i="6"/>
  <c r="G117" i="6"/>
  <c r="K66" i="6"/>
  <c r="K58" i="6"/>
  <c r="M85" i="6"/>
  <c r="M124" i="6"/>
  <c r="H123" i="6"/>
  <c r="C138" i="6"/>
  <c r="H139" i="6"/>
  <c r="I139" i="6"/>
  <c r="G71" i="6"/>
  <c r="F90" i="6"/>
  <c r="C133" i="6"/>
  <c r="C134" i="6"/>
  <c r="M59" i="6"/>
  <c r="M144" i="6"/>
  <c r="D60" i="6"/>
  <c r="G75" i="6"/>
  <c r="J93" i="6"/>
  <c r="K126" i="6"/>
  <c r="J75" i="6"/>
  <c r="D119" i="6"/>
  <c r="L144" i="6"/>
  <c r="K134" i="6"/>
  <c r="G61" i="6"/>
  <c r="K87" i="6"/>
  <c r="J144" i="6"/>
  <c r="D124" i="6"/>
  <c r="B119" i="6"/>
  <c r="G59" i="6"/>
  <c r="L96" i="6"/>
  <c r="G120" i="6"/>
  <c r="G110" i="6"/>
  <c r="C100" i="6"/>
  <c r="H101" i="6"/>
  <c r="H65" i="6"/>
  <c r="I82" i="6"/>
  <c r="J128" i="6"/>
  <c r="M77" i="6"/>
  <c r="E134" i="6"/>
  <c r="K148" i="6"/>
  <c r="L133" i="6"/>
  <c r="K114" i="6"/>
  <c r="G113" i="6"/>
  <c r="M84" i="6"/>
  <c r="J74" i="6"/>
  <c r="J80" i="6"/>
  <c r="F92" i="6"/>
  <c r="B118" i="6"/>
  <c r="H116" i="6"/>
  <c r="J89" i="6"/>
  <c r="K131" i="6"/>
  <c r="K140" i="6"/>
  <c r="E53" i="6"/>
  <c r="L70" i="6"/>
  <c r="F81" i="6"/>
  <c r="G144" i="6"/>
  <c r="M110" i="6"/>
  <c r="D139" i="6"/>
  <c r="F149" i="6"/>
  <c r="G92" i="6"/>
  <c r="G91" i="6"/>
  <c r="J72" i="6"/>
  <c r="G65" i="6"/>
  <c r="D147" i="6"/>
  <c r="M94" i="6"/>
  <c r="M88" i="6"/>
  <c r="G77" i="6"/>
  <c r="K150" i="6"/>
  <c r="B138" i="6"/>
  <c r="L93" i="6"/>
  <c r="D53" i="6"/>
  <c r="E118" i="6"/>
  <c r="B116" i="6"/>
  <c r="H105" i="6"/>
  <c r="B51" i="6"/>
  <c r="L53" i="6"/>
  <c r="G141" i="6"/>
  <c r="K71" i="6"/>
  <c r="K106" i="6"/>
  <c r="L113" i="6"/>
  <c r="I83" i="6"/>
  <c r="E146" i="6"/>
  <c r="C107" i="6"/>
  <c r="G109" i="6"/>
  <c r="E125" i="6"/>
  <c r="F144" i="6"/>
  <c r="G134" i="6"/>
  <c r="J84" i="6"/>
  <c r="J114" i="6"/>
  <c r="I115" i="6"/>
  <c r="E119" i="6"/>
  <c r="M89" i="6"/>
  <c r="J120" i="6"/>
  <c r="F147" i="6"/>
  <c r="L114" i="6"/>
  <c r="M146" i="6"/>
  <c r="E128" i="6"/>
  <c r="G100" i="6"/>
  <c r="K104" i="6"/>
  <c r="L117" i="6"/>
  <c r="F123" i="6"/>
  <c r="K121" i="6"/>
  <c r="B52" i="6"/>
  <c r="I136" i="6"/>
  <c r="L143" i="6"/>
  <c r="B61" i="6"/>
  <c r="G98" i="6"/>
  <c r="I121" i="6"/>
  <c r="H59" i="6"/>
  <c r="I77" i="6"/>
  <c r="G135" i="6"/>
  <c r="F110" i="6"/>
  <c r="M82" i="6"/>
  <c r="G68" i="6"/>
  <c r="B53" i="6"/>
  <c r="H66" i="6"/>
  <c r="M142" i="6"/>
  <c r="F68" i="6"/>
  <c r="L106" i="6"/>
  <c r="C147" i="6"/>
  <c r="M86" i="6"/>
  <c r="M123" i="6"/>
  <c r="K130" i="6"/>
  <c r="M53" i="6"/>
  <c r="E142" i="6"/>
  <c r="K147" i="6"/>
  <c r="L83" i="6"/>
  <c r="J65" i="6"/>
  <c r="E61" i="6"/>
  <c r="L126" i="6"/>
  <c r="F104" i="6"/>
  <c r="H69" i="6"/>
  <c r="I144" i="6"/>
  <c r="K133" i="6"/>
  <c r="F109" i="6"/>
  <c r="I76" i="6"/>
  <c r="G147" i="6"/>
  <c r="J82" i="6"/>
  <c r="D66" i="6"/>
  <c r="M130" i="6"/>
  <c r="L102" i="6"/>
  <c r="C68" i="6"/>
  <c r="C93" i="6"/>
  <c r="H76" i="6"/>
  <c r="H121" i="6"/>
  <c r="E82" i="6"/>
  <c r="D137" i="6"/>
  <c r="M149" i="6"/>
  <c r="B90" i="6"/>
  <c r="J129" i="6"/>
  <c r="J85" i="6"/>
  <c r="M147" i="6"/>
  <c r="C88" i="6"/>
  <c r="D129" i="6"/>
  <c r="L77" i="6"/>
  <c r="E69" i="6"/>
  <c r="C85" i="6"/>
  <c r="C121" i="6"/>
  <c r="I105" i="6"/>
  <c r="C101" i="6"/>
  <c r="H67" i="6"/>
  <c r="C89" i="6"/>
  <c r="I137" i="6"/>
  <c r="J145" i="6"/>
  <c r="E122" i="6"/>
  <c r="I150" i="6"/>
  <c r="K101" i="6"/>
  <c r="D55" i="6"/>
  <c r="H64" i="6"/>
  <c r="F91" i="6"/>
  <c r="F85" i="6"/>
  <c r="H114" i="6"/>
  <c r="G137" i="6"/>
  <c r="B86" i="6"/>
  <c r="K88" i="6"/>
  <c r="K72" i="6"/>
  <c r="E103" i="6"/>
  <c r="G72" i="6"/>
  <c r="B73" i="6"/>
  <c r="I102" i="6"/>
  <c r="D146" i="6"/>
  <c r="I112" i="6"/>
  <c r="G104" i="6"/>
  <c r="C126" i="6"/>
  <c r="B131" i="6"/>
  <c r="H103" i="6"/>
  <c r="C84" i="6"/>
  <c r="G87" i="6"/>
  <c r="J149" i="6"/>
  <c r="L84" i="6"/>
  <c r="H102" i="6"/>
  <c r="D105" i="6"/>
  <c r="G115" i="6"/>
  <c r="B120" i="6"/>
  <c r="D115" i="6"/>
  <c r="L58" i="6"/>
  <c r="D87" i="6"/>
  <c r="D104" i="6"/>
  <c r="G116" i="6"/>
  <c r="F108" i="6"/>
  <c r="C123" i="6"/>
  <c r="K100" i="6"/>
  <c r="H135" i="6"/>
  <c r="I133" i="6"/>
  <c r="H90" i="6"/>
  <c r="B146" i="6"/>
  <c r="E51" i="6"/>
  <c r="C58" i="6"/>
  <c r="F65" i="6"/>
  <c r="K120" i="6"/>
  <c r="C106" i="6"/>
  <c r="K63" i="6"/>
  <c r="C115" i="6"/>
  <c r="I97" i="6"/>
  <c r="D54" i="6"/>
  <c r="I103" i="6"/>
  <c r="K144" i="6"/>
  <c r="H130" i="6"/>
  <c r="K78" i="6"/>
  <c r="M141" i="6"/>
  <c r="M87" i="6"/>
  <c r="J134" i="6"/>
  <c r="I146" i="6"/>
  <c r="D64" i="6"/>
  <c r="C109" i="6"/>
  <c r="F60" i="6"/>
  <c r="C129" i="6"/>
  <c r="J62" i="6"/>
  <c r="F82" i="6"/>
  <c r="H55" i="6"/>
  <c r="M111" i="6"/>
  <c r="D118" i="6"/>
  <c r="H83" i="6"/>
  <c r="M76" i="6"/>
  <c r="L78" i="6"/>
  <c r="H71" i="6"/>
  <c r="L103" i="6"/>
  <c r="E62" i="6"/>
  <c r="J142" i="6"/>
  <c r="E111" i="6"/>
  <c r="B106" i="6"/>
  <c r="G97" i="6"/>
  <c r="C51" i="6"/>
  <c r="G121" i="6"/>
  <c r="C52" i="6"/>
  <c r="F135" i="6"/>
  <c r="J126" i="6"/>
  <c r="B105" i="6"/>
  <c r="E140" i="6"/>
  <c r="L101" i="6"/>
  <c r="H93" i="6"/>
  <c r="M118" i="6"/>
  <c r="J61" i="6"/>
  <c r="M108" i="6"/>
  <c r="I55" i="6"/>
  <c r="B111" i="6"/>
  <c r="I111" i="6"/>
  <c r="C54" i="6"/>
  <c r="H70" i="6"/>
  <c r="C110" i="6"/>
  <c r="I130" i="6"/>
  <c r="D128" i="6"/>
  <c r="F52" i="6"/>
  <c r="D106" i="6"/>
  <c r="B144" i="6"/>
  <c r="L100" i="6"/>
  <c r="J57" i="6"/>
  <c r="M138" i="6"/>
  <c r="C74" i="6"/>
  <c r="E147" i="6"/>
  <c r="D84" i="6"/>
  <c r="I75" i="6"/>
  <c r="K81" i="6"/>
  <c r="H133" i="6"/>
  <c r="J133" i="6"/>
  <c r="K96" i="6"/>
  <c r="E64" i="6"/>
  <c r="G82" i="6"/>
  <c r="E132" i="6"/>
  <c r="L108" i="6"/>
  <c r="F139" i="6"/>
  <c r="F103" i="6"/>
  <c r="D96" i="6"/>
  <c r="D117" i="6"/>
  <c r="B89" i="6"/>
  <c r="G129" i="6"/>
  <c r="I90" i="6"/>
  <c r="B140" i="6"/>
  <c r="I101" i="6"/>
  <c r="M95" i="6"/>
  <c r="J106" i="6"/>
  <c r="M131" i="6"/>
  <c r="G114" i="6"/>
  <c r="I145" i="6"/>
  <c r="F80" i="6"/>
  <c r="K122" i="6"/>
  <c r="J101" i="6"/>
  <c r="D81" i="6"/>
  <c r="H147" i="6"/>
  <c r="E86" i="6"/>
  <c r="D141" i="6"/>
  <c r="C97" i="6"/>
  <c r="E129" i="6"/>
  <c r="I94" i="6"/>
  <c r="J117" i="6"/>
  <c r="F77" i="6"/>
  <c r="D52" i="6"/>
  <c r="B96" i="6"/>
  <c r="C87" i="6"/>
  <c r="B100" i="6"/>
  <c r="L52" i="6"/>
  <c r="L57" i="6"/>
  <c r="I54" i="6"/>
  <c r="J83" i="6"/>
  <c r="B114" i="6"/>
  <c r="J94" i="6"/>
  <c r="C70" i="6"/>
  <c r="C96" i="6"/>
  <c r="F51" i="6"/>
  <c r="C128" i="6"/>
  <c r="F93" i="6"/>
  <c r="M136" i="6"/>
  <c r="L88" i="6"/>
  <c r="D143" i="6"/>
  <c r="B122" i="6"/>
  <c r="D98" i="6"/>
  <c r="H106" i="6"/>
  <c r="M129" i="6"/>
  <c r="H97" i="6"/>
  <c r="B126" i="6"/>
  <c r="D94" i="6"/>
  <c r="D134" i="6"/>
  <c r="G84" i="6"/>
  <c r="I85" i="6"/>
  <c r="F58" i="6"/>
  <c r="F53" i="6"/>
  <c r="G119" i="6"/>
  <c r="M61" i="6"/>
  <c r="C69" i="6"/>
  <c r="C99" i="6"/>
  <c r="J56" i="6"/>
  <c r="L60" i="6"/>
  <c r="H112" i="6"/>
  <c r="C102" i="6"/>
  <c r="F134" i="6"/>
  <c r="J100" i="6"/>
  <c r="L120" i="6"/>
  <c r="D125" i="6"/>
  <c r="G93" i="6"/>
  <c r="G149" i="6"/>
  <c r="K82" i="6"/>
  <c r="H51" i="6"/>
  <c r="J90" i="6"/>
  <c r="B137" i="6"/>
  <c r="C80" i="6"/>
  <c r="B85" i="6"/>
  <c r="G133" i="6"/>
  <c r="J52" i="6"/>
  <c r="E75" i="6"/>
  <c r="E148" i="6"/>
  <c r="F88" i="6"/>
  <c r="G145" i="6"/>
  <c r="B60" i="6"/>
  <c r="D67" i="6"/>
  <c r="J132" i="6"/>
  <c r="G103" i="6"/>
  <c r="K59" i="6"/>
  <c r="M113" i="6"/>
  <c r="I86" i="6"/>
  <c r="L122" i="6"/>
  <c r="H60" i="6"/>
  <c r="M56" i="6"/>
  <c r="C95" i="6"/>
  <c r="C91" i="6"/>
  <c r="I52" i="6"/>
  <c r="M104" i="6"/>
  <c r="B58" i="6"/>
  <c r="G107" i="6"/>
  <c r="C140" i="6"/>
  <c r="E87" i="6"/>
  <c r="M93" i="6"/>
  <c r="D56" i="6"/>
  <c r="J123" i="6"/>
  <c r="D83" i="6"/>
  <c r="I66" i="6"/>
  <c r="I109" i="6"/>
  <c r="D144" i="6"/>
  <c r="K108" i="6"/>
  <c r="L131" i="6"/>
  <c r="F127" i="6"/>
  <c r="K93" i="6"/>
  <c r="H141" i="6"/>
  <c r="E95" i="6"/>
  <c r="C113" i="6"/>
  <c r="L134" i="6"/>
  <c r="C150" i="6"/>
  <c r="M148" i="6"/>
  <c r="I135" i="6"/>
  <c r="E139" i="6"/>
  <c r="E52" i="6"/>
  <c r="F57" i="6"/>
  <c r="K128" i="6"/>
  <c r="J60" i="6"/>
  <c r="J105" i="6"/>
  <c r="F148" i="6"/>
  <c r="K149" i="6"/>
  <c r="I138" i="6"/>
  <c r="J119" i="6"/>
  <c r="F116" i="6"/>
  <c r="K124" i="6"/>
  <c r="F133" i="6"/>
  <c r="H89" i="6"/>
  <c r="C61" i="6"/>
  <c r="F124" i="6"/>
  <c r="F64" i="6"/>
  <c r="I120" i="6"/>
  <c r="J51" i="6"/>
  <c r="G51" i="6"/>
  <c r="F112" i="6"/>
  <c r="D59" i="6"/>
  <c r="G57" i="6"/>
  <c r="C114" i="6"/>
  <c r="K102" i="6"/>
  <c r="E133" i="6"/>
  <c r="D89" i="6"/>
  <c r="H82" i="6"/>
  <c r="M115" i="6"/>
  <c r="F120" i="6"/>
  <c r="I100" i="6"/>
  <c r="E104" i="6"/>
  <c r="F114" i="6"/>
  <c r="C130" i="6"/>
  <c r="E65" i="6"/>
  <c r="B117" i="6"/>
  <c r="B64" i="6"/>
  <c r="M60" i="6"/>
  <c r="J77" i="6"/>
  <c r="D95" i="6"/>
  <c r="E138" i="6"/>
  <c r="F100" i="6"/>
  <c r="K117" i="6"/>
  <c r="K146" i="6"/>
  <c r="B65" i="6"/>
  <c r="G127" i="6"/>
  <c r="J113" i="6"/>
  <c r="B70" i="6"/>
  <c r="B59" i="6"/>
  <c r="L123" i="6"/>
  <c r="D71" i="6"/>
  <c r="I61" i="6"/>
  <c r="C137" i="6"/>
  <c r="K145" i="6"/>
  <c r="K62" i="6"/>
  <c r="M145" i="6"/>
  <c r="J118" i="6"/>
  <c r="L129" i="6"/>
  <c r="K116" i="6"/>
  <c r="J92" i="6"/>
  <c r="M66" i="6"/>
  <c r="HS187" i="1"/>
  <c r="HT187" i="1" s="1"/>
  <c r="HS7" i="1"/>
  <c r="HT7" i="1" s="1"/>
  <c r="HS11" i="1"/>
  <c r="HT11" i="1" s="1"/>
  <c r="HS15" i="1"/>
  <c r="HT15" i="1" s="1"/>
  <c r="HS19" i="1"/>
  <c r="HT19" i="1" s="1"/>
  <c r="HS24" i="1"/>
  <c r="HT24" i="1" s="1"/>
  <c r="HS29" i="1"/>
  <c r="HT29" i="1" s="1"/>
  <c r="HS33" i="1"/>
  <c r="HT33" i="1" s="1"/>
  <c r="HS37" i="1"/>
  <c r="HT37" i="1" s="1"/>
  <c r="HS41" i="1"/>
  <c r="HT41" i="1" s="1"/>
  <c r="HS45" i="1"/>
  <c r="HT45" i="1" s="1"/>
  <c r="HS49" i="1"/>
  <c r="HT49" i="1" s="1"/>
  <c r="HS53" i="1"/>
  <c r="HT53" i="1" s="1"/>
  <c r="HS57" i="1"/>
  <c r="HT57" i="1" s="1"/>
  <c r="HS61" i="1"/>
  <c r="HT61" i="1" s="1"/>
  <c r="HS65" i="1"/>
  <c r="HT65" i="1" s="1"/>
  <c r="HS69" i="1"/>
  <c r="HT69" i="1" s="1"/>
  <c r="HS73" i="1"/>
  <c r="HT73" i="1" s="1"/>
  <c r="HS77" i="1"/>
  <c r="HT77" i="1" s="1"/>
  <c r="HS81" i="1"/>
  <c r="HT81" i="1" s="1"/>
  <c r="HS85" i="1"/>
  <c r="HT85" i="1" s="1"/>
  <c r="HS89" i="1"/>
  <c r="HT89" i="1" s="1"/>
  <c r="HS93" i="1"/>
  <c r="HT93" i="1" s="1"/>
  <c r="HS97" i="1"/>
  <c r="HT97" i="1" s="1"/>
  <c r="HS101" i="1"/>
  <c r="HT101" i="1" s="1"/>
  <c r="HS105" i="1"/>
  <c r="HT105" i="1" s="1"/>
  <c r="HS109" i="1"/>
  <c r="HT109" i="1" s="1"/>
  <c r="HS113" i="1"/>
  <c r="HT113" i="1" s="1"/>
  <c r="HS117" i="1"/>
  <c r="HT117" i="1" s="1"/>
  <c r="HS125" i="1"/>
  <c r="HT125" i="1" s="1"/>
  <c r="HS129" i="1"/>
  <c r="HT129" i="1" s="1"/>
  <c r="HS133" i="1"/>
  <c r="HT133" i="1" s="1"/>
  <c r="HS137" i="1"/>
  <c r="HT137" i="1" s="1"/>
  <c r="HS141" i="1"/>
  <c r="HT141" i="1" s="1"/>
  <c r="HS145" i="1"/>
  <c r="HT145" i="1" s="1"/>
  <c r="HS149" i="1"/>
  <c r="HT149" i="1" s="1"/>
  <c r="HS153" i="1"/>
  <c r="HT153" i="1" s="1"/>
  <c r="HS157" i="1"/>
  <c r="HT157" i="1" s="1"/>
  <c r="HS161" i="1"/>
  <c r="HT161" i="1" s="1"/>
  <c r="HS165" i="1"/>
  <c r="HT165" i="1" s="1"/>
  <c r="HS169" i="1"/>
  <c r="HT169" i="1" s="1"/>
  <c r="HS173" i="1"/>
  <c r="HT173" i="1" s="1"/>
  <c r="HS177" i="1"/>
  <c r="HT177" i="1" s="1"/>
  <c r="HS181" i="1"/>
  <c r="HT181" i="1" s="1"/>
  <c r="HS185" i="1"/>
  <c r="HT185" i="1" s="1"/>
  <c r="HS5" i="1"/>
  <c r="HT5" i="1" s="1"/>
  <c r="HS12" i="1"/>
  <c r="HT12" i="1" s="1"/>
  <c r="HS14" i="1"/>
  <c r="HT14" i="1" s="1"/>
  <c r="HS22" i="1"/>
  <c r="HT22" i="1" s="1"/>
  <c r="HS30" i="1"/>
  <c r="HT30" i="1" s="1"/>
  <c r="HS32" i="1"/>
  <c r="HT32" i="1" s="1"/>
  <c r="HS39" i="1"/>
  <c r="HT39" i="1" s="1"/>
  <c r="HS46" i="1"/>
  <c r="HT46" i="1" s="1"/>
  <c r="HS48" i="1"/>
  <c r="HT48" i="1" s="1"/>
  <c r="HS55" i="1"/>
  <c r="HT55" i="1" s="1"/>
  <c r="HS62" i="1"/>
  <c r="HT62" i="1" s="1"/>
  <c r="HS64" i="1"/>
  <c r="HT64" i="1" s="1"/>
  <c r="HS71" i="1"/>
  <c r="HT71" i="1" s="1"/>
  <c r="HS78" i="1"/>
  <c r="HT78" i="1" s="1"/>
  <c r="HS80" i="1"/>
  <c r="HT80" i="1" s="1"/>
  <c r="HS87" i="1"/>
  <c r="HT87" i="1" s="1"/>
  <c r="HS94" i="1"/>
  <c r="HT94" i="1" s="1"/>
  <c r="HS96" i="1"/>
  <c r="HT96" i="1" s="1"/>
  <c r="HS103" i="1"/>
  <c r="HT103" i="1" s="1"/>
  <c r="HS110" i="1"/>
  <c r="HT110" i="1" s="1"/>
  <c r="HS112" i="1"/>
  <c r="HT112" i="1" s="1"/>
  <c r="HS119" i="1"/>
  <c r="HT119" i="1" s="1"/>
  <c r="HS126" i="1"/>
  <c r="HT126" i="1" s="1"/>
  <c r="HS128" i="1"/>
  <c r="HT128" i="1" s="1"/>
  <c r="HS135" i="1"/>
  <c r="HT135" i="1" s="1"/>
  <c r="HS142" i="1"/>
  <c r="HT142" i="1" s="1"/>
  <c r="HS144" i="1"/>
  <c r="HT144" i="1" s="1"/>
  <c r="HS151" i="1"/>
  <c r="HT151" i="1" s="1"/>
  <c r="HS158" i="1"/>
  <c r="HT158" i="1" s="1"/>
  <c r="HS160" i="1"/>
  <c r="HT160" i="1" s="1"/>
  <c r="HS167" i="1"/>
  <c r="HT167" i="1" s="1"/>
  <c r="HS174" i="1"/>
  <c r="HT174" i="1" s="1"/>
  <c r="HS176" i="1"/>
  <c r="HT176" i="1" s="1"/>
  <c r="HS183" i="1"/>
  <c r="HT183" i="1" s="1"/>
  <c r="HS8" i="1"/>
  <c r="HT8" i="1" s="1"/>
  <c r="HS10" i="1"/>
  <c r="HT10" i="1" s="1"/>
  <c r="HS17" i="1"/>
  <c r="HT17" i="1" s="1"/>
  <c r="HS25" i="1"/>
  <c r="HT25" i="1" s="1"/>
  <c r="HS27" i="1"/>
  <c r="HT27" i="1" s="1"/>
  <c r="HS35" i="1"/>
  <c r="HT35" i="1" s="1"/>
  <c r="HS42" i="1"/>
  <c r="HT42" i="1" s="1"/>
  <c r="HS44" i="1"/>
  <c r="HT44" i="1" s="1"/>
  <c r="HS51" i="1"/>
  <c r="HT51" i="1" s="1"/>
  <c r="HS58" i="1"/>
  <c r="HT58" i="1" s="1"/>
  <c r="HS60" i="1"/>
  <c r="HT60" i="1" s="1"/>
  <c r="HS67" i="1"/>
  <c r="HT67" i="1" s="1"/>
  <c r="HS74" i="1"/>
  <c r="HT74" i="1" s="1"/>
  <c r="HS76" i="1"/>
  <c r="HT76" i="1" s="1"/>
  <c r="HS83" i="1"/>
  <c r="HT83" i="1" s="1"/>
  <c r="HS90" i="1"/>
  <c r="HT90" i="1" s="1"/>
  <c r="HS92" i="1"/>
  <c r="HT92" i="1" s="1"/>
  <c r="HS99" i="1"/>
  <c r="HT99" i="1" s="1"/>
  <c r="HS106" i="1"/>
  <c r="HT106" i="1" s="1"/>
  <c r="HS108" i="1"/>
  <c r="HT108" i="1" s="1"/>
  <c r="HS115" i="1"/>
  <c r="HT115" i="1" s="1"/>
  <c r="HS131" i="1"/>
  <c r="HT131" i="1" s="1"/>
  <c r="HS138" i="1"/>
  <c r="HT138" i="1" s="1"/>
  <c r="HS140" i="1"/>
  <c r="HT140" i="1" s="1"/>
  <c r="HS147" i="1"/>
  <c r="HT147" i="1" s="1"/>
  <c r="HS6" i="1"/>
  <c r="HT6" i="1" s="1"/>
  <c r="HS13" i="1"/>
  <c r="HT13" i="1" s="1"/>
  <c r="HS21" i="1"/>
  <c r="HT21" i="1" s="1"/>
  <c r="HS40" i="1"/>
  <c r="HT40" i="1" s="1"/>
  <c r="HS47" i="1"/>
  <c r="HT47" i="1" s="1"/>
  <c r="HS54" i="1"/>
  <c r="HT54" i="1" s="1"/>
  <c r="HS72" i="1"/>
  <c r="HT72" i="1" s="1"/>
  <c r="HS79" i="1"/>
  <c r="HT79" i="1" s="1"/>
  <c r="HS86" i="1"/>
  <c r="HT86" i="1" s="1"/>
  <c r="HS104" i="1"/>
  <c r="HT104" i="1" s="1"/>
  <c r="HS111" i="1"/>
  <c r="HT111" i="1" s="1"/>
  <c r="HS118" i="1"/>
  <c r="HT118" i="1" s="1"/>
  <c r="HS136" i="1"/>
  <c r="HT136" i="1" s="1"/>
  <c r="HS143" i="1"/>
  <c r="HT143" i="1" s="1"/>
  <c r="HS150" i="1"/>
  <c r="HT150" i="1" s="1"/>
  <c r="HS172" i="1"/>
  <c r="HT172" i="1" s="1"/>
  <c r="HS179" i="1"/>
  <c r="HT179" i="1" s="1"/>
  <c r="HS184" i="1"/>
  <c r="HT184" i="1" s="1"/>
  <c r="HS186" i="1"/>
  <c r="HT186" i="1" s="1"/>
  <c r="HS18" i="1"/>
  <c r="HT18" i="1" s="1"/>
  <c r="HS26" i="1"/>
  <c r="HT26" i="1" s="1"/>
  <c r="HS34" i="1"/>
  <c r="HT34" i="1" s="1"/>
  <c r="HS52" i="1"/>
  <c r="HT52" i="1" s="1"/>
  <c r="HS59" i="1"/>
  <c r="HT59" i="1" s="1"/>
  <c r="HS66" i="1"/>
  <c r="HT66" i="1" s="1"/>
  <c r="HS84" i="1"/>
  <c r="HT84" i="1" s="1"/>
  <c r="HS91" i="1"/>
  <c r="HT91" i="1" s="1"/>
  <c r="HS98" i="1"/>
  <c r="HT98" i="1" s="1"/>
  <c r="HS116" i="1"/>
  <c r="HT116" i="1" s="1"/>
  <c r="HS130" i="1"/>
  <c r="HT130" i="1" s="1"/>
  <c r="HS148" i="1"/>
  <c r="HT148" i="1" s="1"/>
  <c r="HS156" i="1"/>
  <c r="HT156" i="1" s="1"/>
  <c r="HS163" i="1"/>
  <c r="HT163" i="1" s="1"/>
  <c r="HS168" i="1"/>
  <c r="HT168" i="1" s="1"/>
  <c r="HS170" i="1"/>
  <c r="HT170" i="1" s="1"/>
  <c r="HS175" i="1"/>
  <c r="HT175" i="1" s="1"/>
  <c r="HS180" i="1"/>
  <c r="HT180" i="1" s="1"/>
  <c r="HS182" i="1"/>
  <c r="HT182" i="1" s="1"/>
  <c r="HS188" i="1"/>
  <c r="HT188" i="1" s="1"/>
  <c r="HS190" i="1"/>
  <c r="HT190" i="1" s="1"/>
  <c r="HS192" i="1"/>
  <c r="HT192" i="1" s="1"/>
  <c r="HS4" i="1"/>
  <c r="HT4" i="1" s="1"/>
  <c r="HS23" i="1"/>
  <c r="HT23" i="1" s="1"/>
  <c r="HS31" i="1"/>
  <c r="HT31" i="1" s="1"/>
  <c r="HS38" i="1"/>
  <c r="HT38" i="1" s="1"/>
  <c r="HS56" i="1"/>
  <c r="HT56" i="1" s="1"/>
  <c r="HS63" i="1"/>
  <c r="HT63" i="1" s="1"/>
  <c r="HS70" i="1"/>
  <c r="HT70" i="1" s="1"/>
  <c r="HS88" i="1"/>
  <c r="HT88" i="1" s="1"/>
  <c r="HS95" i="1"/>
  <c r="HT95" i="1" s="1"/>
  <c r="HS102" i="1"/>
  <c r="HT102" i="1" s="1"/>
  <c r="HS120" i="1"/>
  <c r="HT120" i="1" s="1"/>
  <c r="HS127" i="1"/>
  <c r="HT127" i="1" s="1"/>
  <c r="HS134" i="1"/>
  <c r="HT134" i="1" s="1"/>
  <c r="HS152" i="1"/>
  <c r="HT152" i="1" s="1"/>
  <c r="HS154" i="1"/>
  <c r="HT154" i="1" s="1"/>
  <c r="HS159" i="1"/>
  <c r="HT159" i="1" s="1"/>
  <c r="HS164" i="1"/>
  <c r="HT164" i="1" s="1"/>
  <c r="HS166" i="1"/>
  <c r="HT166" i="1" s="1"/>
  <c r="HS171" i="1"/>
  <c r="HT171" i="1" s="1"/>
  <c r="HS178" i="1"/>
  <c r="HT178" i="1" s="1"/>
  <c r="HS43" i="1"/>
  <c r="HT43" i="1" s="1"/>
  <c r="HS100" i="1"/>
  <c r="HT100" i="1" s="1"/>
  <c r="HS114" i="1"/>
  <c r="HT114" i="1" s="1"/>
  <c r="HS155" i="1"/>
  <c r="HT155" i="1" s="1"/>
  <c r="HS189" i="1"/>
  <c r="HT189" i="1" s="1"/>
  <c r="HS36" i="1"/>
  <c r="HT36" i="1" s="1"/>
  <c r="HS50" i="1"/>
  <c r="HT50" i="1" s="1"/>
  <c r="HS107" i="1"/>
  <c r="HT107" i="1" s="1"/>
  <c r="HS9" i="1"/>
  <c r="HT9" i="1" s="1"/>
  <c r="HS68" i="1"/>
  <c r="HT68" i="1" s="1"/>
  <c r="HS82" i="1"/>
  <c r="HT82" i="1" s="1"/>
  <c r="HS139" i="1"/>
  <c r="HT139" i="1" s="1"/>
  <c r="HS162" i="1"/>
  <c r="HT162" i="1" s="1"/>
  <c r="HS16" i="1"/>
  <c r="HT16" i="1" s="1"/>
  <c r="HS75" i="1"/>
  <c r="HT75" i="1" s="1"/>
  <c r="HS132" i="1"/>
  <c r="HT132" i="1" s="1"/>
  <c r="HS146" i="1"/>
  <c r="HT146" i="1" s="1"/>
  <c r="HS191" i="1"/>
  <c r="HT191" i="1" s="1"/>
  <c r="HS195" i="1"/>
  <c r="HT195" i="1" s="1"/>
  <c r="HS197" i="1"/>
  <c r="HT197" i="1" s="1"/>
  <c r="HS199" i="1"/>
  <c r="HT199" i="1" s="1"/>
  <c r="HS201" i="1"/>
  <c r="HT201" i="1" s="1"/>
  <c r="HS203" i="1"/>
  <c r="HT203" i="1" s="1"/>
  <c r="HS205" i="1"/>
  <c r="HT205" i="1" s="1"/>
  <c r="HS207" i="1"/>
  <c r="HT207" i="1" s="1"/>
  <c r="HS209" i="1"/>
  <c r="HT209" i="1" s="1"/>
  <c r="HS211" i="1"/>
  <c r="HT211" i="1" s="1"/>
  <c r="HS213" i="1"/>
  <c r="HT213" i="1" s="1"/>
  <c r="HS215" i="1"/>
  <c r="HT215" i="1" s="1"/>
  <c r="HS217" i="1"/>
  <c r="HT217" i="1" s="1"/>
  <c r="HS219" i="1"/>
  <c r="HT219" i="1" s="1"/>
  <c r="HS221" i="1"/>
  <c r="HT221" i="1" s="1"/>
  <c r="HS223" i="1"/>
  <c r="HT223" i="1" s="1"/>
  <c r="HS225" i="1"/>
  <c r="HT225" i="1" s="1"/>
  <c r="HS227" i="1"/>
  <c r="HT227" i="1" s="1"/>
  <c r="HS229" i="1"/>
  <c r="HT229" i="1" s="1"/>
  <c r="HS231" i="1"/>
  <c r="HT231" i="1" s="1"/>
  <c r="HS233" i="1"/>
  <c r="HT233" i="1" s="1"/>
  <c r="HS235" i="1"/>
  <c r="HT235" i="1" s="1"/>
  <c r="HS237" i="1"/>
  <c r="HT237" i="1" s="1"/>
  <c r="HS239" i="1"/>
  <c r="HT239" i="1" s="1"/>
  <c r="HS241" i="1"/>
  <c r="HT241" i="1" s="1"/>
  <c r="HS243" i="1"/>
  <c r="HT243" i="1" s="1"/>
  <c r="HS245" i="1"/>
  <c r="HT245" i="1" s="1"/>
  <c r="HS247" i="1"/>
  <c r="HT247" i="1" s="1"/>
  <c r="HS249" i="1"/>
  <c r="HT249" i="1" s="1"/>
  <c r="HS251" i="1"/>
  <c r="HT251" i="1" s="1"/>
  <c r="HS253" i="1"/>
  <c r="HT253" i="1" s="1"/>
  <c r="HS255" i="1"/>
  <c r="HT255" i="1" s="1"/>
  <c r="HS257" i="1"/>
  <c r="HT257" i="1" s="1"/>
  <c r="HS259" i="1"/>
  <c r="HT259" i="1" s="1"/>
  <c r="HS261" i="1"/>
  <c r="HT261" i="1" s="1"/>
  <c r="HS263" i="1"/>
  <c r="HT263" i="1" s="1"/>
  <c r="HS265" i="1"/>
  <c r="HT265" i="1" s="1"/>
  <c r="HS267" i="1"/>
  <c r="HT267" i="1" s="1"/>
  <c r="HS269" i="1"/>
  <c r="HT269" i="1" s="1"/>
  <c r="HS271" i="1"/>
  <c r="HT271" i="1" s="1"/>
  <c r="HS273" i="1"/>
  <c r="HT273" i="1" s="1"/>
  <c r="HS275" i="1"/>
  <c r="HT275" i="1" s="1"/>
  <c r="HS277" i="1"/>
  <c r="HT277" i="1" s="1"/>
  <c r="HS279" i="1"/>
  <c r="HT279" i="1" s="1"/>
  <c r="HS281" i="1"/>
  <c r="HT281" i="1" s="1"/>
  <c r="HS283" i="1"/>
  <c r="HT283" i="1" s="1"/>
  <c r="HS285" i="1"/>
  <c r="HT285" i="1" s="1"/>
  <c r="HS287" i="1"/>
  <c r="HT287" i="1" s="1"/>
  <c r="HS289" i="1"/>
  <c r="HT289" i="1" s="1"/>
  <c r="HS291" i="1"/>
  <c r="HT291" i="1" s="1"/>
  <c r="HS293" i="1"/>
  <c r="HT293" i="1" s="1"/>
  <c r="HS295" i="1"/>
  <c r="HT295" i="1" s="1"/>
  <c r="HS297" i="1"/>
  <c r="HT297" i="1" s="1"/>
  <c r="HS299" i="1"/>
  <c r="HT299" i="1" s="1"/>
  <c r="HS301" i="1"/>
  <c r="HT301" i="1" s="1"/>
  <c r="HS303" i="1"/>
  <c r="HT303" i="1" s="1"/>
  <c r="HS305" i="1"/>
  <c r="HT305" i="1" s="1"/>
  <c r="HS307" i="1"/>
  <c r="HT307" i="1" s="1"/>
  <c r="HS309" i="1"/>
  <c r="HT309" i="1" s="1"/>
  <c r="HS311" i="1"/>
  <c r="HT311" i="1" s="1"/>
  <c r="HS313" i="1"/>
  <c r="HT313" i="1" s="1"/>
  <c r="HS315" i="1"/>
  <c r="HT315" i="1" s="1"/>
  <c r="HS317" i="1"/>
  <c r="HT317" i="1" s="1"/>
  <c r="HS319" i="1"/>
  <c r="HT319" i="1" s="1"/>
  <c r="HS321" i="1"/>
  <c r="HT321" i="1" s="1"/>
  <c r="HS323" i="1"/>
  <c r="HT323" i="1" s="1"/>
  <c r="HS325" i="1"/>
  <c r="HT325" i="1" s="1"/>
  <c r="HS327" i="1"/>
  <c r="HT327" i="1" s="1"/>
  <c r="HS329" i="1"/>
  <c r="HT329" i="1" s="1"/>
  <c r="HS331" i="1"/>
  <c r="HT331" i="1" s="1"/>
  <c r="HS333" i="1"/>
  <c r="HT333" i="1" s="1"/>
  <c r="HS335" i="1"/>
  <c r="HT335" i="1" s="1"/>
  <c r="HS337" i="1"/>
  <c r="HT337" i="1" s="1"/>
  <c r="HS339" i="1"/>
  <c r="HT339" i="1" s="1"/>
  <c r="HS341" i="1"/>
  <c r="HT341" i="1" s="1"/>
  <c r="HS343" i="1"/>
  <c r="HT343" i="1" s="1"/>
  <c r="HS345" i="1"/>
  <c r="HT345" i="1" s="1"/>
  <c r="HS347" i="1"/>
  <c r="HT347" i="1" s="1"/>
  <c r="HS349" i="1"/>
  <c r="HT349" i="1" s="1"/>
  <c r="HS351" i="1"/>
  <c r="HT351" i="1" s="1"/>
  <c r="HS353" i="1"/>
  <c r="HT353" i="1" s="1"/>
  <c r="HS355" i="1"/>
  <c r="HT355" i="1" s="1"/>
  <c r="HS357" i="1"/>
  <c r="HT357" i="1" s="1"/>
  <c r="HS359" i="1"/>
  <c r="HT359" i="1" s="1"/>
  <c r="HS361" i="1"/>
  <c r="HT361" i="1" s="1"/>
  <c r="HS363" i="1"/>
  <c r="HT363" i="1" s="1"/>
  <c r="HS365" i="1"/>
  <c r="HT365" i="1" s="1"/>
  <c r="HS367" i="1"/>
  <c r="HT367" i="1" s="1"/>
  <c r="HS369" i="1"/>
  <c r="HT369" i="1" s="1"/>
  <c r="HS371" i="1"/>
  <c r="HT371" i="1" s="1"/>
  <c r="HS373" i="1"/>
  <c r="HT373" i="1" s="1"/>
  <c r="HS375" i="1"/>
  <c r="HT375" i="1" s="1"/>
  <c r="HS377" i="1"/>
  <c r="HT377" i="1" s="1"/>
  <c r="HS379" i="1"/>
  <c r="HT379" i="1" s="1"/>
  <c r="HS381" i="1"/>
  <c r="HT381" i="1" s="1"/>
  <c r="HS383" i="1"/>
  <c r="HT383" i="1" s="1"/>
  <c r="HS385" i="1"/>
  <c r="HT385" i="1" s="1"/>
  <c r="HS387" i="1"/>
  <c r="HT387" i="1" s="1"/>
  <c r="HS389" i="1"/>
  <c r="HT389" i="1" s="1"/>
  <c r="HS391" i="1"/>
  <c r="HT391" i="1" s="1"/>
  <c r="HS393" i="1"/>
  <c r="HT393" i="1" s="1"/>
  <c r="HS395" i="1"/>
  <c r="HT395" i="1" s="1"/>
  <c r="HS397" i="1"/>
  <c r="HT397" i="1" s="1"/>
  <c r="HS399" i="1"/>
  <c r="HT399" i="1" s="1"/>
  <c r="HS401" i="1"/>
  <c r="HT401" i="1" s="1"/>
  <c r="HS403" i="1"/>
  <c r="HT403" i="1" s="1"/>
  <c r="HS405" i="1"/>
  <c r="HT405" i="1" s="1"/>
  <c r="HS407" i="1"/>
  <c r="HT407" i="1" s="1"/>
  <c r="HS409" i="1"/>
  <c r="HT409" i="1" s="1"/>
  <c r="HS411" i="1"/>
  <c r="HT411" i="1" s="1"/>
  <c r="HS413" i="1"/>
  <c r="HT413" i="1" s="1"/>
  <c r="HS415" i="1"/>
  <c r="HT415" i="1" s="1"/>
  <c r="HS417" i="1"/>
  <c r="HT417" i="1" s="1"/>
  <c r="HS419" i="1"/>
  <c r="HT419" i="1" s="1"/>
  <c r="HS421" i="1"/>
  <c r="HT421" i="1" s="1"/>
  <c r="HS423" i="1"/>
  <c r="HT423" i="1" s="1"/>
  <c r="HS425" i="1"/>
  <c r="HT425" i="1" s="1"/>
  <c r="HS427" i="1"/>
  <c r="HT427" i="1" s="1"/>
  <c r="HS429" i="1"/>
  <c r="HT429" i="1" s="1"/>
  <c r="HS431" i="1"/>
  <c r="HT431" i="1" s="1"/>
  <c r="HS433" i="1"/>
  <c r="HT433" i="1" s="1"/>
  <c r="HS435" i="1"/>
  <c r="HT435" i="1" s="1"/>
  <c r="HS437" i="1"/>
  <c r="HT437" i="1" s="1"/>
  <c r="HS439" i="1"/>
  <c r="HT439" i="1" s="1"/>
  <c r="HS441" i="1"/>
  <c r="HT441" i="1" s="1"/>
  <c r="HS443" i="1"/>
  <c r="HT443" i="1" s="1"/>
  <c r="HS445" i="1"/>
  <c r="HT445" i="1" s="1"/>
  <c r="HS447" i="1"/>
  <c r="HT447" i="1" s="1"/>
  <c r="HS449" i="1"/>
  <c r="HT449" i="1" s="1"/>
  <c r="HS451" i="1"/>
  <c r="HT451" i="1" s="1"/>
  <c r="HS453" i="1"/>
  <c r="HT453" i="1" s="1"/>
  <c r="HS455" i="1"/>
  <c r="HT455" i="1" s="1"/>
  <c r="HS457" i="1"/>
  <c r="HT457" i="1" s="1"/>
  <c r="HS459" i="1"/>
  <c r="HT459" i="1" s="1"/>
  <c r="HS461" i="1"/>
  <c r="HT461" i="1" s="1"/>
  <c r="HS463" i="1"/>
  <c r="HT463" i="1" s="1"/>
  <c r="HS465" i="1"/>
  <c r="HT465" i="1" s="1"/>
  <c r="HS467" i="1"/>
  <c r="HT467" i="1" s="1"/>
  <c r="HS469" i="1"/>
  <c r="HT469" i="1" s="1"/>
  <c r="HS200" i="1"/>
  <c r="HT200" i="1" s="1"/>
  <c r="HS208" i="1"/>
  <c r="HT208" i="1" s="1"/>
  <c r="HS216" i="1"/>
  <c r="HT216" i="1" s="1"/>
  <c r="HS224" i="1"/>
  <c r="HT224" i="1" s="1"/>
  <c r="HS232" i="1"/>
  <c r="HT232" i="1" s="1"/>
  <c r="HS240" i="1"/>
  <c r="HT240" i="1" s="1"/>
  <c r="HS248" i="1"/>
  <c r="HT248" i="1" s="1"/>
  <c r="HS256" i="1"/>
  <c r="HT256" i="1" s="1"/>
  <c r="HS264" i="1"/>
  <c r="HT264" i="1" s="1"/>
  <c r="HS274" i="1"/>
  <c r="HT274" i="1" s="1"/>
  <c r="HS282" i="1"/>
  <c r="HT282" i="1" s="1"/>
  <c r="HS290" i="1"/>
  <c r="HT290" i="1" s="1"/>
  <c r="HS298" i="1"/>
  <c r="HT298" i="1" s="1"/>
  <c r="HS306" i="1"/>
  <c r="HT306" i="1" s="1"/>
  <c r="HS314" i="1"/>
  <c r="HT314" i="1" s="1"/>
  <c r="HS322" i="1"/>
  <c r="HT322" i="1" s="1"/>
  <c r="HS330" i="1"/>
  <c r="HT330" i="1" s="1"/>
  <c r="HS334" i="1"/>
  <c r="HT334" i="1" s="1"/>
  <c r="HS342" i="1"/>
  <c r="HT342" i="1" s="1"/>
  <c r="HS350" i="1"/>
  <c r="HT350" i="1" s="1"/>
  <c r="HS358" i="1"/>
  <c r="HT358" i="1" s="1"/>
  <c r="HS366" i="1"/>
  <c r="HT366" i="1" s="1"/>
  <c r="HS374" i="1"/>
  <c r="HT374" i="1" s="1"/>
  <c r="HS382" i="1"/>
  <c r="HT382" i="1" s="1"/>
  <c r="HS390" i="1"/>
  <c r="HT390" i="1" s="1"/>
  <c r="HS398" i="1"/>
  <c r="HT398" i="1" s="1"/>
  <c r="HS406" i="1"/>
  <c r="HT406" i="1" s="1"/>
  <c r="HS414" i="1"/>
  <c r="HT414" i="1" s="1"/>
  <c r="HS422" i="1"/>
  <c r="HT422" i="1" s="1"/>
  <c r="HS430" i="1"/>
  <c r="HT430" i="1" s="1"/>
  <c r="HS438" i="1"/>
  <c r="HT438" i="1" s="1"/>
  <c r="HS446" i="1"/>
  <c r="HT446" i="1" s="1"/>
  <c r="HS454" i="1"/>
  <c r="HT454" i="1" s="1"/>
  <c r="HS462" i="1"/>
  <c r="HT462" i="1" s="1"/>
  <c r="HS198" i="1"/>
  <c r="HT198" i="1" s="1"/>
  <c r="HS206" i="1"/>
  <c r="HT206" i="1" s="1"/>
  <c r="HS214" i="1"/>
  <c r="HT214" i="1" s="1"/>
  <c r="HS222" i="1"/>
  <c r="HT222" i="1" s="1"/>
  <c r="HS230" i="1"/>
  <c r="HT230" i="1" s="1"/>
  <c r="HS238" i="1"/>
  <c r="HT238" i="1" s="1"/>
  <c r="HS246" i="1"/>
  <c r="HT246" i="1" s="1"/>
  <c r="HS254" i="1"/>
  <c r="HT254" i="1" s="1"/>
  <c r="HS262" i="1"/>
  <c r="HT262" i="1" s="1"/>
  <c r="HS272" i="1"/>
  <c r="HT272" i="1" s="1"/>
  <c r="HS280" i="1"/>
  <c r="HT280" i="1" s="1"/>
  <c r="HS288" i="1"/>
  <c r="HT288" i="1" s="1"/>
  <c r="HS296" i="1"/>
  <c r="HT296" i="1" s="1"/>
  <c r="HS304" i="1"/>
  <c r="HT304" i="1" s="1"/>
  <c r="HS312" i="1"/>
  <c r="HT312" i="1" s="1"/>
  <c r="HS320" i="1"/>
  <c r="HT320" i="1" s="1"/>
  <c r="HS328" i="1"/>
  <c r="HT328" i="1" s="1"/>
  <c r="HS332" i="1"/>
  <c r="HT332" i="1" s="1"/>
  <c r="HS340" i="1"/>
  <c r="HT340" i="1" s="1"/>
  <c r="HS348" i="1"/>
  <c r="HT348" i="1" s="1"/>
  <c r="HS356" i="1"/>
  <c r="HT356" i="1" s="1"/>
  <c r="HS364" i="1"/>
  <c r="HT364" i="1" s="1"/>
  <c r="HS372" i="1"/>
  <c r="HT372" i="1" s="1"/>
  <c r="HS380" i="1"/>
  <c r="HT380" i="1" s="1"/>
  <c r="HS388" i="1"/>
  <c r="HT388" i="1" s="1"/>
  <c r="HS396" i="1"/>
  <c r="HT396" i="1" s="1"/>
  <c r="HS404" i="1"/>
  <c r="HT404" i="1" s="1"/>
  <c r="HS412" i="1"/>
  <c r="HT412" i="1" s="1"/>
  <c r="HS420" i="1"/>
  <c r="HT420" i="1" s="1"/>
  <c r="HS428" i="1"/>
  <c r="HT428" i="1" s="1"/>
  <c r="HS436" i="1"/>
  <c r="HT436" i="1" s="1"/>
  <c r="HS444" i="1"/>
  <c r="HT444" i="1" s="1"/>
  <c r="HS452" i="1"/>
  <c r="HT452" i="1" s="1"/>
  <c r="HS460" i="1"/>
  <c r="HT460" i="1" s="1"/>
  <c r="HS468" i="1"/>
  <c r="HT468" i="1" s="1"/>
  <c r="HS470" i="1"/>
  <c r="HT470" i="1" s="1"/>
  <c r="HS472" i="1"/>
  <c r="HT472" i="1" s="1"/>
  <c r="HS474" i="1"/>
  <c r="HT474" i="1" s="1"/>
  <c r="HS476" i="1"/>
  <c r="HT476" i="1" s="1"/>
  <c r="HS478" i="1"/>
  <c r="HT478" i="1" s="1"/>
  <c r="HS480" i="1"/>
  <c r="HT480" i="1" s="1"/>
  <c r="HS482" i="1"/>
  <c r="HT482" i="1" s="1"/>
  <c r="HS484" i="1"/>
  <c r="HT484" i="1" s="1"/>
  <c r="HS486" i="1"/>
  <c r="HT486" i="1" s="1"/>
  <c r="HS488" i="1"/>
  <c r="HT488" i="1" s="1"/>
  <c r="HS490" i="1"/>
  <c r="HT490" i="1" s="1"/>
  <c r="HS492" i="1"/>
  <c r="HT492" i="1" s="1"/>
  <c r="HS494" i="1"/>
  <c r="HT494" i="1" s="1"/>
  <c r="HS496" i="1"/>
  <c r="HT496" i="1" s="1"/>
  <c r="HS498" i="1"/>
  <c r="HT498" i="1" s="1"/>
  <c r="HS500" i="1"/>
  <c r="HT500" i="1" s="1"/>
  <c r="HS502" i="1"/>
  <c r="HT502" i="1" s="1"/>
  <c r="HS504" i="1"/>
  <c r="HT504" i="1" s="1"/>
  <c r="HS196" i="1"/>
  <c r="HT196" i="1" s="1"/>
  <c r="HS204" i="1"/>
  <c r="HT204" i="1" s="1"/>
  <c r="HS212" i="1"/>
  <c r="HT212" i="1" s="1"/>
  <c r="HS220" i="1"/>
  <c r="HT220" i="1" s="1"/>
  <c r="HS228" i="1"/>
  <c r="HT228" i="1" s="1"/>
  <c r="HS236" i="1"/>
  <c r="HT236" i="1" s="1"/>
  <c r="HS244" i="1"/>
  <c r="HT244" i="1" s="1"/>
  <c r="HS252" i="1"/>
  <c r="HT252" i="1" s="1"/>
  <c r="HS260" i="1"/>
  <c r="HT260" i="1" s="1"/>
  <c r="HS270" i="1"/>
  <c r="HT270" i="1" s="1"/>
  <c r="HS278" i="1"/>
  <c r="HT278" i="1" s="1"/>
  <c r="HS286" i="1"/>
  <c r="HT286" i="1" s="1"/>
  <c r="HS294" i="1"/>
  <c r="HT294" i="1" s="1"/>
  <c r="HS302" i="1"/>
  <c r="HT302" i="1" s="1"/>
  <c r="HS310" i="1"/>
  <c r="HT310" i="1" s="1"/>
  <c r="HS193" i="1"/>
  <c r="HT193" i="1" s="1"/>
  <c r="HS202" i="1"/>
  <c r="HT202" i="1" s="1"/>
  <c r="HS234" i="1"/>
  <c r="HT234" i="1" s="1"/>
  <c r="HS266" i="1"/>
  <c r="HT266" i="1" s="1"/>
  <c r="HS284" i="1"/>
  <c r="HT284" i="1" s="1"/>
  <c r="HS316" i="1"/>
  <c r="HT316" i="1" s="1"/>
  <c r="HS326" i="1"/>
  <c r="HT326" i="1" s="1"/>
  <c r="HS473" i="1"/>
  <c r="HT473" i="1" s="1"/>
  <c r="HS481" i="1"/>
  <c r="HT481" i="1" s="1"/>
  <c r="HS210" i="1"/>
  <c r="HT210" i="1" s="1"/>
  <c r="HS242" i="1"/>
  <c r="HT242" i="1" s="1"/>
  <c r="HS292" i="1"/>
  <c r="HT292" i="1" s="1"/>
  <c r="HS336" i="1"/>
  <c r="HT336" i="1" s="1"/>
  <c r="HS346" i="1"/>
  <c r="HT346" i="1" s="1"/>
  <c r="HS352" i="1"/>
  <c r="HT352" i="1" s="1"/>
  <c r="HS362" i="1"/>
  <c r="HT362" i="1" s="1"/>
  <c r="HS368" i="1"/>
  <c r="HT368" i="1" s="1"/>
  <c r="HS378" i="1"/>
  <c r="HT378" i="1" s="1"/>
  <c r="HS384" i="1"/>
  <c r="HT384" i="1" s="1"/>
  <c r="HS394" i="1"/>
  <c r="HT394" i="1" s="1"/>
  <c r="HS400" i="1"/>
  <c r="HT400" i="1" s="1"/>
  <c r="HS410" i="1"/>
  <c r="HT410" i="1" s="1"/>
  <c r="HS416" i="1"/>
  <c r="HT416" i="1" s="1"/>
  <c r="HS426" i="1"/>
  <c r="HT426" i="1" s="1"/>
  <c r="HS432" i="1"/>
  <c r="HT432" i="1" s="1"/>
  <c r="HS442" i="1"/>
  <c r="HT442" i="1" s="1"/>
  <c r="HS448" i="1"/>
  <c r="HT448" i="1" s="1"/>
  <c r="HS458" i="1"/>
  <c r="HT458" i="1" s="1"/>
  <c r="HS464" i="1"/>
  <c r="HT464" i="1" s="1"/>
  <c r="HS194" i="1"/>
  <c r="HT194" i="1" s="1"/>
  <c r="HS226" i="1"/>
  <c r="HT226" i="1" s="1"/>
  <c r="HS258" i="1"/>
  <c r="HT258" i="1" s="1"/>
  <c r="HS276" i="1"/>
  <c r="HT276" i="1" s="1"/>
  <c r="HS308" i="1"/>
  <c r="HT308" i="1" s="1"/>
  <c r="HS324" i="1"/>
  <c r="HT324" i="1" s="1"/>
  <c r="HS338" i="1"/>
  <c r="HT338" i="1" s="1"/>
  <c r="HS344" i="1"/>
  <c r="HT344" i="1" s="1"/>
  <c r="HS354" i="1"/>
  <c r="HT354" i="1" s="1"/>
  <c r="HS360" i="1"/>
  <c r="HT360" i="1" s="1"/>
  <c r="HS370" i="1"/>
  <c r="HT370" i="1" s="1"/>
  <c r="HS376" i="1"/>
  <c r="HT376" i="1" s="1"/>
  <c r="HS386" i="1"/>
  <c r="HT386" i="1" s="1"/>
  <c r="HS392" i="1"/>
  <c r="HT392" i="1" s="1"/>
  <c r="HS402" i="1"/>
  <c r="HT402" i="1" s="1"/>
  <c r="HS408" i="1"/>
  <c r="HT408" i="1" s="1"/>
  <c r="HS418" i="1"/>
  <c r="HT418" i="1" s="1"/>
  <c r="HS424" i="1"/>
  <c r="HT424" i="1" s="1"/>
  <c r="HS434" i="1"/>
  <c r="HT434" i="1" s="1"/>
  <c r="HS440" i="1"/>
  <c r="HT440" i="1" s="1"/>
  <c r="HS450" i="1"/>
  <c r="HT450" i="1" s="1"/>
  <c r="HS456" i="1"/>
  <c r="HT456" i="1" s="1"/>
  <c r="HS466" i="1"/>
  <c r="HT466" i="1" s="1"/>
  <c r="HS475" i="1"/>
  <c r="HT475" i="1" s="1"/>
  <c r="HS268" i="1"/>
  <c r="HT268" i="1" s="1"/>
  <c r="HS471" i="1"/>
  <c r="HT471" i="1" s="1"/>
  <c r="HS485" i="1"/>
  <c r="HT485" i="1" s="1"/>
  <c r="HS493" i="1"/>
  <c r="HT493" i="1" s="1"/>
  <c r="HS501" i="1"/>
  <c r="HT501" i="1" s="1"/>
  <c r="HS300" i="1"/>
  <c r="HT300" i="1" s="1"/>
  <c r="HS318" i="1"/>
  <c r="HT318" i="1" s="1"/>
  <c r="HS477" i="1"/>
  <c r="HT477" i="1" s="1"/>
  <c r="HS483" i="1"/>
  <c r="HT483" i="1" s="1"/>
  <c r="HS491" i="1"/>
  <c r="HT491" i="1" s="1"/>
  <c r="HS499" i="1"/>
  <c r="HT499" i="1" s="1"/>
  <c r="HS28" i="1"/>
  <c r="HT28" i="1" s="1"/>
  <c r="HS250" i="1"/>
  <c r="HT250" i="1" s="1"/>
  <c r="HS487" i="1"/>
  <c r="HT487" i="1" s="1"/>
  <c r="HS495" i="1"/>
  <c r="HT495" i="1" s="1"/>
  <c r="HS503" i="1"/>
  <c r="HT503" i="1" s="1"/>
  <c r="HS3" i="1"/>
  <c r="HT3" i="1" s="1"/>
  <c r="HS20" i="1"/>
  <c r="HT20" i="1" s="1"/>
  <c r="HS497" i="1"/>
  <c r="HT497" i="1" s="1"/>
  <c r="HS218" i="1"/>
  <c r="HT218" i="1" s="1"/>
  <c r="HS505" i="1"/>
  <c r="HT505" i="1" s="1"/>
  <c r="HS479" i="1"/>
  <c r="HT479" i="1" s="1"/>
  <c r="HS489" i="1"/>
  <c r="HT489" i="1" s="1"/>
  <c r="AV54" i="1"/>
  <c r="E93" i="1"/>
  <c r="AV44" i="1" s="1"/>
  <c r="AX38" i="1"/>
  <c r="Z58" i="6"/>
  <c r="AV53" i="1"/>
  <c r="E92" i="1"/>
  <c r="AV45" i="1" s="1"/>
  <c r="AX50" i="1"/>
  <c r="Z70" i="6"/>
  <c r="AQ33" i="1"/>
  <c r="N24" i="1" l="1"/>
  <c r="BT5" i="6" s="1"/>
  <c r="DW15" i="4"/>
  <c r="CY129" i="1" s="1"/>
  <c r="L24" i="1"/>
  <c r="BS5" i="6" s="1"/>
  <c r="AF34" i="1"/>
  <c r="AC48" i="1" s="1"/>
  <c r="AG34" i="1"/>
  <c r="AC44" i="1"/>
  <c r="AX83" i="1"/>
  <c r="Z103" i="6"/>
  <c r="AX61" i="1"/>
  <c r="Z81" i="6"/>
  <c r="II3" i="1"/>
  <c r="IF1" i="1" s="1"/>
  <c r="L46" i="1"/>
  <c r="AX72" i="1"/>
  <c r="Z92" i="6"/>
  <c r="M31" i="1"/>
  <c r="AX94" i="1"/>
  <c r="Z115" i="6" s="1"/>
  <c r="AX51" i="1"/>
  <c r="Z71" i="6"/>
  <c r="M29" i="6"/>
  <c r="AQ32" i="1"/>
  <c r="AX39" i="1"/>
  <c r="Z59" i="6"/>
  <c r="AC49" i="1" l="1"/>
  <c r="HH115" i="1" s="1"/>
  <c r="JC129" i="1"/>
  <c r="JA129" i="1"/>
  <c r="IZ129" i="1" s="1"/>
  <c r="DH129" i="1"/>
  <c r="DI129" i="1" s="1"/>
  <c r="DJ129" i="1"/>
  <c r="AC46" i="1"/>
  <c r="CZ134" i="1" s="1"/>
  <c r="AC47" i="1"/>
  <c r="HH10" i="1" s="1"/>
  <c r="HI10" i="1" s="1"/>
  <c r="BB63" i="1"/>
  <c r="BB62" i="1"/>
  <c r="BB60" i="1"/>
  <c r="BB59" i="1"/>
  <c r="BB58" i="1"/>
  <c r="IY129" i="1"/>
  <c r="DD129" i="1"/>
  <c r="DE129" i="1" s="1"/>
  <c r="IW129" i="1"/>
  <c r="IX129" i="1" s="1"/>
  <c r="DF129" i="1"/>
  <c r="DY15" i="4"/>
  <c r="CY131" i="1" s="1"/>
  <c r="DX15" i="4"/>
  <c r="CY130" i="1" s="1"/>
  <c r="HH18" i="1"/>
  <c r="HI18" i="1" s="1"/>
  <c r="HH23" i="1"/>
  <c r="HI23" i="1" s="1"/>
  <c r="HH20" i="1"/>
  <c r="HI20" i="1" s="1"/>
  <c r="HH24" i="1"/>
  <c r="HI24" i="1" s="1"/>
  <c r="HH19" i="1"/>
  <c r="HI19" i="1" s="1"/>
  <c r="HH21" i="1"/>
  <c r="HI21" i="1" s="1"/>
  <c r="HH25" i="1"/>
  <c r="HI25" i="1" s="1"/>
  <c r="Z82" i="6"/>
  <c r="AX62" i="1"/>
  <c r="AX73" i="1"/>
  <c r="Z93" i="6"/>
  <c r="N31" i="1"/>
  <c r="AX95" i="1"/>
  <c r="Z104" i="6"/>
  <c r="AX84" i="1"/>
  <c r="M27" i="6"/>
  <c r="AI32" i="1"/>
  <c r="U29" i="6"/>
  <c r="M30" i="6"/>
  <c r="AI51" i="6" s="1"/>
  <c r="Z72" i="6"/>
  <c r="AX52" i="1"/>
  <c r="AX40" i="1"/>
  <c r="Z60" i="6"/>
  <c r="HH101" i="1" l="1"/>
  <c r="HI101" i="1" s="1"/>
  <c r="DA101" i="1" s="1"/>
  <c r="HH66" i="1"/>
  <c r="HI66" i="1" s="1"/>
  <c r="HM66" i="1" s="1"/>
  <c r="HH108" i="1"/>
  <c r="HL108" i="1" s="1"/>
  <c r="HH86" i="1"/>
  <c r="HI86" i="1" s="1"/>
  <c r="HM86" i="1" s="1"/>
  <c r="HH6" i="1"/>
  <c r="HI6" i="1" s="1"/>
  <c r="HH39" i="1"/>
  <c r="HI39" i="1" s="1"/>
  <c r="HH40" i="1"/>
  <c r="HI40" i="1" s="1"/>
  <c r="HH76" i="1"/>
  <c r="HI76" i="1" s="1"/>
  <c r="DA76" i="1" s="1"/>
  <c r="HH81" i="1"/>
  <c r="HI81" i="1" s="1"/>
  <c r="HM81" i="1" s="1"/>
  <c r="HH75" i="1"/>
  <c r="HI75" i="1" s="1"/>
  <c r="DA75" i="1" s="1"/>
  <c r="HH114" i="1"/>
  <c r="HI114" i="1" s="1"/>
  <c r="HH41" i="1"/>
  <c r="HI41" i="1" s="1"/>
  <c r="HH47" i="1"/>
  <c r="CZ47" i="1" s="1"/>
  <c r="FH47" i="1" s="1"/>
  <c r="HH70" i="1"/>
  <c r="HI70" i="1" s="1"/>
  <c r="HM70" i="1" s="1"/>
  <c r="HH106" i="1"/>
  <c r="HI106" i="1" s="1"/>
  <c r="DA106" i="1" s="1"/>
  <c r="HH104" i="1"/>
  <c r="HI104" i="1" s="1"/>
  <c r="DA104" i="1" s="1"/>
  <c r="HH113" i="1"/>
  <c r="HI113" i="1" s="1"/>
  <c r="HH91" i="1"/>
  <c r="HI91" i="1" s="1"/>
  <c r="HM91" i="1" s="1"/>
  <c r="HH92" i="1"/>
  <c r="HI92" i="1" s="1"/>
  <c r="HM92" i="1" s="1"/>
  <c r="HH123" i="1"/>
  <c r="CZ123" i="1" s="1"/>
  <c r="HH17" i="1"/>
  <c r="HI17" i="1" s="1"/>
  <c r="JB129" i="1"/>
  <c r="HH38" i="1"/>
  <c r="HI38" i="1" s="1"/>
  <c r="HH55" i="1"/>
  <c r="HI55" i="1" s="1"/>
  <c r="DA55" i="1" s="1"/>
  <c r="HH100" i="1"/>
  <c r="HI100" i="1" s="1"/>
  <c r="DA100" i="1" s="1"/>
  <c r="HH105" i="1"/>
  <c r="HI105" i="1" s="1"/>
  <c r="DA105" i="1" s="1"/>
  <c r="HH82" i="1"/>
  <c r="HI82" i="1" s="1"/>
  <c r="HM82" i="1" s="1"/>
  <c r="BB64" i="1"/>
  <c r="DG129" i="1"/>
  <c r="HH31" i="1"/>
  <c r="HI31" i="1" s="1"/>
  <c r="HH37" i="1"/>
  <c r="HI37" i="1" s="1"/>
  <c r="HH36" i="1"/>
  <c r="HI36" i="1" s="1"/>
  <c r="HH35" i="1"/>
  <c r="HI35" i="1" s="1"/>
  <c r="HH34" i="1"/>
  <c r="HI34" i="1" s="1"/>
  <c r="HH22" i="1"/>
  <c r="HI22" i="1" s="1"/>
  <c r="HH58" i="1"/>
  <c r="HI58" i="1" s="1"/>
  <c r="HM58" i="1" s="1"/>
  <c r="HH59" i="1"/>
  <c r="HI59" i="1" s="1"/>
  <c r="HM59" i="1" s="1"/>
  <c r="HH49" i="1"/>
  <c r="HI49" i="1" s="1"/>
  <c r="DA49" i="1" s="1"/>
  <c r="HH94" i="1"/>
  <c r="HI94" i="1" s="1"/>
  <c r="HM94" i="1" s="1"/>
  <c r="HH103" i="1"/>
  <c r="HI103" i="1" s="1"/>
  <c r="HM103" i="1" s="1"/>
  <c r="HH57" i="1"/>
  <c r="HI57" i="1" s="1"/>
  <c r="DA57" i="1" s="1"/>
  <c r="HH98" i="1"/>
  <c r="HI98" i="1" s="1"/>
  <c r="DA98" i="1" s="1"/>
  <c r="HH95" i="1"/>
  <c r="HI95" i="1" s="1"/>
  <c r="DA95" i="1" s="1"/>
  <c r="HH56" i="1"/>
  <c r="HI56" i="1" s="1"/>
  <c r="HM56" i="1" s="1"/>
  <c r="HH51" i="1"/>
  <c r="HI51" i="1" s="1"/>
  <c r="HM51" i="1" s="1"/>
  <c r="HH65" i="1"/>
  <c r="HI65" i="1" s="1"/>
  <c r="DA65" i="1" s="1"/>
  <c r="HH80" i="1"/>
  <c r="HI80" i="1" s="1"/>
  <c r="DA80" i="1" s="1"/>
  <c r="HH60" i="1"/>
  <c r="HI60" i="1" s="1"/>
  <c r="HM60" i="1" s="1"/>
  <c r="HH90" i="1"/>
  <c r="HI90" i="1" s="1"/>
  <c r="DA90" i="1" s="1"/>
  <c r="DZ15" i="4"/>
  <c r="CY132" i="1" s="1"/>
  <c r="DD191" i="1" s="1"/>
  <c r="DC191" i="1" s="1"/>
  <c r="HH109" i="1"/>
  <c r="HI109" i="1" s="1"/>
  <c r="HH121" i="1"/>
  <c r="HI121" i="1" s="1"/>
  <c r="HH120" i="1"/>
  <c r="CZ120" i="1" s="1"/>
  <c r="HH122" i="1"/>
  <c r="HL122" i="1" s="1"/>
  <c r="HH27" i="1"/>
  <c r="HI27" i="1" s="1"/>
  <c r="HH33" i="1"/>
  <c r="HI33" i="1" s="1"/>
  <c r="HH48" i="1"/>
  <c r="HI48" i="1" s="1"/>
  <c r="DA48" i="1" s="1"/>
  <c r="HH32" i="1"/>
  <c r="HI32" i="1" s="1"/>
  <c r="HH46" i="1"/>
  <c r="HI46" i="1" s="1"/>
  <c r="DA46" i="1" s="1"/>
  <c r="HH30" i="1"/>
  <c r="HI30" i="1" s="1"/>
  <c r="HH78" i="1"/>
  <c r="HI78" i="1" s="1"/>
  <c r="HM78" i="1" s="1"/>
  <c r="HH83" i="1"/>
  <c r="HI83" i="1" s="1"/>
  <c r="DA83" i="1" s="1"/>
  <c r="HH77" i="1"/>
  <c r="HI77" i="1" s="1"/>
  <c r="HM77" i="1" s="1"/>
  <c r="HH63" i="1"/>
  <c r="HI63" i="1" s="1"/>
  <c r="HM63" i="1" s="1"/>
  <c r="HH52" i="1"/>
  <c r="HI52" i="1" s="1"/>
  <c r="HM52" i="1" s="1"/>
  <c r="HH69" i="1"/>
  <c r="HI69" i="1" s="1"/>
  <c r="HM69" i="1" s="1"/>
  <c r="HH72" i="1"/>
  <c r="HI72" i="1" s="1"/>
  <c r="DA72" i="1" s="1"/>
  <c r="HH84" i="1"/>
  <c r="HI84" i="1" s="1"/>
  <c r="HM84" i="1" s="1"/>
  <c r="HH73" i="1"/>
  <c r="HI73" i="1" s="1"/>
  <c r="HM73" i="1" s="1"/>
  <c r="HH67" i="1"/>
  <c r="HI67" i="1" s="1"/>
  <c r="DA67" i="1" s="1"/>
  <c r="HH50" i="1"/>
  <c r="HI50" i="1" s="1"/>
  <c r="DA50" i="1" s="1"/>
  <c r="HH53" i="1"/>
  <c r="HI53" i="1" s="1"/>
  <c r="DA53" i="1" s="1"/>
  <c r="HH85" i="1"/>
  <c r="HI85" i="1" s="1"/>
  <c r="DA85" i="1" s="1"/>
  <c r="HH64" i="1"/>
  <c r="HI64" i="1" s="1"/>
  <c r="DA64" i="1" s="1"/>
  <c r="JC130" i="1"/>
  <c r="JA130" i="1"/>
  <c r="JB130" i="1" s="1"/>
  <c r="DH130" i="1"/>
  <c r="DI130" i="1" s="1"/>
  <c r="DJ130" i="1"/>
  <c r="EK134" i="1"/>
  <c r="FL134" i="1"/>
  <c r="EI134" i="1"/>
  <c r="EH134" i="1" s="1"/>
  <c r="FJ134" i="1"/>
  <c r="FK134" i="1" s="1"/>
  <c r="HH110" i="1"/>
  <c r="HL110" i="1" s="1"/>
  <c r="HH118" i="1"/>
  <c r="HI118" i="1" s="1"/>
  <c r="HH112" i="1"/>
  <c r="HI112" i="1" s="1"/>
  <c r="HH119" i="1"/>
  <c r="CZ119" i="1" s="1"/>
  <c r="HH43" i="1"/>
  <c r="HI43" i="1" s="1"/>
  <c r="HH45" i="1"/>
  <c r="HI45" i="1" s="1"/>
  <c r="HH29" i="1"/>
  <c r="HI29" i="1" s="1"/>
  <c r="HH44" i="1"/>
  <c r="CZ44" i="1" s="1"/>
  <c r="HH28" i="1"/>
  <c r="HI28" i="1" s="1"/>
  <c r="HH42" i="1"/>
  <c r="HI42" i="1" s="1"/>
  <c r="HH26" i="1"/>
  <c r="HI26" i="1" s="1"/>
  <c r="HH71" i="1"/>
  <c r="HI71" i="1" s="1"/>
  <c r="HM71" i="1" s="1"/>
  <c r="HH89" i="1"/>
  <c r="HI89" i="1" s="1"/>
  <c r="HM89" i="1" s="1"/>
  <c r="HH99" i="1"/>
  <c r="HI99" i="1" s="1"/>
  <c r="HM99" i="1" s="1"/>
  <c r="HH93" i="1"/>
  <c r="HI93" i="1" s="1"/>
  <c r="DA93" i="1" s="1"/>
  <c r="HH79" i="1"/>
  <c r="HI79" i="1" s="1"/>
  <c r="DA79" i="1" s="1"/>
  <c r="HH68" i="1"/>
  <c r="HI68" i="1" s="1"/>
  <c r="HM68" i="1" s="1"/>
  <c r="HH54" i="1"/>
  <c r="HI54" i="1" s="1"/>
  <c r="DA54" i="1" s="1"/>
  <c r="HH88" i="1"/>
  <c r="HI88" i="1" s="1"/>
  <c r="DA88" i="1" s="1"/>
  <c r="HH102" i="1"/>
  <c r="HI102" i="1" s="1"/>
  <c r="HM102" i="1" s="1"/>
  <c r="HH97" i="1"/>
  <c r="HI97" i="1" s="1"/>
  <c r="HM97" i="1" s="1"/>
  <c r="HH87" i="1"/>
  <c r="HI87" i="1" s="1"/>
  <c r="DA87" i="1" s="1"/>
  <c r="HH62" i="1"/>
  <c r="HI62" i="1" s="1"/>
  <c r="DA62" i="1" s="1"/>
  <c r="HH61" i="1"/>
  <c r="HI61" i="1" s="1"/>
  <c r="DA61" i="1" s="1"/>
  <c r="HH74" i="1"/>
  <c r="HI74" i="1" s="1"/>
  <c r="DA74" i="1" s="1"/>
  <c r="HH96" i="1"/>
  <c r="HI96" i="1" s="1"/>
  <c r="DA96" i="1" s="1"/>
  <c r="JC131" i="1"/>
  <c r="JA131" i="1"/>
  <c r="JB131" i="1" s="1"/>
  <c r="DH131" i="1"/>
  <c r="DI131" i="1" s="1"/>
  <c r="DJ131" i="1"/>
  <c r="HH111" i="1"/>
  <c r="CZ111" i="1" s="1"/>
  <c r="HH107" i="1"/>
  <c r="HI107" i="1" s="1"/>
  <c r="HH116" i="1"/>
  <c r="CZ116" i="1" s="1"/>
  <c r="HH117" i="1"/>
  <c r="HI117" i="1" s="1"/>
  <c r="HI115" i="1"/>
  <c r="CZ115" i="1"/>
  <c r="HL115" i="1"/>
  <c r="CZ127" i="1"/>
  <c r="EG127" i="1" s="1"/>
  <c r="HH4" i="1"/>
  <c r="HI4" i="1" s="1"/>
  <c r="CZ132" i="1"/>
  <c r="CZ128" i="1"/>
  <c r="CZ130" i="1"/>
  <c r="CZ131" i="1"/>
  <c r="CZ129" i="1"/>
  <c r="HH5" i="1"/>
  <c r="HI5" i="1" s="1"/>
  <c r="BB56" i="1"/>
  <c r="CO125" i="1" s="1"/>
  <c r="BB55" i="1"/>
  <c r="CO127" i="1" s="1"/>
  <c r="DW1" i="4"/>
  <c r="CZ126" i="1"/>
  <c r="AC50" i="1"/>
  <c r="HI3" i="1" s="1"/>
  <c r="HH16" i="1"/>
  <c r="HI16" i="1" s="1"/>
  <c r="HH14" i="1"/>
  <c r="HI14" i="1" s="1"/>
  <c r="HH15" i="1"/>
  <c r="HI15" i="1" s="1"/>
  <c r="HH13" i="1"/>
  <c r="HI13" i="1" s="1"/>
  <c r="HH8" i="1"/>
  <c r="HI8" i="1" s="1"/>
  <c r="CZ133" i="1"/>
  <c r="HH9" i="1"/>
  <c r="HI9" i="1" s="1"/>
  <c r="HH11" i="1"/>
  <c r="HI11" i="1" s="1"/>
  <c r="HH7" i="1"/>
  <c r="HI7" i="1" s="1"/>
  <c r="DA7" i="1" s="1"/>
  <c r="HH12" i="1"/>
  <c r="HI12" i="1" s="1"/>
  <c r="FF134" i="1"/>
  <c r="FG134" i="1" s="1"/>
  <c r="EE134" i="1"/>
  <c r="EF134" i="1" s="1"/>
  <c r="FH134" i="1"/>
  <c r="EG134" i="1"/>
  <c r="DC129" i="1"/>
  <c r="IY130" i="1"/>
  <c r="DD130" i="1"/>
  <c r="DC130" i="1" s="1"/>
  <c r="DF130" i="1"/>
  <c r="IW130" i="1"/>
  <c r="IV130" i="1" s="1"/>
  <c r="IW131" i="1"/>
  <c r="IV131" i="1" s="1"/>
  <c r="DF131" i="1"/>
  <c r="IY131" i="1"/>
  <c r="DD131" i="1"/>
  <c r="DC131" i="1" s="1"/>
  <c r="IV129" i="1"/>
  <c r="CZ101" i="1"/>
  <c r="Z105" i="6"/>
  <c r="AX85" i="1"/>
  <c r="AX74" i="1"/>
  <c r="Z94" i="6"/>
  <c r="Z116" i="6"/>
  <c r="AX96" i="1"/>
  <c r="AX63" i="1"/>
  <c r="Z83" i="6"/>
  <c r="O31" i="1"/>
  <c r="AX107" i="1"/>
  <c r="Z128" i="6" s="1"/>
  <c r="AX41" i="1"/>
  <c r="Z62" i="6" s="1"/>
  <c r="Z61" i="6"/>
  <c r="AX53" i="1"/>
  <c r="Z73" i="6"/>
  <c r="AF51" i="6"/>
  <c r="AG51" i="6"/>
  <c r="U27" i="6"/>
  <c r="M28" i="6"/>
  <c r="HM101" i="1" l="1"/>
  <c r="HL66" i="1"/>
  <c r="CZ108" i="1"/>
  <c r="FJ108" i="1" s="1"/>
  <c r="FI108" i="1" s="1"/>
  <c r="HL80" i="1"/>
  <c r="CZ53" i="1"/>
  <c r="EK53" i="1" s="1"/>
  <c r="CZ54" i="1"/>
  <c r="FL54" i="1" s="1"/>
  <c r="HI108" i="1"/>
  <c r="DA108" i="1" s="1"/>
  <c r="HL118" i="1"/>
  <c r="HL56" i="1"/>
  <c r="HM96" i="1"/>
  <c r="HL101" i="1"/>
  <c r="HL86" i="1"/>
  <c r="DA86" i="1"/>
  <c r="GM86" i="1" s="1"/>
  <c r="DA66" i="1"/>
  <c r="GM66" i="1" s="1"/>
  <c r="CZ66" i="1"/>
  <c r="EK66" i="1" s="1"/>
  <c r="HL60" i="1"/>
  <c r="CZ96" i="1"/>
  <c r="FL96" i="1" s="1"/>
  <c r="HM55" i="1"/>
  <c r="HM93" i="1"/>
  <c r="HL75" i="1"/>
  <c r="HM75" i="1"/>
  <c r="DA51" i="1"/>
  <c r="GG51" i="1" s="1"/>
  <c r="DA81" i="1"/>
  <c r="GM81" i="1" s="1"/>
  <c r="CZ50" i="1"/>
  <c r="EI50" i="1" s="1"/>
  <c r="EH50" i="1" s="1"/>
  <c r="HI111" i="1"/>
  <c r="HM111" i="1" s="1"/>
  <c r="HL92" i="1"/>
  <c r="HL91" i="1"/>
  <c r="HL93" i="1"/>
  <c r="HL95" i="1"/>
  <c r="HM95" i="1"/>
  <c r="HM62" i="1"/>
  <c r="HL114" i="1"/>
  <c r="HL117" i="1"/>
  <c r="FI134" i="1"/>
  <c r="CZ88" i="1"/>
  <c r="FL88" i="1" s="1"/>
  <c r="HM50" i="1"/>
  <c r="CZ114" i="1"/>
  <c r="EI114" i="1" s="1"/>
  <c r="EJ114" i="1" s="1"/>
  <c r="CZ92" i="1"/>
  <c r="EI92" i="1" s="1"/>
  <c r="EJ92" i="1" s="1"/>
  <c r="DA94" i="1"/>
  <c r="GM94" i="1" s="1"/>
  <c r="HM106" i="1"/>
  <c r="DA70" i="1"/>
  <c r="GM70" i="1" s="1"/>
  <c r="CZ46" i="1"/>
  <c r="FF46" i="1" s="1"/>
  <c r="FG46" i="1" s="1"/>
  <c r="HM87" i="1"/>
  <c r="HL112" i="1"/>
  <c r="CZ100" i="1"/>
  <c r="FF100" i="1" s="1"/>
  <c r="FG100" i="1" s="1"/>
  <c r="DA59" i="1"/>
  <c r="GK59" i="1" s="1"/>
  <c r="GJ59" i="1" s="1"/>
  <c r="HM48" i="1"/>
  <c r="DA89" i="1"/>
  <c r="GM89" i="1" s="1"/>
  <c r="HI120" i="1"/>
  <c r="DA120" i="1" s="1"/>
  <c r="HL63" i="1"/>
  <c r="CZ90" i="1"/>
  <c r="FL90" i="1" s="1"/>
  <c r="HL51" i="1"/>
  <c r="HL57" i="1"/>
  <c r="HM57" i="1"/>
  <c r="HM104" i="1"/>
  <c r="CZ121" i="1"/>
  <c r="EI121" i="1" s="1"/>
  <c r="EH121" i="1" s="1"/>
  <c r="HL78" i="1"/>
  <c r="HL90" i="1"/>
  <c r="CZ51" i="1"/>
  <c r="EI51" i="1" s="1"/>
  <c r="EJ51" i="1" s="1"/>
  <c r="CZ86" i="1"/>
  <c r="EK86" i="1" s="1"/>
  <c r="HM100" i="1"/>
  <c r="HM74" i="1"/>
  <c r="HM88" i="1"/>
  <c r="CZ109" i="1"/>
  <c r="FL109" i="1" s="1"/>
  <c r="CZ113" i="1"/>
  <c r="FF113" i="1" s="1"/>
  <c r="FG113" i="1" s="1"/>
  <c r="CZ112" i="1"/>
  <c r="FJ112" i="1" s="1"/>
  <c r="FK112" i="1" s="1"/>
  <c r="DA84" i="1"/>
  <c r="GK84" i="1" s="1"/>
  <c r="HL123" i="1"/>
  <c r="HL106" i="1"/>
  <c r="DA92" i="1"/>
  <c r="HL121" i="1"/>
  <c r="CZ84" i="1"/>
  <c r="EK84" i="1" s="1"/>
  <c r="CZ104" i="1"/>
  <c r="EK104" i="1" s="1"/>
  <c r="CZ62" i="1"/>
  <c r="DA58" i="1"/>
  <c r="GM58" i="1" s="1"/>
  <c r="DA82" i="1"/>
  <c r="GK82" i="1" s="1"/>
  <c r="GJ82" i="1" s="1"/>
  <c r="HI123" i="1"/>
  <c r="HL53" i="1"/>
  <c r="HL84" i="1"/>
  <c r="CZ106" i="1"/>
  <c r="EI106" i="1" s="1"/>
  <c r="EH106" i="1" s="1"/>
  <c r="CZ76" i="1"/>
  <c r="EI76" i="1" s="1"/>
  <c r="EH76" i="1" s="1"/>
  <c r="HL88" i="1"/>
  <c r="HL103" i="1"/>
  <c r="CZ55" i="1"/>
  <c r="EI55" i="1" s="1"/>
  <c r="EH55" i="1" s="1"/>
  <c r="DA56" i="1"/>
  <c r="GG56" i="1" s="1"/>
  <c r="DA103" i="1"/>
  <c r="GG103" i="1" s="1"/>
  <c r="CZ45" i="1"/>
  <c r="FL45" i="1" s="1"/>
  <c r="HM76" i="1"/>
  <c r="HM53" i="1"/>
  <c r="DA63" i="1"/>
  <c r="GG63" i="1" s="1"/>
  <c r="HL111" i="1"/>
  <c r="HI119" i="1"/>
  <c r="HM119" i="1" s="1"/>
  <c r="CZ75" i="1"/>
  <c r="CZ91" i="1"/>
  <c r="EG91" i="1" s="1"/>
  <c r="CZ70" i="1"/>
  <c r="FL70" i="1" s="1"/>
  <c r="HM64" i="1"/>
  <c r="HM83" i="1"/>
  <c r="CZ59" i="1"/>
  <c r="FF59" i="1" s="1"/>
  <c r="FG59" i="1" s="1"/>
  <c r="HL81" i="1"/>
  <c r="HL70" i="1"/>
  <c r="HM90" i="1"/>
  <c r="HI44" i="1"/>
  <c r="HM105" i="1"/>
  <c r="DA91" i="1"/>
  <c r="GM91" i="1" s="1"/>
  <c r="HI47" i="1"/>
  <c r="DA47" i="1" s="1"/>
  <c r="HL113" i="1"/>
  <c r="CZ85" i="1"/>
  <c r="EK85" i="1" s="1"/>
  <c r="CZ73" i="1"/>
  <c r="FJ73" i="1" s="1"/>
  <c r="FK73" i="1" s="1"/>
  <c r="CZ63" i="1"/>
  <c r="HL104" i="1"/>
  <c r="HL76" i="1"/>
  <c r="HL62" i="1"/>
  <c r="CZ93" i="1"/>
  <c r="CZ58" i="1"/>
  <c r="FL58" i="1" s="1"/>
  <c r="CZ81" i="1"/>
  <c r="FJ81" i="1" s="1"/>
  <c r="HL55" i="1"/>
  <c r="DA60" i="1"/>
  <c r="GI60" i="1" s="1"/>
  <c r="HI116" i="1"/>
  <c r="DA116" i="1" s="1"/>
  <c r="DG130" i="1"/>
  <c r="HL50" i="1"/>
  <c r="CZ72" i="1"/>
  <c r="EG72" i="1" s="1"/>
  <c r="CZ95" i="1"/>
  <c r="EK95" i="1" s="1"/>
  <c r="CZ94" i="1"/>
  <c r="FJ94" i="1" s="1"/>
  <c r="FK94" i="1" s="1"/>
  <c r="HL96" i="1"/>
  <c r="HL54" i="1"/>
  <c r="HM54" i="1"/>
  <c r="HM72" i="1"/>
  <c r="HL109" i="1"/>
  <c r="CZ118" i="1"/>
  <c r="HL72" i="1"/>
  <c r="HL77" i="1"/>
  <c r="HL94" i="1"/>
  <c r="CZ82" i="1"/>
  <c r="HL105" i="1"/>
  <c r="HL87" i="1"/>
  <c r="HL99" i="1"/>
  <c r="HM80" i="1"/>
  <c r="DA97" i="1"/>
  <c r="GM97" i="1" s="1"/>
  <c r="DA99" i="1"/>
  <c r="GK99" i="1" s="1"/>
  <c r="HM67" i="1"/>
  <c r="DA77" i="1"/>
  <c r="GM77" i="1" s="1"/>
  <c r="HL107" i="1"/>
  <c r="HL52" i="1"/>
  <c r="CZ77" i="1"/>
  <c r="FJ77" i="1" s="1"/>
  <c r="FK77" i="1" s="1"/>
  <c r="CZ80" i="1"/>
  <c r="CZ57" i="1"/>
  <c r="FJ57" i="1" s="1"/>
  <c r="HL59" i="1"/>
  <c r="HL82" i="1"/>
  <c r="CZ105" i="1"/>
  <c r="EI105" i="1" s="1"/>
  <c r="EJ105" i="1" s="1"/>
  <c r="HL100" i="1"/>
  <c r="CZ87" i="1"/>
  <c r="FJ87" i="1" s="1"/>
  <c r="CZ99" i="1"/>
  <c r="FL99" i="1" s="1"/>
  <c r="DA68" i="1"/>
  <c r="GK68" i="1" s="1"/>
  <c r="GJ68" i="1" s="1"/>
  <c r="DA69" i="1"/>
  <c r="GG69" i="1" s="1"/>
  <c r="CZ107" i="1"/>
  <c r="EK107" i="1" s="1"/>
  <c r="CZ110" i="1"/>
  <c r="FL110" i="1" s="1"/>
  <c r="HL116" i="1"/>
  <c r="CZ122" i="1"/>
  <c r="DG131" i="1"/>
  <c r="GM74" i="1"/>
  <c r="GK74" i="1"/>
  <c r="GL74" i="1" s="1"/>
  <c r="GK64" i="1"/>
  <c r="GM64" i="1"/>
  <c r="GM67" i="1"/>
  <c r="GK67" i="1"/>
  <c r="GL67" i="1" s="1"/>
  <c r="GM83" i="1"/>
  <c r="GK83" i="1"/>
  <c r="GL83" i="1" s="1"/>
  <c r="GM65" i="1"/>
  <c r="GK65" i="1"/>
  <c r="GL65" i="1" s="1"/>
  <c r="GM98" i="1"/>
  <c r="GK98" i="1"/>
  <c r="GL98" i="1" s="1"/>
  <c r="GM49" i="1"/>
  <c r="GK49" i="1"/>
  <c r="GL49" i="1" s="1"/>
  <c r="GK61" i="1"/>
  <c r="GL61" i="1" s="1"/>
  <c r="GM61" i="1"/>
  <c r="GM79" i="1"/>
  <c r="GK79" i="1"/>
  <c r="GL79" i="1" s="1"/>
  <c r="EK119" i="1"/>
  <c r="FL119" i="1"/>
  <c r="EI119" i="1"/>
  <c r="EJ119" i="1" s="1"/>
  <c r="FJ119" i="1"/>
  <c r="FI119" i="1" s="1"/>
  <c r="GK85" i="1"/>
  <c r="GL85" i="1" s="1"/>
  <c r="GM85" i="1"/>
  <c r="EK120" i="1"/>
  <c r="FL120" i="1"/>
  <c r="EI120" i="1"/>
  <c r="EH120" i="1" s="1"/>
  <c r="FJ120" i="1"/>
  <c r="FI120" i="1" s="1"/>
  <c r="EK116" i="1"/>
  <c r="FL116" i="1"/>
  <c r="EI116" i="1"/>
  <c r="EH116" i="1" s="1"/>
  <c r="FJ116" i="1"/>
  <c r="FI116" i="1" s="1"/>
  <c r="GM90" i="1"/>
  <c r="GK90" i="1"/>
  <c r="GL90" i="1" s="1"/>
  <c r="GM95" i="1"/>
  <c r="GK95" i="1"/>
  <c r="GL95" i="1" s="1"/>
  <c r="GM62" i="1"/>
  <c r="GK62" i="1"/>
  <c r="GL62" i="1" s="1"/>
  <c r="GK88" i="1"/>
  <c r="GL88" i="1" s="1"/>
  <c r="GM88" i="1"/>
  <c r="FF130" i="1"/>
  <c r="FE130" i="1" s="1"/>
  <c r="EI130" i="1"/>
  <c r="EJ130" i="1" s="1"/>
  <c r="FJ130" i="1"/>
  <c r="FI130" i="1" s="1"/>
  <c r="EK130" i="1"/>
  <c r="FL130" i="1"/>
  <c r="FH127" i="1"/>
  <c r="EI127" i="1"/>
  <c r="EJ127" i="1" s="1"/>
  <c r="FL127" i="1"/>
  <c r="FJ127" i="1"/>
  <c r="FK127" i="1" s="1"/>
  <c r="EK127" i="1"/>
  <c r="EH127" i="1"/>
  <c r="EK111" i="1"/>
  <c r="FL111" i="1"/>
  <c r="FJ111" i="1"/>
  <c r="FI111" i="1" s="1"/>
  <c r="EI111" i="1"/>
  <c r="EH111" i="1" s="1"/>
  <c r="JC132" i="1"/>
  <c r="JA132" i="1"/>
  <c r="JB132" i="1" s="1"/>
  <c r="DJ191" i="1"/>
  <c r="DH191" i="1"/>
  <c r="DI191" i="1" s="1"/>
  <c r="DJ132" i="1"/>
  <c r="DH132" i="1"/>
  <c r="DI132" i="1" s="1"/>
  <c r="EH130" i="1"/>
  <c r="CZ64" i="1"/>
  <c r="FF64" i="1" s="1"/>
  <c r="FE64" i="1" s="1"/>
  <c r="HL67" i="1"/>
  <c r="HL69" i="1"/>
  <c r="HL83" i="1"/>
  <c r="EK101" i="1"/>
  <c r="FL101" i="1"/>
  <c r="EI101" i="1"/>
  <c r="EJ101" i="1" s="1"/>
  <c r="FJ101" i="1"/>
  <c r="FK101" i="1" s="1"/>
  <c r="IY132" i="1"/>
  <c r="DF132" i="1"/>
  <c r="GK80" i="1"/>
  <c r="GM80" i="1"/>
  <c r="GK57" i="1"/>
  <c r="GL57" i="1" s="1"/>
  <c r="GM57" i="1"/>
  <c r="EG44" i="1"/>
  <c r="EI44" i="1"/>
  <c r="EJ44" i="1" s="1"/>
  <c r="FL44" i="1"/>
  <c r="EK44" i="1"/>
  <c r="FJ44" i="1"/>
  <c r="FK44" i="1" s="1"/>
  <c r="GK104" i="1"/>
  <c r="GJ104" i="1" s="1"/>
  <c r="GM104" i="1"/>
  <c r="GK75" i="1"/>
  <c r="GJ75" i="1" s="1"/>
  <c r="GM75" i="1"/>
  <c r="GK106" i="1"/>
  <c r="GL106" i="1" s="1"/>
  <c r="GM106" i="1"/>
  <c r="GK76" i="1"/>
  <c r="GJ76" i="1" s="1"/>
  <c r="GM76" i="1"/>
  <c r="GK101" i="1"/>
  <c r="GJ101" i="1" s="1"/>
  <c r="GM101" i="1"/>
  <c r="GK48" i="1"/>
  <c r="GJ48" i="1" s="1"/>
  <c r="GM48" i="1"/>
  <c r="GK93" i="1"/>
  <c r="GJ93" i="1" s="1"/>
  <c r="GM93" i="1"/>
  <c r="GK53" i="1"/>
  <c r="GJ53" i="1" s="1"/>
  <c r="GM53" i="1"/>
  <c r="EG47" i="1"/>
  <c r="EK47" i="1"/>
  <c r="FJ47" i="1"/>
  <c r="FI47" i="1" s="1"/>
  <c r="FL47" i="1"/>
  <c r="EI47" i="1"/>
  <c r="EH47" i="1" s="1"/>
  <c r="FH126" i="1"/>
  <c r="EK126" i="1"/>
  <c r="EI126" i="1"/>
  <c r="FJ126" i="1"/>
  <c r="FI126" i="1" s="1"/>
  <c r="FL126" i="1"/>
  <c r="FH128" i="1"/>
  <c r="FL128" i="1"/>
  <c r="FJ128" i="1"/>
  <c r="FK128" i="1" s="1"/>
  <c r="EI128" i="1"/>
  <c r="EJ128" i="1" s="1"/>
  <c r="EK128" i="1"/>
  <c r="HI110" i="1"/>
  <c r="HM110" i="1" s="1"/>
  <c r="EK123" i="1"/>
  <c r="FL123" i="1"/>
  <c r="EI123" i="1"/>
  <c r="EJ123" i="1" s="1"/>
  <c r="FJ123" i="1"/>
  <c r="FI123" i="1" s="1"/>
  <c r="CZ117" i="1"/>
  <c r="FH117" i="1" s="1"/>
  <c r="HI122" i="1"/>
  <c r="HM122" i="1" s="1"/>
  <c r="IZ131" i="1"/>
  <c r="IZ130" i="1"/>
  <c r="HL64" i="1"/>
  <c r="CZ67" i="1"/>
  <c r="FH67" i="1" s="1"/>
  <c r="CZ69" i="1"/>
  <c r="FH69" i="1" s="1"/>
  <c r="CZ83" i="1"/>
  <c r="FH83" i="1" s="1"/>
  <c r="CZ74" i="1"/>
  <c r="FH74" i="1" s="1"/>
  <c r="HL97" i="1"/>
  <c r="CZ68" i="1"/>
  <c r="EE68" i="1" s="1"/>
  <c r="ED68" i="1" s="1"/>
  <c r="HL71" i="1"/>
  <c r="HL65" i="1"/>
  <c r="CZ98" i="1"/>
  <c r="FF98" i="1" s="1"/>
  <c r="FE98" i="1" s="1"/>
  <c r="HL49" i="1"/>
  <c r="HL48" i="1"/>
  <c r="HL61" i="1"/>
  <c r="HL102" i="1"/>
  <c r="HL79" i="1"/>
  <c r="HL89" i="1"/>
  <c r="DD132" i="1"/>
  <c r="DE132" i="1" s="1"/>
  <c r="DF191" i="1"/>
  <c r="HM65" i="1"/>
  <c r="HM98" i="1"/>
  <c r="HM49" i="1"/>
  <c r="GK105" i="1"/>
  <c r="GL105" i="1" s="1"/>
  <c r="GM105" i="1"/>
  <c r="GK100" i="1"/>
  <c r="GL100" i="1" s="1"/>
  <c r="GM100" i="1"/>
  <c r="GM46" i="1"/>
  <c r="GK46" i="1"/>
  <c r="GK96" i="1"/>
  <c r="GL96" i="1" s="1"/>
  <c r="GM96" i="1"/>
  <c r="HM61" i="1"/>
  <c r="DA102" i="1"/>
  <c r="GI102" i="1" s="1"/>
  <c r="HM79" i="1"/>
  <c r="DA71" i="1"/>
  <c r="GG71" i="1" s="1"/>
  <c r="HM85" i="1"/>
  <c r="DA73" i="1"/>
  <c r="GG73" i="1" s="1"/>
  <c r="DA52" i="1"/>
  <c r="GI52" i="1" s="1"/>
  <c r="DA78" i="1"/>
  <c r="GI78" i="1" s="1"/>
  <c r="FH133" i="1"/>
  <c r="EK133" i="1"/>
  <c r="FL133" i="1"/>
  <c r="EI133" i="1"/>
  <c r="EH133" i="1" s="1"/>
  <c r="FJ133" i="1"/>
  <c r="FI133" i="1" s="1"/>
  <c r="EG129" i="1"/>
  <c r="FJ129" i="1"/>
  <c r="EK129" i="1"/>
  <c r="FL129" i="1"/>
  <c r="EI129" i="1"/>
  <c r="EE132" i="1"/>
  <c r="ED132" i="1" s="1"/>
  <c r="EK132" i="1"/>
  <c r="FJ132" i="1"/>
  <c r="EI132" i="1"/>
  <c r="EH132" i="1" s="1"/>
  <c r="FL132" i="1"/>
  <c r="EK115" i="1"/>
  <c r="FL115" i="1"/>
  <c r="EI115" i="1"/>
  <c r="FJ115" i="1"/>
  <c r="FI115" i="1" s="1"/>
  <c r="HL119" i="1"/>
  <c r="HL120" i="1"/>
  <c r="EJ134" i="1"/>
  <c r="HL85" i="1"/>
  <c r="HL73" i="1"/>
  <c r="CZ52" i="1"/>
  <c r="EE52" i="1" s="1"/>
  <c r="EF52" i="1" s="1"/>
  <c r="CZ78" i="1"/>
  <c r="HL74" i="1"/>
  <c r="CZ97" i="1"/>
  <c r="HL68" i="1"/>
  <c r="CZ71" i="1"/>
  <c r="CZ60" i="1"/>
  <c r="EG60" i="1" s="1"/>
  <c r="CZ65" i="1"/>
  <c r="EG65" i="1" s="1"/>
  <c r="CZ56" i="1"/>
  <c r="EE56" i="1" s="1"/>
  <c r="ED56" i="1" s="1"/>
  <c r="HL98" i="1"/>
  <c r="CZ103" i="1"/>
  <c r="FH103" i="1" s="1"/>
  <c r="CZ49" i="1"/>
  <c r="FF49" i="1" s="1"/>
  <c r="FE49" i="1" s="1"/>
  <c r="HL58" i="1"/>
  <c r="CZ48" i="1"/>
  <c r="EE48" i="1" s="1"/>
  <c r="EF48" i="1" s="1"/>
  <c r="CZ61" i="1"/>
  <c r="FF61" i="1" s="1"/>
  <c r="FG61" i="1" s="1"/>
  <c r="CZ102" i="1"/>
  <c r="FH102" i="1" s="1"/>
  <c r="CZ79" i="1"/>
  <c r="EE79" i="1" s="1"/>
  <c r="ED79" i="1" s="1"/>
  <c r="CZ89" i="1"/>
  <c r="FF89" i="1" s="1"/>
  <c r="FG89" i="1" s="1"/>
  <c r="IW132" i="1"/>
  <c r="IV132" i="1" s="1"/>
  <c r="GK55" i="1"/>
  <c r="GJ55" i="1" s="1"/>
  <c r="GM55" i="1"/>
  <c r="GK87" i="1"/>
  <c r="GM87" i="1"/>
  <c r="GM54" i="1"/>
  <c r="GK54" i="1"/>
  <c r="GM50" i="1"/>
  <c r="GK50" i="1"/>
  <c r="GJ50" i="1" s="1"/>
  <c r="GK72" i="1"/>
  <c r="GJ72" i="1" s="1"/>
  <c r="GM72" i="1"/>
  <c r="FH131" i="1"/>
  <c r="FJ131" i="1"/>
  <c r="FI131" i="1" s="1"/>
  <c r="FL131" i="1"/>
  <c r="EI131" i="1"/>
  <c r="EJ131" i="1" s="1"/>
  <c r="EK131" i="1"/>
  <c r="DA114" i="1"/>
  <c r="HM114" i="1"/>
  <c r="HM113" i="1"/>
  <c r="DA113" i="1"/>
  <c r="FH115" i="1"/>
  <c r="FF115" i="1"/>
  <c r="FE115" i="1" s="1"/>
  <c r="EG115" i="1"/>
  <c r="EE115" i="1"/>
  <c r="ED115" i="1" s="1"/>
  <c r="DA117" i="1"/>
  <c r="HM117" i="1"/>
  <c r="HM118" i="1"/>
  <c r="DA118" i="1"/>
  <c r="FH123" i="1"/>
  <c r="EE123" i="1"/>
  <c r="EF123" i="1" s="1"/>
  <c r="EG123" i="1"/>
  <c r="FF123" i="1"/>
  <c r="FE123" i="1" s="1"/>
  <c r="DA115" i="1"/>
  <c r="HM115" i="1"/>
  <c r="EE116" i="1"/>
  <c r="ED116" i="1" s="1"/>
  <c r="EG116" i="1"/>
  <c r="FF116" i="1"/>
  <c r="FE116" i="1" s="1"/>
  <c r="FH116" i="1"/>
  <c r="FH119" i="1"/>
  <c r="FF119" i="1"/>
  <c r="FE119" i="1" s="1"/>
  <c r="EE119" i="1"/>
  <c r="ED119" i="1" s="1"/>
  <c r="EG119" i="1"/>
  <c r="HM112" i="1"/>
  <c r="DA112" i="1"/>
  <c r="FH120" i="1"/>
  <c r="EE120" i="1"/>
  <c r="ED120" i="1" s="1"/>
  <c r="FF120" i="1"/>
  <c r="FE120" i="1" s="1"/>
  <c r="EG120" i="1"/>
  <c r="DA121" i="1"/>
  <c r="HM121" i="1"/>
  <c r="DA107" i="1"/>
  <c r="HM107" i="1"/>
  <c r="EE111" i="1"/>
  <c r="ED111" i="1" s="1"/>
  <c r="FF111" i="1"/>
  <c r="FG111" i="1" s="1"/>
  <c r="FH111" i="1"/>
  <c r="EG111" i="1"/>
  <c r="DA109" i="1"/>
  <c r="HM109" i="1"/>
  <c r="FF127" i="1"/>
  <c r="FE127" i="1" s="1"/>
  <c r="EE127" i="1"/>
  <c r="EF127" i="1" s="1"/>
  <c r="EE128" i="1"/>
  <c r="ED128" i="1" s="1"/>
  <c r="EG128" i="1"/>
  <c r="EE130" i="1"/>
  <c r="ED130" i="1" s="1"/>
  <c r="FH130" i="1"/>
  <c r="EG130" i="1"/>
  <c r="FF128" i="1"/>
  <c r="FG128" i="1" s="1"/>
  <c r="FF132" i="1"/>
  <c r="FE132" i="1" s="1"/>
  <c r="EG132" i="1"/>
  <c r="FH132" i="1"/>
  <c r="FF129" i="1"/>
  <c r="FE129" i="1" s="1"/>
  <c r="EG131" i="1"/>
  <c r="FH129" i="1"/>
  <c r="EE129" i="1"/>
  <c r="ED129" i="1" s="1"/>
  <c r="FF131" i="1"/>
  <c r="FG131" i="1" s="1"/>
  <c r="EE131" i="1"/>
  <c r="ED131" i="1" s="1"/>
  <c r="HL3" i="1"/>
  <c r="HN3" i="1" s="1"/>
  <c r="EE47" i="1"/>
  <c r="ED47" i="1" s="1"/>
  <c r="EE44" i="1"/>
  <c r="EF44" i="1" s="1"/>
  <c r="FF47" i="1"/>
  <c r="FG47" i="1" s="1"/>
  <c r="EE133" i="1"/>
  <c r="EF133" i="1" s="1"/>
  <c r="AQ41" i="1"/>
  <c r="AQ35" i="1" s="1"/>
  <c r="D103" i="1" s="1"/>
  <c r="EE126" i="1"/>
  <c r="ED126" i="1" s="1"/>
  <c r="EG126" i="1"/>
  <c r="FF126" i="1"/>
  <c r="B24" i="1"/>
  <c r="L16" i="1"/>
  <c r="AR38" i="6"/>
  <c r="AH36" i="6" s="1"/>
  <c r="FF133" i="1"/>
  <c r="EG133" i="1"/>
  <c r="FH44" i="1"/>
  <c r="FF44" i="1"/>
  <c r="FE44" i="1" s="1"/>
  <c r="ED134" i="1"/>
  <c r="GI55" i="1"/>
  <c r="GG55" i="1"/>
  <c r="GI61" i="1"/>
  <c r="GG61" i="1"/>
  <c r="GG87" i="1"/>
  <c r="GI87" i="1"/>
  <c r="GI54" i="1"/>
  <c r="GG54" i="1"/>
  <c r="GG79" i="1"/>
  <c r="GI79" i="1"/>
  <c r="FE134" i="1"/>
  <c r="GG65" i="1"/>
  <c r="GI65" i="1"/>
  <c r="GI98" i="1"/>
  <c r="GG98" i="1"/>
  <c r="GI49" i="1"/>
  <c r="GG49" i="1"/>
  <c r="GI62" i="1"/>
  <c r="GG62" i="1"/>
  <c r="GI88" i="1"/>
  <c r="GG88" i="1"/>
  <c r="GI85" i="1"/>
  <c r="GG85" i="1"/>
  <c r="GI50" i="1"/>
  <c r="GG50" i="1"/>
  <c r="GI72" i="1"/>
  <c r="GG72" i="1"/>
  <c r="GG90" i="1"/>
  <c r="GI90" i="1"/>
  <c r="GI95" i="1"/>
  <c r="GG95" i="1"/>
  <c r="GI104" i="1"/>
  <c r="GG104" i="1"/>
  <c r="GI75" i="1"/>
  <c r="GG75" i="1"/>
  <c r="GI106" i="1"/>
  <c r="GG106" i="1"/>
  <c r="GG76" i="1"/>
  <c r="GI76" i="1"/>
  <c r="GG101" i="1"/>
  <c r="GI101" i="1"/>
  <c r="GI48" i="1"/>
  <c r="GG48" i="1"/>
  <c r="GI74" i="1"/>
  <c r="GG74" i="1"/>
  <c r="GI93" i="1"/>
  <c r="GG93" i="1"/>
  <c r="GG80" i="1"/>
  <c r="GI80" i="1"/>
  <c r="GI57" i="1"/>
  <c r="GG57" i="1"/>
  <c r="GG105" i="1"/>
  <c r="GI105" i="1"/>
  <c r="GI100" i="1"/>
  <c r="GG100" i="1"/>
  <c r="GG46" i="1"/>
  <c r="GH46" i="1" s="1"/>
  <c r="GI46" i="1"/>
  <c r="GG96" i="1"/>
  <c r="GI96" i="1"/>
  <c r="GG64" i="1"/>
  <c r="GI64" i="1"/>
  <c r="GI53" i="1"/>
  <c r="GG53" i="1"/>
  <c r="GI67" i="1"/>
  <c r="GG67" i="1"/>
  <c r="GI83" i="1"/>
  <c r="GG83" i="1"/>
  <c r="DE191" i="1"/>
  <c r="IX131" i="1"/>
  <c r="IX130" i="1"/>
  <c r="DE131" i="1"/>
  <c r="DE130" i="1"/>
  <c r="EE101" i="1"/>
  <c r="EF101" i="1" s="1"/>
  <c r="FF101" i="1"/>
  <c r="FE101" i="1" s="1"/>
  <c r="EG101" i="1"/>
  <c r="FH101" i="1"/>
  <c r="Z84" i="6"/>
  <c r="AX64" i="1"/>
  <c r="Z95" i="6"/>
  <c r="AX75" i="1"/>
  <c r="P31" i="1"/>
  <c r="O46" i="1"/>
  <c r="M46" i="1"/>
  <c r="M45" i="1" s="1"/>
  <c r="AX108" i="1"/>
  <c r="AX97" i="1"/>
  <c r="Z117" i="6"/>
  <c r="Z106" i="6"/>
  <c r="AX86" i="1"/>
  <c r="Z74" i="6"/>
  <c r="AX54" i="1"/>
  <c r="Z75" i="6" s="1"/>
  <c r="EI53" i="1" l="1"/>
  <c r="EH53" i="1" s="1"/>
  <c r="FH77" i="1"/>
  <c r="FH66" i="1"/>
  <c r="EI108" i="1"/>
  <c r="EH108" i="1" s="1"/>
  <c r="FF108" i="1"/>
  <c r="FE108" i="1" s="1"/>
  <c r="GG81" i="1"/>
  <c r="GF81" i="1" s="1"/>
  <c r="EG108" i="1"/>
  <c r="FL108" i="1"/>
  <c r="FF88" i="1"/>
  <c r="FE88" i="1" s="1"/>
  <c r="HM108" i="1"/>
  <c r="HP108" i="1" s="1"/>
  <c r="GM84" i="1"/>
  <c r="EG66" i="1"/>
  <c r="GM99" i="1"/>
  <c r="EI66" i="1"/>
  <c r="EH66" i="1" s="1"/>
  <c r="EE54" i="1"/>
  <c r="ED54" i="1" s="1"/>
  <c r="EG96" i="1"/>
  <c r="FJ54" i="1"/>
  <c r="FK54" i="1" s="1"/>
  <c r="EE89" i="1"/>
  <c r="EF89" i="1" s="1"/>
  <c r="EK96" i="1"/>
  <c r="EE53" i="1"/>
  <c r="EF53" i="1" s="1"/>
  <c r="EG110" i="1"/>
  <c r="GM82" i="1"/>
  <c r="GK89" i="1"/>
  <c r="GL89" i="1" s="1"/>
  <c r="FF70" i="1"/>
  <c r="FG70" i="1" s="1"/>
  <c r="EE66" i="1"/>
  <c r="ED66" i="1" s="1"/>
  <c r="FH108" i="1"/>
  <c r="FK133" i="1"/>
  <c r="FL66" i="1"/>
  <c r="EK108" i="1"/>
  <c r="FL51" i="1"/>
  <c r="EI85" i="1"/>
  <c r="EH85" i="1" s="1"/>
  <c r="FF53" i="1"/>
  <c r="FG53" i="1" s="1"/>
  <c r="FH94" i="1"/>
  <c r="EE108" i="1"/>
  <c r="ED108" i="1" s="1"/>
  <c r="FJ66" i="1"/>
  <c r="FI66" i="1" s="1"/>
  <c r="FL53" i="1"/>
  <c r="EG54" i="1"/>
  <c r="EE46" i="1"/>
  <c r="ED46" i="1" s="1"/>
  <c r="FH46" i="1"/>
  <c r="FH53" i="1"/>
  <c r="FH54" i="1"/>
  <c r="GG66" i="1"/>
  <c r="GH66" i="1" s="1"/>
  <c r="FL46" i="1"/>
  <c r="FJ53" i="1"/>
  <c r="FK53" i="1" s="1"/>
  <c r="EI54" i="1"/>
  <c r="EJ54" i="1" s="1"/>
  <c r="EK54" i="1"/>
  <c r="EG53" i="1"/>
  <c r="FF54" i="1"/>
  <c r="FG54" i="1" s="1"/>
  <c r="EK92" i="1"/>
  <c r="EE96" i="1"/>
  <c r="ED96" i="1" s="1"/>
  <c r="EG102" i="1"/>
  <c r="GG86" i="1"/>
  <c r="GH86" i="1" s="1"/>
  <c r="FH114" i="1"/>
  <c r="EE50" i="1"/>
  <c r="EF50" i="1" s="1"/>
  <c r="GI86" i="1"/>
  <c r="GK86" i="1"/>
  <c r="GL86" i="1" s="1"/>
  <c r="FL50" i="1"/>
  <c r="EG106" i="1"/>
  <c r="EE103" i="1"/>
  <c r="ED103" i="1" s="1"/>
  <c r="FF66" i="1"/>
  <c r="FG66" i="1" s="1"/>
  <c r="GI99" i="1"/>
  <c r="GI58" i="1"/>
  <c r="FJ50" i="1"/>
  <c r="FI50" i="1" s="1"/>
  <c r="EI96" i="1"/>
  <c r="EH96" i="1" s="1"/>
  <c r="FF92" i="1"/>
  <c r="FG92" i="1" s="1"/>
  <c r="GI66" i="1"/>
  <c r="EK91" i="1"/>
  <c r="EG92" i="1"/>
  <c r="FF95" i="1"/>
  <c r="FG95" i="1" s="1"/>
  <c r="FH96" i="1"/>
  <c r="GI51" i="1"/>
  <c r="FL114" i="1"/>
  <c r="GM56" i="1"/>
  <c r="GM63" i="1"/>
  <c r="GK51" i="1"/>
  <c r="GL51" i="1" s="1"/>
  <c r="GK66" i="1"/>
  <c r="GL66" i="1" s="1"/>
  <c r="FJ96" i="1"/>
  <c r="FI96" i="1" s="1"/>
  <c r="FH50" i="1"/>
  <c r="EE83" i="1"/>
  <c r="ED83" i="1" s="1"/>
  <c r="FF96" i="1"/>
  <c r="FG96" i="1" s="1"/>
  <c r="GG91" i="1"/>
  <c r="GH91" i="1" s="1"/>
  <c r="EE109" i="1"/>
  <c r="EF109" i="1" s="1"/>
  <c r="EI46" i="1"/>
  <c r="EJ46" i="1" s="1"/>
  <c r="FL92" i="1"/>
  <c r="GM51" i="1"/>
  <c r="EJ116" i="1"/>
  <c r="EE90" i="1"/>
  <c r="EF90" i="1" s="1"/>
  <c r="GG84" i="1"/>
  <c r="GF84" i="1" s="1"/>
  <c r="EG107" i="1"/>
  <c r="FJ107" i="1"/>
  <c r="FI107" i="1" s="1"/>
  <c r="EI70" i="1"/>
  <c r="EH70" i="1" s="1"/>
  <c r="EK51" i="1"/>
  <c r="EK94" i="1"/>
  <c r="FJ85" i="1"/>
  <c r="FK85" i="1" s="1"/>
  <c r="FH92" i="1"/>
  <c r="FF87" i="1"/>
  <c r="FE87" i="1" s="1"/>
  <c r="FH51" i="1"/>
  <c r="FH81" i="1"/>
  <c r="FF90" i="1"/>
  <c r="FG90" i="1" s="1"/>
  <c r="FF60" i="1"/>
  <c r="FE60" i="1" s="1"/>
  <c r="EG85" i="1"/>
  <c r="GI84" i="1"/>
  <c r="FH112" i="1"/>
  <c r="FJ46" i="1"/>
  <c r="FI46" i="1" s="1"/>
  <c r="EI45" i="1"/>
  <c r="EH45" i="1" s="1"/>
  <c r="EK81" i="1"/>
  <c r="FJ92" i="1"/>
  <c r="FI92" i="1" s="1"/>
  <c r="FL107" i="1"/>
  <c r="GK81" i="1"/>
  <c r="GL81" i="1" s="1"/>
  <c r="FJ70" i="1"/>
  <c r="FK70" i="1" s="1"/>
  <c r="EK87" i="1"/>
  <c r="FJ88" i="1"/>
  <c r="FI88" i="1" s="1"/>
  <c r="FJ90" i="1"/>
  <c r="FK90" i="1" s="1"/>
  <c r="EE92" i="1"/>
  <c r="ED92" i="1" s="1"/>
  <c r="EE87" i="1"/>
  <c r="ED87" i="1" s="1"/>
  <c r="EE51" i="1"/>
  <c r="ED51" i="1" s="1"/>
  <c r="EE81" i="1"/>
  <c r="ED81" i="1" s="1"/>
  <c r="EG70" i="1"/>
  <c r="FH88" i="1"/>
  <c r="GI81" i="1"/>
  <c r="GG58" i="1"/>
  <c r="GH58" i="1" s="1"/>
  <c r="EG46" i="1"/>
  <c r="FH45" i="1"/>
  <c r="HM120" i="1"/>
  <c r="HP120" i="1" s="1"/>
  <c r="EK46" i="1"/>
  <c r="FJ45" i="1"/>
  <c r="FK45" i="1" s="1"/>
  <c r="FJ76" i="1"/>
  <c r="FI76" i="1" s="1"/>
  <c r="EK57" i="1"/>
  <c r="EK88" i="1"/>
  <c r="GM69" i="1"/>
  <c r="EK90" i="1"/>
  <c r="EK114" i="1"/>
  <c r="FL100" i="1"/>
  <c r="EG50" i="1"/>
  <c r="EE86" i="1"/>
  <c r="ED86" i="1" s="1"/>
  <c r="EG76" i="1"/>
  <c r="GI70" i="1"/>
  <c r="DA111" i="1"/>
  <c r="GM111" i="1" s="1"/>
  <c r="EE113" i="1"/>
  <c r="EF113" i="1" s="1"/>
  <c r="FF114" i="1"/>
  <c r="FE114" i="1" s="1"/>
  <c r="EK50" i="1"/>
  <c r="FJ114" i="1"/>
  <c r="FI114" i="1" s="1"/>
  <c r="GK70" i="1"/>
  <c r="GJ70" i="1" s="1"/>
  <c r="FJ104" i="1"/>
  <c r="FI104" i="1" s="1"/>
  <c r="FJ121" i="1"/>
  <c r="FK121" i="1" s="1"/>
  <c r="EK100" i="1"/>
  <c r="EE114" i="1"/>
  <c r="ED114" i="1" s="1"/>
  <c r="FH48" i="1"/>
  <c r="FF50" i="1"/>
  <c r="FG50" i="1" s="1"/>
  <c r="FH61" i="1"/>
  <c r="EG103" i="1"/>
  <c r="FH104" i="1"/>
  <c r="GG70" i="1"/>
  <c r="GF70" i="1" s="1"/>
  <c r="EE117" i="1"/>
  <c r="EF117" i="1" s="1"/>
  <c r="EG114" i="1"/>
  <c r="FL86" i="1"/>
  <c r="GL48" i="1"/>
  <c r="FJ106" i="1"/>
  <c r="FK106" i="1" s="1"/>
  <c r="EI110" i="1"/>
  <c r="EH110" i="1" s="1"/>
  <c r="FI53" i="1"/>
  <c r="FF84" i="1"/>
  <c r="FE84" i="1" s="1"/>
  <c r="FH73" i="1"/>
  <c r="EG109" i="1"/>
  <c r="FH55" i="1"/>
  <c r="FH99" i="1"/>
  <c r="EG51" i="1"/>
  <c r="FF94" i="1"/>
  <c r="FG94" i="1" s="1"/>
  <c r="FH90" i="1"/>
  <c r="FH106" i="1"/>
  <c r="FH84" i="1"/>
  <c r="FH86" i="1"/>
  <c r="EE88" i="1"/>
  <c r="EF88" i="1" s="1"/>
  <c r="FF85" i="1"/>
  <c r="FE85" i="1" s="1"/>
  <c r="GI94" i="1"/>
  <c r="GI89" i="1"/>
  <c r="GI73" i="1"/>
  <c r="FF45" i="1"/>
  <c r="FG45" i="1" s="1"/>
  <c r="FH109" i="1"/>
  <c r="FH107" i="1"/>
  <c r="DA119" i="1"/>
  <c r="GM119" i="1" s="1"/>
  <c r="EG121" i="1"/>
  <c r="EK45" i="1"/>
  <c r="EE45" i="1"/>
  <c r="EF45" i="1" s="1"/>
  <c r="EI81" i="1"/>
  <c r="EI109" i="1"/>
  <c r="EH109" i="1" s="1"/>
  <c r="GK58" i="1"/>
  <c r="GL58" i="1" s="1"/>
  <c r="FJ86" i="1"/>
  <c r="FI86" i="1" s="1"/>
  <c r="EK121" i="1"/>
  <c r="EH123" i="1"/>
  <c r="FK108" i="1"/>
  <c r="EI87" i="1"/>
  <c r="EJ87" i="1" s="1"/>
  <c r="FJ55" i="1"/>
  <c r="FI55" i="1" s="1"/>
  <c r="FJ51" i="1"/>
  <c r="FI51" i="1" s="1"/>
  <c r="EI88" i="1"/>
  <c r="EJ88" i="1" s="1"/>
  <c r="EH101" i="1"/>
  <c r="EK106" i="1"/>
  <c r="FL84" i="1"/>
  <c r="GK91" i="1"/>
  <c r="GJ91" i="1" s="1"/>
  <c r="GK94" i="1"/>
  <c r="GL94" i="1" s="1"/>
  <c r="EI94" i="1"/>
  <c r="EH94" i="1" s="1"/>
  <c r="EI90" i="1"/>
  <c r="EJ90" i="1" s="1"/>
  <c r="FL77" i="1"/>
  <c r="FL85" i="1"/>
  <c r="FK131" i="1"/>
  <c r="FF55" i="1"/>
  <c r="FE55" i="1" s="1"/>
  <c r="FF99" i="1"/>
  <c r="FG99" i="1" s="1"/>
  <c r="FH121" i="1"/>
  <c r="FL121" i="1"/>
  <c r="FL55" i="1"/>
  <c r="FL106" i="1"/>
  <c r="EI84" i="1"/>
  <c r="EJ84" i="1" s="1"/>
  <c r="EI77" i="1"/>
  <c r="EH77" i="1" s="1"/>
  <c r="I35" i="1"/>
  <c r="Y64" i="6" s="1"/>
  <c r="AA89" i="6" s="1"/>
  <c r="EE55" i="1"/>
  <c r="ED55" i="1" s="1"/>
  <c r="FH87" i="1"/>
  <c r="FF51" i="1"/>
  <c r="FG51" i="1" s="1"/>
  <c r="EG81" i="1"/>
  <c r="EE94" i="1"/>
  <c r="EF94" i="1" s="1"/>
  <c r="EG90" i="1"/>
  <c r="EE106" i="1"/>
  <c r="EF106" i="1" s="1"/>
  <c r="EG84" i="1"/>
  <c r="FH70" i="1"/>
  <c r="FF86" i="1"/>
  <c r="FG86" i="1" s="1"/>
  <c r="EG88" i="1"/>
  <c r="FH85" i="1"/>
  <c r="EE74" i="1"/>
  <c r="EF74" i="1" s="1"/>
  <c r="GG94" i="1"/>
  <c r="GF94" i="1" s="1"/>
  <c r="GG89" i="1"/>
  <c r="GF89" i="1" s="1"/>
  <c r="GG82" i="1"/>
  <c r="GF82" i="1" s="1"/>
  <c r="EG45" i="1"/>
  <c r="EE107" i="1"/>
  <c r="ED107" i="1" s="1"/>
  <c r="EG117" i="1"/>
  <c r="EE121" i="1"/>
  <c r="EF121" i="1" s="1"/>
  <c r="FL81" i="1"/>
  <c r="EK109" i="1"/>
  <c r="EK70" i="1"/>
  <c r="EI86" i="1"/>
  <c r="EJ86" i="1" s="1"/>
  <c r="FL87" i="1"/>
  <c r="EK55" i="1"/>
  <c r="FL94" i="1"/>
  <c r="FL73" i="1"/>
  <c r="EG71" i="1"/>
  <c r="EE71" i="1"/>
  <c r="ED71" i="1" s="1"/>
  <c r="FF78" i="1"/>
  <c r="FE78" i="1" s="1"/>
  <c r="FH78" i="1"/>
  <c r="EE69" i="1"/>
  <c r="EF69" i="1" s="1"/>
  <c r="FF69" i="1"/>
  <c r="FE69" i="1" s="1"/>
  <c r="EJ96" i="1"/>
  <c r="GJ64" i="1"/>
  <c r="GL64" i="1"/>
  <c r="EI122" i="1"/>
  <c r="EH122" i="1" s="1"/>
  <c r="FJ122" i="1"/>
  <c r="FK122" i="1" s="1"/>
  <c r="FJ58" i="1"/>
  <c r="FI58" i="1" s="1"/>
  <c r="FF58" i="1"/>
  <c r="FG58" i="1" s="1"/>
  <c r="EK59" i="1"/>
  <c r="EG59" i="1"/>
  <c r="EI59" i="1"/>
  <c r="EJ59" i="1" s="1"/>
  <c r="FL91" i="1"/>
  <c r="FH91" i="1"/>
  <c r="FJ91" i="1"/>
  <c r="FI91" i="1" s="1"/>
  <c r="GM103" i="1"/>
  <c r="GI103" i="1"/>
  <c r="FL62" i="1"/>
  <c r="EG62" i="1"/>
  <c r="EI62" i="1"/>
  <c r="EH62" i="1" s="1"/>
  <c r="GI92" i="1"/>
  <c r="GK92" i="1"/>
  <c r="GJ92" i="1" s="1"/>
  <c r="FL112" i="1"/>
  <c r="EG112" i="1"/>
  <c r="GM59" i="1"/>
  <c r="GG59" i="1"/>
  <c r="GF59" i="1" s="1"/>
  <c r="FF48" i="1"/>
  <c r="FE48" i="1" s="1"/>
  <c r="EE58" i="1"/>
  <c r="ED58" i="1" s="1"/>
  <c r="FF62" i="1"/>
  <c r="FG62" i="1" s="1"/>
  <c r="FH59" i="1"/>
  <c r="FF71" i="1"/>
  <c r="FG71" i="1" s="1"/>
  <c r="FF91" i="1"/>
  <c r="FG91" i="1" s="1"/>
  <c r="FH89" i="1"/>
  <c r="GI59" i="1"/>
  <c r="EH128" i="1"/>
  <c r="EK58" i="1"/>
  <c r="GJ80" i="1"/>
  <c r="GL80" i="1"/>
  <c r="FJ95" i="1"/>
  <c r="FK95" i="1" s="1"/>
  <c r="GM92" i="1"/>
  <c r="EK62" i="1"/>
  <c r="FL80" i="1"/>
  <c r="EK80" i="1"/>
  <c r="FH82" i="1"/>
  <c r="FL82" i="1"/>
  <c r="FF118" i="1"/>
  <c r="FE118" i="1" s="1"/>
  <c r="FJ118" i="1"/>
  <c r="FK118" i="1" s="1"/>
  <c r="FL93" i="1"/>
  <c r="EK93" i="1"/>
  <c r="FJ93" i="1"/>
  <c r="FK93" i="1" s="1"/>
  <c r="FJ63" i="1"/>
  <c r="FI63" i="1" s="1"/>
  <c r="EK63" i="1"/>
  <c r="FJ75" i="1"/>
  <c r="FI75" i="1" s="1"/>
  <c r="EG75" i="1"/>
  <c r="GI56" i="1"/>
  <c r="GK56" i="1"/>
  <c r="GL56" i="1" s="1"/>
  <c r="FF76" i="1"/>
  <c r="FE76" i="1" s="1"/>
  <c r="FL76" i="1"/>
  <c r="HM123" i="1"/>
  <c r="HP123" i="1" s="1"/>
  <c r="DA123" i="1"/>
  <c r="GK123" i="1" s="1"/>
  <c r="EG104" i="1"/>
  <c r="FL104" i="1"/>
  <c r="EK113" i="1"/>
  <c r="FJ113" i="1"/>
  <c r="FI113" i="1" s="1"/>
  <c r="FH113" i="1"/>
  <c r="FJ100" i="1"/>
  <c r="FI100" i="1" s="1"/>
  <c r="FH100" i="1"/>
  <c r="EI100" i="1"/>
  <c r="EJ100" i="1" s="1"/>
  <c r="FH58" i="1"/>
  <c r="FH62" i="1"/>
  <c r="EG100" i="1"/>
  <c r="EE59" i="1"/>
  <c r="ED59" i="1" s="1"/>
  <c r="EG89" i="1"/>
  <c r="FH68" i="1"/>
  <c r="GI71" i="1"/>
  <c r="GG47" i="1"/>
  <c r="GH47" i="1" s="1"/>
  <c r="FF112" i="1"/>
  <c r="FG112" i="1" s="1"/>
  <c r="HM116" i="1"/>
  <c r="HP116" i="1" s="1"/>
  <c r="EG122" i="1"/>
  <c r="EI113" i="1"/>
  <c r="GL72" i="1"/>
  <c r="GJ87" i="1"/>
  <c r="GL87" i="1"/>
  <c r="EE97" i="1"/>
  <c r="ED97" i="1" s="1"/>
  <c r="FF97" i="1"/>
  <c r="FG97" i="1" s="1"/>
  <c r="EK72" i="1"/>
  <c r="EI112" i="1"/>
  <c r="EH112" i="1" s="1"/>
  <c r="EH115" i="1"/>
  <c r="EJ115" i="1"/>
  <c r="GK103" i="1"/>
  <c r="GL103" i="1" s="1"/>
  <c r="GM60" i="1"/>
  <c r="EI58" i="1"/>
  <c r="EH58" i="1" s="1"/>
  <c r="EK76" i="1"/>
  <c r="FL59" i="1"/>
  <c r="GJ84" i="1"/>
  <c r="GL84" i="1"/>
  <c r="FJ62" i="1"/>
  <c r="FK62" i="1" s="1"/>
  <c r="EG48" i="1"/>
  <c r="EG58" i="1"/>
  <c r="EE62" i="1"/>
  <c r="EF62" i="1" s="1"/>
  <c r="EE100" i="1"/>
  <c r="ED100" i="1" s="1"/>
  <c r="EE57" i="1"/>
  <c r="EF57" i="1" s="1"/>
  <c r="EG69" i="1"/>
  <c r="EE91" i="1"/>
  <c r="EF91" i="1" s="1"/>
  <c r="GI63" i="1"/>
  <c r="GG92" i="1"/>
  <c r="GF92" i="1" s="1"/>
  <c r="EG113" i="1"/>
  <c r="FF117" i="1"/>
  <c r="FG117" i="1" s="1"/>
  <c r="EE112" i="1"/>
  <c r="ED112" i="1" s="1"/>
  <c r="FL113" i="1"/>
  <c r="GJ54" i="1"/>
  <c r="GL54" i="1"/>
  <c r="GL55" i="1"/>
  <c r="GL82" i="1"/>
  <c r="EK112" i="1"/>
  <c r="GJ46" i="1"/>
  <c r="GL46" i="1"/>
  <c r="EI104" i="1"/>
  <c r="EJ104" i="1" s="1"/>
  <c r="EI63" i="1"/>
  <c r="EH63" i="1" s="1"/>
  <c r="GK63" i="1"/>
  <c r="GJ63" i="1" s="1"/>
  <c r="GL75" i="1"/>
  <c r="FJ59" i="1"/>
  <c r="FI59" i="1" s="1"/>
  <c r="EI91" i="1"/>
  <c r="EJ91" i="1" s="1"/>
  <c r="GK47" i="1"/>
  <c r="GJ47" i="1" s="1"/>
  <c r="GL59" i="1"/>
  <c r="EG55" i="1"/>
  <c r="FF106" i="1"/>
  <c r="FG106" i="1" s="1"/>
  <c r="EE84" i="1"/>
  <c r="ED84" i="1" s="1"/>
  <c r="EG86" i="1"/>
  <c r="EE73" i="1"/>
  <c r="ED73" i="1" s="1"/>
  <c r="GI91" i="1"/>
  <c r="GI82" i="1"/>
  <c r="FF109" i="1"/>
  <c r="FE109" i="1" s="1"/>
  <c r="FF121" i="1"/>
  <c r="FG121" i="1" s="1"/>
  <c r="FJ109" i="1"/>
  <c r="FI109" i="1" s="1"/>
  <c r="EK99" i="1"/>
  <c r="FJ84" i="1"/>
  <c r="DG191" i="1"/>
  <c r="EK73" i="1"/>
  <c r="FF83" i="1"/>
  <c r="FE83" i="1" s="1"/>
  <c r="EE76" i="1"/>
  <c r="ED76" i="1" s="1"/>
  <c r="FF104" i="1"/>
  <c r="FE104" i="1" s="1"/>
  <c r="EG93" i="1"/>
  <c r="FH76" i="1"/>
  <c r="EE104" i="1"/>
  <c r="ED104" i="1" s="1"/>
  <c r="FH63" i="1"/>
  <c r="EE64" i="1"/>
  <c r="EF64" i="1" s="1"/>
  <c r="FF68" i="1"/>
  <c r="FE68" i="1" s="1"/>
  <c r="FI87" i="1"/>
  <c r="FK87" i="1"/>
  <c r="GJ99" i="1"/>
  <c r="GL99" i="1"/>
  <c r="FK81" i="1"/>
  <c r="FI81" i="1"/>
  <c r="GL68" i="1"/>
  <c r="FH75" i="1"/>
  <c r="FF93" i="1"/>
  <c r="FG93" i="1" s="1"/>
  <c r="EE63" i="1"/>
  <c r="ED63" i="1" s="1"/>
  <c r="GG102" i="1"/>
  <c r="GF102" i="1" s="1"/>
  <c r="GI47" i="1"/>
  <c r="GG77" i="1"/>
  <c r="GF77" i="1" s="1"/>
  <c r="GG60" i="1"/>
  <c r="GH60" i="1" s="1"/>
  <c r="FL72" i="1"/>
  <c r="EH114" i="1"/>
  <c r="GK60" i="1"/>
  <c r="GJ60" i="1" s="1"/>
  <c r="EI118" i="1"/>
  <c r="EJ118" i="1" s="1"/>
  <c r="FL105" i="1"/>
  <c r="FL75" i="1"/>
  <c r="GM47" i="1"/>
  <c r="EK82" i="1"/>
  <c r="EG105" i="1"/>
  <c r="FF72" i="1"/>
  <c r="FE72" i="1" s="1"/>
  <c r="EE99" i="1"/>
  <c r="EF99" i="1" s="1"/>
  <c r="EE75" i="1"/>
  <c r="ED75" i="1" s="1"/>
  <c r="FH93" i="1"/>
  <c r="EG77" i="1"/>
  <c r="EG73" i="1"/>
  <c r="EG63" i="1"/>
  <c r="FF80" i="1"/>
  <c r="FE80" i="1" s="1"/>
  <c r="EG68" i="1"/>
  <c r="GI77" i="1"/>
  <c r="EF132" i="1"/>
  <c r="EE110" i="1"/>
  <c r="ED110" i="1" s="1"/>
  <c r="GK77" i="1"/>
  <c r="GL77" i="1" s="1"/>
  <c r="FL63" i="1"/>
  <c r="FL118" i="1"/>
  <c r="EJ47" i="1"/>
  <c r="GJ106" i="1"/>
  <c r="EI99" i="1"/>
  <c r="EH99" i="1" s="1"/>
  <c r="EJ55" i="1"/>
  <c r="EI93" i="1"/>
  <c r="EJ93" i="1" s="1"/>
  <c r="EI75" i="1"/>
  <c r="EJ75" i="1" s="1"/>
  <c r="EK75" i="1"/>
  <c r="FJ110" i="1"/>
  <c r="FK110" i="1" s="1"/>
  <c r="GJ62" i="1"/>
  <c r="GJ95" i="1"/>
  <c r="FJ80" i="1"/>
  <c r="FK80" i="1" s="1"/>
  <c r="EK77" i="1"/>
  <c r="EI73" i="1"/>
  <c r="EH73" i="1" s="1"/>
  <c r="EH119" i="1"/>
  <c r="GJ79" i="1"/>
  <c r="GJ83" i="1"/>
  <c r="FF105" i="1"/>
  <c r="FE105" i="1" s="1"/>
  <c r="EG87" i="1"/>
  <c r="EG82" i="1"/>
  <c r="FH71" i="1"/>
  <c r="FF81" i="1"/>
  <c r="FG81" i="1" s="1"/>
  <c r="EG94" i="1"/>
  <c r="FF75" i="1"/>
  <c r="FE75" i="1" s="1"/>
  <c r="EE61" i="1"/>
  <c r="EF61" i="1" s="1"/>
  <c r="EE70" i="1"/>
  <c r="ED70" i="1" s="1"/>
  <c r="FF65" i="1"/>
  <c r="FE65" i="1" s="1"/>
  <c r="EE93" i="1"/>
  <c r="EF93" i="1" s="1"/>
  <c r="FF77" i="1"/>
  <c r="FG77" i="1" s="1"/>
  <c r="FF73" i="1"/>
  <c r="FG73" i="1" s="1"/>
  <c r="EE85" i="1"/>
  <c r="ED85" i="1" s="1"/>
  <c r="FF63" i="1"/>
  <c r="FG63" i="1" s="1"/>
  <c r="FH80" i="1"/>
  <c r="IX132" i="1"/>
  <c r="GG99" i="1"/>
  <c r="GH99" i="1" s="1"/>
  <c r="FF107" i="1"/>
  <c r="FG107" i="1" s="1"/>
  <c r="FH110" i="1"/>
  <c r="FH118" i="1"/>
  <c r="EI107" i="1"/>
  <c r="FK126" i="1"/>
  <c r="EJ121" i="1"/>
  <c r="FJ99" i="1"/>
  <c r="FI99" i="1" s="1"/>
  <c r="FJ105" i="1"/>
  <c r="FK105" i="1" s="1"/>
  <c r="EJ106" i="1"/>
  <c r="DG132" i="1"/>
  <c r="EK110" i="1"/>
  <c r="FJ82" i="1"/>
  <c r="FK82" i="1" s="1"/>
  <c r="EI80" i="1"/>
  <c r="EJ80" i="1" s="1"/>
  <c r="FI73" i="1"/>
  <c r="EJ120" i="1"/>
  <c r="GJ65" i="1"/>
  <c r="EE78" i="1"/>
  <c r="EF78" i="1" s="1"/>
  <c r="EG57" i="1"/>
  <c r="FH95" i="1"/>
  <c r="FH49" i="1"/>
  <c r="EE122" i="1"/>
  <c r="ED122" i="1" s="1"/>
  <c r="EH92" i="1"/>
  <c r="GJ96" i="1"/>
  <c r="GJ100" i="1"/>
  <c r="GJ57" i="1"/>
  <c r="FL57" i="1"/>
  <c r="FK57" i="1"/>
  <c r="FL122" i="1"/>
  <c r="GK69" i="1"/>
  <c r="GL69" i="1" s="1"/>
  <c r="GJ88" i="1"/>
  <c r="EE105" i="1"/>
  <c r="EF105" i="1" s="1"/>
  <c r="EG78" i="1"/>
  <c r="FH72" i="1"/>
  <c r="EE82" i="1"/>
  <c r="ED82" i="1" s="1"/>
  <c r="FF57" i="1"/>
  <c r="FE57" i="1" s="1"/>
  <c r="EG95" i="1"/>
  <c r="FH60" i="1"/>
  <c r="EE80" i="1"/>
  <c r="EF80" i="1" s="1"/>
  <c r="EG64" i="1"/>
  <c r="GI69" i="1"/>
  <c r="GI68" i="1"/>
  <c r="GI97" i="1"/>
  <c r="DA122" i="1"/>
  <c r="GK122" i="1" s="1"/>
  <c r="GJ122" i="1" s="1"/>
  <c r="EE118" i="1"/>
  <c r="EF118" i="1" s="1"/>
  <c r="FF122" i="1"/>
  <c r="FE122" i="1" s="1"/>
  <c r="EI72" i="1"/>
  <c r="EJ72" i="1" s="1"/>
  <c r="EJ133" i="1"/>
  <c r="EK118" i="1"/>
  <c r="EH105" i="1"/>
  <c r="EK105" i="1"/>
  <c r="EI57" i="1"/>
  <c r="FL95" i="1"/>
  <c r="FI101" i="1"/>
  <c r="IZ132" i="1"/>
  <c r="EK122" i="1"/>
  <c r="GM68" i="1"/>
  <c r="GK97" i="1"/>
  <c r="EI82" i="1"/>
  <c r="EJ82" i="1" s="1"/>
  <c r="FI94" i="1"/>
  <c r="GJ85" i="1"/>
  <c r="GJ49" i="1"/>
  <c r="GJ98" i="1"/>
  <c r="GJ74" i="1"/>
  <c r="FH105" i="1"/>
  <c r="EE72" i="1"/>
  <c r="ED72" i="1" s="1"/>
  <c r="EG99" i="1"/>
  <c r="FF82" i="1"/>
  <c r="FG82" i="1" s="1"/>
  <c r="FH57" i="1"/>
  <c r="EE95" i="1"/>
  <c r="EF95" i="1" s="1"/>
  <c r="EE77" i="1"/>
  <c r="EF77" i="1" s="1"/>
  <c r="EG80" i="1"/>
  <c r="GG68" i="1"/>
  <c r="GH68" i="1" s="1"/>
  <c r="GG97" i="1"/>
  <c r="GF97" i="1" s="1"/>
  <c r="FF110" i="1"/>
  <c r="FG110" i="1" s="1"/>
  <c r="EG118" i="1"/>
  <c r="FH122" i="1"/>
  <c r="GL50" i="1"/>
  <c r="FJ72" i="1"/>
  <c r="FK72" i="1" s="1"/>
  <c r="FI128" i="1"/>
  <c r="GJ105" i="1"/>
  <c r="EJ76" i="1"/>
  <c r="FK47" i="1"/>
  <c r="GL76" i="1"/>
  <c r="GL104" i="1"/>
  <c r="FI57" i="1"/>
  <c r="EI95" i="1"/>
  <c r="EH95" i="1" s="1"/>
  <c r="GJ90" i="1"/>
  <c r="GJ61" i="1"/>
  <c r="GJ67" i="1"/>
  <c r="GK108" i="1"/>
  <c r="GJ108" i="1" s="1"/>
  <c r="GM108" i="1"/>
  <c r="GM107" i="1"/>
  <c r="GK107" i="1"/>
  <c r="GJ107" i="1" s="1"/>
  <c r="GM117" i="1"/>
  <c r="GK117" i="1"/>
  <c r="GJ117" i="1" s="1"/>
  <c r="GM116" i="1"/>
  <c r="GK116" i="1"/>
  <c r="GJ116" i="1" s="1"/>
  <c r="GM114" i="1"/>
  <c r="GK114" i="1"/>
  <c r="GJ114" i="1" s="1"/>
  <c r="EK79" i="1"/>
  <c r="FL79" i="1"/>
  <c r="FJ79" i="1"/>
  <c r="FK79" i="1" s="1"/>
  <c r="EI79" i="1"/>
  <c r="EH79" i="1" s="1"/>
  <c r="EI56" i="1"/>
  <c r="EJ56" i="1" s="1"/>
  <c r="FL56" i="1"/>
  <c r="EK56" i="1"/>
  <c r="FJ56" i="1"/>
  <c r="FK56" i="1" s="1"/>
  <c r="EI52" i="1"/>
  <c r="EJ52" i="1" s="1"/>
  <c r="FL52" i="1"/>
  <c r="EK52" i="1"/>
  <c r="FJ52" i="1"/>
  <c r="FK52" i="1" s="1"/>
  <c r="FI112" i="1"/>
  <c r="FI132" i="1"/>
  <c r="FK132" i="1"/>
  <c r="EK98" i="1"/>
  <c r="FL98" i="1"/>
  <c r="FJ98" i="1"/>
  <c r="FK98" i="1" s="1"/>
  <c r="EI98" i="1"/>
  <c r="EH98" i="1" s="1"/>
  <c r="EK67" i="1"/>
  <c r="EI67" i="1"/>
  <c r="EJ67" i="1" s="1"/>
  <c r="FJ67" i="1"/>
  <c r="FK67" i="1" s="1"/>
  <c r="FL67" i="1"/>
  <c r="FK123" i="1"/>
  <c r="EH126" i="1"/>
  <c r="EJ126" i="1"/>
  <c r="FE46" i="1"/>
  <c r="EE98" i="1"/>
  <c r="ED98" i="1" s="1"/>
  <c r="EG52" i="1"/>
  <c r="EG79" i="1"/>
  <c r="EG56" i="1"/>
  <c r="EE67" i="1"/>
  <c r="ED67" i="1" s="1"/>
  <c r="DA110" i="1"/>
  <c r="GG110" i="1" s="1"/>
  <c r="GF110" i="1" s="1"/>
  <c r="GM120" i="1"/>
  <c r="GK120" i="1"/>
  <c r="GL120" i="1" s="1"/>
  <c r="GM118" i="1"/>
  <c r="GK118" i="1"/>
  <c r="GL118" i="1" s="1"/>
  <c r="GM113" i="1"/>
  <c r="GK113" i="1"/>
  <c r="GL113" i="1" s="1"/>
  <c r="EH131" i="1"/>
  <c r="EK102" i="1"/>
  <c r="FL102" i="1"/>
  <c r="FJ102" i="1"/>
  <c r="FK102" i="1" s="1"/>
  <c r="EI102" i="1"/>
  <c r="EH102" i="1" s="1"/>
  <c r="FJ49" i="1"/>
  <c r="FK49" i="1" s="1"/>
  <c r="EI49" i="1"/>
  <c r="EH49" i="1" s="1"/>
  <c r="FL49" i="1"/>
  <c r="EK49" i="1"/>
  <c r="FJ65" i="1"/>
  <c r="FK65" i="1" s="1"/>
  <c r="EI65" i="1"/>
  <c r="EH65" i="1" s="1"/>
  <c r="FL65" i="1"/>
  <c r="EK65" i="1"/>
  <c r="EK97" i="1"/>
  <c r="FL97" i="1"/>
  <c r="EI97" i="1"/>
  <c r="EH97" i="1" s="1"/>
  <c r="FJ97" i="1"/>
  <c r="FI97" i="1" s="1"/>
  <c r="EJ50" i="1"/>
  <c r="FK115" i="1"/>
  <c r="GM78" i="1"/>
  <c r="GK78" i="1"/>
  <c r="GJ78" i="1" s="1"/>
  <c r="GK71" i="1"/>
  <c r="GL71" i="1" s="1"/>
  <c r="GM71" i="1"/>
  <c r="EK74" i="1"/>
  <c r="FL74" i="1"/>
  <c r="EI74" i="1"/>
  <c r="EJ74" i="1" s="1"/>
  <c r="FJ74" i="1"/>
  <c r="FI74" i="1" s="1"/>
  <c r="FI44" i="1"/>
  <c r="FI77" i="1"/>
  <c r="FK116" i="1"/>
  <c r="FK120" i="1"/>
  <c r="FK119" i="1"/>
  <c r="EG98" i="1"/>
  <c r="FH52" i="1"/>
  <c r="FH79" i="1"/>
  <c r="EE102" i="1"/>
  <c r="EF102" i="1" s="1"/>
  <c r="EG49" i="1"/>
  <c r="FF56" i="1"/>
  <c r="FE56" i="1" s="1"/>
  <c r="FH65" i="1"/>
  <c r="EG97" i="1"/>
  <c r="EG67" i="1"/>
  <c r="FF74" i="1"/>
  <c r="FE74" i="1" s="1"/>
  <c r="GK109" i="1"/>
  <c r="GL109" i="1" s="1"/>
  <c r="GM109" i="1"/>
  <c r="GM121" i="1"/>
  <c r="GK121" i="1"/>
  <c r="GJ121" i="1" s="1"/>
  <c r="GM115" i="1"/>
  <c r="GK115" i="1"/>
  <c r="GJ115" i="1" s="1"/>
  <c r="FJ61" i="1"/>
  <c r="FK61" i="1" s="1"/>
  <c r="EI61" i="1"/>
  <c r="EJ61" i="1" s="1"/>
  <c r="FL61" i="1"/>
  <c r="EK61" i="1"/>
  <c r="EK103" i="1"/>
  <c r="FL103" i="1"/>
  <c r="FJ103" i="1"/>
  <c r="FI103" i="1" s="1"/>
  <c r="EI103" i="1"/>
  <c r="EJ103" i="1" s="1"/>
  <c r="EI60" i="1"/>
  <c r="EJ60" i="1" s="1"/>
  <c r="FL60" i="1"/>
  <c r="EK60" i="1"/>
  <c r="FJ60" i="1"/>
  <c r="FK60" i="1" s="1"/>
  <c r="FK129" i="1"/>
  <c r="FI129" i="1"/>
  <c r="GK52" i="1"/>
  <c r="GL52" i="1" s="1"/>
  <c r="GM52" i="1"/>
  <c r="EK83" i="1"/>
  <c r="FL83" i="1"/>
  <c r="FJ83" i="1"/>
  <c r="FK83" i="1" s="1"/>
  <c r="EI83" i="1"/>
  <c r="EH83" i="1" s="1"/>
  <c r="GL53" i="1"/>
  <c r="GL93" i="1"/>
  <c r="GL101" i="1"/>
  <c r="EH44" i="1"/>
  <c r="EH51" i="1"/>
  <c r="EI64" i="1"/>
  <c r="EJ64" i="1" s="1"/>
  <c r="FL64" i="1"/>
  <c r="EK64" i="1"/>
  <c r="FJ64" i="1"/>
  <c r="FK64" i="1" s="1"/>
  <c r="EJ111" i="1"/>
  <c r="K35" i="1"/>
  <c r="Y66" i="6" s="1"/>
  <c r="AA102" i="6" s="1"/>
  <c r="AW81" i="1" s="1"/>
  <c r="FH98" i="1"/>
  <c r="FF52" i="1"/>
  <c r="FE52" i="1" s="1"/>
  <c r="EG83" i="1"/>
  <c r="FF79" i="1"/>
  <c r="FG79" i="1" s="1"/>
  <c r="FF102" i="1"/>
  <c r="FG102" i="1" s="1"/>
  <c r="EG61" i="1"/>
  <c r="EE49" i="1"/>
  <c r="EF49" i="1" s="1"/>
  <c r="FF103" i="1"/>
  <c r="FG103" i="1" s="1"/>
  <c r="FH56" i="1"/>
  <c r="EE65" i="1"/>
  <c r="EF65" i="1" s="1"/>
  <c r="EE60" i="1"/>
  <c r="ED60" i="1" s="1"/>
  <c r="FH97" i="1"/>
  <c r="FF67" i="1"/>
  <c r="FE67" i="1" s="1"/>
  <c r="EG74" i="1"/>
  <c r="FH64" i="1"/>
  <c r="DC132" i="1"/>
  <c r="GG78" i="1"/>
  <c r="GH78" i="1" s="1"/>
  <c r="GG52" i="1"/>
  <c r="GH52" i="1" s="1"/>
  <c r="HN69" i="1"/>
  <c r="FG130" i="1"/>
  <c r="GM112" i="1"/>
  <c r="GK112" i="1"/>
  <c r="GJ112" i="1" s="1"/>
  <c r="EK89" i="1"/>
  <c r="FL89" i="1"/>
  <c r="FJ89" i="1"/>
  <c r="FI89" i="1" s="1"/>
  <c r="EI89" i="1"/>
  <c r="EH89" i="1" s="1"/>
  <c r="EI48" i="1"/>
  <c r="EJ48" i="1" s="1"/>
  <c r="FL48" i="1"/>
  <c r="EK48" i="1"/>
  <c r="FJ48" i="1"/>
  <c r="FK48" i="1" s="1"/>
  <c r="EK71" i="1"/>
  <c r="FJ71" i="1"/>
  <c r="FI71" i="1" s="1"/>
  <c r="FL71" i="1"/>
  <c r="EI71" i="1"/>
  <c r="EH71" i="1" s="1"/>
  <c r="EK78" i="1"/>
  <c r="FL78" i="1"/>
  <c r="EI78" i="1"/>
  <c r="EJ78" i="1" s="1"/>
  <c r="FJ78" i="1"/>
  <c r="FK78" i="1" s="1"/>
  <c r="FI127" i="1"/>
  <c r="EJ132" i="1"/>
  <c r="EH129" i="1"/>
  <c r="EJ129" i="1"/>
  <c r="GK73" i="1"/>
  <c r="GJ73" i="1" s="1"/>
  <c r="GM73" i="1"/>
  <c r="GM102" i="1"/>
  <c r="GK102" i="1"/>
  <c r="GJ102" i="1" s="1"/>
  <c r="EI68" i="1"/>
  <c r="EJ68" i="1" s="1"/>
  <c r="FL68" i="1"/>
  <c r="EK68" i="1"/>
  <c r="FJ68" i="1"/>
  <c r="FK68" i="1" s="1"/>
  <c r="FJ69" i="1"/>
  <c r="FK69" i="1" s="1"/>
  <c r="EI69" i="1"/>
  <c r="EJ69" i="1" s="1"/>
  <c r="FL69" i="1"/>
  <c r="EK69" i="1"/>
  <c r="FK130" i="1"/>
  <c r="EK117" i="1"/>
  <c r="FL117" i="1"/>
  <c r="EI117" i="1"/>
  <c r="EJ117" i="1" s="1"/>
  <c r="FJ117" i="1"/>
  <c r="FK117" i="1" s="1"/>
  <c r="FK111" i="1"/>
  <c r="EF111" i="1"/>
  <c r="EF119" i="1"/>
  <c r="HN117" i="1"/>
  <c r="EF116" i="1"/>
  <c r="HO121" i="1"/>
  <c r="HO119" i="1"/>
  <c r="FG115" i="1"/>
  <c r="HO118" i="1"/>
  <c r="FG119" i="1"/>
  <c r="HN113" i="1"/>
  <c r="FG120" i="1"/>
  <c r="FE113" i="1"/>
  <c r="HP112" i="1"/>
  <c r="FG116" i="1"/>
  <c r="HO114" i="1"/>
  <c r="HO115" i="1"/>
  <c r="HN118" i="1"/>
  <c r="HO113" i="1"/>
  <c r="HP118" i="1"/>
  <c r="HO117" i="1"/>
  <c r="HP122" i="1"/>
  <c r="HN121" i="1"/>
  <c r="HN112" i="1"/>
  <c r="GI115" i="1"/>
  <c r="GG115" i="1"/>
  <c r="GH115" i="1" s="1"/>
  <c r="GG118" i="1"/>
  <c r="GH118" i="1" s="1"/>
  <c r="GI118" i="1"/>
  <c r="GG117" i="1"/>
  <c r="GF117" i="1" s="1"/>
  <c r="GI117" i="1"/>
  <c r="FG123" i="1"/>
  <c r="HP121" i="1"/>
  <c r="EF120" i="1"/>
  <c r="HO122" i="1"/>
  <c r="HN114" i="1"/>
  <c r="HN115" i="1"/>
  <c r="GI120" i="1"/>
  <c r="GG120" i="1"/>
  <c r="GF120" i="1" s="1"/>
  <c r="HN123" i="1"/>
  <c r="HO120" i="1"/>
  <c r="HN119" i="1"/>
  <c r="EF115" i="1"/>
  <c r="HO112" i="1"/>
  <c r="HP113" i="1"/>
  <c r="HO116" i="1"/>
  <c r="HP114" i="1"/>
  <c r="GG112" i="1"/>
  <c r="GF112" i="1" s="1"/>
  <c r="GI112" i="1"/>
  <c r="GI116" i="1"/>
  <c r="GG116" i="1"/>
  <c r="GF116" i="1" s="1"/>
  <c r="GI113" i="1"/>
  <c r="GG113" i="1"/>
  <c r="GF113" i="1" s="1"/>
  <c r="GI121" i="1"/>
  <c r="GG121" i="1"/>
  <c r="GF121" i="1" s="1"/>
  <c r="HN122" i="1"/>
  <c r="HP115" i="1"/>
  <c r="ED123" i="1"/>
  <c r="HP119" i="1"/>
  <c r="HO123" i="1"/>
  <c r="HN120" i="1"/>
  <c r="HP117" i="1"/>
  <c r="HN116" i="1"/>
  <c r="GG114" i="1"/>
  <c r="GH114" i="1" s="1"/>
  <c r="GI114" i="1"/>
  <c r="FG127" i="1"/>
  <c r="GI109" i="1"/>
  <c r="GG109" i="1"/>
  <c r="GF109" i="1" s="1"/>
  <c r="FE111" i="1"/>
  <c r="ED127" i="1"/>
  <c r="GI108" i="1"/>
  <c r="GG108" i="1"/>
  <c r="GH108" i="1" s="1"/>
  <c r="GG107" i="1"/>
  <c r="GF107" i="1" s="1"/>
  <c r="GI107" i="1"/>
  <c r="HN96" i="1"/>
  <c r="EF130" i="1"/>
  <c r="FE128" i="1"/>
  <c r="EF128" i="1"/>
  <c r="HN59" i="1"/>
  <c r="HP77" i="1"/>
  <c r="HN60" i="1"/>
  <c r="HO102" i="1"/>
  <c r="HN77" i="1"/>
  <c r="HO53" i="1"/>
  <c r="HO111" i="1"/>
  <c r="HN100" i="1"/>
  <c r="HO68" i="1"/>
  <c r="HO50" i="1"/>
  <c r="HN56" i="1"/>
  <c r="HO88" i="1"/>
  <c r="HO79" i="1"/>
  <c r="HO100" i="1"/>
  <c r="HO56" i="1"/>
  <c r="HO66" i="1"/>
  <c r="HO96" i="1"/>
  <c r="HN94" i="1"/>
  <c r="HN70" i="1"/>
  <c r="HN53" i="1"/>
  <c r="HO101" i="1"/>
  <c r="HP100" i="1"/>
  <c r="HP59" i="1"/>
  <c r="HO87" i="1"/>
  <c r="HN61" i="1"/>
  <c r="HN49" i="1"/>
  <c r="HN88" i="1"/>
  <c r="HO77" i="1"/>
  <c r="HO55" i="1"/>
  <c r="HN84" i="1"/>
  <c r="HO59" i="1"/>
  <c r="HP55" i="1"/>
  <c r="HP106" i="1"/>
  <c r="HO109" i="1"/>
  <c r="HN85" i="1"/>
  <c r="HO94" i="1"/>
  <c r="HO84" i="1"/>
  <c r="HO51" i="1"/>
  <c r="HO62" i="1"/>
  <c r="HP73" i="1"/>
  <c r="HP51" i="1"/>
  <c r="HO64" i="1"/>
  <c r="FE131" i="1"/>
  <c r="FG132" i="1"/>
  <c r="FG129" i="1"/>
  <c r="HN75" i="1"/>
  <c r="HP62" i="1"/>
  <c r="HP61" i="1"/>
  <c r="HP60" i="1"/>
  <c r="HP57" i="1"/>
  <c r="HP111" i="1"/>
  <c r="HO97" i="1"/>
  <c r="HO89" i="1"/>
  <c r="HO49" i="1"/>
  <c r="HO60" i="1"/>
  <c r="HN66" i="1"/>
  <c r="HO85" i="1"/>
  <c r="HN55" i="1"/>
  <c r="HN68" i="1"/>
  <c r="HO70" i="1"/>
  <c r="HN51" i="1"/>
  <c r="HN58" i="1"/>
  <c r="HO78" i="1"/>
  <c r="HP54" i="1"/>
  <c r="HP58" i="1"/>
  <c r="HP49" i="1"/>
  <c r="HP90" i="1"/>
  <c r="HN109" i="1"/>
  <c r="HO83" i="1"/>
  <c r="HN79" i="1"/>
  <c r="HO61" i="1"/>
  <c r="HN82" i="1"/>
  <c r="HN103" i="1"/>
  <c r="HO65" i="1"/>
  <c r="HN93" i="1"/>
  <c r="HN76" i="1"/>
  <c r="HN104" i="1"/>
  <c r="HN73" i="1"/>
  <c r="HN54" i="1"/>
  <c r="HN48" i="1"/>
  <c r="HN105" i="1"/>
  <c r="HN90" i="1"/>
  <c r="HN74" i="1"/>
  <c r="HO99" i="1"/>
  <c r="HN86" i="1"/>
  <c r="HO95" i="1"/>
  <c r="HN63" i="1"/>
  <c r="HN81" i="1"/>
  <c r="HO58" i="1"/>
  <c r="HO91" i="1"/>
  <c r="HO52" i="1"/>
  <c r="HP79" i="1"/>
  <c r="HP101" i="1"/>
  <c r="HP66" i="1"/>
  <c r="HP82" i="1"/>
  <c r="HP105" i="1"/>
  <c r="HP63" i="1"/>
  <c r="HP71" i="1"/>
  <c r="HP107" i="1"/>
  <c r="HN108" i="1"/>
  <c r="HO80" i="1"/>
  <c r="HO57" i="1"/>
  <c r="HO69" i="1"/>
  <c r="EF129" i="1"/>
  <c r="HN89" i="1"/>
  <c r="HN102" i="1"/>
  <c r="HO82" i="1"/>
  <c r="HO103" i="1"/>
  <c r="HN65" i="1"/>
  <c r="HO93" i="1"/>
  <c r="HO76" i="1"/>
  <c r="HO104" i="1"/>
  <c r="HO73" i="1"/>
  <c r="HO54" i="1"/>
  <c r="HO48" i="1"/>
  <c r="HO105" i="1"/>
  <c r="HO90" i="1"/>
  <c r="HO74" i="1"/>
  <c r="HN99" i="1"/>
  <c r="HO86" i="1"/>
  <c r="HN95" i="1"/>
  <c r="HO63" i="1"/>
  <c r="HO81" i="1"/>
  <c r="HN98" i="1"/>
  <c r="HN106" i="1"/>
  <c r="HO72" i="1"/>
  <c r="HP97" i="1"/>
  <c r="HP53" i="1"/>
  <c r="HP96" i="1"/>
  <c r="HP80" i="1"/>
  <c r="HP94" i="1"/>
  <c r="HP87" i="1"/>
  <c r="HP93" i="1"/>
  <c r="HN111" i="1"/>
  <c r="HO92" i="1"/>
  <c r="HO71" i="1"/>
  <c r="HN67" i="1"/>
  <c r="EF131" i="1"/>
  <c r="N98" i="1"/>
  <c r="AA184" i="6" s="1"/>
  <c r="AW163" i="1" s="1"/>
  <c r="H105" i="1"/>
  <c r="AA113" i="6" s="1"/>
  <c r="AB113" i="6" s="1"/>
  <c r="F102" i="1"/>
  <c r="F97" i="1"/>
  <c r="M26" i="6"/>
  <c r="BJ1" i="6" s="1"/>
  <c r="AW38" i="6"/>
  <c r="H106" i="1"/>
  <c r="AA114" i="6" s="1"/>
  <c r="AW93" i="1" s="1"/>
  <c r="M103" i="1"/>
  <c r="AA172" i="6" s="1"/>
  <c r="AW151" i="1" s="1"/>
  <c r="O101" i="1"/>
  <c r="AA200" i="6" s="1"/>
  <c r="AB200" i="6" s="1"/>
  <c r="HO98" i="1"/>
  <c r="HN101" i="1"/>
  <c r="HO106" i="1"/>
  <c r="HN78" i="1"/>
  <c r="HN72" i="1"/>
  <c r="HP75" i="1"/>
  <c r="HP104" i="1"/>
  <c r="HP81" i="1"/>
  <c r="HP50" i="1"/>
  <c r="HP88" i="1"/>
  <c r="HP102" i="1"/>
  <c r="HP56" i="1"/>
  <c r="HP98" i="1"/>
  <c r="HP103" i="1"/>
  <c r="HP70" i="1"/>
  <c r="HP68" i="1"/>
  <c r="HP83" i="1"/>
  <c r="HP48" i="1"/>
  <c r="HP89" i="1"/>
  <c r="HP65" i="1"/>
  <c r="HP110" i="1"/>
  <c r="HP109" i="1"/>
  <c r="HO110" i="1"/>
  <c r="HN107" i="1"/>
  <c r="HN92" i="1"/>
  <c r="HN87" i="1"/>
  <c r="HN71" i="1"/>
  <c r="HN83" i="1"/>
  <c r="HO67" i="1"/>
  <c r="H99" i="1"/>
  <c r="AA107" i="6" s="1"/>
  <c r="AW86" i="1" s="1"/>
  <c r="K104" i="1"/>
  <c r="AA145" i="6" s="1"/>
  <c r="AW124" i="1" s="1"/>
  <c r="HN62" i="1"/>
  <c r="HN91" i="1"/>
  <c r="HO75" i="1"/>
  <c r="HN52" i="1"/>
  <c r="HN50" i="1"/>
  <c r="HP92" i="1"/>
  <c r="HP78" i="1"/>
  <c r="HP72" i="1"/>
  <c r="HP67" i="1"/>
  <c r="HP91" i="1"/>
  <c r="HP76" i="1"/>
  <c r="HP74" i="1"/>
  <c r="HP64" i="1"/>
  <c r="HP86" i="1"/>
  <c r="HP95" i="1"/>
  <c r="HP84" i="1"/>
  <c r="HP52" i="1"/>
  <c r="HP99" i="1"/>
  <c r="HP85" i="1"/>
  <c r="HP69" i="1"/>
  <c r="HO107" i="1"/>
  <c r="HO108" i="1"/>
  <c r="HN110" i="1"/>
  <c r="HN80" i="1"/>
  <c r="HN64" i="1"/>
  <c r="HN57" i="1"/>
  <c r="HN97" i="1"/>
  <c r="A41" i="6"/>
  <c r="AD52" i="6"/>
  <c r="AR41" i="6"/>
  <c r="AW41" i="6" s="1"/>
  <c r="AD3" i="6"/>
  <c r="AR40" i="6"/>
  <c r="AW40" i="6" s="1"/>
  <c r="AE4" i="6"/>
  <c r="BK3" i="6"/>
  <c r="A1" i="6"/>
  <c r="EF47" i="1"/>
  <c r="E101" i="1"/>
  <c r="M106" i="1"/>
  <c r="AA169" i="6" s="1"/>
  <c r="AW148" i="1" s="1"/>
  <c r="J96" i="1"/>
  <c r="AA130" i="6" s="1"/>
  <c r="AW109" i="1" s="1"/>
  <c r="D96" i="1"/>
  <c r="G97" i="1"/>
  <c r="N96" i="1"/>
  <c r="AA182" i="6" s="1"/>
  <c r="AB182" i="6" s="1"/>
  <c r="K103" i="1"/>
  <c r="AA146" i="6" s="1"/>
  <c r="AB146" i="6" s="1"/>
  <c r="M104" i="1"/>
  <c r="AA171" i="6" s="1"/>
  <c r="AW150" i="1" s="1"/>
  <c r="K98" i="1"/>
  <c r="AA151" i="6" s="1"/>
  <c r="AW130" i="1" s="1"/>
  <c r="L99" i="1"/>
  <c r="AA159" i="6" s="1"/>
  <c r="AW138" i="1" s="1"/>
  <c r="M102" i="1"/>
  <c r="AA173" i="6" s="1"/>
  <c r="AB173" i="6" s="1"/>
  <c r="G104" i="1"/>
  <c r="H97" i="1"/>
  <c r="AA105" i="6" s="1"/>
  <c r="E100" i="1"/>
  <c r="F101" i="1"/>
  <c r="J97" i="1"/>
  <c r="AA131" i="6" s="1"/>
  <c r="J105" i="1"/>
  <c r="AA139" i="6" s="1"/>
  <c r="AW118" i="1" s="1"/>
  <c r="E96" i="1"/>
  <c r="N105" i="1"/>
  <c r="AA191" i="6" s="1"/>
  <c r="AW170" i="1" s="1"/>
  <c r="H103" i="1"/>
  <c r="AA111" i="6" s="1"/>
  <c r="AB111" i="6" s="1"/>
  <c r="F106" i="1"/>
  <c r="J106" i="1"/>
  <c r="AA140" i="6" s="1"/>
  <c r="AB140" i="6" s="1"/>
  <c r="E104" i="1"/>
  <c r="H101" i="1"/>
  <c r="AA109" i="6" s="1"/>
  <c r="AW88" i="1" s="1"/>
  <c r="K106" i="1"/>
  <c r="AA143" i="6" s="1"/>
  <c r="AB143" i="6" s="1"/>
  <c r="ED44" i="1"/>
  <c r="O96" i="1"/>
  <c r="AA205" i="6" s="1"/>
  <c r="AB205" i="6" s="1"/>
  <c r="O103" i="1"/>
  <c r="AA198" i="6" s="1"/>
  <c r="AB198" i="6" s="1"/>
  <c r="M98" i="1"/>
  <c r="AA177" i="6" s="1"/>
  <c r="AW156" i="1" s="1"/>
  <c r="C44" i="1"/>
  <c r="M42" i="1" s="1"/>
  <c r="O42" i="1" s="1"/>
  <c r="M97" i="1"/>
  <c r="AA178" i="6" s="1"/>
  <c r="G35" i="1"/>
  <c r="Y58" i="6" s="1"/>
  <c r="AA76" i="6" s="1"/>
  <c r="AB76" i="6" s="1"/>
  <c r="O97" i="1"/>
  <c r="AA204" i="6" s="1"/>
  <c r="J104" i="1"/>
  <c r="AA138" i="6" s="1"/>
  <c r="AB138" i="6" s="1"/>
  <c r="I103" i="1"/>
  <c r="AA120" i="6" s="1"/>
  <c r="AW99" i="1" s="1"/>
  <c r="G100" i="1"/>
  <c r="L100" i="1"/>
  <c r="AA160" i="6" s="1"/>
  <c r="AW139" i="1" s="1"/>
  <c r="J101" i="1"/>
  <c r="AA135" i="6" s="1"/>
  <c r="AW114" i="1" s="1"/>
  <c r="F96" i="1"/>
  <c r="I98" i="1"/>
  <c r="AA125" i="6" s="1"/>
  <c r="AW104" i="1" s="1"/>
  <c r="G103" i="1"/>
  <c r="N97" i="1"/>
  <c r="AA183" i="6" s="1"/>
  <c r="E106" i="1"/>
  <c r="ED133" i="1"/>
  <c r="L98" i="1"/>
  <c r="AA158" i="6" s="1"/>
  <c r="AB158" i="6" s="1"/>
  <c r="K96" i="1"/>
  <c r="AA153" i="6" s="1"/>
  <c r="AW132" i="1" s="1"/>
  <c r="D98" i="1"/>
  <c r="F98" i="1"/>
  <c r="M100" i="1"/>
  <c r="AA175" i="6" s="1"/>
  <c r="AW154" i="1" s="1"/>
  <c r="E98" i="1"/>
  <c r="K102" i="1"/>
  <c r="AA147" i="6" s="1"/>
  <c r="AB147" i="6" s="1"/>
  <c r="I104" i="1"/>
  <c r="AA119" i="6" s="1"/>
  <c r="AW98" i="1" s="1"/>
  <c r="E103" i="1"/>
  <c r="E99" i="1"/>
  <c r="N100" i="1"/>
  <c r="AA186" i="6" s="1"/>
  <c r="AB186" i="6" s="1"/>
  <c r="F104" i="1"/>
  <c r="O104" i="1"/>
  <c r="AA197" i="6" s="1"/>
  <c r="AB197" i="6" s="1"/>
  <c r="G101" i="1"/>
  <c r="J100" i="1"/>
  <c r="AA134" i="6" s="1"/>
  <c r="AB134" i="6" s="1"/>
  <c r="N102" i="1"/>
  <c r="AA188" i="6" s="1"/>
  <c r="AB188" i="6" s="1"/>
  <c r="I99" i="1"/>
  <c r="AA124" i="6" s="1"/>
  <c r="AW103" i="1" s="1"/>
  <c r="H100" i="1"/>
  <c r="AA108" i="6" s="1"/>
  <c r="AB108" i="6" s="1"/>
  <c r="N104" i="1"/>
  <c r="AA190" i="6" s="1"/>
  <c r="AB190" i="6" s="1"/>
  <c r="H98" i="1"/>
  <c r="AA106" i="6" s="1"/>
  <c r="AW85" i="1" s="1"/>
  <c r="G96" i="1"/>
  <c r="L104" i="1"/>
  <c r="AA164" i="6" s="1"/>
  <c r="AW143" i="1" s="1"/>
  <c r="J103" i="1"/>
  <c r="AA137" i="6" s="1"/>
  <c r="AB137" i="6" s="1"/>
  <c r="N103" i="1"/>
  <c r="AA189" i="6" s="1"/>
  <c r="AB189" i="6" s="1"/>
  <c r="F103" i="1"/>
  <c r="H96" i="1"/>
  <c r="AA104" i="6" s="1"/>
  <c r="AB104" i="6" s="1"/>
  <c r="H102" i="1"/>
  <c r="AA110" i="6" s="1"/>
  <c r="AW89" i="1" s="1"/>
  <c r="I105" i="1"/>
  <c r="AA118" i="6" s="1"/>
  <c r="AW97" i="1" s="1"/>
  <c r="D101" i="1"/>
  <c r="M101" i="1"/>
  <c r="AA174" i="6" s="1"/>
  <c r="AW153" i="1" s="1"/>
  <c r="D104" i="1"/>
  <c r="K97" i="1"/>
  <c r="AA152" i="6" s="1"/>
  <c r="D100" i="1"/>
  <c r="F100" i="1"/>
  <c r="M96" i="1"/>
  <c r="AA179" i="6" s="1"/>
  <c r="AW158" i="1" s="1"/>
  <c r="L97" i="1"/>
  <c r="AA157" i="6" s="1"/>
  <c r="O100" i="1"/>
  <c r="AA201" i="6" s="1"/>
  <c r="AB201" i="6" s="1"/>
  <c r="K105" i="1"/>
  <c r="AA144" i="6" s="1"/>
  <c r="AB144" i="6" s="1"/>
  <c r="D102" i="1"/>
  <c r="G106" i="1"/>
  <c r="M99" i="1"/>
  <c r="AA176" i="6" s="1"/>
  <c r="AB176" i="6" s="1"/>
  <c r="G102" i="1"/>
  <c r="D105" i="1"/>
  <c r="I96" i="1"/>
  <c r="AA127" i="6" s="1"/>
  <c r="AW106" i="1" s="1"/>
  <c r="I100" i="1"/>
  <c r="AA123" i="6" s="1"/>
  <c r="AW102" i="1" s="1"/>
  <c r="J102" i="1"/>
  <c r="AA136" i="6" s="1"/>
  <c r="AW115" i="1" s="1"/>
  <c r="E35" i="1"/>
  <c r="M105" i="1"/>
  <c r="AA170" i="6" s="1"/>
  <c r="AW149" i="1" s="1"/>
  <c r="E97" i="1"/>
  <c r="K101" i="1"/>
  <c r="AA148" i="6" s="1"/>
  <c r="AW127" i="1" s="1"/>
  <c r="D106" i="1"/>
  <c r="HU4" i="1"/>
  <c r="HW4" i="1" s="1"/>
  <c r="HX4" i="1" s="1"/>
  <c r="IB4" i="1" s="1"/>
  <c r="EF126" i="1"/>
  <c r="E102" i="1"/>
  <c r="L102" i="1"/>
  <c r="AA162" i="6" s="1"/>
  <c r="AW141" i="1" s="1"/>
  <c r="H104" i="1"/>
  <c r="AA112" i="6" s="1"/>
  <c r="AB112" i="6" s="1"/>
  <c r="E105" i="1"/>
  <c r="O105" i="1"/>
  <c r="AA196" i="6" s="1"/>
  <c r="AW175" i="1" s="1"/>
  <c r="L101" i="1"/>
  <c r="AA161" i="6" s="1"/>
  <c r="AB161" i="6" s="1"/>
  <c r="G105" i="1"/>
  <c r="O98" i="1"/>
  <c r="AA203" i="6" s="1"/>
  <c r="AB203" i="6" s="1"/>
  <c r="L105" i="1"/>
  <c r="AA165" i="6" s="1"/>
  <c r="AW144" i="1" s="1"/>
  <c r="N99" i="1"/>
  <c r="AA185" i="6" s="1"/>
  <c r="AW164" i="1" s="1"/>
  <c r="I102" i="1"/>
  <c r="AA121" i="6" s="1"/>
  <c r="AW100" i="1" s="1"/>
  <c r="O102" i="1"/>
  <c r="AA199" i="6" s="1"/>
  <c r="AW178" i="1" s="1"/>
  <c r="F105" i="1"/>
  <c r="L103" i="1"/>
  <c r="AA163" i="6" s="1"/>
  <c r="AB163" i="6" s="1"/>
  <c r="D99" i="1"/>
  <c r="I101" i="1"/>
  <c r="AA122" i="6" s="1"/>
  <c r="AB122" i="6" s="1"/>
  <c r="CW2" i="1"/>
  <c r="K100" i="1"/>
  <c r="AA149" i="6" s="1"/>
  <c r="AW128" i="1" s="1"/>
  <c r="I106" i="1"/>
  <c r="AA117" i="6" s="1"/>
  <c r="AB117" i="6" s="1"/>
  <c r="O99" i="1"/>
  <c r="AA202" i="6" s="1"/>
  <c r="AB202" i="6" s="1"/>
  <c r="D97" i="1"/>
  <c r="J98" i="1"/>
  <c r="AA132" i="6" s="1"/>
  <c r="AB132" i="6" s="1"/>
  <c r="N101" i="1"/>
  <c r="AA187" i="6" s="1"/>
  <c r="AB187" i="6" s="1"/>
  <c r="I97" i="1"/>
  <c r="AA126" i="6" s="1"/>
  <c r="F99" i="1"/>
  <c r="L96" i="1"/>
  <c r="AA156" i="6" s="1"/>
  <c r="AB156" i="6" s="1"/>
  <c r="J99" i="1"/>
  <c r="AA133" i="6" s="1"/>
  <c r="AW112" i="1" s="1"/>
  <c r="N106" i="1"/>
  <c r="AA192" i="6" s="1"/>
  <c r="AB192" i="6" s="1"/>
  <c r="K99" i="1"/>
  <c r="AA150" i="6" s="1"/>
  <c r="AB150" i="6" s="1"/>
  <c r="O106" i="1"/>
  <c r="AA195" i="6" s="1"/>
  <c r="AB195" i="6" s="1"/>
  <c r="G99" i="1"/>
  <c r="L106" i="1"/>
  <c r="AA166" i="6" s="1"/>
  <c r="AW145" i="1" s="1"/>
  <c r="G98" i="1"/>
  <c r="FE47" i="1"/>
  <c r="FG126" i="1"/>
  <c r="FE126" i="1"/>
  <c r="FG44" i="1"/>
  <c r="FE133" i="1"/>
  <c r="FG133" i="1"/>
  <c r="GF46" i="1"/>
  <c r="GH67" i="1"/>
  <c r="GF67" i="1"/>
  <c r="GH100" i="1"/>
  <c r="GF100" i="1"/>
  <c r="GF80" i="1"/>
  <c r="GH80" i="1"/>
  <c r="GF93" i="1"/>
  <c r="GH93" i="1"/>
  <c r="GH72" i="1"/>
  <c r="GF72" i="1"/>
  <c r="GH55" i="1"/>
  <c r="GF55" i="1"/>
  <c r="GF56" i="1"/>
  <c r="GH56" i="1"/>
  <c r="GH63" i="1"/>
  <c r="GF63" i="1"/>
  <c r="GH71" i="1"/>
  <c r="GF71" i="1"/>
  <c r="GF57" i="1"/>
  <c r="GH57" i="1"/>
  <c r="GH51" i="1"/>
  <c r="GF51" i="1"/>
  <c r="GH76" i="1"/>
  <c r="GF76" i="1"/>
  <c r="GH104" i="1"/>
  <c r="GF104" i="1"/>
  <c r="GH62" i="1"/>
  <c r="GF62" i="1"/>
  <c r="GH98" i="1"/>
  <c r="GF98" i="1"/>
  <c r="GF65" i="1"/>
  <c r="GH65" i="1"/>
  <c r="GF73" i="1"/>
  <c r="GH73" i="1"/>
  <c r="GH79" i="1"/>
  <c r="GF79" i="1"/>
  <c r="GF61" i="1"/>
  <c r="GH61" i="1"/>
  <c r="GH103" i="1"/>
  <c r="GF103" i="1"/>
  <c r="GH83" i="1"/>
  <c r="GF83" i="1"/>
  <c r="GH48" i="1"/>
  <c r="GF48" i="1"/>
  <c r="GF101" i="1"/>
  <c r="GH101" i="1"/>
  <c r="GH75" i="1"/>
  <c r="GF75" i="1"/>
  <c r="GH95" i="1"/>
  <c r="GF95" i="1"/>
  <c r="GH90" i="1"/>
  <c r="GF90" i="1"/>
  <c r="GF85" i="1"/>
  <c r="GH85" i="1"/>
  <c r="GF49" i="1"/>
  <c r="GH49" i="1"/>
  <c r="GF53" i="1"/>
  <c r="GH53" i="1"/>
  <c r="GF64" i="1"/>
  <c r="GH64" i="1"/>
  <c r="GF96" i="1"/>
  <c r="GH96" i="1"/>
  <c r="GF105" i="1"/>
  <c r="GH105" i="1"/>
  <c r="GF69" i="1"/>
  <c r="GH69" i="1"/>
  <c r="GH74" i="1"/>
  <c r="GF74" i="1"/>
  <c r="GH106" i="1"/>
  <c r="GF106" i="1"/>
  <c r="GH50" i="1"/>
  <c r="GF50" i="1"/>
  <c r="GH88" i="1"/>
  <c r="GF88" i="1"/>
  <c r="GH54" i="1"/>
  <c r="GF54" i="1"/>
  <c r="GH87" i="1"/>
  <c r="GF87" i="1"/>
  <c r="FG49" i="1"/>
  <c r="FG101" i="1"/>
  <c r="FE59" i="1"/>
  <c r="FE89" i="1"/>
  <c r="EF68" i="1"/>
  <c r="FG98" i="1"/>
  <c r="ED48" i="1"/>
  <c r="EF79" i="1"/>
  <c r="FE61" i="1"/>
  <c r="ED52" i="1"/>
  <c r="FE100" i="1"/>
  <c r="EF56" i="1"/>
  <c r="FG64" i="1"/>
  <c r="ED101" i="1"/>
  <c r="Z96" i="6"/>
  <c r="AX76" i="1"/>
  <c r="IL3" i="1"/>
  <c r="II1" i="1" s="1"/>
  <c r="P46" i="1"/>
  <c r="Z107" i="6"/>
  <c r="AX87" i="1"/>
  <c r="Z118" i="6"/>
  <c r="AX98" i="1"/>
  <c r="Q31" i="1"/>
  <c r="AX120" i="1"/>
  <c r="Z141" i="6" s="1"/>
  <c r="AX65" i="1"/>
  <c r="Z85" i="6"/>
  <c r="Z129" i="6"/>
  <c r="AX109" i="1"/>
  <c r="GH82" i="1" l="1"/>
  <c r="FG108" i="1"/>
  <c r="EJ53" i="1"/>
  <c r="FI121" i="1"/>
  <c r="AD55" i="6"/>
  <c r="AD54" i="6" s="1"/>
  <c r="AD56" i="6" s="1"/>
  <c r="AD58" i="6" s="1"/>
  <c r="AS51" i="6" s="1"/>
  <c r="AT51" i="6" s="1"/>
  <c r="GJ89" i="1"/>
  <c r="FK50" i="1"/>
  <c r="EJ108" i="1"/>
  <c r="GH81" i="1"/>
  <c r="EF108" i="1"/>
  <c r="EJ66" i="1"/>
  <c r="FG88" i="1"/>
  <c r="EF60" i="1"/>
  <c r="FE53" i="1"/>
  <c r="GH84" i="1"/>
  <c r="ED53" i="1"/>
  <c r="FE70" i="1"/>
  <c r="FE71" i="1"/>
  <c r="EJ110" i="1"/>
  <c r="FI122" i="1"/>
  <c r="FE54" i="1"/>
  <c r="EF54" i="1"/>
  <c r="GH92" i="1"/>
  <c r="EJ97" i="1"/>
  <c r="FE62" i="1"/>
  <c r="GF66" i="1"/>
  <c r="EF46" i="1"/>
  <c r="AA101" i="6"/>
  <c r="AW80" i="1" s="1"/>
  <c r="AA94" i="6"/>
  <c r="AB94" i="6" s="1"/>
  <c r="AA88" i="6"/>
  <c r="AW67" i="1" s="1"/>
  <c r="AA100" i="6"/>
  <c r="AW79" i="1" s="1"/>
  <c r="FK107" i="1"/>
  <c r="EF96" i="1"/>
  <c r="ED50" i="1"/>
  <c r="ED89" i="1"/>
  <c r="FI54" i="1"/>
  <c r="FG68" i="1"/>
  <c r="GH70" i="1"/>
  <c r="EJ85" i="1"/>
  <c r="FI90" i="1"/>
  <c r="EF66" i="1"/>
  <c r="EH84" i="1"/>
  <c r="GJ51" i="1"/>
  <c r="EH46" i="1"/>
  <c r="FK66" i="1"/>
  <c r="EH54" i="1"/>
  <c r="FI49" i="1"/>
  <c r="EF103" i="1"/>
  <c r="EF83" i="1"/>
  <c r="GF86" i="1"/>
  <c r="EF107" i="1"/>
  <c r="EF114" i="1"/>
  <c r="FK104" i="1"/>
  <c r="FK55" i="1"/>
  <c r="GJ66" i="1"/>
  <c r="FI61" i="1"/>
  <c r="FE94" i="1"/>
  <c r="FE66" i="1"/>
  <c r="FE96" i="1"/>
  <c r="GH59" i="1"/>
  <c r="EJ70" i="1"/>
  <c r="GJ86" i="1"/>
  <c r="EF85" i="1"/>
  <c r="EF55" i="1"/>
  <c r="EF92" i="1"/>
  <c r="GK111" i="1"/>
  <c r="GJ111" i="1" s="1"/>
  <c r="FI70" i="1"/>
  <c r="FG78" i="1"/>
  <c r="GJ81" i="1"/>
  <c r="GF91" i="1"/>
  <c r="ED109" i="1"/>
  <c r="GI111" i="1"/>
  <c r="GL78" i="1"/>
  <c r="FI93" i="1"/>
  <c r="ED88" i="1"/>
  <c r="FG60" i="1"/>
  <c r="FE97" i="1"/>
  <c r="GH102" i="1"/>
  <c r="FK109" i="1"/>
  <c r="FK96" i="1"/>
  <c r="FE95" i="1"/>
  <c r="FE92" i="1"/>
  <c r="FE86" i="1"/>
  <c r="EF75" i="1"/>
  <c r="FG114" i="1"/>
  <c r="FK86" i="1"/>
  <c r="ED90" i="1"/>
  <c r="FG87" i="1"/>
  <c r="ED94" i="1"/>
  <c r="GG119" i="1"/>
  <c r="GH119" i="1" s="1"/>
  <c r="ED113" i="1"/>
  <c r="FK92" i="1"/>
  <c r="EJ83" i="1"/>
  <c r="FI85" i="1"/>
  <c r="EJ122" i="1"/>
  <c r="GJ94" i="1"/>
  <c r="EJ63" i="1"/>
  <c r="FK76" i="1"/>
  <c r="FI106" i="1"/>
  <c r="FI45" i="1"/>
  <c r="ED106" i="1"/>
  <c r="FG65" i="1"/>
  <c r="GJ113" i="1"/>
  <c r="FE50" i="1"/>
  <c r="EF51" i="1"/>
  <c r="GF58" i="1"/>
  <c r="GF99" i="1"/>
  <c r="FE110" i="1"/>
  <c r="ED118" i="1"/>
  <c r="GI119" i="1"/>
  <c r="FK88" i="1"/>
  <c r="GK119" i="1"/>
  <c r="GJ119" i="1" s="1"/>
  <c r="ED45" i="1"/>
  <c r="EH87" i="1"/>
  <c r="EJ45" i="1"/>
  <c r="ED74" i="1"/>
  <c r="EF81" i="1"/>
  <c r="ED57" i="1"/>
  <c r="EF87" i="1"/>
  <c r="EF58" i="1"/>
  <c r="FE90" i="1"/>
  <c r="EF86" i="1"/>
  <c r="ED64" i="1"/>
  <c r="GH94" i="1"/>
  <c r="FE45" i="1"/>
  <c r="FG118" i="1"/>
  <c r="EF112" i="1"/>
  <c r="EH59" i="1"/>
  <c r="GJ56" i="1"/>
  <c r="FK74" i="1"/>
  <c r="EH86" i="1"/>
  <c r="GL92" i="1"/>
  <c r="FK46" i="1"/>
  <c r="EH56" i="1"/>
  <c r="AA98" i="6"/>
  <c r="AW77" i="1" s="1"/>
  <c r="AA93" i="6"/>
  <c r="AB93" i="6" s="1"/>
  <c r="GG111" i="1"/>
  <c r="GF111" i="1" s="1"/>
  <c r="FE121" i="1"/>
  <c r="EH90" i="1"/>
  <c r="FK51" i="1"/>
  <c r="FG104" i="1"/>
  <c r="AA78" i="6"/>
  <c r="AB78" i="6" s="1"/>
  <c r="AA83" i="6"/>
  <c r="AB83" i="6" s="1"/>
  <c r="AA84" i="6"/>
  <c r="AB84" i="6" s="1"/>
  <c r="GI110" i="1"/>
  <c r="ED121" i="1"/>
  <c r="EH80" i="1"/>
  <c r="GJ120" i="1"/>
  <c r="FI95" i="1"/>
  <c r="FI82" i="1"/>
  <c r="GL70" i="1"/>
  <c r="FG80" i="1"/>
  <c r="AA92" i="6"/>
  <c r="AW71" i="1" s="1"/>
  <c r="AA91" i="6"/>
  <c r="AB91" i="6" s="1"/>
  <c r="AA86" i="6"/>
  <c r="AW65" i="1" s="1"/>
  <c r="AA80" i="6"/>
  <c r="AB80" i="6" s="1"/>
  <c r="AA97" i="6"/>
  <c r="AW76" i="1" s="1"/>
  <c r="AA79" i="6"/>
  <c r="AW58" i="1" s="1"/>
  <c r="EH48" i="1"/>
  <c r="EF73" i="1"/>
  <c r="FG84" i="1"/>
  <c r="FG55" i="1"/>
  <c r="FG85" i="1"/>
  <c r="GH89" i="1"/>
  <c r="AA99" i="6"/>
  <c r="AB99" i="6" s="1"/>
  <c r="AA81" i="6"/>
  <c r="AB81" i="6" s="1"/>
  <c r="AA87" i="6"/>
  <c r="AB87" i="6" s="1"/>
  <c r="AA95" i="6"/>
  <c r="AB95" i="6" s="1"/>
  <c r="AA82" i="6"/>
  <c r="AB82" i="6" s="1"/>
  <c r="AA96" i="6"/>
  <c r="AB96" i="6" s="1"/>
  <c r="ED117" i="1"/>
  <c r="FI72" i="1"/>
  <c r="FK89" i="1"/>
  <c r="EJ94" i="1"/>
  <c r="GJ118" i="1"/>
  <c r="EH91" i="1"/>
  <c r="FK114" i="1"/>
  <c r="ED69" i="1"/>
  <c r="FI69" i="1"/>
  <c r="GM123" i="1"/>
  <c r="EJ77" i="1"/>
  <c r="GL91" i="1"/>
  <c r="FG83" i="1"/>
  <c r="FG48" i="1"/>
  <c r="FE99" i="1"/>
  <c r="EF100" i="1"/>
  <c r="GF47" i="1"/>
  <c r="FE107" i="1"/>
  <c r="GI122" i="1"/>
  <c r="EH69" i="1"/>
  <c r="FK91" i="1"/>
  <c r="FK99" i="1"/>
  <c r="FI80" i="1"/>
  <c r="EH88" i="1"/>
  <c r="FK113" i="1"/>
  <c r="EH100" i="1"/>
  <c r="GL63" i="1"/>
  <c r="EJ109" i="1"/>
  <c r="EH81" i="1"/>
  <c r="EJ81" i="1"/>
  <c r="FE91" i="1"/>
  <c r="FE51" i="1"/>
  <c r="EH64" i="1"/>
  <c r="FI65" i="1"/>
  <c r="FE106" i="1"/>
  <c r="ED102" i="1"/>
  <c r="GH77" i="1"/>
  <c r="GG123" i="1"/>
  <c r="GF123" i="1" s="1"/>
  <c r="GL112" i="1"/>
  <c r="FI62" i="1"/>
  <c r="FI102" i="1"/>
  <c r="EJ79" i="1"/>
  <c r="GL116" i="1"/>
  <c r="GJ58" i="1"/>
  <c r="FI118" i="1"/>
  <c r="GL123" i="1"/>
  <c r="GJ123" i="1"/>
  <c r="FK84" i="1"/>
  <c r="FI84" i="1"/>
  <c r="EF71" i="1"/>
  <c r="EF76" i="1"/>
  <c r="FE117" i="1"/>
  <c r="FK59" i="1"/>
  <c r="EH104" i="1"/>
  <c r="GJ77" i="1"/>
  <c r="FG56" i="1"/>
  <c r="FG76" i="1"/>
  <c r="ED62" i="1"/>
  <c r="ED91" i="1"/>
  <c r="EF110" i="1"/>
  <c r="FE112" i="1"/>
  <c r="EJ99" i="1"/>
  <c r="EH103" i="1"/>
  <c r="GJ103" i="1"/>
  <c r="EH67" i="1"/>
  <c r="FK58" i="1"/>
  <c r="EH113" i="1"/>
  <c r="EJ113" i="1"/>
  <c r="FK75" i="1"/>
  <c r="EF97" i="1"/>
  <c r="ED77" i="1"/>
  <c r="EF84" i="1"/>
  <c r="FG69" i="1"/>
  <c r="EF59" i="1"/>
  <c r="FG75" i="1"/>
  <c r="FE58" i="1"/>
  <c r="ED49" i="1"/>
  <c r="FE63" i="1"/>
  <c r="FG109" i="1"/>
  <c r="EF122" i="1"/>
  <c r="GI123" i="1"/>
  <c r="GL102" i="1"/>
  <c r="EJ89" i="1"/>
  <c r="EJ58" i="1"/>
  <c r="FI67" i="1"/>
  <c r="GL114" i="1"/>
  <c r="GM122" i="1"/>
  <c r="GJ69" i="1"/>
  <c r="EH118" i="1"/>
  <c r="EJ62" i="1"/>
  <c r="FK100" i="1"/>
  <c r="FK63" i="1"/>
  <c r="GL47" i="1"/>
  <c r="EJ112" i="1"/>
  <c r="EF98" i="1"/>
  <c r="EF67" i="1"/>
  <c r="FE77" i="1"/>
  <c r="EF104" i="1"/>
  <c r="GF68" i="1"/>
  <c r="FE81" i="1"/>
  <c r="FG105" i="1"/>
  <c r="GF60" i="1"/>
  <c r="EH117" i="1"/>
  <c r="EJ73" i="1"/>
  <c r="EJ107" i="1"/>
  <c r="EH107" i="1"/>
  <c r="FI105" i="1"/>
  <c r="FE73" i="1"/>
  <c r="EF63" i="1"/>
  <c r="EF70" i="1"/>
  <c r="ED61" i="1"/>
  <c r="FE93" i="1"/>
  <c r="EJ95" i="1"/>
  <c r="FI117" i="1"/>
  <c r="EH75" i="1"/>
  <c r="AB102" i="6"/>
  <c r="FG72" i="1"/>
  <c r="FE82" i="1"/>
  <c r="ED99" i="1"/>
  <c r="FE79" i="1"/>
  <c r="ED93" i="1"/>
  <c r="GH97" i="1"/>
  <c r="FI64" i="1"/>
  <c r="GL121" i="1"/>
  <c r="FI98" i="1"/>
  <c r="FI110" i="1"/>
  <c r="GL60" i="1"/>
  <c r="EH93" i="1"/>
  <c r="EJ57" i="1"/>
  <c r="EH57" i="1"/>
  <c r="ED105" i="1"/>
  <c r="ED78" i="1"/>
  <c r="GJ52" i="1"/>
  <c r="FI79" i="1"/>
  <c r="EH72" i="1"/>
  <c r="FG57" i="1"/>
  <c r="FI78" i="1"/>
  <c r="FK71" i="1"/>
  <c r="FI48" i="1"/>
  <c r="FK103" i="1"/>
  <c r="EH61" i="1"/>
  <c r="GL122" i="1"/>
  <c r="GL108" i="1"/>
  <c r="GL97" i="1"/>
  <c r="GJ97" i="1"/>
  <c r="AA103" i="6"/>
  <c r="AW82" i="1" s="1"/>
  <c r="FE103" i="1"/>
  <c r="EF82" i="1"/>
  <c r="ED95" i="1"/>
  <c r="ED80" i="1"/>
  <c r="EF72" i="1"/>
  <c r="GF78" i="1"/>
  <c r="GG122" i="1"/>
  <c r="GF122" i="1" s="1"/>
  <c r="FG122" i="1"/>
  <c r="FI68" i="1"/>
  <c r="EJ71" i="1"/>
  <c r="EH82" i="1"/>
  <c r="GL115" i="1"/>
  <c r="GL117" i="1"/>
  <c r="GL107" i="1"/>
  <c r="EJ65" i="1"/>
  <c r="EJ49" i="1"/>
  <c r="EH68" i="1"/>
  <c r="FI83" i="1"/>
  <c r="FI60" i="1"/>
  <c r="GJ71" i="1"/>
  <c r="FK97" i="1"/>
  <c r="FI52" i="1"/>
  <c r="ED65" i="1"/>
  <c r="FG52" i="1"/>
  <c r="GF52" i="1"/>
  <c r="GL73" i="1"/>
  <c r="EH78" i="1"/>
  <c r="EH60" i="1"/>
  <c r="GJ109" i="1"/>
  <c r="EH74" i="1"/>
  <c r="EJ102" i="1"/>
  <c r="GK110" i="1"/>
  <c r="GL110" i="1" s="1"/>
  <c r="GM110" i="1"/>
  <c r="EJ98" i="1"/>
  <c r="EH52" i="1"/>
  <c r="FI56" i="1"/>
  <c r="FG67" i="1"/>
  <c r="FG74" i="1"/>
  <c r="FE102" i="1"/>
  <c r="GF114" i="1"/>
  <c r="GH117" i="1"/>
  <c r="GH120" i="1"/>
  <c r="GH116" i="1"/>
  <c r="GH121" i="1"/>
  <c r="GF118" i="1"/>
  <c r="GF108" i="1"/>
  <c r="GH113" i="1"/>
  <c r="GH112" i="1"/>
  <c r="GF115" i="1"/>
  <c r="GH107" i="1"/>
  <c r="GH109" i="1"/>
  <c r="GH110" i="1"/>
  <c r="AB184" i="6"/>
  <c r="AB114" i="6"/>
  <c r="AR39" i="6"/>
  <c r="AW39" i="6" s="1"/>
  <c r="AW92" i="1"/>
  <c r="AW119" i="1"/>
  <c r="AB145" i="6"/>
  <c r="Y42" i="1"/>
  <c r="AA42" i="1" s="1"/>
  <c r="AP24" i="1" s="1"/>
  <c r="AW87" i="1"/>
  <c r="AB164" i="6"/>
  <c r="Q42" i="1"/>
  <c r="S42" i="1" s="1"/>
  <c r="AP8" i="1" s="1"/>
  <c r="AZ3" i="6"/>
  <c r="P4" i="6" s="1"/>
  <c r="AW161" i="1"/>
  <c r="I42" i="1"/>
  <c r="K42" i="1" s="1"/>
  <c r="AB109" i="6"/>
  <c r="AB171" i="6"/>
  <c r="AB172" i="6"/>
  <c r="AW113" i="1"/>
  <c r="AB107" i="6"/>
  <c r="AW126" i="1"/>
  <c r="AW184" i="1"/>
  <c r="AW116" i="1"/>
  <c r="AB123" i="6"/>
  <c r="AB153" i="6"/>
  <c r="AB169" i="6"/>
  <c r="AB174" i="6"/>
  <c r="AB196" i="6"/>
  <c r="AW129" i="1"/>
  <c r="AB151" i="6"/>
  <c r="AW179" i="1"/>
  <c r="AW177" i="1"/>
  <c r="AW182" i="1"/>
  <c r="AW176" i="1"/>
  <c r="AB139" i="6"/>
  <c r="AB166" i="6"/>
  <c r="AB177" i="6"/>
  <c r="AW171" i="1"/>
  <c r="AB124" i="6"/>
  <c r="AW137" i="1"/>
  <c r="AB175" i="6"/>
  <c r="AW101" i="1"/>
  <c r="AW165" i="1"/>
  <c r="E108" i="1"/>
  <c r="F35" i="1" s="1"/>
  <c r="Y57" i="6" s="1"/>
  <c r="AB160" i="6"/>
  <c r="AW155" i="1"/>
  <c r="AA70" i="6"/>
  <c r="AW49" i="1" s="1"/>
  <c r="AA61" i="6"/>
  <c r="AW40" i="1" s="1"/>
  <c r="AA73" i="6"/>
  <c r="AB73" i="6" s="1"/>
  <c r="AW122" i="1"/>
  <c r="AW180" i="1"/>
  <c r="AW181" i="1"/>
  <c r="AB199" i="6"/>
  <c r="AA53" i="6"/>
  <c r="AW32" i="1" s="1"/>
  <c r="AA58" i="6"/>
  <c r="AB58" i="6" s="1"/>
  <c r="AA60" i="6"/>
  <c r="AW39" i="1" s="1"/>
  <c r="E42" i="1"/>
  <c r="G42" i="1" s="1"/>
  <c r="AA74" i="6"/>
  <c r="AB74" i="6" s="1"/>
  <c r="AA52" i="6"/>
  <c r="AB52" i="6" s="1"/>
  <c r="AW125" i="1"/>
  <c r="AB130" i="6"/>
  <c r="U42" i="1"/>
  <c r="W42" i="1" s="1"/>
  <c r="AP16" i="1" s="1"/>
  <c r="AB179" i="6"/>
  <c r="AB135" i="6"/>
  <c r="AW152" i="1"/>
  <c r="AB191" i="6"/>
  <c r="AB159" i="6"/>
  <c r="AB148" i="6"/>
  <c r="AW123" i="1"/>
  <c r="AW83" i="1"/>
  <c r="AB149" i="6"/>
  <c r="D108" i="1"/>
  <c r="D35" i="1" s="1"/>
  <c r="Y55" i="6" s="1"/>
  <c r="AB120" i="6"/>
  <c r="AW140" i="1"/>
  <c r="AW117" i="1"/>
  <c r="AB136" i="6"/>
  <c r="AB110" i="6"/>
  <c r="AB165" i="6"/>
  <c r="AA62" i="6"/>
  <c r="AW41" i="1" s="1"/>
  <c r="AW90" i="1"/>
  <c r="Y56" i="6"/>
  <c r="AA64" i="6" s="1"/>
  <c r="AW169" i="1"/>
  <c r="AB106" i="6"/>
  <c r="AB185" i="6"/>
  <c r="AA72" i="6"/>
  <c r="AW51" i="1" s="1"/>
  <c r="AW168" i="1"/>
  <c r="AW174" i="1"/>
  <c r="H108" i="1"/>
  <c r="AB119" i="6"/>
  <c r="AB170" i="6"/>
  <c r="AW142" i="1"/>
  <c r="AW167" i="1"/>
  <c r="AW111" i="1"/>
  <c r="AB162" i="6"/>
  <c r="J108" i="1"/>
  <c r="AB118" i="6"/>
  <c r="AB125" i="6"/>
  <c r="AB133" i="6"/>
  <c r="AW55" i="1"/>
  <c r="IC4" i="1"/>
  <c r="L108" i="1"/>
  <c r="AW96" i="1"/>
  <c r="AW91" i="1"/>
  <c r="AA56" i="6"/>
  <c r="AW35" i="1" s="1"/>
  <c r="AA57" i="6"/>
  <c r="AB57" i="6" s="1"/>
  <c r="F108" i="1"/>
  <c r="H35" i="1" s="1"/>
  <c r="Y63" i="6" s="1"/>
  <c r="AB127" i="6"/>
  <c r="K108" i="1"/>
  <c r="AA55" i="6"/>
  <c r="AW34" i="1" s="1"/>
  <c r="AA77" i="6"/>
  <c r="AW56" i="1" s="1"/>
  <c r="AA71" i="6"/>
  <c r="AB71" i="6" s="1"/>
  <c r="IF4" i="1"/>
  <c r="AA85" i="6"/>
  <c r="AB85" i="6" s="1"/>
  <c r="AW166" i="1"/>
  <c r="N108" i="1"/>
  <c r="AB121" i="6"/>
  <c r="G108" i="1"/>
  <c r="J35" i="1" s="1"/>
  <c r="Y65" i="6" s="1"/>
  <c r="O108" i="1"/>
  <c r="M108" i="1"/>
  <c r="IE4" i="1"/>
  <c r="AA54" i="6"/>
  <c r="AB54" i="6" s="1"/>
  <c r="AW135" i="1"/>
  <c r="AA59" i="6"/>
  <c r="AB59" i="6" s="1"/>
  <c r="HU5" i="1"/>
  <c r="AA69" i="6"/>
  <c r="AW48" i="1" s="1"/>
  <c r="AA67" i="6"/>
  <c r="AW46" i="1" s="1"/>
  <c r="AA75" i="6"/>
  <c r="AW54" i="1" s="1"/>
  <c r="AA68" i="6"/>
  <c r="AB68" i="6" s="1"/>
  <c r="AA65" i="6"/>
  <c r="AW44" i="1" s="1"/>
  <c r="AA66" i="6"/>
  <c r="AB66" i="6" s="1"/>
  <c r="I108" i="1"/>
  <c r="Y25" i="1"/>
  <c r="Y24" i="1"/>
  <c r="AB152" i="6"/>
  <c r="AW131" i="1"/>
  <c r="AB131" i="6"/>
  <c r="AW110" i="1"/>
  <c r="AW84" i="1"/>
  <c r="AB105" i="6"/>
  <c r="AB126" i="6"/>
  <c r="AW105" i="1"/>
  <c r="AB204" i="6"/>
  <c r="AW183" i="1"/>
  <c r="AB183" i="6"/>
  <c r="AW162" i="1"/>
  <c r="AW157" i="1"/>
  <c r="AB178" i="6"/>
  <c r="AW136" i="1"/>
  <c r="AB157" i="6"/>
  <c r="AW68" i="1"/>
  <c r="AB89" i="6"/>
  <c r="AA90" i="6"/>
  <c r="AX110" i="1"/>
  <c r="Z130" i="6"/>
  <c r="IH4" i="1"/>
  <c r="II4" i="1"/>
  <c r="AX88" i="1"/>
  <c r="Z108" i="6"/>
  <c r="AX77" i="1"/>
  <c r="Z97" i="6"/>
  <c r="Z119" i="6"/>
  <c r="AX99" i="1"/>
  <c r="AX66" i="1"/>
  <c r="Z86" i="6"/>
  <c r="R31" i="1"/>
  <c r="AX121" i="1"/>
  <c r="AB101" i="6" l="1"/>
  <c r="AW73" i="1"/>
  <c r="AB100" i="6"/>
  <c r="AB88" i="6"/>
  <c r="AB92" i="6"/>
  <c r="AW63" i="1"/>
  <c r="AW72" i="1"/>
  <c r="AW37" i="1"/>
  <c r="AB79" i="6"/>
  <c r="AW66" i="1"/>
  <c r="AB98" i="6"/>
  <c r="AW57" i="1"/>
  <c r="GL111" i="1"/>
  <c r="AW60" i="1"/>
  <c r="AW70" i="1"/>
  <c r="AW75" i="1"/>
  <c r="GF119" i="1"/>
  <c r="AW78" i="1"/>
  <c r="AB86" i="6"/>
  <c r="AW62" i="1"/>
  <c r="AW74" i="1"/>
  <c r="GL119" i="1"/>
  <c r="AW61" i="1"/>
  <c r="AB97" i="6"/>
  <c r="AW59" i="1"/>
  <c r="GH111" i="1"/>
  <c r="GH122" i="1"/>
  <c r="GH123" i="1"/>
  <c r="AP9" i="1"/>
  <c r="AB103" i="6"/>
  <c r="GJ110" i="1"/>
  <c r="V2" i="6"/>
  <c r="AP25" i="1"/>
  <c r="AW52" i="1"/>
  <c r="AV51" i="6"/>
  <c r="AR51" i="6" s="1"/>
  <c r="AE35" i="1"/>
  <c r="BP78" i="6" s="1"/>
  <c r="BS13" i="6" s="1"/>
  <c r="AB53" i="6"/>
  <c r="AW45" i="1"/>
  <c r="AB67" i="6"/>
  <c r="AB62" i="6"/>
  <c r="AW50" i="1"/>
  <c r="AW31" i="1"/>
  <c r="AB61" i="6"/>
  <c r="AP17" i="1"/>
  <c r="AW53" i="1"/>
  <c r="AW33" i="1"/>
  <c r="AB70" i="6"/>
  <c r="AS50" i="6"/>
  <c r="AS52" i="6" s="1"/>
  <c r="AT52" i="6" s="1"/>
  <c r="AW38" i="1"/>
  <c r="AB72" i="6"/>
  <c r="D36" i="1"/>
  <c r="E36" i="1" s="1"/>
  <c r="F36" i="1" s="1"/>
  <c r="AB60" i="6"/>
  <c r="AW64" i="1"/>
  <c r="AB77" i="6"/>
  <c r="AW36" i="1"/>
  <c r="AA63" i="6"/>
  <c r="AB63" i="6" s="1"/>
  <c r="AB75" i="6"/>
  <c r="BT49" i="6"/>
  <c r="AW47" i="1"/>
  <c r="AB55" i="6"/>
  <c r="AB56" i="6"/>
  <c r="AB65" i="6"/>
  <c r="AB69" i="6"/>
  <c r="HW5" i="1"/>
  <c r="HX5" i="1" s="1"/>
  <c r="HU6" i="1"/>
  <c r="BT48" i="6"/>
  <c r="AW69" i="1"/>
  <c r="AB90" i="6"/>
  <c r="AB64" i="6"/>
  <c r="AW43" i="1"/>
  <c r="S31" i="1"/>
  <c r="AX133" i="1"/>
  <c r="Z154" i="6" s="1"/>
  <c r="AX100" i="1"/>
  <c r="Z120" i="6"/>
  <c r="AX89" i="1"/>
  <c r="Z109" i="6"/>
  <c r="AX122" i="1"/>
  <c r="Z142" i="6"/>
  <c r="AX67" i="1"/>
  <c r="Z88" i="6" s="1"/>
  <c r="Z87" i="6"/>
  <c r="AX78" i="1"/>
  <c r="Z98" i="6"/>
  <c r="Z131" i="6"/>
  <c r="AX111" i="1"/>
  <c r="AC38" i="1" l="1"/>
  <c r="AC39" i="1" s="1"/>
  <c r="N25" i="1"/>
  <c r="L25" i="1"/>
  <c r="B25" i="1"/>
  <c r="AS53" i="6"/>
  <c r="AT53" i="6" s="1"/>
  <c r="AV52" i="6"/>
  <c r="AR52" i="6" s="1"/>
  <c r="E41" i="1"/>
  <c r="F41" i="1" s="1"/>
  <c r="E37" i="1"/>
  <c r="F37" i="1" s="1"/>
  <c r="AW42" i="1"/>
  <c r="IC5" i="1"/>
  <c r="IB5" i="1"/>
  <c r="II5" i="1"/>
  <c r="IH5" i="1"/>
  <c r="IE5" i="1"/>
  <c r="HW6" i="1"/>
  <c r="HX6" i="1" s="1"/>
  <c r="HU7" i="1"/>
  <c r="IF5" i="1"/>
  <c r="G36" i="1"/>
  <c r="Z121" i="6"/>
  <c r="AX101" i="1"/>
  <c r="AX112" i="1"/>
  <c r="Z132" i="6"/>
  <c r="Z99" i="6"/>
  <c r="AX79" i="1"/>
  <c r="Z143" i="6"/>
  <c r="AX123" i="1"/>
  <c r="AX90" i="1"/>
  <c r="Z110" i="6"/>
  <c r="T31" i="1"/>
  <c r="Q46" i="1"/>
  <c r="Q45" i="1" s="1"/>
  <c r="S46" i="1"/>
  <c r="AX134" i="1"/>
  <c r="BN18" i="6" l="1"/>
  <c r="BN22" i="6" s="1"/>
  <c r="AS54" i="6"/>
  <c r="AT54" i="6" s="1"/>
  <c r="AV53" i="6"/>
  <c r="AR53" i="6" s="1"/>
  <c r="II6" i="1"/>
  <c r="IB6" i="1"/>
  <c r="IF6" i="1"/>
  <c r="IC6" i="1"/>
  <c r="IH6" i="1"/>
  <c r="IE6" i="1"/>
  <c r="HU8" i="1"/>
  <c r="HW7" i="1"/>
  <c r="HX7" i="1" s="1"/>
  <c r="H36" i="1"/>
  <c r="G41" i="1"/>
  <c r="G37" i="1"/>
  <c r="L27" i="1"/>
  <c r="B27" i="1"/>
  <c r="AX124" i="1"/>
  <c r="Z144" i="6"/>
  <c r="U31" i="1"/>
  <c r="AX146" i="1"/>
  <c r="Z167" i="6" s="1"/>
  <c r="Z133" i="6"/>
  <c r="AX113" i="1"/>
  <c r="Z155" i="6"/>
  <c r="AX135" i="1"/>
  <c r="AX80" i="1"/>
  <c r="Z101" i="6" s="1"/>
  <c r="Z100" i="6"/>
  <c r="AX102" i="1"/>
  <c r="Z122" i="6"/>
  <c r="T46" i="1"/>
  <c r="IO3" i="1"/>
  <c r="IL1" i="1" s="1"/>
  <c r="AX91" i="1"/>
  <c r="Z111" i="6"/>
  <c r="AV54" i="6" l="1"/>
  <c r="AR54" i="6" s="1"/>
  <c r="AS55" i="6"/>
  <c r="AV55" i="6" s="1"/>
  <c r="HW8" i="1"/>
  <c r="HX8" i="1" s="1"/>
  <c r="HU9" i="1"/>
  <c r="IF7" i="1"/>
  <c r="II7" i="1"/>
  <c r="IB7" i="1"/>
  <c r="IH7" i="1"/>
  <c r="IC7" i="1"/>
  <c r="IE7" i="1"/>
  <c r="BN17" i="6"/>
  <c r="BO17" i="6"/>
  <c r="BN21" i="6" s="1"/>
  <c r="H41" i="1"/>
  <c r="I36" i="1"/>
  <c r="H37" i="1"/>
  <c r="AX92" i="1"/>
  <c r="Z112" i="6"/>
  <c r="AX103" i="1"/>
  <c r="Z123" i="6"/>
  <c r="V31" i="1"/>
  <c r="AX147" i="1"/>
  <c r="AX136" i="1"/>
  <c r="Z156" i="6"/>
  <c r="IL4" i="1"/>
  <c r="IL5" i="1" s="1"/>
  <c r="IL6" i="1" s="1"/>
  <c r="IL7" i="1" s="1"/>
  <c r="IK4" i="1"/>
  <c r="IK5" i="1" s="1"/>
  <c r="IK6" i="1" s="1"/>
  <c r="IK7" i="1" s="1"/>
  <c r="Z134" i="6"/>
  <c r="AX114" i="1"/>
  <c r="AX125" i="1"/>
  <c r="Z145" i="6"/>
  <c r="IL8" i="1" l="1"/>
  <c r="IK8" i="1"/>
  <c r="AS56" i="6"/>
  <c r="AT56" i="6" s="1"/>
  <c r="AT55" i="6"/>
  <c r="AR55" i="6" s="1"/>
  <c r="HW9" i="1"/>
  <c r="HX9" i="1" s="1"/>
  <c r="HU10" i="1"/>
  <c r="IC8" i="1"/>
  <c r="IB8" i="1"/>
  <c r="II8" i="1"/>
  <c r="IE8" i="1"/>
  <c r="IF8" i="1"/>
  <c r="IH8" i="1"/>
  <c r="I37" i="1"/>
  <c r="J36" i="1"/>
  <c r="I41" i="1"/>
  <c r="AX126" i="1"/>
  <c r="Z146" i="6"/>
  <c r="AX137" i="1"/>
  <c r="Z157" i="6"/>
  <c r="AX104" i="1"/>
  <c r="Z124" i="6"/>
  <c r="AX115" i="1"/>
  <c r="Z135" i="6"/>
  <c r="AX148" i="1"/>
  <c r="Z168" i="6"/>
  <c r="BS6" i="6"/>
  <c r="BT6" i="6"/>
  <c r="W31" i="1"/>
  <c r="AX159" i="1"/>
  <c r="Z180" i="6" s="1"/>
  <c r="AX93" i="1"/>
  <c r="Z114" i="6" s="1"/>
  <c r="Z113" i="6"/>
  <c r="AV56" i="6" l="1"/>
  <c r="IK9" i="1"/>
  <c r="AS57" i="6"/>
  <c r="AT57" i="6" s="1"/>
  <c r="HU11" i="1"/>
  <c r="HW10" i="1"/>
  <c r="HX10" i="1" s="1"/>
  <c r="IH9" i="1"/>
  <c r="II9" i="1"/>
  <c r="IE9" i="1"/>
  <c r="IF9" i="1"/>
  <c r="IC9" i="1"/>
  <c r="IB9" i="1"/>
  <c r="IL9" i="1"/>
  <c r="AR56" i="6"/>
  <c r="K36" i="1"/>
  <c r="J37" i="1"/>
  <c r="J41" i="1"/>
  <c r="AX116" i="1"/>
  <c r="Z136" i="6"/>
  <c r="AX138" i="1"/>
  <c r="Z158" i="6"/>
  <c r="X31" i="1"/>
  <c r="W46" i="1"/>
  <c r="AX160" i="1"/>
  <c r="U46" i="1"/>
  <c r="U45" i="1" s="1"/>
  <c r="Z169" i="6"/>
  <c r="AX149" i="1"/>
  <c r="AX105" i="1"/>
  <c r="Z125" i="6"/>
  <c r="AX127" i="1"/>
  <c r="Z147" i="6"/>
  <c r="AV57" i="6" l="1"/>
  <c r="AS58" i="6"/>
  <c r="AT58" i="6" s="1"/>
  <c r="IL10" i="1"/>
  <c r="IF10" i="1"/>
  <c r="IC10" i="1"/>
  <c r="IK10" i="1"/>
  <c r="IH10" i="1"/>
  <c r="IB10" i="1"/>
  <c r="II10" i="1"/>
  <c r="IE10" i="1"/>
  <c r="HU12" i="1"/>
  <c r="HW11" i="1"/>
  <c r="HX11" i="1" s="1"/>
  <c r="AR57" i="6"/>
  <c r="AS59" i="6"/>
  <c r="K41" i="1"/>
  <c r="L36" i="1"/>
  <c r="K37" i="1"/>
  <c r="Z126" i="6"/>
  <c r="AX106" i="1"/>
  <c r="Z127" i="6" s="1"/>
  <c r="Z159" i="6"/>
  <c r="AX139" i="1"/>
  <c r="AX150" i="1"/>
  <c r="Z170" i="6"/>
  <c r="IR3" i="1"/>
  <c r="IO1" i="1" s="1"/>
  <c r="X46" i="1"/>
  <c r="AX161" i="1"/>
  <c r="Z181" i="6"/>
  <c r="AX128" i="1"/>
  <c r="Z148" i="6"/>
  <c r="Y31" i="1"/>
  <c r="AX172" i="1"/>
  <c r="Z193" i="6" s="1"/>
  <c r="AX117" i="1"/>
  <c r="Z137" i="6"/>
  <c r="AV58" i="6" l="1"/>
  <c r="AR58" i="6" s="1"/>
  <c r="HW12" i="1"/>
  <c r="HX12" i="1" s="1"/>
  <c r="HU13" i="1"/>
  <c r="IL11" i="1"/>
  <c r="IF11" i="1"/>
  <c r="IH11" i="1"/>
  <c r="IK11" i="1"/>
  <c r="II11" i="1"/>
  <c r="IB11" i="1"/>
  <c r="IC11" i="1"/>
  <c r="IE11" i="1"/>
  <c r="AT59" i="6"/>
  <c r="AV59" i="6"/>
  <c r="AS60" i="6"/>
  <c r="M36" i="1"/>
  <c r="L41" i="1"/>
  <c r="L37" i="1"/>
  <c r="AX140" i="1"/>
  <c r="Z160" i="6"/>
  <c r="AX118" i="1"/>
  <c r="Z138" i="6"/>
  <c r="IN4" i="1"/>
  <c r="IN5" i="1" s="1"/>
  <c r="IN6" i="1" s="1"/>
  <c r="IN7" i="1" s="1"/>
  <c r="IN8" i="1" s="1"/>
  <c r="IN9" i="1" s="1"/>
  <c r="IN10" i="1" s="1"/>
  <c r="IN11" i="1" s="1"/>
  <c r="IO4" i="1"/>
  <c r="IO5" i="1" s="1"/>
  <c r="IO6" i="1" s="1"/>
  <c r="IO7" i="1" s="1"/>
  <c r="IO8" i="1" s="1"/>
  <c r="IO9" i="1" s="1"/>
  <c r="IO10" i="1" s="1"/>
  <c r="IO11" i="1" s="1"/>
  <c r="Z149" i="6"/>
  <c r="AX129" i="1"/>
  <c r="Z31" i="1"/>
  <c r="AX173" i="1"/>
  <c r="AX162" i="1"/>
  <c r="Z182" i="6"/>
  <c r="AX151" i="1"/>
  <c r="Z171" i="6"/>
  <c r="IN12" i="1" l="1"/>
  <c r="IO12" i="1"/>
  <c r="HW13" i="1"/>
  <c r="HX13" i="1" s="1"/>
  <c r="HU14" i="1"/>
  <c r="II12" i="1"/>
  <c r="IC12" i="1"/>
  <c r="IF12" i="1"/>
  <c r="IB12" i="1"/>
  <c r="IE12" i="1"/>
  <c r="IK12" i="1"/>
  <c r="IH12" i="1"/>
  <c r="IL12" i="1"/>
  <c r="AS61" i="6"/>
  <c r="AV60" i="6"/>
  <c r="AT60" i="6"/>
  <c r="AR59" i="6"/>
  <c r="M37" i="1"/>
  <c r="N36" i="1"/>
  <c r="M41" i="1"/>
  <c r="Z139" i="6"/>
  <c r="AX119" i="1"/>
  <c r="Z140" i="6" s="1"/>
  <c r="Z194" i="6"/>
  <c r="AX174" i="1"/>
  <c r="AX163" i="1"/>
  <c r="Z183" i="6"/>
  <c r="AX130" i="1"/>
  <c r="Z150" i="6"/>
  <c r="AX152" i="1"/>
  <c r="Z172" i="6"/>
  <c r="AA31" i="1"/>
  <c r="AX185" i="1"/>
  <c r="Z206" i="6" s="1"/>
  <c r="Z161" i="6"/>
  <c r="AX141" i="1"/>
  <c r="JU125" i="1" l="1"/>
  <c r="JU124" i="1"/>
  <c r="JU114" i="1"/>
  <c r="CU114" i="1" s="1"/>
  <c r="JU120" i="1"/>
  <c r="CU120" i="1" s="1"/>
  <c r="JU122" i="1"/>
  <c r="CU122" i="1" s="1"/>
  <c r="JU112" i="1"/>
  <c r="CU112" i="1" s="1"/>
  <c r="JU118" i="1"/>
  <c r="CU118" i="1" s="1"/>
  <c r="JU121" i="1"/>
  <c r="CU121" i="1" s="1"/>
  <c r="JU115" i="1"/>
  <c r="CU115" i="1" s="1"/>
  <c r="JU123" i="1"/>
  <c r="CU123" i="1" s="1"/>
  <c r="JU117" i="1"/>
  <c r="CU117" i="1" s="1"/>
  <c r="JU113" i="1"/>
  <c r="CU113" i="1" s="1"/>
  <c r="JU119" i="1"/>
  <c r="CU119" i="1" s="1"/>
  <c r="JU116" i="1"/>
  <c r="CU116" i="1" s="1"/>
  <c r="EB119" i="1"/>
  <c r="CT119" i="1" s="1"/>
  <c r="EB121" i="1"/>
  <c r="CT121" i="1" s="1"/>
  <c r="EB116" i="1"/>
  <c r="CT116" i="1" s="1"/>
  <c r="EB123" i="1"/>
  <c r="CT123" i="1" s="1"/>
  <c r="EB120" i="1"/>
  <c r="CT120" i="1" s="1"/>
  <c r="EB113" i="1"/>
  <c r="CT113" i="1" s="1"/>
  <c r="EB117" i="1"/>
  <c r="CT117" i="1" s="1"/>
  <c r="EB115" i="1"/>
  <c r="CT115" i="1" s="1"/>
  <c r="EB122" i="1"/>
  <c r="CT122" i="1" s="1"/>
  <c r="EB114" i="1"/>
  <c r="CT114" i="1" s="1"/>
  <c r="EB112" i="1"/>
  <c r="CT112" i="1" s="1"/>
  <c r="EB118" i="1"/>
  <c r="CT118" i="1" s="1"/>
  <c r="GD122" i="1"/>
  <c r="GD113" i="1"/>
  <c r="CV113" i="1" s="1"/>
  <c r="FC114" i="1"/>
  <c r="CW114" i="1" s="1"/>
  <c r="GD120" i="1"/>
  <c r="CV120" i="1" s="1"/>
  <c r="GD112" i="1"/>
  <c r="CV112" i="1" s="1"/>
  <c r="GD119" i="1"/>
  <c r="CV119" i="1" s="1"/>
  <c r="FC116" i="1"/>
  <c r="CW116" i="1" s="1"/>
  <c r="GD114" i="1"/>
  <c r="CV114" i="1" s="1"/>
  <c r="GD115" i="1"/>
  <c r="CV115" i="1" s="1"/>
  <c r="GD116" i="1"/>
  <c r="CV116" i="1" s="1"/>
  <c r="GD118" i="1"/>
  <c r="CV118" i="1" s="1"/>
  <c r="FC119" i="1"/>
  <c r="CW119" i="1" s="1"/>
  <c r="GD117" i="1"/>
  <c r="CV117" i="1" s="1"/>
  <c r="FC122" i="1"/>
  <c r="CW122" i="1" s="1"/>
  <c r="FC120" i="1"/>
  <c r="CW120" i="1" s="1"/>
  <c r="HE120" i="1"/>
  <c r="CX120" i="1" s="1"/>
  <c r="HE114" i="1"/>
  <c r="CX114" i="1" s="1"/>
  <c r="HE123" i="1"/>
  <c r="CX123" i="1" s="1"/>
  <c r="FC117" i="1"/>
  <c r="CW117" i="1" s="1"/>
  <c r="GD123" i="1"/>
  <c r="FC115" i="1"/>
  <c r="CW115" i="1" s="1"/>
  <c r="HE119" i="1"/>
  <c r="CX119" i="1" s="1"/>
  <c r="FC118" i="1"/>
  <c r="CW118" i="1" s="1"/>
  <c r="GD121" i="1"/>
  <c r="FC121" i="1"/>
  <c r="CW121" i="1" s="1"/>
  <c r="HE117" i="1"/>
  <c r="CX117" i="1" s="1"/>
  <c r="HE122" i="1"/>
  <c r="CX122" i="1" s="1"/>
  <c r="FC113" i="1"/>
  <c r="CW113" i="1" s="1"/>
  <c r="FC123" i="1"/>
  <c r="CW123" i="1" s="1"/>
  <c r="FC112" i="1"/>
  <c r="CW112" i="1" s="1"/>
  <c r="HE112" i="1"/>
  <c r="CX112" i="1" s="1"/>
  <c r="HE116" i="1"/>
  <c r="CX116" i="1" s="1"/>
  <c r="HE118" i="1"/>
  <c r="CX118" i="1" s="1"/>
  <c r="HE115" i="1"/>
  <c r="CX115" i="1" s="1"/>
  <c r="HE113" i="1"/>
  <c r="CX113" i="1" s="1"/>
  <c r="HE121" i="1"/>
  <c r="CX121" i="1" s="1"/>
  <c r="IO13" i="1"/>
  <c r="HW14" i="1"/>
  <c r="HX14" i="1" s="1"/>
  <c r="HU15" i="1"/>
  <c r="IE13" i="1"/>
  <c r="IB13" i="1"/>
  <c r="IK13" i="1"/>
  <c r="IL13" i="1"/>
  <c r="IC13" i="1"/>
  <c r="IH13" i="1"/>
  <c r="IF13" i="1"/>
  <c r="II13" i="1"/>
  <c r="IN13" i="1"/>
  <c r="HE134" i="1"/>
  <c r="CX134" i="1" s="1"/>
  <c r="HE133" i="1"/>
  <c r="CX133" i="1" s="1"/>
  <c r="EB134" i="1"/>
  <c r="CT134" i="1" s="1"/>
  <c r="BE56" i="1" s="1"/>
  <c r="FC135" i="1"/>
  <c r="GD135" i="1"/>
  <c r="HE135" i="1"/>
  <c r="EB133" i="1"/>
  <c r="CT133" i="1" s="1"/>
  <c r="BE55" i="1" s="1"/>
  <c r="GD134" i="1"/>
  <c r="CV134" i="1" s="1"/>
  <c r="FC134" i="1"/>
  <c r="CW134" i="1" s="1"/>
  <c r="FC133" i="1"/>
  <c r="CW133" i="1" s="1"/>
  <c r="GD133" i="1"/>
  <c r="CV133" i="1" s="1"/>
  <c r="JU15" i="1"/>
  <c r="CU15" i="1" s="1"/>
  <c r="JU91" i="1"/>
  <c r="CU91" i="1" s="1"/>
  <c r="JU87" i="1"/>
  <c r="CU87" i="1" s="1"/>
  <c r="JU132" i="1"/>
  <c r="JU92" i="1"/>
  <c r="CU92" i="1" s="1"/>
  <c r="JU110" i="1"/>
  <c r="CU110" i="1" s="1"/>
  <c r="JU7" i="1"/>
  <c r="CU7" i="1" s="1"/>
  <c r="JU14" i="1"/>
  <c r="CU14" i="1" s="1"/>
  <c r="JU8" i="1"/>
  <c r="CU8" i="1" s="1"/>
  <c r="JU90" i="1"/>
  <c r="CU90" i="1" s="1"/>
  <c r="JU66" i="1"/>
  <c r="CU66" i="1" s="1"/>
  <c r="JU12" i="1"/>
  <c r="CU12" i="1" s="1"/>
  <c r="JU27" i="1"/>
  <c r="CU27" i="1" s="1"/>
  <c r="JU47" i="1"/>
  <c r="CU47" i="1" s="1"/>
  <c r="JU33" i="1"/>
  <c r="CU33" i="1" s="1"/>
  <c r="JU127" i="1"/>
  <c r="JU111" i="1"/>
  <c r="CU111" i="1" s="1"/>
  <c r="JU103" i="1"/>
  <c r="CU103" i="1" s="1"/>
  <c r="JU81" i="1"/>
  <c r="CU81" i="1" s="1"/>
  <c r="JU29" i="1"/>
  <c r="CU29" i="1" s="1"/>
  <c r="JU73" i="1"/>
  <c r="CU73" i="1" s="1"/>
  <c r="JU24" i="1"/>
  <c r="CU24" i="1" s="1"/>
  <c r="JU51" i="1"/>
  <c r="CU51" i="1" s="1"/>
  <c r="JU100" i="1"/>
  <c r="CU100" i="1" s="1"/>
  <c r="JU39" i="1"/>
  <c r="CU39" i="1" s="1"/>
  <c r="JU19" i="1"/>
  <c r="CU19" i="1" s="1"/>
  <c r="JU35" i="1"/>
  <c r="CU35" i="1" s="1"/>
  <c r="JU56" i="1"/>
  <c r="CU56" i="1" s="1"/>
  <c r="JU20" i="1"/>
  <c r="CU20" i="1" s="1"/>
  <c r="JU42" i="1"/>
  <c r="CU42" i="1" s="1"/>
  <c r="JU74" i="1"/>
  <c r="CU74" i="1" s="1"/>
  <c r="JU18" i="1"/>
  <c r="CU18" i="1" s="1"/>
  <c r="JU62" i="1"/>
  <c r="CU62" i="1" s="1"/>
  <c r="JU45" i="1"/>
  <c r="CU45" i="1" s="1"/>
  <c r="JU128" i="1"/>
  <c r="JU78" i="1"/>
  <c r="CU78" i="1" s="1"/>
  <c r="JU49" i="1"/>
  <c r="CU49" i="1" s="1"/>
  <c r="JU32" i="1"/>
  <c r="CU32" i="1" s="1"/>
  <c r="JU82" i="1"/>
  <c r="CU82" i="1" s="1"/>
  <c r="JU99" i="1"/>
  <c r="CU99" i="1" s="1"/>
  <c r="JU126" i="1"/>
  <c r="JU25" i="1"/>
  <c r="CU25" i="1" s="1"/>
  <c r="JU93" i="1"/>
  <c r="CU93" i="1" s="1"/>
  <c r="JU43" i="1"/>
  <c r="CU43" i="1" s="1"/>
  <c r="JU50" i="1"/>
  <c r="CU50" i="1" s="1"/>
  <c r="JU34" i="1"/>
  <c r="CU34" i="1" s="1"/>
  <c r="JU89" i="1"/>
  <c r="CU89" i="1" s="1"/>
  <c r="JU77" i="1"/>
  <c r="CU77" i="1" s="1"/>
  <c r="JU38" i="1"/>
  <c r="CU38" i="1" s="1"/>
  <c r="JU108" i="1"/>
  <c r="CU108" i="1" s="1"/>
  <c r="JU37" i="1"/>
  <c r="CU37" i="1" s="1"/>
  <c r="JU70" i="1"/>
  <c r="CU70" i="1" s="1"/>
  <c r="JU22" i="1"/>
  <c r="CU22" i="1" s="1"/>
  <c r="JU16" i="1"/>
  <c r="CU16" i="1" s="1"/>
  <c r="JU65" i="1"/>
  <c r="CU65" i="1" s="1"/>
  <c r="JU85" i="1"/>
  <c r="CU85" i="1" s="1"/>
  <c r="JU105" i="1"/>
  <c r="CU105" i="1" s="1"/>
  <c r="JU109" i="1"/>
  <c r="CU109" i="1" s="1"/>
  <c r="JU131" i="1"/>
  <c r="JU61" i="1"/>
  <c r="CU61" i="1" s="1"/>
  <c r="JU23" i="1"/>
  <c r="CU23" i="1" s="1"/>
  <c r="JU75" i="1"/>
  <c r="CU75" i="1" s="1"/>
  <c r="JU6" i="1"/>
  <c r="CU6" i="1" s="1"/>
  <c r="JU17" i="1"/>
  <c r="CU17" i="1" s="1"/>
  <c r="JU46" i="1"/>
  <c r="CU46" i="1" s="1"/>
  <c r="JU88" i="1"/>
  <c r="CU88" i="1" s="1"/>
  <c r="JU31" i="1"/>
  <c r="CU31" i="1" s="1"/>
  <c r="JU107" i="1"/>
  <c r="CU107" i="1" s="1"/>
  <c r="JU84" i="1"/>
  <c r="CU84" i="1" s="1"/>
  <c r="JU41" i="1"/>
  <c r="CU41" i="1" s="1"/>
  <c r="JU9" i="1"/>
  <c r="CU9" i="1" s="1"/>
  <c r="JU57" i="1"/>
  <c r="CU57" i="1" s="1"/>
  <c r="JU60" i="1"/>
  <c r="CU60" i="1" s="1"/>
  <c r="JU40" i="1"/>
  <c r="CU40" i="1" s="1"/>
  <c r="JU83" i="1"/>
  <c r="CU83" i="1" s="1"/>
  <c r="JU106" i="1"/>
  <c r="CU106" i="1" s="1"/>
  <c r="JU10" i="1"/>
  <c r="CU10" i="1" s="1"/>
  <c r="JU63" i="1"/>
  <c r="CU63" i="1" s="1"/>
  <c r="JU64" i="1"/>
  <c r="CU64" i="1" s="1"/>
  <c r="JU95" i="1"/>
  <c r="CU95" i="1" s="1"/>
  <c r="JU67" i="1"/>
  <c r="CU67" i="1" s="1"/>
  <c r="JU104" i="1"/>
  <c r="CU104" i="1" s="1"/>
  <c r="JU69" i="1"/>
  <c r="CU69" i="1" s="1"/>
  <c r="JU68" i="1"/>
  <c r="CU68" i="1" s="1"/>
  <c r="JU21" i="1"/>
  <c r="CU21" i="1" s="1"/>
  <c r="JU55" i="1"/>
  <c r="CU55" i="1" s="1"/>
  <c r="JU101" i="1"/>
  <c r="CU101" i="1" s="1"/>
  <c r="JU79" i="1"/>
  <c r="CU79" i="1" s="1"/>
  <c r="JU59" i="1"/>
  <c r="CU59" i="1" s="1"/>
  <c r="JU97" i="1"/>
  <c r="CU97" i="1" s="1"/>
  <c r="JU36" i="1"/>
  <c r="CU36" i="1" s="1"/>
  <c r="JU72" i="1"/>
  <c r="CU72" i="1" s="1"/>
  <c r="JU13" i="1"/>
  <c r="CU13" i="1" s="1"/>
  <c r="JU30" i="1"/>
  <c r="CU30" i="1" s="1"/>
  <c r="JU76" i="1"/>
  <c r="CU76" i="1" s="1"/>
  <c r="JU80" i="1"/>
  <c r="CU80" i="1" s="1"/>
  <c r="JU86" i="1"/>
  <c r="CU86" i="1" s="1"/>
  <c r="JU48" i="1"/>
  <c r="CU48" i="1" s="1"/>
  <c r="JU28" i="1"/>
  <c r="CU28" i="1" s="1"/>
  <c r="JU53" i="1"/>
  <c r="CU53" i="1" s="1"/>
  <c r="JU44" i="1"/>
  <c r="CU44" i="1" s="1"/>
  <c r="JU26" i="1"/>
  <c r="CU26" i="1" s="1"/>
  <c r="JU71" i="1"/>
  <c r="CU71" i="1" s="1"/>
  <c r="JU11" i="1"/>
  <c r="CU11" i="1" s="1"/>
  <c r="JU52" i="1"/>
  <c r="CU52" i="1" s="1"/>
  <c r="JU130" i="1"/>
  <c r="JU54" i="1"/>
  <c r="CU54" i="1" s="1"/>
  <c r="JU96" i="1"/>
  <c r="CU96" i="1" s="1"/>
  <c r="JU98" i="1"/>
  <c r="CU98" i="1" s="1"/>
  <c r="JU102" i="1"/>
  <c r="CU102" i="1" s="1"/>
  <c r="JU58" i="1"/>
  <c r="CU58" i="1" s="1"/>
  <c r="JU94" i="1"/>
  <c r="CU94" i="1" s="1"/>
  <c r="JU129" i="1"/>
  <c r="EB62" i="1"/>
  <c r="CT62" i="1" s="1"/>
  <c r="EB58" i="1"/>
  <c r="CT58" i="1" s="1"/>
  <c r="GD110" i="1"/>
  <c r="CV110" i="1" s="1"/>
  <c r="EB33" i="1"/>
  <c r="GD107" i="1"/>
  <c r="CV107" i="1" s="1"/>
  <c r="EB46" i="1"/>
  <c r="EB100" i="1"/>
  <c r="CT100" i="1" s="1"/>
  <c r="EB17" i="1"/>
  <c r="FC111" i="1"/>
  <c r="CW111" i="1" s="1"/>
  <c r="EB38" i="1"/>
  <c r="EB51" i="1"/>
  <c r="CT51" i="1" s="1"/>
  <c r="GD108" i="1"/>
  <c r="CV108" i="1" s="1"/>
  <c r="EB53" i="1"/>
  <c r="CT53" i="1" s="1"/>
  <c r="EB28" i="1"/>
  <c r="EB101" i="1"/>
  <c r="CT101" i="1" s="1"/>
  <c r="EB107" i="1"/>
  <c r="CT107" i="1" s="1"/>
  <c r="EB85" i="1"/>
  <c r="CT85" i="1" s="1"/>
  <c r="EB20" i="1"/>
  <c r="EB11" i="1"/>
  <c r="EB24" i="1"/>
  <c r="EB48" i="1"/>
  <c r="CT48" i="1" s="1"/>
  <c r="EB106" i="1"/>
  <c r="CT106" i="1" s="1"/>
  <c r="EB89" i="1"/>
  <c r="CT89" i="1" s="1"/>
  <c r="EB59" i="1"/>
  <c r="CT59" i="1" s="1"/>
  <c r="EB83" i="1"/>
  <c r="CT83" i="1" s="1"/>
  <c r="EB110" i="1"/>
  <c r="CT110" i="1" s="1"/>
  <c r="EB22" i="1"/>
  <c r="EB88" i="1"/>
  <c r="CT88" i="1" s="1"/>
  <c r="EB74" i="1"/>
  <c r="CT74" i="1" s="1"/>
  <c r="EB97" i="1"/>
  <c r="CT97" i="1" s="1"/>
  <c r="EB50" i="1"/>
  <c r="CT50" i="1" s="1"/>
  <c r="EB96" i="1"/>
  <c r="CT96" i="1" s="1"/>
  <c r="EB36" i="1"/>
  <c r="EB30" i="1"/>
  <c r="EB91" i="1"/>
  <c r="CT91" i="1" s="1"/>
  <c r="EB82" i="1"/>
  <c r="CT82" i="1" s="1"/>
  <c r="EB49" i="1"/>
  <c r="CT49" i="1" s="1"/>
  <c r="EB75" i="1"/>
  <c r="CT75" i="1" s="1"/>
  <c r="EB47" i="1"/>
  <c r="EB42" i="1"/>
  <c r="HE107" i="1"/>
  <c r="CX107" i="1" s="1"/>
  <c r="GD111" i="1"/>
  <c r="EB69" i="1"/>
  <c r="CT69" i="1" s="1"/>
  <c r="FC107" i="1"/>
  <c r="CW107" i="1" s="1"/>
  <c r="EB9" i="1"/>
  <c r="EB71" i="1"/>
  <c r="CT71" i="1" s="1"/>
  <c r="EB103" i="1"/>
  <c r="CT103" i="1" s="1"/>
  <c r="EB84" i="1"/>
  <c r="CT84" i="1" s="1"/>
  <c r="EB76" i="1"/>
  <c r="CT76" i="1" s="1"/>
  <c r="EB12" i="1"/>
  <c r="HE111" i="1"/>
  <c r="CX111" i="1" s="1"/>
  <c r="EB105" i="1"/>
  <c r="CT105" i="1" s="1"/>
  <c r="EB7" i="1"/>
  <c r="EB60" i="1"/>
  <c r="CT60" i="1" s="1"/>
  <c r="EB54" i="1"/>
  <c r="CT54" i="1" s="1"/>
  <c r="EB18" i="1"/>
  <c r="EB40" i="1"/>
  <c r="EB95" i="1"/>
  <c r="CT95" i="1" s="1"/>
  <c r="EB16" i="1"/>
  <c r="EB35" i="1"/>
  <c r="EB29" i="1"/>
  <c r="EB108" i="1"/>
  <c r="CT108" i="1" s="1"/>
  <c r="EB80" i="1"/>
  <c r="CT80" i="1" s="1"/>
  <c r="EB87" i="1"/>
  <c r="CT87" i="1" s="1"/>
  <c r="HE109" i="1"/>
  <c r="CX109" i="1" s="1"/>
  <c r="EB86" i="1"/>
  <c r="CT86" i="1" s="1"/>
  <c r="EB99" i="1"/>
  <c r="CT99" i="1" s="1"/>
  <c r="EB52" i="1"/>
  <c r="CT52" i="1" s="1"/>
  <c r="EB111" i="1"/>
  <c r="CT111" i="1" s="1"/>
  <c r="EB8" i="1"/>
  <c r="EB64" i="1"/>
  <c r="CT64" i="1" s="1"/>
  <c r="EB14" i="1"/>
  <c r="FC108" i="1"/>
  <c r="CW108" i="1" s="1"/>
  <c r="EB45" i="1"/>
  <c r="EB32" i="1"/>
  <c r="EB23" i="1"/>
  <c r="EB68" i="1"/>
  <c r="CT68" i="1" s="1"/>
  <c r="EB10" i="1"/>
  <c r="EB5" i="1"/>
  <c r="HE108" i="1"/>
  <c r="CX108" i="1" s="1"/>
  <c r="EB44" i="1"/>
  <c r="EB67" i="1"/>
  <c r="CT67" i="1" s="1"/>
  <c r="EB78" i="1"/>
  <c r="CT78" i="1" s="1"/>
  <c r="EB26" i="1"/>
  <c r="EB93" i="1"/>
  <c r="CT93" i="1" s="1"/>
  <c r="EB21" i="1"/>
  <c r="EB37" i="1"/>
  <c r="EB39" i="1"/>
  <c r="EB19" i="1"/>
  <c r="EB61" i="1"/>
  <c r="CT61" i="1" s="1"/>
  <c r="EB34" i="1"/>
  <c r="EB55" i="1"/>
  <c r="CT55" i="1" s="1"/>
  <c r="EB102" i="1"/>
  <c r="CT102" i="1" s="1"/>
  <c r="EB66" i="1"/>
  <c r="CT66" i="1" s="1"/>
  <c r="EB27" i="1"/>
  <c r="EB72" i="1"/>
  <c r="CT72" i="1" s="1"/>
  <c r="EB70" i="1"/>
  <c r="CT70" i="1" s="1"/>
  <c r="EB92" i="1"/>
  <c r="CT92" i="1" s="1"/>
  <c r="EB90" i="1"/>
  <c r="CT90" i="1" s="1"/>
  <c r="EB73" i="1"/>
  <c r="CT73" i="1" s="1"/>
  <c r="FC109" i="1"/>
  <c r="CW109" i="1" s="1"/>
  <c r="EB15" i="1"/>
  <c r="EB63" i="1"/>
  <c r="CT63" i="1" s="1"/>
  <c r="EB31" i="1"/>
  <c r="EB25" i="1"/>
  <c r="EB109" i="1"/>
  <c r="CT109" i="1" s="1"/>
  <c r="EB79" i="1"/>
  <c r="CT79" i="1" s="1"/>
  <c r="GD109" i="1"/>
  <c r="CV109" i="1" s="1"/>
  <c r="EB65" i="1"/>
  <c r="CT65" i="1" s="1"/>
  <c r="FC110" i="1"/>
  <c r="CW110" i="1" s="1"/>
  <c r="EB98" i="1"/>
  <c r="CT98" i="1" s="1"/>
  <c r="EB13" i="1"/>
  <c r="EB41" i="1"/>
  <c r="EB43" i="1"/>
  <c r="EB77" i="1"/>
  <c r="CT77" i="1" s="1"/>
  <c r="EB94" i="1"/>
  <c r="CT94" i="1" s="1"/>
  <c r="EB57" i="1"/>
  <c r="CT57" i="1" s="1"/>
  <c r="EB81" i="1"/>
  <c r="CT81" i="1" s="1"/>
  <c r="EB56" i="1"/>
  <c r="CT56" i="1" s="1"/>
  <c r="EB6" i="1"/>
  <c r="HE110" i="1"/>
  <c r="CX110" i="1" s="1"/>
  <c r="EB104" i="1"/>
  <c r="CT104" i="1" s="1"/>
  <c r="HE47" i="1"/>
  <c r="CX47" i="1" s="1"/>
  <c r="HE100" i="1"/>
  <c r="CX100" i="1" s="1"/>
  <c r="HE80" i="1"/>
  <c r="CX80" i="1" s="1"/>
  <c r="HE49" i="1"/>
  <c r="CX49" i="1" s="1"/>
  <c r="HE63" i="1"/>
  <c r="CX63" i="1" s="1"/>
  <c r="HE59" i="1"/>
  <c r="CX59" i="1" s="1"/>
  <c r="HE85" i="1"/>
  <c r="CX85" i="1" s="1"/>
  <c r="HE51" i="1"/>
  <c r="CX51" i="1" s="1"/>
  <c r="HE67" i="1"/>
  <c r="CX67" i="1" s="1"/>
  <c r="HE104" i="1"/>
  <c r="CX104" i="1" s="1"/>
  <c r="HE48" i="1"/>
  <c r="CX48" i="1" s="1"/>
  <c r="HE55" i="1"/>
  <c r="CX55" i="1" s="1"/>
  <c r="HE98" i="1"/>
  <c r="CX98" i="1" s="1"/>
  <c r="HE72" i="1"/>
  <c r="CX72" i="1" s="1"/>
  <c r="HE56" i="1"/>
  <c r="CX56" i="1" s="1"/>
  <c r="HE61" i="1"/>
  <c r="CX61" i="1" s="1"/>
  <c r="HE52" i="1"/>
  <c r="CX52" i="1" s="1"/>
  <c r="HE71" i="1"/>
  <c r="CX71" i="1" s="1"/>
  <c r="HE106" i="1"/>
  <c r="CX106" i="1" s="1"/>
  <c r="HE77" i="1"/>
  <c r="CX77" i="1" s="1"/>
  <c r="HE89" i="1"/>
  <c r="CX89" i="1" s="1"/>
  <c r="HE82" i="1"/>
  <c r="CX82" i="1" s="1"/>
  <c r="HE62" i="1"/>
  <c r="CX62" i="1" s="1"/>
  <c r="HE46" i="1"/>
  <c r="CX46" i="1" s="1"/>
  <c r="HE66" i="1"/>
  <c r="CX66" i="1" s="1"/>
  <c r="HE81" i="1"/>
  <c r="CX81" i="1" s="1"/>
  <c r="HE91" i="1"/>
  <c r="CX91" i="1" s="1"/>
  <c r="HE75" i="1"/>
  <c r="CX75" i="1" s="1"/>
  <c r="HE78" i="1"/>
  <c r="CX78" i="1" s="1"/>
  <c r="HE79" i="1"/>
  <c r="CX79" i="1" s="1"/>
  <c r="HE83" i="1"/>
  <c r="CX83" i="1" s="1"/>
  <c r="HE93" i="1"/>
  <c r="CX93" i="1" s="1"/>
  <c r="HE53" i="1"/>
  <c r="CX53" i="1" s="1"/>
  <c r="HE97" i="1"/>
  <c r="CX97" i="1" s="1"/>
  <c r="HE92" i="1"/>
  <c r="CX92" i="1" s="1"/>
  <c r="HE88" i="1"/>
  <c r="CX88" i="1" s="1"/>
  <c r="HE84" i="1"/>
  <c r="CX84" i="1" s="1"/>
  <c r="HE99" i="1"/>
  <c r="CX99" i="1" s="1"/>
  <c r="HE103" i="1"/>
  <c r="CX103" i="1" s="1"/>
  <c r="HE68" i="1"/>
  <c r="CX68" i="1" s="1"/>
  <c r="HE95" i="1"/>
  <c r="CX95" i="1" s="1"/>
  <c r="HE60" i="1"/>
  <c r="CX60" i="1" s="1"/>
  <c r="HE105" i="1"/>
  <c r="CX105" i="1" s="1"/>
  <c r="GD45" i="1"/>
  <c r="CV45" i="1" s="1"/>
  <c r="GD47" i="1"/>
  <c r="CV47" i="1" s="1"/>
  <c r="HE90" i="1"/>
  <c r="CX90" i="1" s="1"/>
  <c r="FC47" i="1"/>
  <c r="CW47" i="1" s="1"/>
  <c r="HE64" i="1"/>
  <c r="CX64" i="1" s="1"/>
  <c r="HE74" i="1"/>
  <c r="CX74" i="1" s="1"/>
  <c r="GD44" i="1"/>
  <c r="CV44" i="1" s="1"/>
  <c r="HE57" i="1"/>
  <c r="CX57" i="1" s="1"/>
  <c r="HE65" i="1"/>
  <c r="CX65" i="1" s="1"/>
  <c r="HE73" i="1"/>
  <c r="CX73" i="1" s="1"/>
  <c r="HE70" i="1"/>
  <c r="CX70" i="1" s="1"/>
  <c r="HE102" i="1"/>
  <c r="CX102" i="1" s="1"/>
  <c r="HE69" i="1"/>
  <c r="CX69" i="1" s="1"/>
  <c r="HE101" i="1"/>
  <c r="CX101" i="1" s="1"/>
  <c r="HE87" i="1"/>
  <c r="CX87" i="1" s="1"/>
  <c r="HE76" i="1"/>
  <c r="CX76" i="1" s="1"/>
  <c r="HE96" i="1"/>
  <c r="CX96" i="1" s="1"/>
  <c r="HE50" i="1"/>
  <c r="CX50" i="1" s="1"/>
  <c r="HE94" i="1"/>
  <c r="CX94" i="1" s="1"/>
  <c r="HE54" i="1"/>
  <c r="CX54" i="1" s="1"/>
  <c r="FC44" i="1"/>
  <c r="CW44" i="1" s="1"/>
  <c r="FC45" i="1"/>
  <c r="CW45" i="1" s="1"/>
  <c r="HE86" i="1"/>
  <c r="CX86" i="1" s="1"/>
  <c r="HE58" i="1"/>
  <c r="CX58" i="1" s="1"/>
  <c r="FC46" i="1"/>
  <c r="CW46" i="1" s="1"/>
  <c r="GD57" i="1"/>
  <c r="CV57" i="1" s="1"/>
  <c r="FC98" i="1"/>
  <c r="CW98" i="1" s="1"/>
  <c r="FC68" i="1"/>
  <c r="CW68" i="1" s="1"/>
  <c r="FC92" i="1"/>
  <c r="CW92" i="1" s="1"/>
  <c r="GD89" i="1"/>
  <c r="CV89" i="1" s="1"/>
  <c r="GD87" i="1"/>
  <c r="CV87" i="1" s="1"/>
  <c r="GD90" i="1"/>
  <c r="CV90" i="1" s="1"/>
  <c r="FC63" i="1"/>
  <c r="CW63" i="1" s="1"/>
  <c r="FC78" i="1"/>
  <c r="CW78" i="1" s="1"/>
  <c r="FC90" i="1"/>
  <c r="CW90" i="1" s="1"/>
  <c r="FC61" i="1"/>
  <c r="CW61" i="1" s="1"/>
  <c r="GD63" i="1"/>
  <c r="CV63" i="1" s="1"/>
  <c r="FC95" i="1"/>
  <c r="CW95" i="1" s="1"/>
  <c r="FC79" i="1"/>
  <c r="CW79" i="1" s="1"/>
  <c r="FC62" i="1"/>
  <c r="CW62" i="1" s="1"/>
  <c r="GD51" i="1"/>
  <c r="CV51" i="1" s="1"/>
  <c r="FC86" i="1"/>
  <c r="CW86" i="1" s="1"/>
  <c r="FC93" i="1"/>
  <c r="CW93" i="1" s="1"/>
  <c r="FC67" i="1"/>
  <c r="CW67" i="1" s="1"/>
  <c r="FC55" i="1"/>
  <c r="CW55" i="1" s="1"/>
  <c r="GD71" i="1"/>
  <c r="CV71" i="1" s="1"/>
  <c r="FC71" i="1"/>
  <c r="CW71" i="1" s="1"/>
  <c r="GD66" i="1"/>
  <c r="CV66" i="1" s="1"/>
  <c r="GD48" i="1"/>
  <c r="CV48" i="1" s="1"/>
  <c r="GD103" i="1"/>
  <c r="CV103" i="1" s="1"/>
  <c r="GD99" i="1"/>
  <c r="CV99" i="1" s="1"/>
  <c r="FC54" i="1"/>
  <c r="CW54" i="1" s="1"/>
  <c r="FC48" i="1"/>
  <c r="CW48" i="1" s="1"/>
  <c r="FC100" i="1"/>
  <c r="CW100" i="1" s="1"/>
  <c r="FC51" i="1"/>
  <c r="CW51" i="1" s="1"/>
  <c r="FC91" i="1"/>
  <c r="CW91" i="1" s="1"/>
  <c r="GD86" i="1"/>
  <c r="CV86" i="1" s="1"/>
  <c r="GD74" i="1"/>
  <c r="CV74" i="1" s="1"/>
  <c r="GD82" i="1"/>
  <c r="CV82" i="1" s="1"/>
  <c r="FC104" i="1"/>
  <c r="CW104" i="1" s="1"/>
  <c r="GD46" i="1"/>
  <c r="CV46" i="1" s="1"/>
  <c r="GD50" i="1"/>
  <c r="CV50" i="1" s="1"/>
  <c r="GD53" i="1"/>
  <c r="CV53" i="1" s="1"/>
  <c r="FC72" i="1"/>
  <c r="CW72" i="1" s="1"/>
  <c r="FC49" i="1"/>
  <c r="CW49" i="1" s="1"/>
  <c r="GD88" i="1"/>
  <c r="CV88" i="1" s="1"/>
  <c r="GD75" i="1"/>
  <c r="CV75" i="1" s="1"/>
  <c r="FC66" i="1"/>
  <c r="CW66" i="1" s="1"/>
  <c r="FC97" i="1"/>
  <c r="CW97" i="1" s="1"/>
  <c r="FC94" i="1"/>
  <c r="CW94" i="1" s="1"/>
  <c r="GD62" i="1"/>
  <c r="CV62" i="1" s="1"/>
  <c r="GD96" i="1"/>
  <c r="CV96" i="1" s="1"/>
  <c r="GD93" i="1"/>
  <c r="CV93" i="1" s="1"/>
  <c r="FC80" i="1"/>
  <c r="CW80" i="1" s="1"/>
  <c r="FC75" i="1"/>
  <c r="CW75" i="1" s="1"/>
  <c r="GD59" i="1"/>
  <c r="CV59" i="1" s="1"/>
  <c r="GD85" i="1"/>
  <c r="CV85" i="1" s="1"/>
  <c r="GD105" i="1"/>
  <c r="CV105" i="1" s="1"/>
  <c r="GD91" i="1"/>
  <c r="CV91" i="1" s="1"/>
  <c r="FC106" i="1"/>
  <c r="CW106" i="1" s="1"/>
  <c r="FC88" i="1"/>
  <c r="CW88" i="1" s="1"/>
  <c r="GD80" i="1"/>
  <c r="CV80" i="1" s="1"/>
  <c r="FC58" i="1"/>
  <c r="CW58" i="1" s="1"/>
  <c r="GD54" i="1"/>
  <c r="CV54" i="1" s="1"/>
  <c r="FC85" i="1"/>
  <c r="CW85" i="1" s="1"/>
  <c r="FC64" i="1"/>
  <c r="CW64" i="1" s="1"/>
  <c r="GD52" i="1"/>
  <c r="CV52" i="1" s="1"/>
  <c r="GD102" i="1"/>
  <c r="CV102" i="1" s="1"/>
  <c r="GD60" i="1"/>
  <c r="CV60" i="1" s="1"/>
  <c r="GD98" i="1"/>
  <c r="CV98" i="1" s="1"/>
  <c r="GD58" i="1"/>
  <c r="CV58" i="1" s="1"/>
  <c r="FC59" i="1"/>
  <c r="CW59" i="1" s="1"/>
  <c r="GD79" i="1"/>
  <c r="CV79" i="1" s="1"/>
  <c r="GD97" i="1"/>
  <c r="CV97" i="1" s="1"/>
  <c r="GD49" i="1"/>
  <c r="CV49" i="1" s="1"/>
  <c r="FC50" i="1"/>
  <c r="CW50" i="1" s="1"/>
  <c r="FC102" i="1"/>
  <c r="CW102" i="1" s="1"/>
  <c r="FC70" i="1"/>
  <c r="CW70" i="1" s="1"/>
  <c r="FC99" i="1"/>
  <c r="CW99" i="1" s="1"/>
  <c r="GD65" i="1"/>
  <c r="CV65" i="1" s="1"/>
  <c r="GD101" i="1"/>
  <c r="CV101" i="1" s="1"/>
  <c r="FC89" i="1"/>
  <c r="CW89" i="1" s="1"/>
  <c r="FC73" i="1"/>
  <c r="CW73" i="1" s="1"/>
  <c r="GD106" i="1"/>
  <c r="CV106" i="1" s="1"/>
  <c r="GD68" i="1"/>
  <c r="CV68" i="1" s="1"/>
  <c r="GD69" i="1"/>
  <c r="CV69" i="1" s="1"/>
  <c r="FC105" i="1"/>
  <c r="CW105" i="1" s="1"/>
  <c r="FC57" i="1"/>
  <c r="CW57" i="1" s="1"/>
  <c r="FC74" i="1"/>
  <c r="CW74" i="1" s="1"/>
  <c r="FC83" i="1"/>
  <c r="CW83" i="1" s="1"/>
  <c r="GD61" i="1"/>
  <c r="CV61" i="1" s="1"/>
  <c r="FC77" i="1"/>
  <c r="CW77" i="1" s="1"/>
  <c r="FC69" i="1"/>
  <c r="CW69" i="1" s="1"/>
  <c r="FC56" i="1"/>
  <c r="CW56" i="1" s="1"/>
  <c r="FC87" i="1"/>
  <c r="CW87" i="1" s="1"/>
  <c r="GD100" i="1"/>
  <c r="CV100" i="1" s="1"/>
  <c r="GD70" i="1"/>
  <c r="CV70" i="1" s="1"/>
  <c r="FC60" i="1"/>
  <c r="CW60" i="1" s="1"/>
  <c r="FC101" i="1"/>
  <c r="CW101" i="1" s="1"/>
  <c r="GD92" i="1"/>
  <c r="CV92" i="1" s="1"/>
  <c r="FC52" i="1"/>
  <c r="CW52" i="1" s="1"/>
  <c r="GD84" i="1"/>
  <c r="CV84" i="1" s="1"/>
  <c r="FC81" i="1"/>
  <c r="CW81" i="1" s="1"/>
  <c r="GD83" i="1"/>
  <c r="CV83" i="1" s="1"/>
  <c r="GD67" i="1"/>
  <c r="CV67" i="1" s="1"/>
  <c r="GD64" i="1"/>
  <c r="CV64" i="1" s="1"/>
  <c r="FC82" i="1"/>
  <c r="CW82" i="1" s="1"/>
  <c r="GD94" i="1"/>
  <c r="CV94" i="1" s="1"/>
  <c r="GD81" i="1"/>
  <c r="CV81" i="1" s="1"/>
  <c r="GD77" i="1"/>
  <c r="CV77" i="1" s="1"/>
  <c r="FC53" i="1"/>
  <c r="CW53" i="1" s="1"/>
  <c r="FC65" i="1"/>
  <c r="CW65" i="1" s="1"/>
  <c r="GD95" i="1"/>
  <c r="CV95" i="1" s="1"/>
  <c r="FC76" i="1"/>
  <c r="CW76" i="1" s="1"/>
  <c r="FC96" i="1"/>
  <c r="CW96" i="1" s="1"/>
  <c r="GD56" i="1"/>
  <c r="CV56" i="1" s="1"/>
  <c r="GD78" i="1"/>
  <c r="CV78" i="1" s="1"/>
  <c r="GD76" i="1"/>
  <c r="CV76" i="1" s="1"/>
  <c r="GD73" i="1"/>
  <c r="CV73" i="1" s="1"/>
  <c r="GD55" i="1"/>
  <c r="CV55" i="1" s="1"/>
  <c r="FC84" i="1"/>
  <c r="CW84" i="1" s="1"/>
  <c r="GD104" i="1"/>
  <c r="CV104" i="1" s="1"/>
  <c r="FC103" i="1"/>
  <c r="CW103" i="1" s="1"/>
  <c r="GD72" i="1"/>
  <c r="CV72" i="1" s="1"/>
  <c r="AR60" i="6"/>
  <c r="AS62" i="6"/>
  <c r="AT61" i="6"/>
  <c r="AV61" i="6"/>
  <c r="O36" i="1"/>
  <c r="N37" i="1"/>
  <c r="N41" i="1"/>
  <c r="Y46" i="1"/>
  <c r="D39" i="1"/>
  <c r="F39" i="1" s="1"/>
  <c r="AX186" i="1"/>
  <c r="Z207" i="6" s="1"/>
  <c r="AC32" i="1"/>
  <c r="HE128" i="1"/>
  <c r="CX128" i="1" s="1"/>
  <c r="HE129" i="1"/>
  <c r="CX129" i="1" s="1"/>
  <c r="HE130" i="1"/>
  <c r="CX130" i="1" s="1"/>
  <c r="EB194" i="1"/>
  <c r="HE126" i="1"/>
  <c r="CX126" i="1" s="1"/>
  <c r="HE127" i="1"/>
  <c r="CX127" i="1" s="1"/>
  <c r="HE131" i="1"/>
  <c r="CX131" i="1" s="1"/>
  <c r="HE132" i="1"/>
  <c r="CX132" i="1" s="1"/>
  <c r="EB191" i="1"/>
  <c r="CU132" i="1" s="1"/>
  <c r="EB129" i="1"/>
  <c r="CT129" i="1" s="1"/>
  <c r="BE61" i="1" s="1"/>
  <c r="EB127" i="1"/>
  <c r="CT127" i="1" s="1"/>
  <c r="BE59" i="1" s="1"/>
  <c r="EB132" i="1"/>
  <c r="CT132" i="1" s="1"/>
  <c r="BE64" i="1" s="1"/>
  <c r="EB131" i="1"/>
  <c r="CT131" i="1" s="1"/>
  <c r="BE63" i="1" s="1"/>
  <c r="EB192" i="1"/>
  <c r="EB193" i="1"/>
  <c r="EB126" i="1"/>
  <c r="CT126" i="1" s="1"/>
  <c r="BE58" i="1" s="1"/>
  <c r="EB130" i="1"/>
  <c r="CT130" i="1" s="1"/>
  <c r="BE62" i="1" s="1"/>
  <c r="EB128" i="1"/>
  <c r="CT128" i="1" s="1"/>
  <c r="BE60" i="1" s="1"/>
  <c r="GD126" i="1"/>
  <c r="CV126" i="1" s="1"/>
  <c r="FC129" i="1"/>
  <c r="CW129" i="1" s="1"/>
  <c r="GD128" i="1"/>
  <c r="CV128" i="1" s="1"/>
  <c r="FC132" i="1"/>
  <c r="CW132" i="1" s="1"/>
  <c r="GD132" i="1"/>
  <c r="CV132" i="1" s="1"/>
  <c r="GD131" i="1"/>
  <c r="CV131" i="1" s="1"/>
  <c r="FC128" i="1"/>
  <c r="CW128" i="1" s="1"/>
  <c r="GD130" i="1"/>
  <c r="CV130" i="1" s="1"/>
  <c r="FC131" i="1"/>
  <c r="CW131" i="1" s="1"/>
  <c r="FC126" i="1"/>
  <c r="CW126" i="1" s="1"/>
  <c r="FC127" i="1"/>
  <c r="CW127" i="1" s="1"/>
  <c r="GD129" i="1"/>
  <c r="CV129" i="1" s="1"/>
  <c r="GD127" i="1"/>
  <c r="CV127" i="1" s="1"/>
  <c r="FC130" i="1"/>
  <c r="CW130" i="1" s="1"/>
  <c r="AC35" i="1"/>
  <c r="Z151" i="6"/>
  <c r="AX131" i="1"/>
  <c r="Z162" i="6"/>
  <c r="AX142" i="1"/>
  <c r="Z195" i="6"/>
  <c r="AX175" i="1"/>
  <c r="Z173" i="6"/>
  <c r="AX153" i="1"/>
  <c r="Z184" i="6"/>
  <c r="AX164" i="1"/>
  <c r="CS108" i="1" l="1"/>
  <c r="CP108" i="1" s="1"/>
  <c r="CS114" i="1"/>
  <c r="CP114" i="1" s="1"/>
  <c r="CS120" i="1"/>
  <c r="CP120" i="1" s="1"/>
  <c r="CS115" i="1"/>
  <c r="CP115" i="1" s="1"/>
  <c r="CS110" i="1"/>
  <c r="CP110" i="1" s="1"/>
  <c r="CS117" i="1"/>
  <c r="CP117" i="1" s="1"/>
  <c r="CV121" i="1"/>
  <c r="CS121" i="1" s="1"/>
  <c r="CP121" i="1" s="1"/>
  <c r="CS118" i="1"/>
  <c r="CP118" i="1" s="1"/>
  <c r="CS109" i="1"/>
  <c r="CP109" i="1" s="1"/>
  <c r="CV111" i="1"/>
  <c r="CS116" i="1"/>
  <c r="CP116" i="1" s="1"/>
  <c r="CS113" i="1"/>
  <c r="CP113" i="1" s="1"/>
  <c r="CV123" i="1"/>
  <c r="CS123" i="1" s="1"/>
  <c r="CP123" i="1" s="1"/>
  <c r="CS111" i="1"/>
  <c r="CP111" i="1" s="1"/>
  <c r="CS112" i="1"/>
  <c r="CP112" i="1" s="1"/>
  <c r="CV122" i="1"/>
  <c r="CS122" i="1" s="1"/>
  <c r="CP122" i="1" s="1"/>
  <c r="CS119" i="1"/>
  <c r="CP119" i="1" s="1"/>
  <c r="CS107" i="1"/>
  <c r="CP107" i="1" s="1"/>
  <c r="HW15" i="1"/>
  <c r="HX15" i="1" s="1"/>
  <c r="HU16" i="1"/>
  <c r="IO14" i="1"/>
  <c r="II14" i="1"/>
  <c r="IE14" i="1"/>
  <c r="IB14" i="1"/>
  <c r="IN14" i="1"/>
  <c r="IK14" i="1"/>
  <c r="IC14" i="1"/>
  <c r="IH14" i="1"/>
  <c r="IF14" i="1"/>
  <c r="IL14" i="1"/>
  <c r="CU133" i="1"/>
  <c r="BF55" i="1" s="1"/>
  <c r="CU134" i="1"/>
  <c r="BF56" i="1" s="1"/>
  <c r="CU127" i="1"/>
  <c r="BF59" i="1" s="1"/>
  <c r="CU128" i="1"/>
  <c r="BF60" i="1" s="1"/>
  <c r="CU129" i="1"/>
  <c r="CU126" i="1"/>
  <c r="BF58" i="1" s="1"/>
  <c r="CU130" i="1"/>
  <c r="CU131" i="1"/>
  <c r="AR61" i="6"/>
  <c r="AT62" i="6"/>
  <c r="AV62" i="6"/>
  <c r="AS63" i="6"/>
  <c r="P36" i="1"/>
  <c r="O41" i="1"/>
  <c r="O37" i="1"/>
  <c r="BQ79" i="6"/>
  <c r="BT8" i="6"/>
  <c r="BS8" i="6"/>
  <c r="AX154" i="1"/>
  <c r="Z174" i="6"/>
  <c r="AX143" i="1"/>
  <c r="Z163" i="6"/>
  <c r="AC37" i="1"/>
  <c r="B26" i="1"/>
  <c r="N26" i="1"/>
  <c r="L26" i="1"/>
  <c r="BP79" i="6"/>
  <c r="BS9" i="6" s="1"/>
  <c r="BS7" i="6"/>
  <c r="I21" i="1"/>
  <c r="AX165" i="1"/>
  <c r="Z185" i="6"/>
  <c r="AX176" i="1"/>
  <c r="Z196" i="6"/>
  <c r="Z152" i="6"/>
  <c r="AX132" i="1"/>
  <c r="Z153" i="6" s="1"/>
  <c r="IR1" i="1"/>
  <c r="Y45" i="1"/>
  <c r="HW16" i="1" l="1"/>
  <c r="HX16" i="1" s="1"/>
  <c r="HU17" i="1"/>
  <c r="IH15" i="1"/>
  <c r="IB15" i="1"/>
  <c r="IN15" i="1"/>
  <c r="IK15" i="1"/>
  <c r="II15" i="1"/>
  <c r="IF15" i="1"/>
  <c r="IC15" i="1"/>
  <c r="IO15" i="1"/>
  <c r="IE15" i="1"/>
  <c r="IL15" i="1"/>
  <c r="AR62" i="6"/>
  <c r="AV63" i="6"/>
  <c r="AS64" i="6"/>
  <c r="AT63" i="6"/>
  <c r="Q36" i="1"/>
  <c r="P37" i="1"/>
  <c r="P41" i="1"/>
  <c r="AX155" i="1"/>
  <c r="Z175" i="6"/>
  <c r="AX144" i="1"/>
  <c r="Z164" i="6"/>
  <c r="I20" i="1"/>
  <c r="CU2" i="1"/>
  <c r="BS17" i="6"/>
  <c r="BS18" i="6" s="1"/>
  <c r="BN19" i="6"/>
  <c r="BN23" i="6" s="1"/>
  <c r="AD40" i="1"/>
  <c r="AL42" i="1"/>
  <c r="K19" i="1" s="1"/>
  <c r="AX166" i="1"/>
  <c r="Z186" i="6"/>
  <c r="IQ4" i="1"/>
  <c r="IQ5" i="1" s="1"/>
  <c r="IQ6" i="1" s="1"/>
  <c r="IQ7" i="1" s="1"/>
  <c r="IQ8" i="1" s="1"/>
  <c r="IQ9" i="1" s="1"/>
  <c r="IQ10" i="1" s="1"/>
  <c r="IQ11" i="1" s="1"/>
  <c r="IQ12" i="1" s="1"/>
  <c r="IQ13" i="1" s="1"/>
  <c r="IQ14" i="1" s="1"/>
  <c r="IQ15" i="1" s="1"/>
  <c r="IR4" i="1"/>
  <c r="IR5" i="1" s="1"/>
  <c r="IR6" i="1" s="1"/>
  <c r="IR7" i="1" s="1"/>
  <c r="IR8" i="1" s="1"/>
  <c r="IR9" i="1" s="1"/>
  <c r="IR10" i="1" s="1"/>
  <c r="IR11" i="1" s="1"/>
  <c r="IR12" i="1" s="1"/>
  <c r="IR13" i="1" s="1"/>
  <c r="IR14" i="1" s="1"/>
  <c r="IR15" i="1" s="1"/>
  <c r="IR16" i="1" s="1"/>
  <c r="AX177" i="1"/>
  <c r="Z197" i="6"/>
  <c r="IQ16" i="1" l="1"/>
  <c r="HU18" i="1"/>
  <c r="HW17" i="1"/>
  <c r="HX17" i="1" s="1"/>
  <c r="IR17" i="1" s="1"/>
  <c r="IB16" i="1"/>
  <c r="IF16" i="1"/>
  <c r="IN16" i="1"/>
  <c r="IC16" i="1"/>
  <c r="IK16" i="1"/>
  <c r="II16" i="1"/>
  <c r="IO16" i="1"/>
  <c r="IH16" i="1"/>
  <c r="IL16" i="1"/>
  <c r="IE16" i="1"/>
  <c r="AR63" i="6"/>
  <c r="AS65" i="6"/>
  <c r="AV64" i="6"/>
  <c r="AT64" i="6"/>
  <c r="R36" i="1"/>
  <c r="Q37" i="1"/>
  <c r="Q41" i="1"/>
  <c r="HK10" i="1"/>
  <c r="HK7" i="1"/>
  <c r="Z165" i="6"/>
  <c r="AX145" i="1"/>
  <c r="Z166" i="6" s="1"/>
  <c r="HK11" i="1"/>
  <c r="HK6" i="1"/>
  <c r="HK13" i="1"/>
  <c r="HK15" i="1"/>
  <c r="HK14" i="1"/>
  <c r="HK5" i="1"/>
  <c r="IT5" i="1"/>
  <c r="Z187" i="6"/>
  <c r="AX167" i="1"/>
  <c r="HK8" i="1"/>
  <c r="HK12" i="1"/>
  <c r="AX178" i="1"/>
  <c r="Z198" i="6"/>
  <c r="BS14" i="6"/>
  <c r="AC40" i="1"/>
  <c r="AC41" i="1" s="1"/>
  <c r="HK4" i="1"/>
  <c r="IT4" i="1"/>
  <c r="HL10" i="1"/>
  <c r="HK9" i="1"/>
  <c r="AX156" i="1"/>
  <c r="Z176" i="6"/>
  <c r="IQ17" i="1" l="1"/>
  <c r="HU19" i="1"/>
  <c r="HW18" i="1"/>
  <c r="HX18" i="1" s="1"/>
  <c r="IH17" i="1"/>
  <c r="IE17" i="1"/>
  <c r="IF17" i="1"/>
  <c r="IB17" i="1"/>
  <c r="IL17" i="1"/>
  <c r="IO17" i="1"/>
  <c r="IN17" i="1"/>
  <c r="IK17" i="1"/>
  <c r="II17" i="1"/>
  <c r="IC17" i="1"/>
  <c r="HN10" i="1"/>
  <c r="DA4" i="1"/>
  <c r="CZ4" i="1"/>
  <c r="DD4" i="1"/>
  <c r="DC4" i="1" s="1"/>
  <c r="DF4" i="1"/>
  <c r="AR64" i="6"/>
  <c r="AT65" i="6"/>
  <c r="AV65" i="6"/>
  <c r="AS66" i="6"/>
  <c r="S36" i="1"/>
  <c r="R37" i="1"/>
  <c r="R41" i="1"/>
  <c r="CZ10" i="1"/>
  <c r="AX157" i="1"/>
  <c r="Z177" i="6"/>
  <c r="HL12" i="1"/>
  <c r="HN12" i="1" s="1"/>
  <c r="CZ12" i="1"/>
  <c r="HK30" i="1"/>
  <c r="HL30" i="1"/>
  <c r="CZ30" i="1"/>
  <c r="HM12" i="1"/>
  <c r="HP12" i="1" s="1"/>
  <c r="DA12" i="1"/>
  <c r="DA45" i="1"/>
  <c r="HM45" i="1"/>
  <c r="HK36" i="1"/>
  <c r="CZ36" i="1"/>
  <c r="HL36" i="1"/>
  <c r="DA13" i="1"/>
  <c r="HM13" i="1"/>
  <c r="HP13" i="1" s="1"/>
  <c r="HL14" i="1"/>
  <c r="HN14" i="1" s="1"/>
  <c r="CZ14" i="1"/>
  <c r="HM31" i="1"/>
  <c r="DA31" i="1"/>
  <c r="HM23" i="1"/>
  <c r="DA23" i="1"/>
  <c r="HL18" i="1"/>
  <c r="CZ18" i="1"/>
  <c r="HK18" i="1"/>
  <c r="DA9" i="1"/>
  <c r="HM9" i="1"/>
  <c r="HP9" i="1" s="1"/>
  <c r="CZ7" i="1"/>
  <c r="HL7" i="1"/>
  <c r="HO7" i="1" s="1"/>
  <c r="HM4" i="1"/>
  <c r="HP4" i="1" s="1"/>
  <c r="DA20" i="1"/>
  <c r="HM20" i="1"/>
  <c r="DA30" i="1"/>
  <c r="HM30" i="1"/>
  <c r="HK26" i="1"/>
  <c r="CZ26" i="1"/>
  <c r="HL26" i="1"/>
  <c r="AX168" i="1"/>
  <c r="Z188" i="6"/>
  <c r="HK42" i="1"/>
  <c r="HL42" i="1"/>
  <c r="CZ42" i="1"/>
  <c r="HK16" i="1"/>
  <c r="CZ16" i="1"/>
  <c r="HL16" i="1"/>
  <c r="DA16" i="1"/>
  <c r="HM16" i="1"/>
  <c r="HL32" i="1"/>
  <c r="CZ32" i="1"/>
  <c r="HK32" i="1"/>
  <c r="DA32" i="1"/>
  <c r="HM32" i="1"/>
  <c r="HM35" i="1"/>
  <c r="DA35" i="1"/>
  <c r="HL35" i="1"/>
  <c r="CZ35" i="1"/>
  <c r="HK35" i="1"/>
  <c r="CZ28" i="1"/>
  <c r="HL28" i="1"/>
  <c r="HK28" i="1"/>
  <c r="HL4" i="1"/>
  <c r="HO4" i="1" s="1"/>
  <c r="DA37" i="1"/>
  <c r="HM37" i="1"/>
  <c r="CZ33" i="1"/>
  <c r="HL33" i="1"/>
  <c r="HK33" i="1"/>
  <c r="HM33" i="1"/>
  <c r="DA33" i="1"/>
  <c r="CZ34" i="1"/>
  <c r="HL34" i="1"/>
  <c r="HK34" i="1"/>
  <c r="HK46" i="1"/>
  <c r="HL46" i="1"/>
  <c r="HK31" i="1"/>
  <c r="CZ31" i="1"/>
  <c r="HL31" i="1"/>
  <c r="CZ38" i="1"/>
  <c r="HL38" i="1"/>
  <c r="HK38" i="1"/>
  <c r="CZ23" i="1"/>
  <c r="HL23" i="1"/>
  <c r="HK23" i="1"/>
  <c r="DA10" i="1"/>
  <c r="HM10" i="1"/>
  <c r="HP10" i="1" s="1"/>
  <c r="DA19" i="1"/>
  <c r="HM19" i="1"/>
  <c r="CZ37" i="1"/>
  <c r="HL37" i="1"/>
  <c r="HK37" i="1"/>
  <c r="HM15" i="1"/>
  <c r="HP15" i="1" s="1"/>
  <c r="DA15" i="1"/>
  <c r="HK29" i="1"/>
  <c r="CZ29" i="1"/>
  <c r="HL29" i="1"/>
  <c r="DA29" i="1"/>
  <c r="HM29" i="1"/>
  <c r="DA40" i="1"/>
  <c r="HM40" i="1"/>
  <c r="DA11" i="1"/>
  <c r="HM11" i="1"/>
  <c r="HP11" i="1" s="1"/>
  <c r="HL13" i="1"/>
  <c r="HO13" i="1" s="1"/>
  <c r="HM46" i="1"/>
  <c r="DA43" i="1"/>
  <c r="HM43" i="1"/>
  <c r="DA18" i="1"/>
  <c r="HM18" i="1"/>
  <c r="HK19" i="1"/>
  <c r="CZ19" i="1"/>
  <c r="HL19" i="1"/>
  <c r="DA17" i="1"/>
  <c r="HM17" i="1"/>
  <c r="HL17" i="1"/>
  <c r="HK17" i="1"/>
  <c r="CZ17" i="1"/>
  <c r="HM5" i="1"/>
  <c r="HP5" i="1" s="1"/>
  <c r="DA5" i="1"/>
  <c r="CX5" i="1" s="1"/>
  <c r="HK41" i="1"/>
  <c r="CZ41" i="1"/>
  <c r="HL41" i="1"/>
  <c r="DA28" i="1"/>
  <c r="HM28" i="1"/>
  <c r="CZ5" i="1"/>
  <c r="HL5" i="1"/>
  <c r="HN5" i="1" s="1"/>
  <c r="HM38" i="1"/>
  <c r="DA38" i="1"/>
  <c r="CZ25" i="1"/>
  <c r="HL25" i="1"/>
  <c r="HK25" i="1"/>
  <c r="DA27" i="1"/>
  <c r="HM27" i="1"/>
  <c r="HL21" i="1"/>
  <c r="HK21" i="1"/>
  <c r="CZ21" i="1"/>
  <c r="HL11" i="1"/>
  <c r="HN11" i="1" s="1"/>
  <c r="CZ11" i="1"/>
  <c r="CZ8" i="1"/>
  <c r="HL8" i="1"/>
  <c r="HN8" i="1" s="1"/>
  <c r="HK39" i="1"/>
  <c r="HL39" i="1"/>
  <c r="CZ39" i="1"/>
  <c r="IY4" i="1"/>
  <c r="JA4" i="1"/>
  <c r="IZ4" i="1" s="1"/>
  <c r="JC4" i="1"/>
  <c r="IW4" i="1"/>
  <c r="IV4" i="1" s="1"/>
  <c r="CZ20" i="1"/>
  <c r="HL20" i="1"/>
  <c r="HK20" i="1"/>
  <c r="AX179" i="1"/>
  <c r="Z199" i="6"/>
  <c r="HL45" i="1"/>
  <c r="HK45" i="1"/>
  <c r="HK47" i="1"/>
  <c r="HL47" i="1"/>
  <c r="HM47" i="1"/>
  <c r="HM8" i="1"/>
  <c r="HP8" i="1" s="1"/>
  <c r="DA8" i="1"/>
  <c r="DA42" i="1"/>
  <c r="HM42" i="1"/>
  <c r="IY5" i="1"/>
  <c r="JC5" i="1"/>
  <c r="IW5" i="1"/>
  <c r="IX5" i="1" s="1"/>
  <c r="JA5" i="1"/>
  <c r="JB5" i="1" s="1"/>
  <c r="DA25" i="1"/>
  <c r="HM25" i="1"/>
  <c r="HK27" i="1"/>
  <c r="CZ27" i="1"/>
  <c r="HL27" i="1"/>
  <c r="DA21" i="1"/>
  <c r="HM21" i="1"/>
  <c r="CZ9" i="1"/>
  <c r="HL9" i="1"/>
  <c r="HN9" i="1" s="1"/>
  <c r="DA39" i="1"/>
  <c r="HM39" i="1"/>
  <c r="HK24" i="1"/>
  <c r="HL24" i="1"/>
  <c r="CZ24" i="1"/>
  <c r="HM24" i="1"/>
  <c r="DA24" i="1"/>
  <c r="L28" i="1"/>
  <c r="BS15" i="6" s="1"/>
  <c r="B28" i="1"/>
  <c r="J19" i="1" s="1"/>
  <c r="I18" i="1" s="1"/>
  <c r="DA26" i="1"/>
  <c r="HM26" i="1"/>
  <c r="DA36" i="1"/>
  <c r="HM36" i="1"/>
  <c r="DA14" i="1"/>
  <c r="HM14" i="1"/>
  <c r="HP14" i="1" s="1"/>
  <c r="DA41" i="1"/>
  <c r="HM41" i="1"/>
  <c r="CZ6" i="1"/>
  <c r="HL6" i="1"/>
  <c r="HN6" i="1" s="1"/>
  <c r="HL40" i="1"/>
  <c r="HK40" i="1"/>
  <c r="CZ40" i="1"/>
  <c r="DA44" i="1"/>
  <c r="HM44" i="1"/>
  <c r="HL44" i="1"/>
  <c r="HK44" i="1"/>
  <c r="HM34" i="1"/>
  <c r="DA34" i="1"/>
  <c r="DA6" i="1"/>
  <c r="CX6" i="1" s="1"/>
  <c r="HM6" i="1"/>
  <c r="CZ13" i="1"/>
  <c r="HM7" i="1"/>
  <c r="HP7" i="1" s="1"/>
  <c r="CZ43" i="1"/>
  <c r="HK43" i="1"/>
  <c r="HL43" i="1"/>
  <c r="HO10" i="1"/>
  <c r="HL22" i="1"/>
  <c r="CZ22" i="1"/>
  <c r="HK22" i="1"/>
  <c r="HM22" i="1"/>
  <c r="DA22" i="1"/>
  <c r="FJ13" i="1" l="1"/>
  <c r="FK13" i="1" s="1"/>
  <c r="EI13" i="1"/>
  <c r="EJ13" i="1" s="1"/>
  <c r="FL13" i="1"/>
  <c r="EK13" i="1"/>
  <c r="FJ9" i="1"/>
  <c r="FK9" i="1" s="1"/>
  <c r="EI9" i="1"/>
  <c r="EJ9" i="1" s="1"/>
  <c r="FL9" i="1"/>
  <c r="EK9" i="1"/>
  <c r="EK27" i="1"/>
  <c r="EI27" i="1"/>
  <c r="EJ27" i="1" s="1"/>
  <c r="FJ27" i="1"/>
  <c r="FK27" i="1" s="1"/>
  <c r="FL27" i="1"/>
  <c r="FJ25" i="1"/>
  <c r="FK25" i="1" s="1"/>
  <c r="EI25" i="1"/>
  <c r="EJ25" i="1" s="1"/>
  <c r="FL25" i="1"/>
  <c r="EK25" i="1"/>
  <c r="FJ5" i="1"/>
  <c r="FK5" i="1" s="1"/>
  <c r="EI5" i="1"/>
  <c r="EJ5" i="1" s="1"/>
  <c r="FL5" i="1"/>
  <c r="EK5" i="1"/>
  <c r="FJ41" i="1"/>
  <c r="FK41" i="1" s="1"/>
  <c r="EI41" i="1"/>
  <c r="EJ41" i="1" s="1"/>
  <c r="FL41" i="1"/>
  <c r="EK41" i="1"/>
  <c r="FJ17" i="1"/>
  <c r="FK17" i="1" s="1"/>
  <c r="EI17" i="1"/>
  <c r="EJ17" i="1" s="1"/>
  <c r="FL17" i="1"/>
  <c r="EK17" i="1"/>
  <c r="EI28" i="1"/>
  <c r="EJ28" i="1" s="1"/>
  <c r="FL28" i="1"/>
  <c r="EK28" i="1"/>
  <c r="FJ28" i="1"/>
  <c r="FJ42" i="1"/>
  <c r="FK42" i="1" s="1"/>
  <c r="EI42" i="1"/>
  <c r="EJ42" i="1" s="1"/>
  <c r="EK42" i="1"/>
  <c r="FL42" i="1"/>
  <c r="FJ14" i="1"/>
  <c r="FK14" i="1" s="1"/>
  <c r="FL14" i="1"/>
  <c r="EI14" i="1"/>
  <c r="EJ14" i="1" s="1"/>
  <c r="EK14" i="1"/>
  <c r="FH4" i="1"/>
  <c r="EI4" i="1"/>
  <c r="FJ4" i="1"/>
  <c r="FI4" i="1" s="1"/>
  <c r="EK4" i="1"/>
  <c r="FL4" i="1"/>
  <c r="FJ22" i="1"/>
  <c r="FI22" i="1" s="1"/>
  <c r="FL22" i="1"/>
  <c r="EI22" i="1"/>
  <c r="EK22" i="1"/>
  <c r="EI40" i="1"/>
  <c r="FL40" i="1"/>
  <c r="EK40" i="1"/>
  <c r="FJ40" i="1"/>
  <c r="FJ6" i="1"/>
  <c r="FK6" i="1" s="1"/>
  <c r="FL6" i="1"/>
  <c r="EI6" i="1"/>
  <c r="EK6" i="1"/>
  <c r="EI20" i="1"/>
  <c r="FL20" i="1"/>
  <c r="EK20" i="1"/>
  <c r="FJ20" i="1"/>
  <c r="FK20" i="1" s="1"/>
  <c r="FJ21" i="1"/>
  <c r="FK21" i="1" s="1"/>
  <c r="EI21" i="1"/>
  <c r="EJ21" i="1" s="1"/>
  <c r="FL21" i="1"/>
  <c r="EK21" i="1"/>
  <c r="FJ29" i="1"/>
  <c r="FK29" i="1" s="1"/>
  <c r="EI29" i="1"/>
  <c r="EJ29" i="1" s="1"/>
  <c r="FL29" i="1"/>
  <c r="EK29" i="1"/>
  <c r="FJ38" i="1"/>
  <c r="FI38" i="1" s="1"/>
  <c r="FL38" i="1"/>
  <c r="EI38" i="1"/>
  <c r="EK38" i="1"/>
  <c r="FJ34" i="1"/>
  <c r="FK34" i="1" s="1"/>
  <c r="EI34" i="1"/>
  <c r="EH34" i="1" s="1"/>
  <c r="EK34" i="1"/>
  <c r="FL34" i="1"/>
  <c r="EI32" i="1"/>
  <c r="FL32" i="1"/>
  <c r="EK32" i="1"/>
  <c r="FJ32" i="1"/>
  <c r="EI36" i="1"/>
  <c r="FL36" i="1"/>
  <c r="EK36" i="1"/>
  <c r="FJ36" i="1"/>
  <c r="FK36" i="1" s="1"/>
  <c r="GK4" i="1"/>
  <c r="GJ4" i="1" s="1"/>
  <c r="GM4" i="1"/>
  <c r="EK43" i="1"/>
  <c r="EI43" i="1"/>
  <c r="EJ43" i="1" s="1"/>
  <c r="FJ43" i="1"/>
  <c r="FL43" i="1"/>
  <c r="EI24" i="1"/>
  <c r="FL24" i="1"/>
  <c r="EK24" i="1"/>
  <c r="FJ24" i="1"/>
  <c r="EK39" i="1"/>
  <c r="FJ39" i="1"/>
  <c r="FI39" i="1" s="1"/>
  <c r="FL39" i="1"/>
  <c r="EI39" i="1"/>
  <c r="EH39" i="1" s="1"/>
  <c r="EI8" i="1"/>
  <c r="FL8" i="1"/>
  <c r="EK8" i="1"/>
  <c r="FJ8" i="1"/>
  <c r="EK19" i="1"/>
  <c r="EI19" i="1"/>
  <c r="FJ19" i="1"/>
  <c r="FL19" i="1"/>
  <c r="EK23" i="1"/>
  <c r="FJ23" i="1"/>
  <c r="FI23" i="1" s="1"/>
  <c r="FL23" i="1"/>
  <c r="EI23" i="1"/>
  <c r="EJ23" i="1" s="1"/>
  <c r="FJ33" i="1"/>
  <c r="FK33" i="1" s="1"/>
  <c r="EI33" i="1"/>
  <c r="EJ33" i="1" s="1"/>
  <c r="FL33" i="1"/>
  <c r="EK33" i="1"/>
  <c r="EK35" i="1"/>
  <c r="EI35" i="1"/>
  <c r="FJ35" i="1"/>
  <c r="FI35" i="1" s="1"/>
  <c r="FL35" i="1"/>
  <c r="EI16" i="1"/>
  <c r="FL16" i="1"/>
  <c r="EK16" i="1"/>
  <c r="FJ16" i="1"/>
  <c r="FK16" i="1" s="1"/>
  <c r="FJ26" i="1"/>
  <c r="FK26" i="1" s="1"/>
  <c r="EI26" i="1"/>
  <c r="EK26" i="1"/>
  <c r="FL26" i="1"/>
  <c r="EK7" i="1"/>
  <c r="FJ7" i="1"/>
  <c r="FI7" i="1" s="1"/>
  <c r="FL7" i="1"/>
  <c r="EI7" i="1"/>
  <c r="EJ7" i="1" s="1"/>
  <c r="FJ18" i="1"/>
  <c r="FK18" i="1" s="1"/>
  <c r="EI18" i="1"/>
  <c r="EK18" i="1"/>
  <c r="FL18" i="1"/>
  <c r="EI12" i="1"/>
  <c r="EJ12" i="1" s="1"/>
  <c r="FL12" i="1"/>
  <c r="EK12" i="1"/>
  <c r="FJ12" i="1"/>
  <c r="FK12" i="1" s="1"/>
  <c r="FJ10" i="1"/>
  <c r="FK10" i="1" s="1"/>
  <c r="EI10" i="1"/>
  <c r="EK10" i="1"/>
  <c r="FL10" i="1"/>
  <c r="EK11" i="1"/>
  <c r="EI11" i="1"/>
  <c r="FJ11" i="1"/>
  <c r="FI11" i="1" s="1"/>
  <c r="FL11" i="1"/>
  <c r="FJ37" i="1"/>
  <c r="FK37" i="1" s="1"/>
  <c r="EI37" i="1"/>
  <c r="EJ37" i="1" s="1"/>
  <c r="FL37" i="1"/>
  <c r="EK37" i="1"/>
  <c r="EK31" i="1"/>
  <c r="FJ31" i="1"/>
  <c r="FI31" i="1" s="1"/>
  <c r="FL31" i="1"/>
  <c r="EI31" i="1"/>
  <c r="EH31" i="1" s="1"/>
  <c r="FJ30" i="1"/>
  <c r="FI30" i="1" s="1"/>
  <c r="FL30" i="1"/>
  <c r="EI30" i="1"/>
  <c r="EK30" i="1"/>
  <c r="IQ18" i="1"/>
  <c r="IB18" i="1"/>
  <c r="IC18" i="1"/>
  <c r="IO18" i="1"/>
  <c r="IH18" i="1"/>
  <c r="II18" i="1"/>
  <c r="IL18" i="1"/>
  <c r="IF18" i="1"/>
  <c r="IE18" i="1"/>
  <c r="IR18" i="1"/>
  <c r="IK18" i="1"/>
  <c r="IN18" i="1"/>
  <c r="HW19" i="1"/>
  <c r="HX19" i="1" s="1"/>
  <c r="HU20" i="1"/>
  <c r="GI4" i="1"/>
  <c r="FF40" i="1"/>
  <c r="FG40" i="1" s="1"/>
  <c r="EE40" i="1"/>
  <c r="EF40" i="1" s="1"/>
  <c r="FH40" i="1"/>
  <c r="EG40" i="1"/>
  <c r="FF20" i="1"/>
  <c r="FE20" i="1" s="1"/>
  <c r="FH20" i="1"/>
  <c r="EE20" i="1"/>
  <c r="EF20" i="1" s="1"/>
  <c r="EG20" i="1"/>
  <c r="EE32" i="1"/>
  <c r="ED32" i="1" s="1"/>
  <c r="FF32" i="1"/>
  <c r="FE32" i="1" s="1"/>
  <c r="EG32" i="1"/>
  <c r="FH32" i="1"/>
  <c r="FF24" i="1"/>
  <c r="FE24" i="1" s="1"/>
  <c r="EE24" i="1"/>
  <c r="ED24" i="1" s="1"/>
  <c r="EG24" i="1"/>
  <c r="FH24" i="1"/>
  <c r="EG39" i="1"/>
  <c r="FH39" i="1"/>
  <c r="EE39" i="1"/>
  <c r="ED39" i="1" s="1"/>
  <c r="FF39" i="1"/>
  <c r="FG39" i="1" s="1"/>
  <c r="FF8" i="1"/>
  <c r="FE8" i="1" s="1"/>
  <c r="EG8" i="1"/>
  <c r="EE8" i="1"/>
  <c r="ED8" i="1" s="1"/>
  <c r="FH8" i="1"/>
  <c r="EE19" i="1"/>
  <c r="ED19" i="1" s="1"/>
  <c r="FF19" i="1"/>
  <c r="FE19" i="1" s="1"/>
  <c r="FH19" i="1"/>
  <c r="EG19" i="1"/>
  <c r="EG23" i="1"/>
  <c r="EE23" i="1"/>
  <c r="ED23" i="1" s="1"/>
  <c r="FH23" i="1"/>
  <c r="FF23" i="1"/>
  <c r="FE23" i="1" s="1"/>
  <c r="FH33" i="1"/>
  <c r="FF33" i="1"/>
  <c r="FG33" i="1" s="1"/>
  <c r="EG33" i="1"/>
  <c r="EE33" i="1"/>
  <c r="EF33" i="1" s="1"/>
  <c r="EE35" i="1"/>
  <c r="ED35" i="1" s="1"/>
  <c r="FH35" i="1"/>
  <c r="EG35" i="1"/>
  <c r="FF35" i="1"/>
  <c r="FE35" i="1" s="1"/>
  <c r="EE16" i="1"/>
  <c r="ED16" i="1" s="1"/>
  <c r="EG16" i="1"/>
  <c r="FH16" i="1"/>
  <c r="FF16" i="1"/>
  <c r="FE16" i="1" s="1"/>
  <c r="EE26" i="1"/>
  <c r="ED26" i="1" s="1"/>
  <c r="FH26" i="1"/>
  <c r="FF26" i="1"/>
  <c r="FG26" i="1" s="1"/>
  <c r="EG26" i="1"/>
  <c r="EE7" i="1"/>
  <c r="EF7" i="1" s="1"/>
  <c r="EG7" i="1"/>
  <c r="FF7" i="1"/>
  <c r="FE7" i="1" s="1"/>
  <c r="FH7" i="1"/>
  <c r="FH18" i="1"/>
  <c r="FF18" i="1"/>
  <c r="FG18" i="1" s="1"/>
  <c r="EE18" i="1"/>
  <c r="ED18" i="1" s="1"/>
  <c r="EG18" i="1"/>
  <c r="FH12" i="1"/>
  <c r="EE12" i="1"/>
  <c r="EF12" i="1" s="1"/>
  <c r="FF12" i="1"/>
  <c r="FG12" i="1" s="1"/>
  <c r="EG12" i="1"/>
  <c r="EG10" i="1"/>
  <c r="FF10" i="1"/>
  <c r="FE10" i="1" s="1"/>
  <c r="EE10" i="1"/>
  <c r="ED10" i="1" s="1"/>
  <c r="FH10" i="1"/>
  <c r="FH6" i="1"/>
  <c r="FF6" i="1"/>
  <c r="FE6" i="1" s="1"/>
  <c r="EE6" i="1"/>
  <c r="ED6" i="1" s="1"/>
  <c r="EG6" i="1"/>
  <c r="FH29" i="1"/>
  <c r="EE29" i="1"/>
  <c r="ED29" i="1" s="1"/>
  <c r="FF29" i="1"/>
  <c r="FE29" i="1" s="1"/>
  <c r="EG29" i="1"/>
  <c r="FH34" i="1"/>
  <c r="EE34" i="1"/>
  <c r="ED34" i="1" s="1"/>
  <c r="FF34" i="1"/>
  <c r="FG34" i="1" s="1"/>
  <c r="EG34" i="1"/>
  <c r="EE11" i="1"/>
  <c r="EF11" i="1" s="1"/>
  <c r="FF11" i="1"/>
  <c r="FE11" i="1" s="1"/>
  <c r="EG11" i="1"/>
  <c r="FH11" i="1"/>
  <c r="FF37" i="1"/>
  <c r="FE37" i="1" s="1"/>
  <c r="EG37" i="1"/>
  <c r="EE37" i="1"/>
  <c r="EF37" i="1" s="1"/>
  <c r="FH37" i="1"/>
  <c r="FF31" i="1"/>
  <c r="FE31" i="1" s="1"/>
  <c r="EE31" i="1"/>
  <c r="ED31" i="1" s="1"/>
  <c r="EG31" i="1"/>
  <c r="FH31" i="1"/>
  <c r="FF30" i="1"/>
  <c r="FG30" i="1" s="1"/>
  <c r="EG30" i="1"/>
  <c r="EE30" i="1"/>
  <c r="ED30" i="1" s="1"/>
  <c r="FH30" i="1"/>
  <c r="EE43" i="1"/>
  <c r="ED43" i="1" s="1"/>
  <c r="EG43" i="1"/>
  <c r="FF43" i="1"/>
  <c r="FG43" i="1" s="1"/>
  <c r="FH43" i="1"/>
  <c r="EE21" i="1"/>
  <c r="ED21" i="1" s="1"/>
  <c r="FF21" i="1"/>
  <c r="FE21" i="1" s="1"/>
  <c r="EG21" i="1"/>
  <c r="FH21" i="1"/>
  <c r="EE38" i="1"/>
  <c r="ED38" i="1" s="1"/>
  <c r="EG38" i="1"/>
  <c r="FH38" i="1"/>
  <c r="FF38" i="1"/>
  <c r="FE38" i="1" s="1"/>
  <c r="EE36" i="1"/>
  <c r="EF36" i="1" s="1"/>
  <c r="EG36" i="1"/>
  <c r="FF36" i="1"/>
  <c r="FE36" i="1" s="1"/>
  <c r="FH36" i="1"/>
  <c r="FH22" i="1"/>
  <c r="EE22" i="1"/>
  <c r="ED22" i="1" s="1"/>
  <c r="FF22" i="1"/>
  <c r="FG22" i="1" s="1"/>
  <c r="EG22" i="1"/>
  <c r="EG13" i="1"/>
  <c r="FF13" i="1"/>
  <c r="FG13" i="1" s="1"/>
  <c r="FH13" i="1"/>
  <c r="EE13" i="1"/>
  <c r="ED13" i="1" s="1"/>
  <c r="EG9" i="1"/>
  <c r="EE9" i="1"/>
  <c r="ED9" i="1" s="1"/>
  <c r="FH9" i="1"/>
  <c r="FF9" i="1"/>
  <c r="FG9" i="1" s="1"/>
  <c r="FF27" i="1"/>
  <c r="FE27" i="1" s="1"/>
  <c r="FH27" i="1"/>
  <c r="EE27" i="1"/>
  <c r="ED27" i="1" s="1"/>
  <c r="EG27" i="1"/>
  <c r="EE25" i="1"/>
  <c r="ED25" i="1" s="1"/>
  <c r="EG25" i="1"/>
  <c r="FF25" i="1"/>
  <c r="FE25" i="1" s="1"/>
  <c r="FH25" i="1"/>
  <c r="EE5" i="1"/>
  <c r="EF5" i="1" s="1"/>
  <c r="FF5" i="1"/>
  <c r="FG5" i="1" s="1"/>
  <c r="EG5" i="1"/>
  <c r="FH5" i="1"/>
  <c r="EE41" i="1"/>
  <c r="EF41" i="1" s="1"/>
  <c r="FF41" i="1"/>
  <c r="FG41" i="1" s="1"/>
  <c r="FH41" i="1"/>
  <c r="EG41" i="1"/>
  <c r="EG17" i="1"/>
  <c r="EE17" i="1"/>
  <c r="ED17" i="1" s="1"/>
  <c r="FF17" i="1"/>
  <c r="FG17" i="1" s="1"/>
  <c r="FH17" i="1"/>
  <c r="EG28" i="1"/>
  <c r="FF28" i="1"/>
  <c r="FG28" i="1" s="1"/>
  <c r="FH28" i="1"/>
  <c r="EE28" i="1"/>
  <c r="ED28" i="1" s="1"/>
  <c r="FF42" i="1"/>
  <c r="FG42" i="1" s="1"/>
  <c r="FH42" i="1"/>
  <c r="EE42" i="1"/>
  <c r="EF42" i="1" s="1"/>
  <c r="EG42" i="1"/>
  <c r="FF14" i="1"/>
  <c r="FE14" i="1" s="1"/>
  <c r="FH14" i="1"/>
  <c r="EG14" i="1"/>
  <c r="EE14" i="1"/>
  <c r="ED14" i="1" s="1"/>
  <c r="GG4" i="1"/>
  <c r="GF4" i="1" s="1"/>
  <c r="EG4" i="1"/>
  <c r="FF4" i="1"/>
  <c r="FE4" i="1" s="1"/>
  <c r="DE4" i="1"/>
  <c r="EB4" i="1" s="1"/>
  <c r="CT4" i="1" s="1"/>
  <c r="EE4" i="1"/>
  <c r="ED4" i="1" s="1"/>
  <c r="AV66" i="6"/>
  <c r="AT66" i="6"/>
  <c r="AS67" i="6"/>
  <c r="AR65" i="6"/>
  <c r="S41" i="1"/>
  <c r="S37" i="1"/>
  <c r="T36" i="1"/>
  <c r="HN7" i="1"/>
  <c r="HO14" i="1"/>
  <c r="HO8" i="1"/>
  <c r="IV5" i="1"/>
  <c r="HO12" i="1"/>
  <c r="HO11" i="1"/>
  <c r="HN4" i="1"/>
  <c r="HP6" i="1"/>
  <c r="BT15" i="6"/>
  <c r="BS16" i="6"/>
  <c r="BT16" i="6" s="1"/>
  <c r="HO47" i="1"/>
  <c r="HN47" i="1"/>
  <c r="HP47" i="1"/>
  <c r="HP20" i="1"/>
  <c r="HO20" i="1"/>
  <c r="HN20" i="1"/>
  <c r="IX4" i="1"/>
  <c r="Z189" i="6"/>
  <c r="AX169" i="1"/>
  <c r="GM34" i="1"/>
  <c r="GK34" i="1"/>
  <c r="GJ34" i="1" s="1"/>
  <c r="GG34" i="1"/>
  <c r="GF34" i="1" s="1"/>
  <c r="GI34" i="1"/>
  <c r="GM24" i="1"/>
  <c r="GG24" i="1"/>
  <c r="GH24" i="1" s="1"/>
  <c r="GK24" i="1"/>
  <c r="GJ24" i="1" s="1"/>
  <c r="GI24" i="1"/>
  <c r="HP27" i="1"/>
  <c r="HN27" i="1"/>
  <c r="HO27" i="1"/>
  <c r="IZ5" i="1"/>
  <c r="GM42" i="1"/>
  <c r="GI42" i="1"/>
  <c r="GG42" i="1"/>
  <c r="GH42" i="1" s="1"/>
  <c r="GK42" i="1"/>
  <c r="GL42" i="1" s="1"/>
  <c r="HP45" i="1"/>
  <c r="HO45" i="1"/>
  <c r="HN45" i="1"/>
  <c r="GG27" i="1"/>
  <c r="GH27" i="1" s="1"/>
  <c r="GM27" i="1"/>
  <c r="GI27" i="1"/>
  <c r="GK27" i="1"/>
  <c r="GJ27" i="1" s="1"/>
  <c r="HN19" i="1"/>
  <c r="HP19" i="1"/>
  <c r="HO19" i="1"/>
  <c r="GM43" i="1"/>
  <c r="GK43" i="1"/>
  <c r="GJ43" i="1" s="1"/>
  <c r="GG43" i="1"/>
  <c r="GF43" i="1" s="1"/>
  <c r="GI43" i="1"/>
  <c r="GG10" i="1"/>
  <c r="GH10" i="1" s="1"/>
  <c r="GK10" i="1"/>
  <c r="GL10" i="1" s="1"/>
  <c r="GI10" i="1"/>
  <c r="GM10" i="1"/>
  <c r="HN38" i="1"/>
  <c r="HO38" i="1"/>
  <c r="HP38" i="1"/>
  <c r="HP46" i="1"/>
  <c r="HO46" i="1"/>
  <c r="HN46" i="1"/>
  <c r="GI33" i="1"/>
  <c r="GG33" i="1"/>
  <c r="GF33" i="1" s="1"/>
  <c r="GM33" i="1"/>
  <c r="GK33" i="1"/>
  <c r="GJ33" i="1" s="1"/>
  <c r="GI30" i="1"/>
  <c r="GG30" i="1"/>
  <c r="GF30" i="1" s="1"/>
  <c r="GK30" i="1"/>
  <c r="GJ30" i="1" s="1"/>
  <c r="GM30" i="1"/>
  <c r="CZ15" i="1"/>
  <c r="HL15" i="1"/>
  <c r="GI45" i="1"/>
  <c r="GG45" i="1"/>
  <c r="GH45" i="1" s="1"/>
  <c r="GM45" i="1"/>
  <c r="GK45" i="1"/>
  <c r="GL45" i="1" s="1"/>
  <c r="HN22" i="1"/>
  <c r="HP22" i="1"/>
  <c r="HO22" i="1"/>
  <c r="GK6" i="1"/>
  <c r="GL6" i="1" s="1"/>
  <c r="GM6" i="1"/>
  <c r="GI6" i="1"/>
  <c r="GG6" i="1"/>
  <c r="GH6" i="1" s="1"/>
  <c r="GI36" i="1"/>
  <c r="GM36" i="1"/>
  <c r="GG36" i="1"/>
  <c r="GH36" i="1" s="1"/>
  <c r="GK36" i="1"/>
  <c r="GL36" i="1" s="1"/>
  <c r="GI26" i="1"/>
  <c r="GM26" i="1"/>
  <c r="GG26" i="1"/>
  <c r="GH26" i="1" s="1"/>
  <c r="GK26" i="1"/>
  <c r="GJ26" i="1" s="1"/>
  <c r="GI39" i="1"/>
  <c r="GM39" i="1"/>
  <c r="GG39" i="1"/>
  <c r="GF39" i="1" s="1"/>
  <c r="GK39" i="1"/>
  <c r="GJ39" i="1" s="1"/>
  <c r="GI21" i="1"/>
  <c r="GG21" i="1"/>
  <c r="GH21" i="1" s="1"/>
  <c r="GM21" i="1"/>
  <c r="GK21" i="1"/>
  <c r="GJ21" i="1" s="1"/>
  <c r="GK8" i="1"/>
  <c r="GJ8" i="1" s="1"/>
  <c r="GM8" i="1"/>
  <c r="GG8" i="1"/>
  <c r="GF8" i="1" s="1"/>
  <c r="GI8" i="1"/>
  <c r="HO9" i="1"/>
  <c r="GM17" i="1"/>
  <c r="GI17" i="1"/>
  <c r="GG17" i="1"/>
  <c r="GF17" i="1" s="1"/>
  <c r="GK17" i="1"/>
  <c r="GJ17" i="1" s="1"/>
  <c r="HP29" i="1"/>
  <c r="HO29" i="1"/>
  <c r="HN29" i="1"/>
  <c r="HN23" i="1"/>
  <c r="HO23" i="1"/>
  <c r="HP23" i="1"/>
  <c r="HP31" i="1"/>
  <c r="HO31" i="1"/>
  <c r="HN31" i="1"/>
  <c r="HP34" i="1"/>
  <c r="HO34" i="1"/>
  <c r="HN34" i="1"/>
  <c r="HN13" i="1"/>
  <c r="GI37" i="1"/>
  <c r="GG37" i="1"/>
  <c r="GH37" i="1" s="1"/>
  <c r="GM37" i="1"/>
  <c r="GK37" i="1"/>
  <c r="GJ37" i="1" s="1"/>
  <c r="GK35" i="1"/>
  <c r="GL35" i="1" s="1"/>
  <c r="GG35" i="1"/>
  <c r="GF35" i="1" s="1"/>
  <c r="GI35" i="1"/>
  <c r="GM35" i="1"/>
  <c r="GI32" i="1"/>
  <c r="GK32" i="1"/>
  <c r="GJ32" i="1" s="1"/>
  <c r="GM32" i="1"/>
  <c r="GG32" i="1"/>
  <c r="GF32" i="1" s="1"/>
  <c r="HO16" i="1"/>
  <c r="HN16" i="1"/>
  <c r="HP16" i="1"/>
  <c r="HN42" i="1"/>
  <c r="HO42" i="1"/>
  <c r="HP42" i="1"/>
  <c r="GI23" i="1"/>
  <c r="GM23" i="1"/>
  <c r="GG23" i="1"/>
  <c r="GH23" i="1" s="1"/>
  <c r="GK23" i="1"/>
  <c r="GL23" i="1" s="1"/>
  <c r="GG13" i="1"/>
  <c r="GH13" i="1" s="1"/>
  <c r="GM13" i="1"/>
  <c r="GI13" i="1"/>
  <c r="GK13" i="1"/>
  <c r="GJ13" i="1" s="1"/>
  <c r="GG12" i="1"/>
  <c r="GF12" i="1" s="1"/>
  <c r="GK12" i="1"/>
  <c r="GL12" i="1" s="1"/>
  <c r="GI12" i="1"/>
  <c r="GM12" i="1"/>
  <c r="HN30" i="1"/>
  <c r="HO30" i="1"/>
  <c r="HP30" i="1"/>
  <c r="GK22" i="1"/>
  <c r="GJ22" i="1" s="1"/>
  <c r="GG22" i="1"/>
  <c r="GF22" i="1" s="1"/>
  <c r="GM22" i="1"/>
  <c r="GI22" i="1"/>
  <c r="HO43" i="1"/>
  <c r="HP43" i="1"/>
  <c r="HN43" i="1"/>
  <c r="HN21" i="1"/>
  <c r="HO21" i="1"/>
  <c r="HP21" i="1"/>
  <c r="GI28" i="1"/>
  <c r="GK28" i="1"/>
  <c r="GL28" i="1" s="1"/>
  <c r="GG28" i="1"/>
  <c r="GH28" i="1" s="1"/>
  <c r="GM28" i="1"/>
  <c r="GG5" i="1"/>
  <c r="GH5" i="1" s="1"/>
  <c r="GK5" i="1"/>
  <c r="GL5" i="1" s="1"/>
  <c r="GI5" i="1"/>
  <c r="GM5" i="1"/>
  <c r="HN28" i="1"/>
  <c r="HP28" i="1"/>
  <c r="HO28" i="1"/>
  <c r="GM9" i="1"/>
  <c r="GG9" i="1"/>
  <c r="GH9" i="1" s="1"/>
  <c r="GK9" i="1"/>
  <c r="GJ9" i="1" s="1"/>
  <c r="GI9" i="1"/>
  <c r="GK31" i="1"/>
  <c r="GJ31" i="1" s="1"/>
  <c r="GI31" i="1"/>
  <c r="GG31" i="1"/>
  <c r="GF31" i="1" s="1"/>
  <c r="GM31" i="1"/>
  <c r="Z178" i="6"/>
  <c r="AX158" i="1"/>
  <c r="Z179" i="6" s="1"/>
  <c r="HN40" i="1"/>
  <c r="HP40" i="1"/>
  <c r="HO40" i="1"/>
  <c r="GM41" i="1"/>
  <c r="GI41" i="1"/>
  <c r="GK41" i="1"/>
  <c r="GJ41" i="1" s="1"/>
  <c r="GG41" i="1"/>
  <c r="GF41" i="1" s="1"/>
  <c r="HO24" i="1"/>
  <c r="HP24" i="1"/>
  <c r="HN24" i="1"/>
  <c r="AX180" i="1"/>
  <c r="Z200" i="6"/>
  <c r="HN39" i="1"/>
  <c r="HO39" i="1"/>
  <c r="HP39" i="1"/>
  <c r="GM38" i="1"/>
  <c r="GK38" i="1"/>
  <c r="GL38" i="1" s="1"/>
  <c r="GI38" i="1"/>
  <c r="GG38" i="1"/>
  <c r="GF38" i="1" s="1"/>
  <c r="GM40" i="1"/>
  <c r="GG40" i="1"/>
  <c r="GF40" i="1" s="1"/>
  <c r="GK40" i="1"/>
  <c r="GL40" i="1" s="1"/>
  <c r="GI40" i="1"/>
  <c r="HO37" i="1"/>
  <c r="HN37" i="1"/>
  <c r="HP37" i="1"/>
  <c r="GK7" i="1"/>
  <c r="GL7" i="1" s="1"/>
  <c r="GM7" i="1"/>
  <c r="GG7" i="1"/>
  <c r="GF7" i="1" s="1"/>
  <c r="GI7" i="1"/>
  <c r="HO6" i="1"/>
  <c r="HP44" i="1"/>
  <c r="HO44" i="1"/>
  <c r="HN44" i="1"/>
  <c r="GK44" i="1"/>
  <c r="GJ44" i="1" s="1"/>
  <c r="GM44" i="1"/>
  <c r="GI44" i="1"/>
  <c r="GG44" i="1"/>
  <c r="GF44" i="1" s="1"/>
  <c r="GG14" i="1"/>
  <c r="GH14" i="1" s="1"/>
  <c r="GK14" i="1"/>
  <c r="GL14" i="1" s="1"/>
  <c r="GI14" i="1"/>
  <c r="GM14" i="1"/>
  <c r="GI25" i="1"/>
  <c r="GG25" i="1"/>
  <c r="GH25" i="1" s="1"/>
  <c r="GM25" i="1"/>
  <c r="GK25" i="1"/>
  <c r="GJ25" i="1" s="1"/>
  <c r="JB4" i="1"/>
  <c r="HO25" i="1"/>
  <c r="HP25" i="1"/>
  <c r="HN25" i="1"/>
  <c r="HP41" i="1"/>
  <c r="HO41" i="1"/>
  <c r="HN41" i="1"/>
  <c r="HN17" i="1"/>
  <c r="HP17" i="1"/>
  <c r="HO17" i="1"/>
  <c r="GI18" i="1"/>
  <c r="GM18" i="1"/>
  <c r="GK18" i="1"/>
  <c r="GJ18" i="1" s="1"/>
  <c r="GG18" i="1"/>
  <c r="GH18" i="1" s="1"/>
  <c r="GI11" i="1"/>
  <c r="GM11" i="1"/>
  <c r="GG11" i="1"/>
  <c r="GH11" i="1" s="1"/>
  <c r="GK11" i="1"/>
  <c r="GJ11" i="1" s="1"/>
  <c r="GG29" i="1"/>
  <c r="GH29" i="1" s="1"/>
  <c r="GK29" i="1"/>
  <c r="GJ29" i="1" s="1"/>
  <c r="GI29" i="1"/>
  <c r="GM29" i="1"/>
  <c r="GM15" i="1"/>
  <c r="GK15" i="1"/>
  <c r="GJ15" i="1" s="1"/>
  <c r="GG15" i="1"/>
  <c r="GF15" i="1" s="1"/>
  <c r="GI15" i="1"/>
  <c r="GG19" i="1"/>
  <c r="GH19" i="1" s="1"/>
  <c r="GK19" i="1"/>
  <c r="GL19" i="1" s="1"/>
  <c r="GI19" i="1"/>
  <c r="GM19" i="1"/>
  <c r="HP33" i="1"/>
  <c r="HO33" i="1"/>
  <c r="HN33" i="1"/>
  <c r="HP35" i="1"/>
  <c r="HN35" i="1"/>
  <c r="HO35" i="1"/>
  <c r="HO32" i="1"/>
  <c r="HN32" i="1"/>
  <c r="HP32" i="1"/>
  <c r="GI16" i="1"/>
  <c r="GK16" i="1"/>
  <c r="GL16" i="1" s="1"/>
  <c r="GG16" i="1"/>
  <c r="GF16" i="1" s="1"/>
  <c r="GM16" i="1"/>
  <c r="HO5" i="1"/>
  <c r="HN26" i="1"/>
  <c r="HO26" i="1"/>
  <c r="HP26" i="1"/>
  <c r="GM20" i="1"/>
  <c r="GK20" i="1"/>
  <c r="GL20" i="1" s="1"/>
  <c r="GG20" i="1"/>
  <c r="GH20" i="1" s="1"/>
  <c r="GI20" i="1"/>
  <c r="HO18" i="1"/>
  <c r="HN18" i="1"/>
  <c r="HP18" i="1"/>
  <c r="HP36" i="1"/>
  <c r="HN36" i="1"/>
  <c r="HO36" i="1"/>
  <c r="FI13" i="1" l="1"/>
  <c r="FI25" i="1"/>
  <c r="FI29" i="1"/>
  <c r="FI17" i="1"/>
  <c r="FI41" i="1"/>
  <c r="FI21" i="1"/>
  <c r="FI9" i="1"/>
  <c r="FK4" i="1"/>
  <c r="EH14" i="1"/>
  <c r="FK11" i="1"/>
  <c r="FK22" i="1"/>
  <c r="EH42" i="1"/>
  <c r="FI37" i="1"/>
  <c r="FI5" i="1"/>
  <c r="EH7" i="1"/>
  <c r="FK23" i="1"/>
  <c r="FI33" i="1"/>
  <c r="FK30" i="1"/>
  <c r="FK7" i="1"/>
  <c r="EH5" i="1"/>
  <c r="GL4" i="1"/>
  <c r="EH17" i="1"/>
  <c r="FK38" i="1"/>
  <c r="EH23" i="1"/>
  <c r="EJ31" i="1"/>
  <c r="FI12" i="1"/>
  <c r="FI42" i="1"/>
  <c r="EH33" i="1"/>
  <c r="EJ39" i="1"/>
  <c r="EH9" i="1"/>
  <c r="FI10" i="1"/>
  <c r="FI18" i="1"/>
  <c r="FI36" i="1"/>
  <c r="FI20" i="1"/>
  <c r="EH37" i="1"/>
  <c r="FI26" i="1"/>
  <c r="FI34" i="1"/>
  <c r="EH21" i="1"/>
  <c r="FI6" i="1"/>
  <c r="FI14" i="1"/>
  <c r="EH41" i="1"/>
  <c r="EH25" i="1"/>
  <c r="FI27" i="1"/>
  <c r="FK31" i="1"/>
  <c r="FK39" i="1"/>
  <c r="EH29" i="1"/>
  <c r="EH13" i="1"/>
  <c r="EH18" i="1"/>
  <c r="EJ18" i="1"/>
  <c r="EJ19" i="1"/>
  <c r="EH19" i="1"/>
  <c r="EH24" i="1"/>
  <c r="EJ24" i="1"/>
  <c r="EJ36" i="1"/>
  <c r="EH36" i="1"/>
  <c r="EJ20" i="1"/>
  <c r="EH20" i="1"/>
  <c r="FK40" i="1"/>
  <c r="FI40" i="1"/>
  <c r="EK15" i="1"/>
  <c r="FJ15" i="1"/>
  <c r="FI15" i="1" s="1"/>
  <c r="FL15" i="1"/>
  <c r="EI15" i="1"/>
  <c r="EJ15" i="1" s="1"/>
  <c r="EH30" i="1"/>
  <c r="EJ30" i="1"/>
  <c r="EH12" i="1"/>
  <c r="EH26" i="1"/>
  <c r="EJ26" i="1"/>
  <c r="EH16" i="1"/>
  <c r="EJ16" i="1"/>
  <c r="EJ35" i="1"/>
  <c r="EH35" i="1"/>
  <c r="EH8" i="1"/>
  <c r="EJ8" i="1"/>
  <c r="FK24" i="1"/>
  <c r="FI24" i="1"/>
  <c r="EH32" i="1"/>
  <c r="EJ32" i="1"/>
  <c r="EH38" i="1"/>
  <c r="EJ38" i="1"/>
  <c r="EH22" i="1"/>
  <c r="EJ22" i="1"/>
  <c r="EJ11" i="1"/>
  <c r="EH11" i="1"/>
  <c r="FI16" i="1"/>
  <c r="FK8" i="1"/>
  <c r="FI8" i="1"/>
  <c r="FI43" i="1"/>
  <c r="FK43" i="1"/>
  <c r="FK32" i="1"/>
  <c r="FI32" i="1"/>
  <c r="EH4" i="1"/>
  <c r="EJ4" i="1"/>
  <c r="EH10" i="1"/>
  <c r="EJ10" i="1"/>
  <c r="FK35" i="1"/>
  <c r="FI19" i="1"/>
  <c r="FK19" i="1"/>
  <c r="EH6" i="1"/>
  <c r="EJ6" i="1"/>
  <c r="EH40" i="1"/>
  <c r="EJ40" i="1"/>
  <c r="FK28" i="1"/>
  <c r="FI28" i="1"/>
  <c r="EH43" i="1"/>
  <c r="EJ34" i="1"/>
  <c r="EH28" i="1"/>
  <c r="EH27" i="1"/>
  <c r="HW20" i="1"/>
  <c r="HX20" i="1" s="1"/>
  <c r="HU21" i="1"/>
  <c r="IR19" i="1"/>
  <c r="IH19" i="1"/>
  <c r="IB19" i="1"/>
  <c r="IC19" i="1"/>
  <c r="IO19" i="1"/>
  <c r="II19" i="1"/>
  <c r="IF19" i="1"/>
  <c r="IK19" i="1"/>
  <c r="IN19" i="1"/>
  <c r="IL19" i="1"/>
  <c r="IQ19" i="1"/>
  <c r="IE19" i="1"/>
  <c r="EF25" i="1"/>
  <c r="FE17" i="1"/>
  <c r="GD17" i="1" s="1"/>
  <c r="CV17" i="1" s="1"/>
  <c r="ED5" i="1"/>
  <c r="EF28" i="1"/>
  <c r="FG21" i="1"/>
  <c r="EF31" i="1"/>
  <c r="EF34" i="1"/>
  <c r="FE34" i="1"/>
  <c r="EF29" i="1"/>
  <c r="ED20" i="1"/>
  <c r="ED12" i="1"/>
  <c r="FG16" i="1"/>
  <c r="EF23" i="1"/>
  <c r="EF19" i="1"/>
  <c r="FG23" i="1"/>
  <c r="FE33" i="1"/>
  <c r="EF39" i="1"/>
  <c r="EF24" i="1"/>
  <c r="EF32" i="1"/>
  <c r="EF9" i="1"/>
  <c r="ED36" i="1"/>
  <c r="FG6" i="1"/>
  <c r="ED7" i="1"/>
  <c r="FE26" i="1"/>
  <c r="EF8" i="1"/>
  <c r="FG20" i="1"/>
  <c r="FE40" i="1"/>
  <c r="FE9" i="1"/>
  <c r="EF22" i="1"/>
  <c r="EF21" i="1"/>
  <c r="EF26" i="1"/>
  <c r="FG8" i="1"/>
  <c r="EF6" i="1"/>
  <c r="EF16" i="1"/>
  <c r="FG25" i="1"/>
  <c r="FG38" i="1"/>
  <c r="FE43" i="1"/>
  <c r="FE30" i="1"/>
  <c r="EF10" i="1"/>
  <c r="ED33" i="1"/>
  <c r="FG14" i="1"/>
  <c r="FE28" i="1"/>
  <c r="EF38" i="1"/>
  <c r="EF30" i="1"/>
  <c r="FG10" i="1"/>
  <c r="EF18" i="1"/>
  <c r="FG7" i="1"/>
  <c r="EF35" i="1"/>
  <c r="FE39" i="1"/>
  <c r="ED40" i="1"/>
  <c r="ED42" i="1"/>
  <c r="EF17" i="1"/>
  <c r="FE41" i="1"/>
  <c r="FE22" i="1"/>
  <c r="FE42" i="1"/>
  <c r="FE5" i="1"/>
  <c r="FE13" i="1"/>
  <c r="EF13" i="1"/>
  <c r="FG37" i="1"/>
  <c r="GD37" i="1" s="1"/>
  <c r="CV37" i="1" s="1"/>
  <c r="FG29" i="1"/>
  <c r="FE18" i="1"/>
  <c r="FG35" i="1"/>
  <c r="GD35" i="1" s="1"/>
  <c r="CV35" i="1" s="1"/>
  <c r="EF14" i="1"/>
  <c r="FC14" i="1" s="1"/>
  <c r="CW14" i="1" s="1"/>
  <c r="ED41" i="1"/>
  <c r="FG27" i="1"/>
  <c r="EF27" i="1"/>
  <c r="FC27" i="1" s="1"/>
  <c r="CW27" i="1" s="1"/>
  <c r="FG36" i="1"/>
  <c r="EF43" i="1"/>
  <c r="FG31" i="1"/>
  <c r="ED37" i="1"/>
  <c r="ED11" i="1"/>
  <c r="FE12" i="1"/>
  <c r="FG19" i="1"/>
  <c r="FG24" i="1"/>
  <c r="FG32" i="1"/>
  <c r="EG15" i="1"/>
  <c r="FH15" i="1"/>
  <c r="EE15" i="1"/>
  <c r="ED15" i="1" s="1"/>
  <c r="FF15" i="1"/>
  <c r="FE15" i="1" s="1"/>
  <c r="FG11" i="1"/>
  <c r="GD11" i="1" s="1"/>
  <c r="CV11" i="1" s="1"/>
  <c r="GH4" i="1"/>
  <c r="FG4" i="1"/>
  <c r="GD4" i="1" s="1"/>
  <c r="CV4" i="1" s="1"/>
  <c r="EF4" i="1"/>
  <c r="AR66" i="6"/>
  <c r="AT67" i="6"/>
  <c r="AV67" i="6"/>
  <c r="AS68" i="6"/>
  <c r="T37" i="1"/>
  <c r="U36" i="1"/>
  <c r="T41" i="1"/>
  <c r="CT17" i="1"/>
  <c r="CT47" i="1"/>
  <c r="CT32" i="1"/>
  <c r="CT16" i="1"/>
  <c r="CT33" i="1"/>
  <c r="CT24" i="1"/>
  <c r="CT21" i="1"/>
  <c r="GH12" i="1"/>
  <c r="CT42" i="1"/>
  <c r="CT22" i="1"/>
  <c r="CT30" i="1"/>
  <c r="CT29" i="1"/>
  <c r="CT34" i="1"/>
  <c r="CT28" i="1"/>
  <c r="CT8" i="1"/>
  <c r="CT37" i="1"/>
  <c r="CT19" i="1"/>
  <c r="CT26" i="1"/>
  <c r="CT23" i="1"/>
  <c r="CT41" i="1"/>
  <c r="CT20" i="1"/>
  <c r="GF10" i="1"/>
  <c r="CT45" i="1"/>
  <c r="CT39" i="1"/>
  <c r="CT25" i="1"/>
  <c r="GJ7" i="1"/>
  <c r="CT36" i="1"/>
  <c r="CT12" i="1"/>
  <c r="CT40" i="1"/>
  <c r="CT44" i="1"/>
  <c r="JU5" i="1"/>
  <c r="CU5" i="1" s="1"/>
  <c r="CT7" i="1"/>
  <c r="CT31" i="1"/>
  <c r="GF37" i="1"/>
  <c r="GF24" i="1"/>
  <c r="GL37" i="1"/>
  <c r="GF6" i="1"/>
  <c r="GL8" i="1"/>
  <c r="GF19" i="1"/>
  <c r="GJ5" i="1"/>
  <c r="CT43" i="1"/>
  <c r="CT27" i="1"/>
  <c r="GL31" i="1"/>
  <c r="GF21" i="1"/>
  <c r="CT46" i="1"/>
  <c r="GH43" i="1"/>
  <c r="GF14" i="1"/>
  <c r="GJ19" i="1"/>
  <c r="GL44" i="1"/>
  <c r="CT15" i="1"/>
  <c r="GL18" i="1"/>
  <c r="CT6" i="1"/>
  <c r="GL41" i="1"/>
  <c r="GF9" i="1"/>
  <c r="GL32" i="1"/>
  <c r="CT13" i="1"/>
  <c r="CT5" i="1"/>
  <c r="GJ36" i="1"/>
  <c r="GJ42" i="1"/>
  <c r="GH41" i="1"/>
  <c r="GL21" i="1"/>
  <c r="JU4" i="1"/>
  <c r="CU4" i="1" s="1"/>
  <c r="GL22" i="1"/>
  <c r="GL43" i="1"/>
  <c r="GF27" i="1"/>
  <c r="CT18" i="1"/>
  <c r="GL15" i="1"/>
  <c r="GJ38" i="1"/>
  <c r="CT9" i="1"/>
  <c r="GL13" i="1"/>
  <c r="GL26" i="1"/>
  <c r="GH35" i="1"/>
  <c r="CT11" i="1"/>
  <c r="GJ35" i="1"/>
  <c r="GF36" i="1"/>
  <c r="GH33" i="1"/>
  <c r="GJ20" i="1"/>
  <c r="GL29" i="1"/>
  <c r="GF25" i="1"/>
  <c r="GH7" i="1"/>
  <c r="GH38" i="1"/>
  <c r="GF13" i="1"/>
  <c r="GF23" i="1"/>
  <c r="CT10" i="1"/>
  <c r="GH30" i="1"/>
  <c r="CT35" i="1"/>
  <c r="CT38" i="1"/>
  <c r="GH16" i="1"/>
  <c r="GJ14" i="1"/>
  <c r="GF28" i="1"/>
  <c r="GH22" i="1"/>
  <c r="GH8" i="1"/>
  <c r="GH39" i="1"/>
  <c r="HN15" i="1"/>
  <c r="HO15" i="1"/>
  <c r="GJ10" i="1"/>
  <c r="GF20" i="1"/>
  <c r="GJ16" i="1"/>
  <c r="GH15" i="1"/>
  <c r="GF11" i="1"/>
  <c r="GJ40" i="1"/>
  <c r="AX181" i="1"/>
  <c r="Z201" i="6"/>
  <c r="GH31" i="1"/>
  <c r="GJ28" i="1"/>
  <c r="GL17" i="1"/>
  <c r="GL39" i="1"/>
  <c r="GF26" i="1"/>
  <c r="GJ45" i="1"/>
  <c r="GL27" i="1"/>
  <c r="GF29" i="1"/>
  <c r="GL11" i="1"/>
  <c r="GF18" i="1"/>
  <c r="GL25" i="1"/>
  <c r="GH44" i="1"/>
  <c r="GH40" i="1"/>
  <c r="GL9" i="1"/>
  <c r="GF5" i="1"/>
  <c r="GJ12" i="1"/>
  <c r="GJ23" i="1"/>
  <c r="GH32" i="1"/>
  <c r="GH17" i="1"/>
  <c r="CT14" i="1"/>
  <c r="GJ6" i="1"/>
  <c r="GF45" i="1"/>
  <c r="GL30" i="1"/>
  <c r="GL33" i="1"/>
  <c r="GF42" i="1"/>
  <c r="GL24" i="1"/>
  <c r="GL34" i="1"/>
  <c r="GH34" i="1"/>
  <c r="AX170" i="1"/>
  <c r="Z190" i="6"/>
  <c r="GD13" i="1" l="1"/>
  <c r="CV13" i="1" s="1"/>
  <c r="GD25" i="1"/>
  <c r="CV25" i="1" s="1"/>
  <c r="GD29" i="1"/>
  <c r="CV29" i="1" s="1"/>
  <c r="GD41" i="1"/>
  <c r="CV41" i="1" s="1"/>
  <c r="GD21" i="1"/>
  <c r="CV21" i="1" s="1"/>
  <c r="GD22" i="1"/>
  <c r="CV22" i="1" s="1"/>
  <c r="GD9" i="1"/>
  <c r="CV9" i="1" s="1"/>
  <c r="FC42" i="1"/>
  <c r="CW42" i="1" s="1"/>
  <c r="FC31" i="1"/>
  <c r="CW31" i="1" s="1"/>
  <c r="GD38" i="1"/>
  <c r="CV38" i="1" s="1"/>
  <c r="HE4" i="1"/>
  <c r="CX4" i="1" s="1"/>
  <c r="GD39" i="1"/>
  <c r="CV39" i="1" s="1"/>
  <c r="FC39" i="1"/>
  <c r="CW39" i="1" s="1"/>
  <c r="FK15" i="1"/>
  <c r="GD5" i="1"/>
  <c r="CV5" i="1" s="1"/>
  <c r="GD33" i="1"/>
  <c r="CV33" i="1" s="1"/>
  <c r="FC7" i="1"/>
  <c r="CW7" i="1" s="1"/>
  <c r="GD23" i="1"/>
  <c r="CV23" i="1" s="1"/>
  <c r="GD7" i="1"/>
  <c r="CV7" i="1" s="1"/>
  <c r="FC5" i="1"/>
  <c r="CW5" i="1" s="1"/>
  <c r="GD12" i="1"/>
  <c r="CV12" i="1" s="1"/>
  <c r="FC43" i="1"/>
  <c r="CW43" i="1" s="1"/>
  <c r="FC17" i="1"/>
  <c r="CW17" i="1" s="1"/>
  <c r="FC33" i="1"/>
  <c r="CW33" i="1" s="1"/>
  <c r="GD26" i="1"/>
  <c r="CV26" i="1" s="1"/>
  <c r="FC9" i="1"/>
  <c r="CW9" i="1" s="1"/>
  <c r="GD16" i="1"/>
  <c r="CV16" i="1" s="1"/>
  <c r="GD30" i="1"/>
  <c r="CV30" i="1" s="1"/>
  <c r="FC21" i="1"/>
  <c r="CW21" i="1" s="1"/>
  <c r="GD20" i="1"/>
  <c r="CV20" i="1" s="1"/>
  <c r="GD42" i="1"/>
  <c r="CV42" i="1" s="1"/>
  <c r="FC37" i="1"/>
  <c r="CW37" i="1" s="1"/>
  <c r="FC13" i="1"/>
  <c r="CW13" i="1" s="1"/>
  <c r="FC18" i="1"/>
  <c r="CW18" i="1" s="1"/>
  <c r="GD6" i="1"/>
  <c r="CV6" i="1" s="1"/>
  <c r="GD31" i="1"/>
  <c r="CV31" i="1" s="1"/>
  <c r="GD27" i="1"/>
  <c r="CV27" i="1" s="1"/>
  <c r="GD18" i="1"/>
  <c r="CV18" i="1" s="1"/>
  <c r="GD10" i="1"/>
  <c r="CV10" i="1" s="1"/>
  <c r="GD14" i="1"/>
  <c r="CV14" i="1" s="1"/>
  <c r="FC8" i="1"/>
  <c r="CW8" i="1" s="1"/>
  <c r="FC23" i="1"/>
  <c r="CW23" i="1" s="1"/>
  <c r="FC25" i="1"/>
  <c r="CW25" i="1" s="1"/>
  <c r="FC28" i="1"/>
  <c r="CW28" i="1" s="1"/>
  <c r="FC36" i="1"/>
  <c r="CW36" i="1" s="1"/>
  <c r="FC29" i="1"/>
  <c r="CW29" i="1" s="1"/>
  <c r="FC4" i="1"/>
  <c r="CW4" i="1" s="1"/>
  <c r="FC41" i="1"/>
  <c r="CW41" i="1" s="1"/>
  <c r="FC35" i="1"/>
  <c r="CW35" i="1" s="1"/>
  <c r="FC30" i="1"/>
  <c r="CW30" i="1" s="1"/>
  <c r="GD8" i="1"/>
  <c r="CV8" i="1" s="1"/>
  <c r="GD34" i="1"/>
  <c r="CV34" i="1" s="1"/>
  <c r="GD36" i="1"/>
  <c r="CV36" i="1" s="1"/>
  <c r="GD32" i="1"/>
  <c r="CV32" i="1" s="1"/>
  <c r="FC11" i="1"/>
  <c r="CW11" i="1" s="1"/>
  <c r="FC38" i="1"/>
  <c r="CW38" i="1" s="1"/>
  <c r="FC10" i="1"/>
  <c r="CW10" i="1" s="1"/>
  <c r="FC26" i="1"/>
  <c r="CW26" i="1" s="1"/>
  <c r="EH15" i="1"/>
  <c r="GD24" i="1"/>
  <c r="CV24" i="1" s="1"/>
  <c r="FC40" i="1"/>
  <c r="CW40" i="1" s="1"/>
  <c r="GD28" i="1"/>
  <c r="CV28" i="1" s="1"/>
  <c r="FC16" i="1"/>
  <c r="CW16" i="1" s="1"/>
  <c r="GD40" i="1"/>
  <c r="CV40" i="1" s="1"/>
  <c r="FC32" i="1"/>
  <c r="CW32" i="1" s="1"/>
  <c r="FC12" i="1"/>
  <c r="CW12" i="1" s="1"/>
  <c r="FC34" i="1"/>
  <c r="CW34" i="1" s="1"/>
  <c r="GD19" i="1"/>
  <c r="CV19" i="1" s="1"/>
  <c r="GD43" i="1"/>
  <c r="CV43" i="1" s="1"/>
  <c r="FC6" i="1"/>
  <c r="CW6" i="1" s="1"/>
  <c r="FC22" i="1"/>
  <c r="CW22" i="1" s="1"/>
  <c r="FC24" i="1"/>
  <c r="CW24" i="1" s="1"/>
  <c r="FC19" i="1"/>
  <c r="CW19" i="1" s="1"/>
  <c r="FC20" i="1"/>
  <c r="CW20" i="1" s="1"/>
  <c r="CS7" i="1"/>
  <c r="CP7" i="1" s="1"/>
  <c r="CS8" i="1"/>
  <c r="CP8" i="1" s="1"/>
  <c r="CS9" i="1"/>
  <c r="CP9" i="1" s="1"/>
  <c r="HW21" i="1"/>
  <c r="HX21" i="1" s="1"/>
  <c r="HU22" i="1"/>
  <c r="IL20" i="1"/>
  <c r="IR20" i="1"/>
  <c r="II20" i="1"/>
  <c r="IK20" i="1"/>
  <c r="IF20" i="1"/>
  <c r="IC20" i="1"/>
  <c r="IO20" i="1"/>
  <c r="IE20" i="1"/>
  <c r="IH20" i="1"/>
  <c r="IB20" i="1"/>
  <c r="IN20" i="1"/>
  <c r="IQ20" i="1"/>
  <c r="FG15" i="1"/>
  <c r="EF15" i="1"/>
  <c r="HE41" i="1"/>
  <c r="CX41" i="1" s="1"/>
  <c r="AV68" i="6"/>
  <c r="AT68" i="6"/>
  <c r="AS69" i="6"/>
  <c r="AR67" i="6"/>
  <c r="U41" i="1"/>
  <c r="V36" i="1"/>
  <c r="U37" i="1"/>
  <c r="HE12" i="1"/>
  <c r="CX12" i="1" s="1"/>
  <c r="HE26" i="1"/>
  <c r="CX26" i="1" s="1"/>
  <c r="HE18" i="1"/>
  <c r="CX18" i="1" s="1"/>
  <c r="HE8" i="1"/>
  <c r="CX8" i="1" s="1"/>
  <c r="HE7" i="1"/>
  <c r="CX7" i="1" s="1"/>
  <c r="BI54" i="1"/>
  <c r="HE24" i="1"/>
  <c r="CX24" i="1" s="1"/>
  <c r="HE10" i="1"/>
  <c r="CX10" i="1" s="1"/>
  <c r="HE13" i="1"/>
  <c r="CX13" i="1" s="1"/>
  <c r="HE6" i="1"/>
  <c r="HE27" i="1"/>
  <c r="CX27" i="1" s="1"/>
  <c r="HE19" i="1"/>
  <c r="CX19" i="1" s="1"/>
  <c r="HE31" i="1"/>
  <c r="CX31" i="1" s="1"/>
  <c r="HE40" i="1"/>
  <c r="CX40" i="1" s="1"/>
  <c r="HE23" i="1"/>
  <c r="CX23" i="1" s="1"/>
  <c r="HE29" i="1"/>
  <c r="CX29" i="1" s="1"/>
  <c r="HE36" i="1"/>
  <c r="CX36" i="1" s="1"/>
  <c r="HE44" i="1"/>
  <c r="CX44" i="1" s="1"/>
  <c r="HE37" i="1"/>
  <c r="CX37" i="1" s="1"/>
  <c r="HE42" i="1"/>
  <c r="CX42" i="1" s="1"/>
  <c r="HE43" i="1"/>
  <c r="CX43" i="1" s="1"/>
  <c r="HE38" i="1"/>
  <c r="CX38" i="1" s="1"/>
  <c r="HE35" i="1"/>
  <c r="CX35" i="1" s="1"/>
  <c r="HE15" i="1"/>
  <c r="CX15" i="1" s="1"/>
  <c r="HE14" i="1"/>
  <c r="CX14" i="1" s="1"/>
  <c r="HE21" i="1"/>
  <c r="CX21" i="1" s="1"/>
  <c r="HE9" i="1"/>
  <c r="CX9" i="1" s="1"/>
  <c r="BH54" i="1"/>
  <c r="HE5" i="1"/>
  <c r="HE22" i="1"/>
  <c r="CX22" i="1" s="1"/>
  <c r="HE32" i="1"/>
  <c r="CX32" i="1" s="1"/>
  <c r="HE33" i="1"/>
  <c r="CX33" i="1" s="1"/>
  <c r="HE25" i="1"/>
  <c r="CX25" i="1" s="1"/>
  <c r="HE16" i="1"/>
  <c r="CX16" i="1" s="1"/>
  <c r="HE30" i="1"/>
  <c r="CX30" i="1" s="1"/>
  <c r="HE11" i="1"/>
  <c r="CX11" i="1" s="1"/>
  <c r="HE20" i="1"/>
  <c r="CX20" i="1" s="1"/>
  <c r="HE39" i="1"/>
  <c r="CX39" i="1" s="1"/>
  <c r="AX171" i="1"/>
  <c r="Z192" i="6" s="1"/>
  <c r="Z191" i="6"/>
  <c r="HE45" i="1"/>
  <c r="CX45" i="1" s="1"/>
  <c r="HE17" i="1"/>
  <c r="CX17" i="1" s="1"/>
  <c r="AX182" i="1"/>
  <c r="Z202" i="6"/>
  <c r="HE28" i="1"/>
  <c r="CX28" i="1" s="1"/>
  <c r="HE34" i="1"/>
  <c r="CX34" i="1" s="1"/>
  <c r="GD15" i="1" l="1"/>
  <c r="CV15" i="1" s="1"/>
  <c r="FC15" i="1"/>
  <c r="CW15" i="1" s="1"/>
  <c r="HW22" i="1"/>
  <c r="HX22" i="1" s="1"/>
  <c r="HU23" i="1"/>
  <c r="IQ21" i="1"/>
  <c r="IC21" i="1"/>
  <c r="IN21" i="1"/>
  <c r="II21" i="1"/>
  <c r="IE21" i="1"/>
  <c r="IO21" i="1"/>
  <c r="IH21" i="1"/>
  <c r="IK21" i="1"/>
  <c r="IL21" i="1"/>
  <c r="IB21" i="1"/>
  <c r="IF21" i="1"/>
  <c r="IR21" i="1"/>
  <c r="AR68" i="6"/>
  <c r="AS70" i="6"/>
  <c r="AT69" i="6"/>
  <c r="AV69" i="6"/>
  <c r="V37" i="1"/>
  <c r="W36" i="1"/>
  <c r="V41" i="1"/>
  <c r="Z203" i="6"/>
  <c r="AX183" i="1"/>
  <c r="HU24" i="1" l="1"/>
  <c r="HW23" i="1"/>
  <c r="HX23" i="1" s="1"/>
  <c r="IL22" i="1"/>
  <c r="IC22" i="1"/>
  <c r="II22" i="1"/>
  <c r="IH22" i="1"/>
  <c r="IK22" i="1"/>
  <c r="IQ22" i="1"/>
  <c r="IN22" i="1"/>
  <c r="IO22" i="1"/>
  <c r="IR22" i="1"/>
  <c r="IE22" i="1"/>
  <c r="IF22" i="1"/>
  <c r="IB22" i="1"/>
  <c r="AR69" i="6"/>
  <c r="AV70" i="6"/>
  <c r="AS71" i="6"/>
  <c r="AT70" i="6"/>
  <c r="W37" i="1"/>
  <c r="W41" i="1"/>
  <c r="X36" i="1"/>
  <c r="Z204" i="6"/>
  <c r="AX184" i="1"/>
  <c r="Z205" i="6" s="1"/>
  <c r="IO23" i="1" l="1"/>
  <c r="IR23" i="1"/>
  <c r="IK23" i="1"/>
  <c r="IL23" i="1"/>
  <c r="IH23" i="1"/>
  <c r="IE23" i="1"/>
  <c r="IQ23" i="1"/>
  <c r="IB23" i="1"/>
  <c r="IC23" i="1"/>
  <c r="IF23" i="1"/>
  <c r="IN23" i="1"/>
  <c r="II23" i="1"/>
  <c r="HW24" i="1"/>
  <c r="HX24" i="1" s="1"/>
  <c r="HU25" i="1"/>
  <c r="AR70" i="6"/>
  <c r="AT71" i="6"/>
  <c r="AV71" i="6"/>
  <c r="AS72" i="6"/>
  <c r="Y36" i="1"/>
  <c r="X37" i="1"/>
  <c r="X41" i="1"/>
  <c r="HU26" i="1" l="1"/>
  <c r="HW25" i="1"/>
  <c r="HX25" i="1" s="1"/>
  <c r="IC24" i="1"/>
  <c r="II24" i="1"/>
  <c r="IR24" i="1"/>
  <c r="IO24" i="1"/>
  <c r="IB24" i="1"/>
  <c r="IE24" i="1"/>
  <c r="IL24" i="1"/>
  <c r="IK24" i="1"/>
  <c r="IQ24" i="1"/>
  <c r="IH24" i="1"/>
  <c r="IF24" i="1"/>
  <c r="IN24" i="1"/>
  <c r="AV72" i="6"/>
  <c r="AS73" i="6"/>
  <c r="AT72" i="6"/>
  <c r="AR71" i="6"/>
  <c r="Z36" i="1"/>
  <c r="Y37" i="1"/>
  <c r="Y41" i="1"/>
  <c r="IC25" i="1" l="1"/>
  <c r="IF25" i="1"/>
  <c r="IQ25" i="1"/>
  <c r="IK25" i="1"/>
  <c r="IH25" i="1"/>
  <c r="IR25" i="1"/>
  <c r="IO25" i="1"/>
  <c r="II25" i="1"/>
  <c r="IE25" i="1"/>
  <c r="IN25" i="1"/>
  <c r="IL25" i="1"/>
  <c r="IB25" i="1"/>
  <c r="HU27" i="1"/>
  <c r="HW26" i="1"/>
  <c r="HX26" i="1" s="1"/>
  <c r="AR72" i="6"/>
  <c r="AT73" i="6"/>
  <c r="AV73" i="6"/>
  <c r="AS74" i="6"/>
  <c r="Z37" i="1"/>
  <c r="Z41" i="1"/>
  <c r="AA36" i="1"/>
  <c r="II26" i="1" l="1"/>
  <c r="IQ26" i="1"/>
  <c r="IB26" i="1"/>
  <c r="IE26" i="1"/>
  <c r="IN26" i="1"/>
  <c r="IC26" i="1"/>
  <c r="IL26" i="1"/>
  <c r="IH26" i="1"/>
  <c r="IR26" i="1"/>
  <c r="IK26" i="1"/>
  <c r="IF26" i="1"/>
  <c r="IO26" i="1"/>
  <c r="HU28" i="1"/>
  <c r="HW27" i="1"/>
  <c r="HX27" i="1" s="1"/>
  <c r="AR73" i="6"/>
  <c r="AT74" i="6"/>
  <c r="AS75" i="6"/>
  <c r="AV74" i="6"/>
  <c r="AA41" i="1"/>
  <c r="BQ78" i="6" s="1"/>
  <c r="AA37" i="1"/>
  <c r="AB36" i="1" s="1"/>
  <c r="IC27" i="1" l="1"/>
  <c r="IQ27" i="1"/>
  <c r="IF27" i="1"/>
  <c r="IB27" i="1"/>
  <c r="IL27" i="1"/>
  <c r="IK27" i="1"/>
  <c r="IN27" i="1"/>
  <c r="IE27" i="1"/>
  <c r="IO27" i="1"/>
  <c r="II27" i="1"/>
  <c r="IH27" i="1"/>
  <c r="IR27" i="1"/>
  <c r="HW28" i="1"/>
  <c r="HX28" i="1" s="1"/>
  <c r="HU29" i="1"/>
  <c r="AT75" i="6"/>
  <c r="AS76" i="6"/>
  <c r="AV75" i="6"/>
  <c r="AR74" i="6"/>
  <c r="BT11" i="6"/>
  <c r="BS11" i="6"/>
  <c r="BS21" i="6" s="1"/>
  <c r="BS12" i="6"/>
  <c r="BP77" i="6"/>
  <c r="HW29" i="1" l="1"/>
  <c r="HX29" i="1" s="1"/>
  <c r="HU30" i="1"/>
  <c r="IO28" i="1"/>
  <c r="IE28" i="1"/>
  <c r="IB28" i="1"/>
  <c r="II28" i="1"/>
  <c r="IF28" i="1"/>
  <c r="IQ28" i="1"/>
  <c r="IK28" i="1"/>
  <c r="IC28" i="1"/>
  <c r="IN28" i="1"/>
  <c r="IH28" i="1"/>
  <c r="IL28" i="1"/>
  <c r="IR28" i="1"/>
  <c r="AS77" i="6"/>
  <c r="AV76" i="6"/>
  <c r="AT76" i="6"/>
  <c r="AR75" i="6"/>
  <c r="HW30" i="1" l="1"/>
  <c r="HX30" i="1" s="1"/>
  <c r="HU31" i="1"/>
  <c r="IC29" i="1"/>
  <c r="IL29" i="1"/>
  <c r="IN29" i="1"/>
  <c r="II29" i="1"/>
  <c r="IH29" i="1"/>
  <c r="IQ29" i="1"/>
  <c r="IE29" i="1"/>
  <c r="IK29" i="1"/>
  <c r="IR29" i="1"/>
  <c r="IO29" i="1"/>
  <c r="IB29" i="1"/>
  <c r="IF29" i="1"/>
  <c r="AR76" i="6"/>
  <c r="AT77" i="6"/>
  <c r="AS78" i="6"/>
  <c r="AV77" i="6"/>
  <c r="HW31" i="1" l="1"/>
  <c r="HX31" i="1" s="1"/>
  <c r="HU32" i="1"/>
  <c r="IO30" i="1"/>
  <c r="IL30" i="1"/>
  <c r="IB30" i="1"/>
  <c r="IF30" i="1"/>
  <c r="IC30" i="1"/>
  <c r="IE30" i="1"/>
  <c r="IK30" i="1"/>
  <c r="IN30" i="1"/>
  <c r="IH30" i="1"/>
  <c r="IR30" i="1"/>
  <c r="II30" i="1"/>
  <c r="IQ30" i="1"/>
  <c r="AS79" i="6"/>
  <c r="AV78" i="6"/>
  <c r="AT78" i="6"/>
  <c r="AR77" i="6"/>
  <c r="HW32" i="1" l="1"/>
  <c r="HX32" i="1" s="1"/>
  <c r="HU33" i="1"/>
  <c r="IC31" i="1"/>
  <c r="IH31" i="1"/>
  <c r="II31" i="1"/>
  <c r="IK31" i="1"/>
  <c r="IN31" i="1"/>
  <c r="IL31" i="1"/>
  <c r="IQ31" i="1"/>
  <c r="IR31" i="1"/>
  <c r="IF31" i="1"/>
  <c r="IE31" i="1"/>
  <c r="IB31" i="1"/>
  <c r="IO31" i="1"/>
  <c r="AR78" i="6"/>
  <c r="AV79" i="6"/>
  <c r="AT79" i="6"/>
  <c r="AS80" i="6"/>
  <c r="HU34" i="1" l="1"/>
  <c r="HW33" i="1"/>
  <c r="HX33" i="1" s="1"/>
  <c r="IO32" i="1"/>
  <c r="IB32" i="1"/>
  <c r="IR32" i="1"/>
  <c r="IC32" i="1"/>
  <c r="IF32" i="1"/>
  <c r="II32" i="1"/>
  <c r="IK32" i="1"/>
  <c r="IL32" i="1"/>
  <c r="IN32" i="1"/>
  <c r="IH32" i="1"/>
  <c r="IQ32" i="1"/>
  <c r="IE32" i="1"/>
  <c r="AR79" i="6"/>
  <c r="AV80" i="6"/>
  <c r="AS81" i="6"/>
  <c r="AT80" i="6"/>
  <c r="IO33" i="1" l="1"/>
  <c r="IB33" i="1"/>
  <c r="IL33" i="1"/>
  <c r="II33" i="1"/>
  <c r="IF33" i="1"/>
  <c r="IC33" i="1"/>
  <c r="IK33" i="1"/>
  <c r="IE33" i="1"/>
  <c r="IQ33" i="1"/>
  <c r="IH33" i="1"/>
  <c r="IR33" i="1"/>
  <c r="IN33" i="1"/>
  <c r="HU35" i="1"/>
  <c r="HW34" i="1"/>
  <c r="HX34" i="1" s="1"/>
  <c r="AR80" i="6"/>
  <c r="AT81" i="6"/>
  <c r="AV81" i="6"/>
  <c r="AS82" i="6"/>
  <c r="II34" i="1" l="1"/>
  <c r="IL34" i="1"/>
  <c r="IO34" i="1"/>
  <c r="IN34" i="1"/>
  <c r="IK34" i="1"/>
  <c r="IQ34" i="1"/>
  <c r="IC34" i="1"/>
  <c r="IH34" i="1"/>
  <c r="IE34" i="1"/>
  <c r="IF34" i="1"/>
  <c r="IB34" i="1"/>
  <c r="IR34" i="1"/>
  <c r="HW35" i="1"/>
  <c r="HX35" i="1" s="1"/>
  <c r="HU36" i="1"/>
  <c r="AT82" i="6"/>
  <c r="AS83" i="6"/>
  <c r="AV82" i="6"/>
  <c r="AR81" i="6"/>
  <c r="HW36" i="1" l="1"/>
  <c r="HX36" i="1" s="1"/>
  <c r="HU37" i="1"/>
  <c r="IC35" i="1"/>
  <c r="IR35" i="1"/>
  <c r="IO35" i="1"/>
  <c r="IB35" i="1"/>
  <c r="IQ35" i="1"/>
  <c r="IK35" i="1"/>
  <c r="II35" i="1"/>
  <c r="IH35" i="1"/>
  <c r="IF35" i="1"/>
  <c r="IE35" i="1"/>
  <c r="IN35" i="1"/>
  <c r="IL35" i="1"/>
  <c r="AT83" i="6"/>
  <c r="AS84" i="6"/>
  <c r="AV83" i="6"/>
  <c r="AR82" i="6"/>
  <c r="HW37" i="1" l="1"/>
  <c r="HX37" i="1" s="1"/>
  <c r="HU38" i="1"/>
  <c r="IO36" i="1"/>
  <c r="IQ36" i="1"/>
  <c r="IR36" i="1"/>
  <c r="IE36" i="1"/>
  <c r="II36" i="1"/>
  <c r="IL36" i="1"/>
  <c r="IB36" i="1"/>
  <c r="IH36" i="1"/>
  <c r="IN36" i="1"/>
  <c r="IC36" i="1"/>
  <c r="IF36" i="1"/>
  <c r="IK36" i="1"/>
  <c r="AS85" i="6"/>
  <c r="AT84" i="6"/>
  <c r="AV84" i="6"/>
  <c r="AR83" i="6"/>
  <c r="HW38" i="1" l="1"/>
  <c r="HX38" i="1" s="1"/>
  <c r="HU39" i="1"/>
  <c r="IC37" i="1"/>
  <c r="IH37" i="1"/>
  <c r="IN37" i="1"/>
  <c r="IB37" i="1"/>
  <c r="II37" i="1"/>
  <c r="IO37" i="1"/>
  <c r="IQ37" i="1"/>
  <c r="IR37" i="1"/>
  <c r="IK37" i="1"/>
  <c r="IF37" i="1"/>
  <c r="IE37" i="1"/>
  <c r="IL37" i="1"/>
  <c r="AR84" i="6"/>
  <c r="AT85" i="6"/>
  <c r="AV85" i="6"/>
  <c r="AS86" i="6"/>
  <c r="HU40" i="1" l="1"/>
  <c r="HW39" i="1"/>
  <c r="HX39" i="1" s="1"/>
  <c r="IQ38" i="1"/>
  <c r="IH38" i="1"/>
  <c r="IK38" i="1"/>
  <c r="IR38" i="1"/>
  <c r="IN38" i="1"/>
  <c r="II38" i="1"/>
  <c r="IF38" i="1"/>
  <c r="IB38" i="1"/>
  <c r="IL38" i="1"/>
  <c r="IC38" i="1"/>
  <c r="IO38" i="1"/>
  <c r="IE38" i="1"/>
  <c r="AR85" i="6"/>
  <c r="AS87" i="6"/>
  <c r="AT86" i="6"/>
  <c r="AV86" i="6"/>
  <c r="IE39" i="1" l="1"/>
  <c r="IH39" i="1"/>
  <c r="II39" i="1"/>
  <c r="IO39" i="1"/>
  <c r="IK39" i="1"/>
  <c r="IC39" i="1"/>
  <c r="IF39" i="1"/>
  <c r="IR39" i="1"/>
  <c r="IL39" i="1"/>
  <c r="IB39" i="1"/>
  <c r="IQ39" i="1"/>
  <c r="IN39" i="1"/>
  <c r="HW40" i="1"/>
  <c r="HX40" i="1" s="1"/>
  <c r="HU41" i="1"/>
  <c r="AR86" i="6"/>
  <c r="AT87" i="6"/>
  <c r="AV87" i="6"/>
  <c r="AS88" i="6"/>
  <c r="HW41" i="1" l="1"/>
  <c r="HX41" i="1" s="1"/>
  <c r="HU42" i="1"/>
  <c r="IO40" i="1"/>
  <c r="IE40" i="1"/>
  <c r="IR40" i="1"/>
  <c r="IQ40" i="1"/>
  <c r="IF40" i="1"/>
  <c r="IL40" i="1"/>
  <c r="II40" i="1"/>
  <c r="IH40" i="1"/>
  <c r="IN40" i="1"/>
  <c r="IK40" i="1"/>
  <c r="IC40" i="1"/>
  <c r="IB40" i="1"/>
  <c r="AT88" i="6"/>
  <c r="AV88" i="6"/>
  <c r="AS89" i="6"/>
  <c r="AR87" i="6"/>
  <c r="HU43" i="1" l="1"/>
  <c r="HW42" i="1"/>
  <c r="HX42" i="1" s="1"/>
  <c r="IC41" i="1"/>
  <c r="II41" i="1"/>
  <c r="IH41" i="1"/>
  <c r="IB41" i="1"/>
  <c r="IQ41" i="1"/>
  <c r="IF41" i="1"/>
  <c r="IK41" i="1"/>
  <c r="IO41" i="1"/>
  <c r="IR41" i="1"/>
  <c r="IL41" i="1"/>
  <c r="IE41" i="1"/>
  <c r="IN41" i="1"/>
  <c r="AR88" i="6"/>
  <c r="AD57" i="6" s="1"/>
  <c r="AE52" i="6" s="1"/>
  <c r="AS90" i="6"/>
  <c r="AT89" i="6"/>
  <c r="AV89" i="6"/>
  <c r="IQ42" i="1" l="1"/>
  <c r="IK42" i="1"/>
  <c r="II42" i="1"/>
  <c r="IF42" i="1"/>
  <c r="IL42" i="1"/>
  <c r="IN42" i="1"/>
  <c r="IR42" i="1"/>
  <c r="IB42" i="1"/>
  <c r="IO42" i="1"/>
  <c r="IE42" i="1"/>
  <c r="IH42" i="1"/>
  <c r="IC42" i="1"/>
  <c r="HW43" i="1"/>
  <c r="HX43" i="1" s="1"/>
  <c r="HU44" i="1"/>
  <c r="AH52" i="6"/>
  <c r="AE53" i="6"/>
  <c r="AI52" i="6"/>
  <c r="AR89" i="6"/>
  <c r="AT90" i="6"/>
  <c r="AS91" i="6"/>
  <c r="AV90" i="6"/>
  <c r="HW44" i="1" l="1"/>
  <c r="HX44" i="1" s="1"/>
  <c r="HU45" i="1"/>
  <c r="IE43" i="1"/>
  <c r="II43" i="1"/>
  <c r="IH43" i="1"/>
  <c r="IR43" i="1"/>
  <c r="IQ43" i="1"/>
  <c r="IB43" i="1"/>
  <c r="IC43" i="1"/>
  <c r="IL43" i="1"/>
  <c r="IO43" i="1"/>
  <c r="IK43" i="1"/>
  <c r="IN43" i="1"/>
  <c r="IF43" i="1"/>
  <c r="AE54" i="6"/>
  <c r="AH53" i="6"/>
  <c r="AI53" i="6"/>
  <c r="AG52" i="6"/>
  <c r="AF52" i="6"/>
  <c r="AV91" i="6"/>
  <c r="AT91" i="6"/>
  <c r="AS92" i="6"/>
  <c r="AR90" i="6"/>
  <c r="HW45" i="1" l="1"/>
  <c r="HX45" i="1" s="1"/>
  <c r="HU46" i="1"/>
  <c r="IQ44" i="1"/>
  <c r="IL44" i="1"/>
  <c r="IF44" i="1"/>
  <c r="IO44" i="1"/>
  <c r="IC44" i="1"/>
  <c r="IE44" i="1"/>
  <c r="IN44" i="1"/>
  <c r="IR44" i="1"/>
  <c r="IH44" i="1"/>
  <c r="IB44" i="1"/>
  <c r="II44" i="1"/>
  <c r="IK44" i="1"/>
  <c r="AR91" i="6"/>
  <c r="AG53" i="6"/>
  <c r="AF53" i="6"/>
  <c r="AE55" i="6"/>
  <c r="AH54" i="6"/>
  <c r="AI54" i="6"/>
  <c r="AV92" i="6"/>
  <c r="AS93" i="6"/>
  <c r="AT92" i="6"/>
  <c r="HW46" i="1" l="1"/>
  <c r="HX46" i="1" s="1"/>
  <c r="HU47" i="1"/>
  <c r="IE45" i="1"/>
  <c r="IQ45" i="1"/>
  <c r="IO45" i="1"/>
  <c r="IH45" i="1"/>
  <c r="IB45" i="1"/>
  <c r="IL45" i="1"/>
  <c r="IC45" i="1"/>
  <c r="IN45" i="1"/>
  <c r="IK45" i="1"/>
  <c r="IR45" i="1"/>
  <c r="IF45" i="1"/>
  <c r="II45" i="1"/>
  <c r="AR92" i="6"/>
  <c r="AF54" i="6"/>
  <c r="AG54" i="6"/>
  <c r="AE56" i="6"/>
  <c r="AH55" i="6"/>
  <c r="AI55" i="6"/>
  <c r="AV93" i="6"/>
  <c r="AS94" i="6"/>
  <c r="AT93" i="6"/>
  <c r="HU48" i="1" l="1"/>
  <c r="HW47" i="1"/>
  <c r="HX47" i="1" s="1"/>
  <c r="IQ46" i="1"/>
  <c r="IK46" i="1"/>
  <c r="IN46" i="1"/>
  <c r="IR46" i="1"/>
  <c r="IH46" i="1"/>
  <c r="IE46" i="1"/>
  <c r="IL46" i="1"/>
  <c r="IF46" i="1"/>
  <c r="IC46" i="1"/>
  <c r="IB46" i="1"/>
  <c r="II46" i="1"/>
  <c r="IO46" i="1"/>
  <c r="AR93" i="6"/>
  <c r="AF55" i="6"/>
  <c r="AG55" i="6"/>
  <c r="AE57" i="6"/>
  <c r="AH56" i="6"/>
  <c r="AI56" i="6"/>
  <c r="AV94" i="6"/>
  <c r="AS95" i="6"/>
  <c r="AT94" i="6"/>
  <c r="IQ47" i="1" l="1"/>
  <c r="IR47" i="1"/>
  <c r="IH47" i="1"/>
  <c r="IO47" i="1"/>
  <c r="IF47" i="1"/>
  <c r="II47" i="1"/>
  <c r="IC47" i="1"/>
  <c r="IE47" i="1"/>
  <c r="IL47" i="1"/>
  <c r="IK47" i="1"/>
  <c r="IB47" i="1"/>
  <c r="IN47" i="1"/>
  <c r="HW48" i="1"/>
  <c r="HX48" i="1" s="1"/>
  <c r="HU49" i="1"/>
  <c r="AR94" i="6"/>
  <c r="AF56" i="6"/>
  <c r="AG56" i="6"/>
  <c r="AH57" i="6"/>
  <c r="AE58" i="6"/>
  <c r="AI57" i="6"/>
  <c r="AV95" i="6"/>
  <c r="AT95" i="6"/>
  <c r="AS96" i="6"/>
  <c r="HW49" i="1" l="1"/>
  <c r="HX49" i="1" s="1"/>
  <c r="HU50" i="1"/>
  <c r="IF48" i="1"/>
  <c r="IQ48" i="1"/>
  <c r="IL48" i="1"/>
  <c r="IC48" i="1"/>
  <c r="IR48" i="1"/>
  <c r="II48" i="1"/>
  <c r="IH48" i="1"/>
  <c r="IK48" i="1"/>
  <c r="IO48" i="1"/>
  <c r="IB48" i="1"/>
  <c r="IE48" i="1"/>
  <c r="IN48" i="1"/>
  <c r="AR95" i="6"/>
  <c r="AH58" i="6"/>
  <c r="AE59" i="6"/>
  <c r="AI58" i="6"/>
  <c r="AG57" i="6"/>
  <c r="AF57" i="6"/>
  <c r="AV96" i="6"/>
  <c r="AS97" i="6"/>
  <c r="AT96" i="6"/>
  <c r="HW50" i="1" l="1"/>
  <c r="HX50" i="1" s="1"/>
  <c r="HU51" i="1"/>
  <c r="IK49" i="1"/>
  <c r="IC49" i="1"/>
  <c r="IL49" i="1"/>
  <c r="IF49" i="1"/>
  <c r="IQ49" i="1"/>
  <c r="IE49" i="1"/>
  <c r="IN49" i="1"/>
  <c r="IR49" i="1"/>
  <c r="IB49" i="1"/>
  <c r="IH49" i="1"/>
  <c r="II49" i="1"/>
  <c r="IO49" i="1"/>
  <c r="AR96" i="6"/>
  <c r="AH59" i="6"/>
  <c r="AE60" i="6"/>
  <c r="AI59" i="6"/>
  <c r="AF58" i="6"/>
  <c r="AG58" i="6"/>
  <c r="AS98" i="6"/>
  <c r="AT97" i="6"/>
  <c r="AV97" i="6"/>
  <c r="HW51" i="1" l="1"/>
  <c r="HX51" i="1" s="1"/>
  <c r="HU52" i="1"/>
  <c r="IF50" i="1"/>
  <c r="IL50" i="1"/>
  <c r="IQ50" i="1"/>
  <c r="IK50" i="1"/>
  <c r="IH50" i="1"/>
  <c r="IE50" i="1"/>
  <c r="IO50" i="1"/>
  <c r="IR50" i="1"/>
  <c r="IN50" i="1"/>
  <c r="IC50" i="1"/>
  <c r="IB50" i="1"/>
  <c r="II50" i="1"/>
  <c r="AH60" i="6"/>
  <c r="AE61" i="6"/>
  <c r="AI60" i="6"/>
  <c r="AF59" i="6"/>
  <c r="AG59" i="6"/>
  <c r="AR97" i="6"/>
  <c r="AV98" i="6"/>
  <c r="AS99" i="6"/>
  <c r="AT98" i="6"/>
  <c r="HW52" i="1" l="1"/>
  <c r="HX52" i="1" s="1"/>
  <c r="HU53" i="1"/>
  <c r="IK51" i="1"/>
  <c r="IL51" i="1"/>
  <c r="IO51" i="1"/>
  <c r="IR51" i="1"/>
  <c r="IN51" i="1"/>
  <c r="IC51" i="1"/>
  <c r="IB51" i="1"/>
  <c r="IE51" i="1"/>
  <c r="II51" i="1"/>
  <c r="IH51" i="1"/>
  <c r="IF51" i="1"/>
  <c r="IQ51" i="1"/>
  <c r="AE62" i="6"/>
  <c r="AI61" i="6"/>
  <c r="AH61" i="6"/>
  <c r="AR98" i="6"/>
  <c r="AG60" i="6"/>
  <c r="AF60" i="6"/>
  <c r="AV99" i="6"/>
  <c r="AT99" i="6"/>
  <c r="AS100" i="6"/>
  <c r="HU54" i="1" l="1"/>
  <c r="HW53" i="1"/>
  <c r="HX53" i="1" s="1"/>
  <c r="IE52" i="1"/>
  <c r="IR52" i="1"/>
  <c r="II52" i="1"/>
  <c r="IH52" i="1"/>
  <c r="IK52" i="1"/>
  <c r="IF52" i="1"/>
  <c r="IO52" i="1"/>
  <c r="IL52" i="1"/>
  <c r="IN52" i="1"/>
  <c r="IC52" i="1"/>
  <c r="IB52" i="1"/>
  <c r="IQ52" i="1"/>
  <c r="AF61" i="6"/>
  <c r="AG61" i="6"/>
  <c r="AI62" i="6"/>
  <c r="AH62" i="6"/>
  <c r="AE63" i="6"/>
  <c r="AV100" i="6"/>
  <c r="AS101" i="6"/>
  <c r="AT100" i="6"/>
  <c r="AR99" i="6"/>
  <c r="IQ53" i="1" l="1"/>
  <c r="IE53" i="1"/>
  <c r="IR53" i="1"/>
  <c r="IB53" i="1"/>
  <c r="IF53" i="1"/>
  <c r="IC53" i="1"/>
  <c r="IL53" i="1"/>
  <c r="II53" i="1"/>
  <c r="IH53" i="1"/>
  <c r="IN53" i="1"/>
  <c r="IK53" i="1"/>
  <c r="IO53" i="1"/>
  <c r="HW54" i="1"/>
  <c r="HX54" i="1" s="1"/>
  <c r="HU55" i="1"/>
  <c r="AR100" i="6"/>
  <c r="AF62" i="6"/>
  <c r="AG62" i="6"/>
  <c r="AE64" i="6"/>
  <c r="AI63" i="6"/>
  <c r="AH63" i="6"/>
  <c r="AS102" i="6"/>
  <c r="AT101" i="6"/>
  <c r="AV101" i="6"/>
  <c r="HU56" i="1" l="1"/>
  <c r="HW55" i="1"/>
  <c r="HX55" i="1" s="1"/>
  <c r="IE54" i="1"/>
  <c r="IR54" i="1"/>
  <c r="IN54" i="1"/>
  <c r="IK54" i="1"/>
  <c r="IH54" i="1"/>
  <c r="IL54" i="1"/>
  <c r="IQ54" i="1"/>
  <c r="II54" i="1"/>
  <c r="IC54" i="1"/>
  <c r="IB54" i="1"/>
  <c r="IO54" i="1"/>
  <c r="IF54" i="1"/>
  <c r="AR101" i="6"/>
  <c r="AI64" i="6"/>
  <c r="AH64" i="6"/>
  <c r="AE65" i="6"/>
  <c r="AF63" i="6"/>
  <c r="AG63" i="6"/>
  <c r="AS103" i="6"/>
  <c r="AT102" i="6"/>
  <c r="AV102" i="6"/>
  <c r="IE55" i="1" l="1"/>
  <c r="IL55" i="1"/>
  <c r="IO55" i="1"/>
  <c r="IK55" i="1"/>
  <c r="II55" i="1"/>
  <c r="IN55" i="1"/>
  <c r="IF55" i="1"/>
  <c r="IH55" i="1"/>
  <c r="IB55" i="1"/>
  <c r="IC55" i="1"/>
  <c r="IR55" i="1"/>
  <c r="IQ55" i="1"/>
  <c r="HU57" i="1"/>
  <c r="HW56" i="1"/>
  <c r="HX56" i="1" s="1"/>
  <c r="AR102" i="6"/>
  <c r="AH65" i="6"/>
  <c r="AE66" i="6"/>
  <c r="AI65" i="6"/>
  <c r="AG64" i="6"/>
  <c r="AF64" i="6"/>
  <c r="AV103" i="6"/>
  <c r="AT103" i="6"/>
  <c r="AS104" i="6"/>
  <c r="IF56" i="1" l="1"/>
  <c r="IH56" i="1"/>
  <c r="IE56" i="1"/>
  <c r="IN56" i="1"/>
  <c r="IQ56" i="1"/>
  <c r="IB56" i="1"/>
  <c r="II56" i="1"/>
  <c r="IR56" i="1"/>
  <c r="IL56" i="1"/>
  <c r="IO56" i="1"/>
  <c r="IC56" i="1"/>
  <c r="IK56" i="1"/>
  <c r="HU58" i="1"/>
  <c r="HW57" i="1"/>
  <c r="HX57" i="1" s="1"/>
  <c r="AR103" i="6"/>
  <c r="AE67" i="6"/>
  <c r="AI66" i="6"/>
  <c r="AH66" i="6"/>
  <c r="AF65" i="6"/>
  <c r="AG65" i="6"/>
  <c r="AV104" i="6"/>
  <c r="AS105" i="6"/>
  <c r="AT104" i="6"/>
  <c r="IR57" i="1" l="1"/>
  <c r="IK57" i="1"/>
  <c r="IH57" i="1"/>
  <c r="IO57" i="1"/>
  <c r="II57" i="1"/>
  <c r="IB57" i="1"/>
  <c r="IL57" i="1"/>
  <c r="IF57" i="1"/>
  <c r="IC57" i="1"/>
  <c r="IE57" i="1"/>
  <c r="IN57" i="1"/>
  <c r="IQ57" i="1"/>
  <c r="HW58" i="1"/>
  <c r="HX58" i="1" s="1"/>
  <c r="HU59" i="1"/>
  <c r="AR104" i="6"/>
  <c r="AF66" i="6"/>
  <c r="AG66" i="6"/>
  <c r="AI67" i="6"/>
  <c r="AE68" i="6"/>
  <c r="AH67" i="6"/>
  <c r="AS106" i="6"/>
  <c r="AV105" i="6"/>
  <c r="AT105" i="6"/>
  <c r="HW59" i="1" l="1"/>
  <c r="HX59" i="1" s="1"/>
  <c r="HU60" i="1"/>
  <c r="IE58" i="1"/>
  <c r="IR58" i="1"/>
  <c r="IO58" i="1"/>
  <c r="IB58" i="1"/>
  <c r="IK58" i="1"/>
  <c r="IL58" i="1"/>
  <c r="IH58" i="1"/>
  <c r="IC58" i="1"/>
  <c r="IF58" i="1"/>
  <c r="IQ58" i="1"/>
  <c r="II58" i="1"/>
  <c r="IN58" i="1"/>
  <c r="AE69" i="6"/>
  <c r="AH68" i="6"/>
  <c r="AI68" i="6"/>
  <c r="AG67" i="6"/>
  <c r="AF67" i="6"/>
  <c r="AR105" i="6"/>
  <c r="AT106" i="6"/>
  <c r="AS107" i="6"/>
  <c r="AV106" i="6"/>
  <c r="HU61" i="1" l="1"/>
  <c r="HW60" i="1"/>
  <c r="HX60" i="1" s="1"/>
  <c r="IR59" i="1"/>
  <c r="IF59" i="1"/>
  <c r="IK59" i="1"/>
  <c r="IL59" i="1"/>
  <c r="IN59" i="1"/>
  <c r="IB59" i="1"/>
  <c r="IO59" i="1"/>
  <c r="IH59" i="1"/>
  <c r="IC59" i="1"/>
  <c r="II59" i="1"/>
  <c r="IQ59" i="1"/>
  <c r="IE59" i="1"/>
  <c r="AR106" i="6"/>
  <c r="AG68" i="6"/>
  <c r="AF68" i="6"/>
  <c r="AI69" i="6"/>
  <c r="AH69" i="6"/>
  <c r="AE70" i="6"/>
  <c r="AS108" i="6"/>
  <c r="AV107" i="6"/>
  <c r="AT107" i="6"/>
  <c r="IF60" i="1" l="1"/>
  <c r="IE60" i="1"/>
  <c r="IH60" i="1"/>
  <c r="II60" i="1"/>
  <c r="IK60" i="1"/>
  <c r="IO60" i="1"/>
  <c r="IL60" i="1"/>
  <c r="IC60" i="1"/>
  <c r="IN60" i="1"/>
  <c r="IB60" i="1"/>
  <c r="IQ60" i="1"/>
  <c r="IR60" i="1"/>
  <c r="HW61" i="1"/>
  <c r="HX61" i="1" s="1"/>
  <c r="HU62" i="1"/>
  <c r="AH70" i="6"/>
  <c r="AE71" i="6"/>
  <c r="AI70" i="6"/>
  <c r="AR107" i="6"/>
  <c r="AG69" i="6"/>
  <c r="AF69" i="6"/>
  <c r="AS109" i="6"/>
  <c r="AV108" i="6"/>
  <c r="AT108" i="6"/>
  <c r="HU63" i="1" l="1"/>
  <c r="HW62" i="1"/>
  <c r="HX62" i="1" s="1"/>
  <c r="IR61" i="1"/>
  <c r="IH61" i="1"/>
  <c r="IF61" i="1"/>
  <c r="II61" i="1"/>
  <c r="IL61" i="1"/>
  <c r="IO61" i="1"/>
  <c r="IB61" i="1"/>
  <c r="IN61" i="1"/>
  <c r="IQ61" i="1"/>
  <c r="IK61" i="1"/>
  <c r="IC61" i="1"/>
  <c r="IE61" i="1"/>
  <c r="AH71" i="6"/>
  <c r="AI71" i="6"/>
  <c r="AE72" i="6"/>
  <c r="AR108" i="6"/>
  <c r="AF70" i="6"/>
  <c r="AG70" i="6"/>
  <c r="AV109" i="6"/>
  <c r="AT109" i="6"/>
  <c r="AS110" i="6"/>
  <c r="IL62" i="1" l="1"/>
  <c r="IK62" i="1"/>
  <c r="IC62" i="1"/>
  <c r="IQ62" i="1"/>
  <c r="IO62" i="1"/>
  <c r="IH62" i="1"/>
  <c r="IF62" i="1"/>
  <c r="II62" i="1"/>
  <c r="IE62" i="1"/>
  <c r="IB62" i="1"/>
  <c r="IR62" i="1"/>
  <c r="IN62" i="1"/>
  <c r="HU64" i="1"/>
  <c r="HW63" i="1"/>
  <c r="HX63" i="1" s="1"/>
  <c r="AR109" i="6"/>
  <c r="AI72" i="6"/>
  <c r="AH72" i="6"/>
  <c r="AE73" i="6"/>
  <c r="AF71" i="6"/>
  <c r="AG71" i="6"/>
  <c r="AT110" i="6"/>
  <c r="AS111" i="6"/>
  <c r="AV110" i="6"/>
  <c r="IR63" i="1" l="1"/>
  <c r="IO63" i="1"/>
  <c r="IH63" i="1"/>
  <c r="IE63" i="1"/>
  <c r="IL63" i="1"/>
  <c r="II63" i="1"/>
  <c r="IC63" i="1"/>
  <c r="IQ63" i="1"/>
  <c r="IN63" i="1"/>
  <c r="IF63" i="1"/>
  <c r="IK63" i="1"/>
  <c r="IB63" i="1"/>
  <c r="HW64" i="1"/>
  <c r="HX64" i="1" s="1"/>
  <c r="HU65" i="1"/>
  <c r="AH73" i="6"/>
  <c r="AE74" i="6"/>
  <c r="AI73" i="6"/>
  <c r="AF72" i="6"/>
  <c r="AG72" i="6"/>
  <c r="AT111" i="6"/>
  <c r="AS112" i="6"/>
  <c r="AV111" i="6"/>
  <c r="AR110" i="6"/>
  <c r="HU66" i="1" l="1"/>
  <c r="HW65" i="1"/>
  <c r="HX65" i="1" s="1"/>
  <c r="IF64" i="1"/>
  <c r="IL64" i="1"/>
  <c r="IK64" i="1"/>
  <c r="IB64" i="1"/>
  <c r="IR64" i="1"/>
  <c r="IH64" i="1"/>
  <c r="IO64" i="1"/>
  <c r="IN64" i="1"/>
  <c r="IQ64" i="1"/>
  <c r="IC64" i="1"/>
  <c r="II64" i="1"/>
  <c r="IE64" i="1"/>
  <c r="AE75" i="6"/>
  <c r="AH74" i="6"/>
  <c r="AI74" i="6"/>
  <c r="AG73" i="6"/>
  <c r="AF73" i="6"/>
  <c r="AT112" i="6"/>
  <c r="AV112" i="6"/>
  <c r="AS113" i="6"/>
  <c r="AR111" i="6"/>
  <c r="IL65" i="1" l="1"/>
  <c r="IK65" i="1"/>
  <c r="IO65" i="1"/>
  <c r="IB65" i="1"/>
  <c r="IR65" i="1"/>
  <c r="IF65" i="1"/>
  <c r="IN65" i="1"/>
  <c r="IQ65" i="1"/>
  <c r="IE65" i="1"/>
  <c r="IC65" i="1"/>
  <c r="IH65" i="1"/>
  <c r="II65" i="1"/>
  <c r="HU67" i="1"/>
  <c r="HW66" i="1"/>
  <c r="HX66" i="1" s="1"/>
  <c r="AG74" i="6"/>
  <c r="AF74" i="6"/>
  <c r="AH75" i="6"/>
  <c r="AI75" i="6"/>
  <c r="AE76" i="6"/>
  <c r="AV113" i="6"/>
  <c r="AT113" i="6"/>
  <c r="AS114" i="6"/>
  <c r="AR112" i="6"/>
  <c r="IB66" i="1" l="1"/>
  <c r="IH66" i="1"/>
  <c r="IL66" i="1"/>
  <c r="II66" i="1"/>
  <c r="IO66" i="1"/>
  <c r="IC66" i="1"/>
  <c r="IQ66" i="1"/>
  <c r="IF66" i="1"/>
  <c r="IK66" i="1"/>
  <c r="IE66" i="1"/>
  <c r="IN66" i="1"/>
  <c r="IR66" i="1"/>
  <c r="HW67" i="1"/>
  <c r="HX67" i="1" s="1"/>
  <c r="HU68" i="1"/>
  <c r="AR113" i="6"/>
  <c r="AG75" i="6"/>
  <c r="AF75" i="6"/>
  <c r="AI76" i="6"/>
  <c r="AE77" i="6"/>
  <c r="AH76" i="6"/>
  <c r="AV114" i="6"/>
  <c r="AS115" i="6"/>
  <c r="AT114" i="6"/>
  <c r="HU69" i="1" l="1"/>
  <c r="HW68" i="1"/>
  <c r="HX68" i="1" s="1"/>
  <c r="IO67" i="1"/>
  <c r="IE67" i="1"/>
  <c r="IB67" i="1"/>
  <c r="IF67" i="1"/>
  <c r="IR67" i="1"/>
  <c r="IL67" i="1"/>
  <c r="II67" i="1"/>
  <c r="IN67" i="1"/>
  <c r="IC67" i="1"/>
  <c r="IK67" i="1"/>
  <c r="IH67" i="1"/>
  <c r="IQ67" i="1"/>
  <c r="AG76" i="6"/>
  <c r="AF76" i="6"/>
  <c r="AR114" i="6"/>
  <c r="AE78" i="6"/>
  <c r="AI77" i="6"/>
  <c r="AH77" i="6"/>
  <c r="AS116" i="6"/>
  <c r="AV115" i="6"/>
  <c r="AT115" i="6"/>
  <c r="IB68" i="1" l="1"/>
  <c r="IR68" i="1"/>
  <c r="IH68" i="1"/>
  <c r="IL68" i="1"/>
  <c r="IK68" i="1"/>
  <c r="IE68" i="1"/>
  <c r="IQ68" i="1"/>
  <c r="IC68" i="1"/>
  <c r="IO68" i="1"/>
  <c r="IN68" i="1"/>
  <c r="IF68" i="1"/>
  <c r="II68" i="1"/>
  <c r="HU70" i="1"/>
  <c r="HW69" i="1"/>
  <c r="HX69" i="1" s="1"/>
  <c r="AR115" i="6"/>
  <c r="AI78" i="6"/>
  <c r="AH78" i="6"/>
  <c r="AE79" i="6"/>
  <c r="AG77" i="6"/>
  <c r="AF77" i="6"/>
  <c r="AV116" i="6"/>
  <c r="AT116" i="6"/>
  <c r="AS117" i="6"/>
  <c r="IN69" i="1" l="1"/>
  <c r="IK69" i="1"/>
  <c r="IO69" i="1"/>
  <c r="IF69" i="1"/>
  <c r="IL69" i="1"/>
  <c r="IB69" i="1"/>
  <c r="IQ69" i="1"/>
  <c r="IR69" i="1"/>
  <c r="II69" i="1"/>
  <c r="IC69" i="1"/>
  <c r="IE69" i="1"/>
  <c r="IH69" i="1"/>
  <c r="HW70" i="1"/>
  <c r="HX70" i="1" s="1"/>
  <c r="HU71" i="1"/>
  <c r="AH79" i="6"/>
  <c r="AI79" i="6"/>
  <c r="AE80" i="6"/>
  <c r="AF78" i="6"/>
  <c r="AG78" i="6"/>
  <c r="AV117" i="6"/>
  <c r="AT117" i="6"/>
  <c r="AS118" i="6"/>
  <c r="AR116" i="6"/>
  <c r="HU72" i="1" l="1"/>
  <c r="HW71" i="1"/>
  <c r="HX71" i="1" s="1"/>
  <c r="IB70" i="1"/>
  <c r="IF70" i="1"/>
  <c r="IH70" i="1"/>
  <c r="IC70" i="1"/>
  <c r="IL70" i="1"/>
  <c r="IN70" i="1"/>
  <c r="IR70" i="1"/>
  <c r="IQ70" i="1"/>
  <c r="IK70" i="1"/>
  <c r="II70" i="1"/>
  <c r="IE70" i="1"/>
  <c r="IO70" i="1"/>
  <c r="AE81" i="6"/>
  <c r="AI80" i="6"/>
  <c r="AH80" i="6"/>
  <c r="AF79" i="6"/>
  <c r="AG79" i="6"/>
  <c r="AT118" i="6"/>
  <c r="AV118" i="6"/>
  <c r="AS119" i="6"/>
  <c r="AR117" i="6"/>
  <c r="IH71" i="1" l="1"/>
  <c r="IF71" i="1"/>
  <c r="IK71" i="1"/>
  <c r="IC71" i="1"/>
  <c r="IO71" i="1"/>
  <c r="IB71" i="1"/>
  <c r="IE71" i="1"/>
  <c r="IN71" i="1"/>
  <c r="IR71" i="1"/>
  <c r="II71" i="1"/>
  <c r="IL71" i="1"/>
  <c r="IQ71" i="1"/>
  <c r="HW72" i="1"/>
  <c r="HX72" i="1" s="1"/>
  <c r="HU73" i="1"/>
  <c r="AG80" i="6"/>
  <c r="AF80" i="6"/>
  <c r="AR118" i="6"/>
  <c r="AI81" i="6"/>
  <c r="AE82" i="6"/>
  <c r="AH81" i="6"/>
  <c r="AV119" i="6"/>
  <c r="AS120" i="6"/>
  <c r="AT119" i="6"/>
  <c r="HU74" i="1" l="1"/>
  <c r="HW73" i="1"/>
  <c r="HX73" i="1" s="1"/>
  <c r="IC72" i="1"/>
  <c r="IH72" i="1"/>
  <c r="II72" i="1"/>
  <c r="IK72" i="1"/>
  <c r="IE72" i="1"/>
  <c r="IQ72" i="1"/>
  <c r="IL72" i="1"/>
  <c r="IO72" i="1"/>
  <c r="IN72" i="1"/>
  <c r="IF72" i="1"/>
  <c r="IR72" i="1"/>
  <c r="IB72" i="1"/>
  <c r="AG81" i="6"/>
  <c r="AF81" i="6"/>
  <c r="AR119" i="6"/>
  <c r="AE83" i="6"/>
  <c r="AI82" i="6"/>
  <c r="AH82" i="6"/>
  <c r="AS121" i="6"/>
  <c r="AV120" i="6"/>
  <c r="AT120" i="6"/>
  <c r="IO73" i="1" l="1"/>
  <c r="IB73" i="1"/>
  <c r="IC73" i="1"/>
  <c r="IN73" i="1"/>
  <c r="IF73" i="1"/>
  <c r="IE73" i="1"/>
  <c r="IK73" i="1"/>
  <c r="IH73" i="1"/>
  <c r="IL73" i="1"/>
  <c r="II73" i="1"/>
  <c r="IR73" i="1"/>
  <c r="IQ73" i="1"/>
  <c r="HU75" i="1"/>
  <c r="HW74" i="1"/>
  <c r="HX74" i="1" s="1"/>
  <c r="AI83" i="6"/>
  <c r="AH83" i="6"/>
  <c r="AE84" i="6"/>
  <c r="AF82" i="6"/>
  <c r="AG82" i="6"/>
  <c r="AR120" i="6"/>
  <c r="AV121" i="6"/>
  <c r="AT121" i="6"/>
  <c r="AS122" i="6"/>
  <c r="IR74" i="1" l="1"/>
  <c r="IL74" i="1"/>
  <c r="IN74" i="1"/>
  <c r="IC74" i="1"/>
  <c r="IF74" i="1"/>
  <c r="II74" i="1"/>
  <c r="IK74" i="1"/>
  <c r="IE74" i="1"/>
  <c r="IQ74" i="1"/>
  <c r="IO74" i="1"/>
  <c r="IH74" i="1"/>
  <c r="IB74" i="1"/>
  <c r="HW75" i="1"/>
  <c r="HX75" i="1" s="1"/>
  <c r="HU76" i="1"/>
  <c r="AR121" i="6"/>
  <c r="AE85" i="6"/>
  <c r="AH84" i="6"/>
  <c r="AI84" i="6"/>
  <c r="AF83" i="6"/>
  <c r="AG83" i="6"/>
  <c r="AS123" i="6"/>
  <c r="AV122" i="6"/>
  <c r="AT122" i="6"/>
  <c r="HU77" i="1" l="1"/>
  <c r="HW76" i="1"/>
  <c r="HX76" i="1" s="1"/>
  <c r="IO75" i="1"/>
  <c r="IL75" i="1"/>
  <c r="II75" i="1"/>
  <c r="IK75" i="1"/>
  <c r="IF75" i="1"/>
  <c r="IB75" i="1"/>
  <c r="IQ75" i="1"/>
  <c r="IN75" i="1"/>
  <c r="IC75" i="1"/>
  <c r="IH75" i="1"/>
  <c r="IE75" i="1"/>
  <c r="IR75" i="1"/>
  <c r="AR122" i="6"/>
  <c r="AG84" i="6"/>
  <c r="AF84" i="6"/>
  <c r="AH85" i="6"/>
  <c r="AI85" i="6"/>
  <c r="AE86" i="6"/>
  <c r="AS124" i="6"/>
  <c r="AT123" i="6"/>
  <c r="AV123" i="6"/>
  <c r="IR76" i="1" l="1"/>
  <c r="IL76" i="1"/>
  <c r="IB76" i="1"/>
  <c r="IC76" i="1"/>
  <c r="IE76" i="1"/>
  <c r="IO76" i="1"/>
  <c r="IN76" i="1"/>
  <c r="IH76" i="1"/>
  <c r="IF76" i="1"/>
  <c r="II76" i="1"/>
  <c r="IK76" i="1"/>
  <c r="IQ76" i="1"/>
  <c r="HW77" i="1"/>
  <c r="HX77" i="1" s="1"/>
  <c r="HU78" i="1"/>
  <c r="AG85" i="6"/>
  <c r="AF85" i="6"/>
  <c r="AI86" i="6"/>
  <c r="AE87" i="6"/>
  <c r="AH86" i="6"/>
  <c r="AR123" i="6"/>
  <c r="AS125" i="6"/>
  <c r="AT124" i="6"/>
  <c r="AV124" i="6"/>
  <c r="HU79" i="1" l="1"/>
  <c r="HW78" i="1"/>
  <c r="HX78" i="1" s="1"/>
  <c r="IO77" i="1"/>
  <c r="IK77" i="1"/>
  <c r="IL77" i="1"/>
  <c r="IC77" i="1"/>
  <c r="IE77" i="1"/>
  <c r="IF77" i="1"/>
  <c r="IR77" i="1"/>
  <c r="IN77" i="1"/>
  <c r="IH77" i="1"/>
  <c r="IQ77" i="1"/>
  <c r="II77" i="1"/>
  <c r="IB77" i="1"/>
  <c r="AR124" i="6"/>
  <c r="AI87" i="6"/>
  <c r="AE88" i="6"/>
  <c r="AH87" i="6"/>
  <c r="AG86" i="6"/>
  <c r="AF86" i="6"/>
  <c r="AS126" i="6"/>
  <c r="AT125" i="6"/>
  <c r="AV125" i="6"/>
  <c r="IR78" i="1" l="1"/>
  <c r="IQ78" i="1"/>
  <c r="IL78" i="1"/>
  <c r="IB78" i="1"/>
  <c r="IO78" i="1"/>
  <c r="IN78" i="1"/>
  <c r="IH78" i="1"/>
  <c r="IC78" i="1"/>
  <c r="IF78" i="1"/>
  <c r="IK78" i="1"/>
  <c r="II78" i="1"/>
  <c r="IE78" i="1"/>
  <c r="HW79" i="1"/>
  <c r="HX79" i="1" s="1"/>
  <c r="HU80" i="1"/>
  <c r="AR125" i="6"/>
  <c r="AF87" i="6"/>
  <c r="AG87" i="6"/>
  <c r="AE89" i="6"/>
  <c r="AI88" i="6"/>
  <c r="AH88" i="6"/>
  <c r="AV126" i="6"/>
  <c r="AT126" i="6"/>
  <c r="AS127" i="6"/>
  <c r="HW80" i="1" l="1"/>
  <c r="HX80" i="1" s="1"/>
  <c r="HU81" i="1"/>
  <c r="IO79" i="1"/>
  <c r="IB79" i="1"/>
  <c r="II79" i="1"/>
  <c r="IK79" i="1"/>
  <c r="IE79" i="1"/>
  <c r="IR79" i="1"/>
  <c r="IL79" i="1"/>
  <c r="IF79" i="1"/>
  <c r="IC79" i="1"/>
  <c r="IQ79" i="1"/>
  <c r="IN79" i="1"/>
  <c r="IH79" i="1"/>
  <c r="AR126" i="6"/>
  <c r="AI89" i="6"/>
  <c r="AH89" i="6"/>
  <c r="AE90" i="6"/>
  <c r="AF88" i="6"/>
  <c r="AG88" i="6"/>
  <c r="AT127" i="6"/>
  <c r="AV127" i="6"/>
  <c r="AS128" i="6"/>
  <c r="HU82" i="1" l="1"/>
  <c r="HW81" i="1"/>
  <c r="HX81" i="1" s="1"/>
  <c r="IC80" i="1"/>
  <c r="IF80" i="1"/>
  <c r="II80" i="1"/>
  <c r="IK80" i="1"/>
  <c r="IB80" i="1"/>
  <c r="IQ80" i="1"/>
  <c r="IN80" i="1"/>
  <c r="IH80" i="1"/>
  <c r="IE80" i="1"/>
  <c r="IR80" i="1"/>
  <c r="IL80" i="1"/>
  <c r="IO80" i="1"/>
  <c r="AI90" i="6"/>
  <c r="AE91" i="6"/>
  <c r="AH90" i="6"/>
  <c r="AF89" i="6"/>
  <c r="AG89" i="6"/>
  <c r="AV128" i="6"/>
  <c r="AS129" i="6"/>
  <c r="AT128" i="6"/>
  <c r="AR127" i="6"/>
  <c r="IH81" i="1" l="1"/>
  <c r="II81" i="1"/>
  <c r="IL81" i="1"/>
  <c r="IC81" i="1"/>
  <c r="IQ81" i="1"/>
  <c r="IN81" i="1"/>
  <c r="IO81" i="1"/>
  <c r="IF81" i="1"/>
  <c r="IR81" i="1"/>
  <c r="IE81" i="1"/>
  <c r="IK81" i="1"/>
  <c r="IB81" i="1"/>
  <c r="HU83" i="1"/>
  <c r="HW82" i="1"/>
  <c r="HX82" i="1" s="1"/>
  <c r="AR128" i="6"/>
  <c r="AF90" i="6"/>
  <c r="AG90" i="6"/>
  <c r="AH91" i="6"/>
  <c r="AI91" i="6"/>
  <c r="AE92" i="6"/>
  <c r="AV129" i="6"/>
  <c r="AS130" i="6"/>
  <c r="AT129" i="6"/>
  <c r="IR82" i="1" l="1"/>
  <c r="IL82" i="1"/>
  <c r="IN82" i="1"/>
  <c r="IO82" i="1"/>
  <c r="IH82" i="1"/>
  <c r="IF82" i="1"/>
  <c r="IK82" i="1"/>
  <c r="IE82" i="1"/>
  <c r="IQ82" i="1"/>
  <c r="IB82" i="1"/>
  <c r="IC82" i="1"/>
  <c r="II82" i="1"/>
  <c r="HW83" i="1"/>
  <c r="HX83" i="1" s="1"/>
  <c r="HU84" i="1"/>
  <c r="AR129" i="6"/>
  <c r="AF91" i="6"/>
  <c r="AG91" i="6"/>
  <c r="AI92" i="6"/>
  <c r="AE93" i="6"/>
  <c r="AH92" i="6"/>
  <c r="AS131" i="6"/>
  <c r="AT130" i="6"/>
  <c r="AV130" i="6"/>
  <c r="HW84" i="1" l="1"/>
  <c r="HX84" i="1" s="1"/>
  <c r="HU85" i="1"/>
  <c r="IO83" i="1"/>
  <c r="IL83" i="1"/>
  <c r="IH83" i="1"/>
  <c r="IF83" i="1"/>
  <c r="IK83" i="1"/>
  <c r="IN83" i="1"/>
  <c r="II83" i="1"/>
  <c r="IC83" i="1"/>
  <c r="IE83" i="1"/>
  <c r="IQ83" i="1"/>
  <c r="IR83" i="1"/>
  <c r="IB83" i="1"/>
  <c r="AG92" i="6"/>
  <c r="AF92" i="6"/>
  <c r="AH93" i="6"/>
  <c r="AI93" i="6"/>
  <c r="AE94" i="6"/>
  <c r="AR130" i="6"/>
  <c r="AV131" i="6"/>
  <c r="AT131" i="6"/>
  <c r="AS132" i="6"/>
  <c r="HU86" i="1" l="1"/>
  <c r="HW85" i="1"/>
  <c r="HX85" i="1" s="1"/>
  <c r="IR84" i="1"/>
  <c r="IN84" i="1"/>
  <c r="IO84" i="1"/>
  <c r="IC84" i="1"/>
  <c r="IQ84" i="1"/>
  <c r="IK84" i="1"/>
  <c r="IB84" i="1"/>
  <c r="IH84" i="1"/>
  <c r="II84" i="1"/>
  <c r="IF84" i="1"/>
  <c r="IE84" i="1"/>
  <c r="IL84" i="1"/>
  <c r="AR131" i="6"/>
  <c r="AG93" i="6"/>
  <c r="AF93" i="6"/>
  <c r="AI94" i="6"/>
  <c r="AE95" i="6"/>
  <c r="AH94" i="6"/>
  <c r="AT132" i="6"/>
  <c r="AS133" i="6"/>
  <c r="AV132" i="6"/>
  <c r="IH85" i="1" l="1"/>
  <c r="IR85" i="1"/>
  <c r="IE85" i="1"/>
  <c r="IN85" i="1"/>
  <c r="II85" i="1"/>
  <c r="IL85" i="1"/>
  <c r="IF85" i="1"/>
  <c r="IK85" i="1"/>
  <c r="IB85" i="1"/>
  <c r="IO85" i="1"/>
  <c r="IC85" i="1"/>
  <c r="IQ85" i="1"/>
  <c r="HU87" i="1"/>
  <c r="HW86" i="1"/>
  <c r="HX86" i="1" s="1"/>
  <c r="AF94" i="6"/>
  <c r="AG94" i="6"/>
  <c r="AI95" i="6"/>
  <c r="AE96" i="6"/>
  <c r="AH95" i="6"/>
  <c r="AS134" i="6"/>
  <c r="AV133" i="6"/>
  <c r="AT133" i="6"/>
  <c r="AR132" i="6"/>
  <c r="IR86" i="1" l="1"/>
  <c r="IE86" i="1"/>
  <c r="IN86" i="1"/>
  <c r="IO86" i="1"/>
  <c r="IH86" i="1"/>
  <c r="IL86" i="1"/>
  <c r="IK86" i="1"/>
  <c r="IB86" i="1"/>
  <c r="IQ86" i="1"/>
  <c r="IC86" i="1"/>
  <c r="IF86" i="1"/>
  <c r="II86" i="1"/>
  <c r="HU88" i="1"/>
  <c r="HW87" i="1"/>
  <c r="HX87" i="1" s="1"/>
  <c r="AR133" i="6"/>
  <c r="AI96" i="6"/>
  <c r="AE97" i="6"/>
  <c r="AH96" i="6"/>
  <c r="AF95" i="6"/>
  <c r="AG95" i="6"/>
  <c r="AS135" i="6"/>
  <c r="AT134" i="6"/>
  <c r="AV134" i="6"/>
  <c r="IC87" i="1" l="1"/>
  <c r="IE87" i="1"/>
  <c r="IQ87" i="1"/>
  <c r="IR87" i="1"/>
  <c r="IB87" i="1"/>
  <c r="IF87" i="1"/>
  <c r="IH87" i="1"/>
  <c r="II87" i="1"/>
  <c r="IK87" i="1"/>
  <c r="IL87" i="1"/>
  <c r="IO87" i="1"/>
  <c r="IN87" i="1"/>
  <c r="HW88" i="1"/>
  <c r="HX88" i="1" s="1"/>
  <c r="HU89" i="1"/>
  <c r="AF96" i="6"/>
  <c r="AG96" i="6"/>
  <c r="AI97" i="6"/>
  <c r="AE98" i="6"/>
  <c r="AH97" i="6"/>
  <c r="AR134" i="6"/>
  <c r="AS136" i="6"/>
  <c r="AV135" i="6"/>
  <c r="AT135" i="6"/>
  <c r="HU90" i="1" l="1"/>
  <c r="HW89" i="1"/>
  <c r="HX89" i="1" s="1"/>
  <c r="IR88" i="1"/>
  <c r="IQ88" i="1"/>
  <c r="IH88" i="1"/>
  <c r="IC88" i="1"/>
  <c r="IN88" i="1"/>
  <c r="IO88" i="1"/>
  <c r="IE88" i="1"/>
  <c r="IB88" i="1"/>
  <c r="IL88" i="1"/>
  <c r="IK88" i="1"/>
  <c r="II88" i="1"/>
  <c r="IF88" i="1"/>
  <c r="AE99" i="6"/>
  <c r="AI98" i="6"/>
  <c r="AH98" i="6"/>
  <c r="AF97" i="6"/>
  <c r="AG97" i="6"/>
  <c r="AR135" i="6"/>
  <c r="AS137" i="6"/>
  <c r="AT136" i="6"/>
  <c r="AV136" i="6"/>
  <c r="IC89" i="1" l="1"/>
  <c r="IB89" i="1"/>
  <c r="IE89" i="1"/>
  <c r="IR89" i="1"/>
  <c r="IF89" i="1"/>
  <c r="IN89" i="1"/>
  <c r="II89" i="1"/>
  <c r="IQ89" i="1"/>
  <c r="IK89" i="1"/>
  <c r="IO89" i="1"/>
  <c r="IL89" i="1"/>
  <c r="IH89" i="1"/>
  <c r="HW90" i="1"/>
  <c r="HX90" i="1" s="1"/>
  <c r="HU91" i="1"/>
  <c r="AR136" i="6"/>
  <c r="AG98" i="6"/>
  <c r="AF98" i="6"/>
  <c r="AI99" i="6"/>
  <c r="AE100" i="6"/>
  <c r="AH99" i="6"/>
  <c r="AS138" i="6"/>
  <c r="AT137" i="6"/>
  <c r="AV137" i="6"/>
  <c r="HW91" i="1" l="1"/>
  <c r="HX91" i="1" s="1"/>
  <c r="HU92" i="1"/>
  <c r="IR90" i="1"/>
  <c r="IL90" i="1"/>
  <c r="IE90" i="1"/>
  <c r="IO90" i="1"/>
  <c r="II90" i="1"/>
  <c r="IH90" i="1"/>
  <c r="IC90" i="1"/>
  <c r="IF90" i="1"/>
  <c r="IQ90" i="1"/>
  <c r="IK90" i="1"/>
  <c r="IB90" i="1"/>
  <c r="IN90" i="1"/>
  <c r="AE101" i="6"/>
  <c r="AH100" i="6"/>
  <c r="AI100" i="6"/>
  <c r="AF99" i="6"/>
  <c r="AG99" i="6"/>
  <c r="AR137" i="6"/>
  <c r="AS139" i="6"/>
  <c r="AV138" i="6"/>
  <c r="AT138" i="6"/>
  <c r="HU93" i="1" l="1"/>
  <c r="HW92" i="1"/>
  <c r="HX92" i="1" s="1"/>
  <c r="IC91" i="1"/>
  <c r="II91" i="1"/>
  <c r="IF91" i="1"/>
  <c r="IK91" i="1"/>
  <c r="IQ91" i="1"/>
  <c r="IN91" i="1"/>
  <c r="IE91" i="1"/>
  <c r="IL91" i="1"/>
  <c r="IO91" i="1"/>
  <c r="IB91" i="1"/>
  <c r="IR91" i="1"/>
  <c r="IH91" i="1"/>
  <c r="AF100" i="6"/>
  <c r="AG100" i="6"/>
  <c r="AI101" i="6"/>
  <c r="AH101" i="6"/>
  <c r="AE102" i="6"/>
  <c r="AR138" i="6"/>
  <c r="AV139" i="6"/>
  <c r="AT139" i="6"/>
  <c r="AS140" i="6"/>
  <c r="IR92" i="1" l="1"/>
  <c r="IE92" i="1"/>
  <c r="IB92" i="1"/>
  <c r="IO92" i="1"/>
  <c r="IN92" i="1"/>
  <c r="IL92" i="1"/>
  <c r="IC92" i="1"/>
  <c r="IF92" i="1"/>
  <c r="II92" i="1"/>
  <c r="IK92" i="1"/>
  <c r="IH92" i="1"/>
  <c r="IQ92" i="1"/>
  <c r="HW93" i="1"/>
  <c r="HX93" i="1" s="1"/>
  <c r="HU94" i="1"/>
  <c r="AR139" i="6"/>
  <c r="AF101" i="6"/>
  <c r="AG101" i="6"/>
  <c r="AH102" i="6"/>
  <c r="AE103" i="6"/>
  <c r="AI102" i="6"/>
  <c r="AS141" i="6"/>
  <c r="AV140" i="6"/>
  <c r="AT140" i="6"/>
  <c r="HU95" i="1" l="1"/>
  <c r="HW94" i="1"/>
  <c r="HX94" i="1" s="1"/>
  <c r="IC93" i="1"/>
  <c r="IQ93" i="1"/>
  <c r="IL93" i="1"/>
  <c r="IK93" i="1"/>
  <c r="IB93" i="1"/>
  <c r="II93" i="1"/>
  <c r="IE93" i="1"/>
  <c r="IH93" i="1"/>
  <c r="IN93" i="1"/>
  <c r="IR93" i="1"/>
  <c r="IF93" i="1"/>
  <c r="IO93" i="1"/>
  <c r="AR140" i="6"/>
  <c r="AE104" i="6"/>
  <c r="AI103" i="6"/>
  <c r="AH103" i="6"/>
  <c r="AG102" i="6"/>
  <c r="AF102" i="6"/>
  <c r="AT141" i="6"/>
  <c r="AS142" i="6"/>
  <c r="AV141" i="6"/>
  <c r="IR94" i="1" l="1"/>
  <c r="IE94" i="1"/>
  <c r="IN94" i="1"/>
  <c r="IO94" i="1"/>
  <c r="IL94" i="1"/>
  <c r="IC94" i="1"/>
  <c r="IF94" i="1"/>
  <c r="II94" i="1"/>
  <c r="IK94" i="1"/>
  <c r="IB94" i="1"/>
  <c r="IQ94" i="1"/>
  <c r="IH94" i="1"/>
  <c r="HW95" i="1"/>
  <c r="HX95" i="1" s="1"/>
  <c r="HU96" i="1"/>
  <c r="AG103" i="6"/>
  <c r="AF103" i="6"/>
  <c r="AH104" i="6"/>
  <c r="AE105" i="6"/>
  <c r="AI104" i="6"/>
  <c r="AT142" i="6"/>
  <c r="AS143" i="6"/>
  <c r="AV142" i="6"/>
  <c r="AR141" i="6"/>
  <c r="HU97" i="1" l="1"/>
  <c r="HW96" i="1"/>
  <c r="HX96" i="1" s="1"/>
  <c r="IC95" i="1"/>
  <c r="IL95" i="1"/>
  <c r="IH95" i="1"/>
  <c r="IE95" i="1"/>
  <c r="IQ95" i="1"/>
  <c r="IN95" i="1"/>
  <c r="IK95" i="1"/>
  <c r="IB95" i="1"/>
  <c r="IO95" i="1"/>
  <c r="IR95" i="1"/>
  <c r="II95" i="1"/>
  <c r="IF95" i="1"/>
  <c r="AI105" i="6"/>
  <c r="AH105" i="6"/>
  <c r="AE106" i="6"/>
  <c r="AF104" i="6"/>
  <c r="AG104" i="6"/>
  <c r="AV143" i="6"/>
  <c r="AT143" i="6"/>
  <c r="AS144" i="6"/>
  <c r="AR142" i="6"/>
  <c r="IR96" i="1" l="1"/>
  <c r="IE96" i="1"/>
  <c r="IQ96" i="1"/>
  <c r="IL96" i="1"/>
  <c r="IC96" i="1"/>
  <c r="IF96" i="1"/>
  <c r="IN96" i="1"/>
  <c r="IK96" i="1"/>
  <c r="IH96" i="1"/>
  <c r="II96" i="1"/>
  <c r="IO96" i="1"/>
  <c r="IB96" i="1"/>
  <c r="HW97" i="1"/>
  <c r="HX97" i="1" s="1"/>
  <c r="HU98" i="1"/>
  <c r="AR143" i="6"/>
  <c r="AH106" i="6"/>
  <c r="AE107" i="6"/>
  <c r="AI106" i="6"/>
  <c r="AG105" i="6"/>
  <c r="AF105" i="6"/>
  <c r="AT144" i="6"/>
  <c r="AS145" i="6"/>
  <c r="AV144" i="6"/>
  <c r="HU99" i="1" l="1"/>
  <c r="HW98" i="1"/>
  <c r="HX98" i="1" s="1"/>
  <c r="IR97" i="1"/>
  <c r="IH97" i="1"/>
  <c r="II97" i="1"/>
  <c r="IL97" i="1"/>
  <c r="IQ97" i="1"/>
  <c r="IE97" i="1"/>
  <c r="IB97" i="1"/>
  <c r="IC97" i="1"/>
  <c r="IO97" i="1"/>
  <c r="IK97" i="1"/>
  <c r="IF97" i="1"/>
  <c r="IN97" i="1"/>
  <c r="AE108" i="6"/>
  <c r="AI107" i="6"/>
  <c r="AH107" i="6"/>
  <c r="AG106" i="6"/>
  <c r="AF106" i="6"/>
  <c r="AV145" i="6"/>
  <c r="AT145" i="6"/>
  <c r="AS146" i="6"/>
  <c r="AR144" i="6"/>
  <c r="IR98" i="1" l="1"/>
  <c r="IF98" i="1"/>
  <c r="IL98" i="1"/>
  <c r="II98" i="1"/>
  <c r="IB98" i="1"/>
  <c r="IC98" i="1"/>
  <c r="IN98" i="1"/>
  <c r="IQ98" i="1"/>
  <c r="IK98" i="1"/>
  <c r="IO98" i="1"/>
  <c r="IE98" i="1"/>
  <c r="IH98" i="1"/>
  <c r="HU100" i="1"/>
  <c r="HW99" i="1"/>
  <c r="HX99" i="1" s="1"/>
  <c r="AR145" i="6"/>
  <c r="AF107" i="6"/>
  <c r="AG107" i="6"/>
  <c r="AI108" i="6"/>
  <c r="AH108" i="6"/>
  <c r="AE109" i="6"/>
  <c r="AT146" i="6"/>
  <c r="AS147" i="6"/>
  <c r="AV146" i="6"/>
  <c r="IR99" i="1" l="1"/>
  <c r="IO99" i="1"/>
  <c r="IL99" i="1"/>
  <c r="IQ99" i="1"/>
  <c r="IN99" i="1"/>
  <c r="IK99" i="1"/>
  <c r="IH99" i="1"/>
  <c r="IE99" i="1"/>
  <c r="II99" i="1"/>
  <c r="IF99" i="1"/>
  <c r="IB99" i="1"/>
  <c r="IC99" i="1"/>
  <c r="HW100" i="1"/>
  <c r="HX100" i="1" s="1"/>
  <c r="HU101" i="1"/>
  <c r="AE110" i="6"/>
  <c r="AI109" i="6"/>
  <c r="AH109" i="6"/>
  <c r="AG108" i="6"/>
  <c r="AF108" i="6"/>
  <c r="AV147" i="6"/>
  <c r="AS148" i="6"/>
  <c r="AT147" i="6"/>
  <c r="AR146" i="6"/>
  <c r="HU102" i="1" l="1"/>
  <c r="HW101" i="1"/>
  <c r="HX101" i="1" s="1"/>
  <c r="IR100" i="1"/>
  <c r="IO100" i="1"/>
  <c r="IL100" i="1"/>
  <c r="IC100" i="1"/>
  <c r="IQ100" i="1"/>
  <c r="IH100" i="1"/>
  <c r="IK100" i="1"/>
  <c r="IB100" i="1"/>
  <c r="IE100" i="1"/>
  <c r="II100" i="1"/>
  <c r="IF100" i="1"/>
  <c r="IN100" i="1"/>
  <c r="AR147" i="6"/>
  <c r="AF109" i="6"/>
  <c r="AG109" i="6"/>
  <c r="AI110" i="6"/>
  <c r="AH110" i="6"/>
  <c r="AE111" i="6"/>
  <c r="AV148" i="6"/>
  <c r="AT148" i="6"/>
  <c r="AS149" i="6"/>
  <c r="IC101" i="1" l="1"/>
  <c r="IO101" i="1"/>
  <c r="IL101" i="1"/>
  <c r="IK101" i="1"/>
  <c r="IF101" i="1"/>
  <c r="IN101" i="1"/>
  <c r="IR101" i="1"/>
  <c r="IH101" i="1"/>
  <c r="II101" i="1"/>
  <c r="IQ101" i="1"/>
  <c r="IE101" i="1"/>
  <c r="IB101" i="1"/>
  <c r="HU103" i="1"/>
  <c r="HW102" i="1"/>
  <c r="HX102" i="1" s="1"/>
  <c r="AG110" i="6"/>
  <c r="AF110" i="6"/>
  <c r="AR148" i="6"/>
  <c r="AE112" i="6"/>
  <c r="AH111" i="6"/>
  <c r="AI111" i="6"/>
  <c r="AS150" i="6"/>
  <c r="AV149" i="6"/>
  <c r="AT149" i="6"/>
  <c r="IR102" i="1" l="1"/>
  <c r="IO102" i="1"/>
  <c r="IL102" i="1"/>
  <c r="II102" i="1"/>
  <c r="IF102" i="1"/>
  <c r="IC102" i="1"/>
  <c r="IQ102" i="1"/>
  <c r="IB102" i="1"/>
  <c r="IK102" i="1"/>
  <c r="IN102" i="1"/>
  <c r="IE102" i="1"/>
  <c r="IH102" i="1"/>
  <c r="HW103" i="1"/>
  <c r="HX103" i="1" s="1"/>
  <c r="HU104" i="1"/>
  <c r="AH112" i="6"/>
  <c r="AE113" i="6"/>
  <c r="AI112" i="6"/>
  <c r="AG111" i="6"/>
  <c r="AF111" i="6"/>
  <c r="AR149" i="6"/>
  <c r="AV150" i="6"/>
  <c r="AT150" i="6"/>
  <c r="AS151" i="6"/>
  <c r="HU105" i="1" l="1"/>
  <c r="HW104" i="1"/>
  <c r="HX104" i="1" s="1"/>
  <c r="IC103" i="1"/>
  <c r="IR103" i="1"/>
  <c r="IQ103" i="1"/>
  <c r="IF103" i="1"/>
  <c r="IB103" i="1"/>
  <c r="II103" i="1"/>
  <c r="IK103" i="1"/>
  <c r="IE103" i="1"/>
  <c r="IL103" i="1"/>
  <c r="IO103" i="1"/>
  <c r="IH103" i="1"/>
  <c r="IN103" i="1"/>
  <c r="AH113" i="6"/>
  <c r="AE114" i="6"/>
  <c r="AI113" i="6"/>
  <c r="AF112" i="6"/>
  <c r="AG112" i="6"/>
  <c r="AV151" i="6"/>
  <c r="AT151" i="6"/>
  <c r="AR150" i="6"/>
  <c r="IH104" i="1" l="1"/>
  <c r="IF104" i="1"/>
  <c r="IO104" i="1"/>
  <c r="IC104" i="1"/>
  <c r="IR104" i="1"/>
  <c r="IB104" i="1"/>
  <c r="IE104" i="1"/>
  <c r="II104" i="1"/>
  <c r="IQ104" i="1"/>
  <c r="IN104" i="1"/>
  <c r="IL104" i="1"/>
  <c r="IK104" i="1"/>
  <c r="HU106" i="1"/>
  <c r="HW105" i="1"/>
  <c r="HX105" i="1" s="1"/>
  <c r="AR151" i="6"/>
  <c r="AI114" i="6"/>
  <c r="AH114" i="6"/>
  <c r="AE115" i="6"/>
  <c r="AF113" i="6"/>
  <c r="AG113" i="6"/>
  <c r="IO105" i="1" l="1"/>
  <c r="IC105" i="1"/>
  <c r="IQ105" i="1"/>
  <c r="IR105" i="1"/>
  <c r="IH105" i="1"/>
  <c r="IL105" i="1"/>
  <c r="IB105" i="1"/>
  <c r="IF105" i="1"/>
  <c r="II105" i="1"/>
  <c r="IN105" i="1"/>
  <c r="IK105" i="1"/>
  <c r="IE105" i="1"/>
  <c r="HU107" i="1"/>
  <c r="HW106" i="1"/>
  <c r="HX106" i="1" s="1"/>
  <c r="AE116" i="6"/>
  <c r="AH115" i="6"/>
  <c r="AI115" i="6"/>
  <c r="AG114" i="6"/>
  <c r="AF114" i="6"/>
  <c r="IO106" i="1" l="1"/>
  <c r="IQ106" i="1"/>
  <c r="IR106" i="1"/>
  <c r="IK106" i="1"/>
  <c r="IL106" i="1"/>
  <c r="IC106" i="1"/>
  <c r="IF106" i="1"/>
  <c r="IB106" i="1"/>
  <c r="IN106" i="1"/>
  <c r="IH106" i="1"/>
  <c r="II106" i="1"/>
  <c r="IE106" i="1"/>
  <c r="HW107" i="1"/>
  <c r="HX107" i="1" s="1"/>
  <c r="HU108" i="1"/>
  <c r="AF115" i="6"/>
  <c r="AG115" i="6"/>
  <c r="AE117" i="6"/>
  <c r="AH116" i="6"/>
  <c r="AI116" i="6"/>
  <c r="HU109" i="1" l="1"/>
  <c r="HW108" i="1"/>
  <c r="HX108" i="1" s="1"/>
  <c r="IR107" i="1"/>
  <c r="II107" i="1"/>
  <c r="IN107" i="1"/>
  <c r="IC107" i="1"/>
  <c r="IF107" i="1"/>
  <c r="IQ107" i="1"/>
  <c r="IE107" i="1"/>
  <c r="IH107" i="1"/>
  <c r="IK107" i="1"/>
  <c r="IB107" i="1"/>
  <c r="IL107" i="1"/>
  <c r="IO107" i="1"/>
  <c r="AF116" i="6"/>
  <c r="AG116" i="6"/>
  <c r="AI117" i="6"/>
  <c r="AE118" i="6"/>
  <c r="AH117" i="6"/>
  <c r="IO108" i="1" l="1"/>
  <c r="IB108" i="1"/>
  <c r="IR108" i="1"/>
  <c r="IL108" i="1"/>
  <c r="II108" i="1"/>
  <c r="IQ108" i="1"/>
  <c r="IF108" i="1"/>
  <c r="IK108" i="1"/>
  <c r="IE108" i="1"/>
  <c r="IH108" i="1"/>
  <c r="IC108" i="1"/>
  <c r="IN108" i="1"/>
  <c r="HU110" i="1"/>
  <c r="HW109" i="1"/>
  <c r="HX109" i="1" s="1"/>
  <c r="AE119" i="6"/>
  <c r="AH118" i="6"/>
  <c r="AI118" i="6"/>
  <c r="AF117" i="6"/>
  <c r="AG117" i="6"/>
  <c r="IK109" i="1" l="1"/>
  <c r="IL109" i="1"/>
  <c r="IQ109" i="1"/>
  <c r="IR109" i="1"/>
  <c r="IF109" i="1"/>
  <c r="IE109" i="1"/>
  <c r="IC109" i="1"/>
  <c r="IH109" i="1"/>
  <c r="IB109" i="1"/>
  <c r="II109" i="1"/>
  <c r="IN109" i="1"/>
  <c r="IO109" i="1"/>
  <c r="HW110" i="1"/>
  <c r="HX110" i="1" s="1"/>
  <c r="HU111" i="1"/>
  <c r="AF118" i="6"/>
  <c r="AG118" i="6"/>
  <c r="AH119" i="6"/>
  <c r="AI119" i="6"/>
  <c r="AE120" i="6"/>
  <c r="HW111" i="1" l="1"/>
  <c r="HX111" i="1" s="1"/>
  <c r="HU112" i="1"/>
  <c r="IF110" i="1"/>
  <c r="IK110" i="1"/>
  <c r="IL110" i="1"/>
  <c r="IH110" i="1"/>
  <c r="IB110" i="1"/>
  <c r="IN110" i="1"/>
  <c r="IO110" i="1"/>
  <c r="II110" i="1"/>
  <c r="IE110" i="1"/>
  <c r="IR110" i="1"/>
  <c r="IQ110" i="1"/>
  <c r="IC110" i="1"/>
  <c r="AG119" i="6"/>
  <c r="AF119" i="6"/>
  <c r="AH120" i="6"/>
  <c r="AE121" i="6"/>
  <c r="AI120" i="6"/>
  <c r="HU113" i="1" l="1"/>
  <c r="HW112" i="1"/>
  <c r="HX112" i="1" s="1"/>
  <c r="IR111" i="1"/>
  <c r="II111" i="1"/>
  <c r="IO111" i="1"/>
  <c r="IC111" i="1"/>
  <c r="IK111" i="1"/>
  <c r="IL111" i="1"/>
  <c r="IE111" i="1"/>
  <c r="IF111" i="1"/>
  <c r="IN111" i="1"/>
  <c r="IB111" i="1"/>
  <c r="IH111" i="1"/>
  <c r="IQ111" i="1"/>
  <c r="AE122" i="6"/>
  <c r="AI121" i="6"/>
  <c r="AH121" i="6"/>
  <c r="AF120" i="6"/>
  <c r="AG120" i="6"/>
  <c r="IO112" i="1" l="1"/>
  <c r="II112" i="1"/>
  <c r="IK112" i="1"/>
  <c r="IQ112" i="1"/>
  <c r="IN112" i="1"/>
  <c r="IR112" i="1"/>
  <c r="IE112" i="1"/>
  <c r="IC112" i="1"/>
  <c r="IF112" i="1"/>
  <c r="IL112" i="1"/>
  <c r="IH112" i="1"/>
  <c r="IB112" i="1"/>
  <c r="HU114" i="1"/>
  <c r="HW113" i="1"/>
  <c r="HX113" i="1" s="1"/>
  <c r="AF121" i="6"/>
  <c r="AG121" i="6"/>
  <c r="AE123" i="6"/>
  <c r="AI122" i="6"/>
  <c r="AH122" i="6"/>
  <c r="IK113" i="1" l="1"/>
  <c r="IE113" i="1"/>
  <c r="IH113" i="1"/>
  <c r="IO113" i="1"/>
  <c r="IR113" i="1"/>
  <c r="IL113" i="1"/>
  <c r="II113" i="1"/>
  <c r="IC113" i="1"/>
  <c r="IN113" i="1"/>
  <c r="IQ113" i="1"/>
  <c r="IF113" i="1"/>
  <c r="IB113" i="1"/>
  <c r="HU115" i="1"/>
  <c r="HW114" i="1"/>
  <c r="HX114" i="1" s="1"/>
  <c r="AI123" i="6"/>
  <c r="AH123" i="6"/>
  <c r="AE124" i="6"/>
  <c r="AG122" i="6"/>
  <c r="AF122" i="6"/>
  <c r="IO114" i="1" l="1"/>
  <c r="II114" i="1"/>
  <c r="IE114" i="1"/>
  <c r="IR114" i="1"/>
  <c r="IC114" i="1"/>
  <c r="IF114" i="1"/>
  <c r="IK114" i="1"/>
  <c r="IL114" i="1"/>
  <c r="IH114" i="1"/>
  <c r="IB114" i="1"/>
  <c r="IN114" i="1"/>
  <c r="IQ114" i="1"/>
  <c r="HU116" i="1"/>
  <c r="HW115" i="1"/>
  <c r="HX115" i="1" s="1"/>
  <c r="AH124" i="6"/>
  <c r="AI124" i="6"/>
  <c r="AE125" i="6"/>
  <c r="AG123" i="6"/>
  <c r="AF123" i="6"/>
  <c r="IE115" i="1" l="1"/>
  <c r="IF115" i="1"/>
  <c r="IN115" i="1"/>
  <c r="IR115" i="1"/>
  <c r="II115" i="1"/>
  <c r="IO115" i="1"/>
  <c r="IC115" i="1"/>
  <c r="IK115" i="1"/>
  <c r="IL115" i="1"/>
  <c r="IB115" i="1"/>
  <c r="IH115" i="1"/>
  <c r="IQ115" i="1"/>
  <c r="HU117" i="1"/>
  <c r="HW116" i="1"/>
  <c r="HX116" i="1" s="1"/>
  <c r="AI125" i="6"/>
  <c r="AE126" i="6"/>
  <c r="AH125" i="6"/>
  <c r="AG124" i="6"/>
  <c r="AF124" i="6"/>
  <c r="IO116" i="1" l="1"/>
  <c r="IB116" i="1"/>
  <c r="IC116" i="1"/>
  <c r="IL116" i="1"/>
  <c r="II116" i="1"/>
  <c r="IN116" i="1"/>
  <c r="IQ116" i="1"/>
  <c r="IF116" i="1"/>
  <c r="IE116" i="1"/>
  <c r="IH116" i="1"/>
  <c r="IK116" i="1"/>
  <c r="IR116" i="1"/>
  <c r="HU118" i="1"/>
  <c r="HW117" i="1"/>
  <c r="HX117" i="1" s="1"/>
  <c r="AF125" i="6"/>
  <c r="AG125" i="6"/>
  <c r="AE127" i="6"/>
  <c r="AI126" i="6"/>
  <c r="AH126" i="6"/>
  <c r="HU119" i="1" l="1"/>
  <c r="HW118" i="1"/>
  <c r="HX118" i="1" s="1"/>
  <c r="IR117" i="1"/>
  <c r="II117" i="1"/>
  <c r="IO117" i="1"/>
  <c r="IK117" i="1"/>
  <c r="IF117" i="1"/>
  <c r="IN117" i="1"/>
  <c r="IB117" i="1"/>
  <c r="IH117" i="1"/>
  <c r="IE117" i="1"/>
  <c r="IC117" i="1"/>
  <c r="IQ117" i="1"/>
  <c r="IL117" i="1"/>
  <c r="AE128" i="6"/>
  <c r="AI127" i="6"/>
  <c r="AH127" i="6"/>
  <c r="AF126" i="6"/>
  <c r="AG126" i="6"/>
  <c r="IF118" i="1" l="1"/>
  <c r="IE118" i="1"/>
  <c r="IB118" i="1"/>
  <c r="IH118" i="1"/>
  <c r="IR118" i="1"/>
  <c r="II118" i="1"/>
  <c r="IO118" i="1"/>
  <c r="IC118" i="1"/>
  <c r="IQ118" i="1"/>
  <c r="IL118" i="1"/>
  <c r="IK118" i="1"/>
  <c r="IN118" i="1"/>
  <c r="HU120" i="1"/>
  <c r="HW119" i="1"/>
  <c r="HX119" i="1" s="1"/>
  <c r="AG127" i="6"/>
  <c r="AF127" i="6"/>
  <c r="AI128" i="6"/>
  <c r="AE129" i="6"/>
  <c r="AH128" i="6"/>
  <c r="HU121" i="1" l="1"/>
  <c r="HW120" i="1"/>
  <c r="HX120" i="1" s="1"/>
  <c r="IR119" i="1"/>
  <c r="II119" i="1"/>
  <c r="IO119" i="1"/>
  <c r="IE119" i="1"/>
  <c r="IF119" i="1"/>
  <c r="IN119" i="1"/>
  <c r="IC119" i="1"/>
  <c r="IK119" i="1"/>
  <c r="IL119" i="1"/>
  <c r="IB119" i="1"/>
  <c r="IH119" i="1"/>
  <c r="IQ119" i="1"/>
  <c r="AE130" i="6"/>
  <c r="AH129" i="6"/>
  <c r="AI129" i="6"/>
  <c r="AF128" i="6"/>
  <c r="AG128" i="6"/>
  <c r="HU122" i="1" l="1"/>
  <c r="HW121" i="1"/>
  <c r="HX121" i="1" s="1"/>
  <c r="IR120" i="1"/>
  <c r="II120" i="1"/>
  <c r="IO120" i="1"/>
  <c r="IF120" i="1"/>
  <c r="IB120" i="1"/>
  <c r="IH120" i="1"/>
  <c r="IK120" i="1"/>
  <c r="IC120" i="1"/>
  <c r="IE120" i="1"/>
  <c r="IL120" i="1"/>
  <c r="IQ120" i="1"/>
  <c r="IN120" i="1"/>
  <c r="AG129" i="6"/>
  <c r="AF129" i="6"/>
  <c r="AE131" i="6"/>
  <c r="AH130" i="6"/>
  <c r="AI130" i="6"/>
  <c r="IF121" i="1" l="1"/>
  <c r="IN121" i="1"/>
  <c r="IR121" i="1"/>
  <c r="IO121" i="1"/>
  <c r="IK121" i="1"/>
  <c r="IQ121" i="1"/>
  <c r="IH121" i="1"/>
  <c r="IE121" i="1"/>
  <c r="IC121" i="1"/>
  <c r="IB121" i="1"/>
  <c r="IL121" i="1"/>
  <c r="II121" i="1"/>
  <c r="HU123" i="1"/>
  <c r="HW122" i="1"/>
  <c r="HX122" i="1" s="1"/>
  <c r="AF130" i="6"/>
  <c r="AG130" i="6"/>
  <c r="AH131" i="6"/>
  <c r="AI131" i="6"/>
  <c r="AE132" i="6"/>
  <c r="IR122" i="1" l="1"/>
  <c r="II122" i="1"/>
  <c r="IO122" i="1"/>
  <c r="IK122" i="1"/>
  <c r="IF122" i="1"/>
  <c r="IN122" i="1"/>
  <c r="IH122" i="1"/>
  <c r="IC122" i="1"/>
  <c r="IQ122" i="1"/>
  <c r="IL122" i="1"/>
  <c r="IB122" i="1"/>
  <c r="IE122" i="1"/>
  <c r="HU124" i="1"/>
  <c r="HW123" i="1"/>
  <c r="HX123" i="1" s="1"/>
  <c r="AF131" i="6"/>
  <c r="AG131" i="6"/>
  <c r="AI132" i="6"/>
  <c r="AE133" i="6"/>
  <c r="AH132" i="6"/>
  <c r="HW124" i="1" l="1"/>
  <c r="HX124" i="1" s="1"/>
  <c r="HU125" i="1"/>
  <c r="IR123" i="1"/>
  <c r="II123" i="1"/>
  <c r="IH123" i="1"/>
  <c r="IB123" i="1"/>
  <c r="IN123" i="1"/>
  <c r="IC123" i="1"/>
  <c r="IK123" i="1"/>
  <c r="IO123" i="1"/>
  <c r="IE123" i="1"/>
  <c r="IQ123" i="1"/>
  <c r="IL123" i="1"/>
  <c r="IF123" i="1"/>
  <c r="AE134" i="6"/>
  <c r="AH133" i="6"/>
  <c r="AI133" i="6"/>
  <c r="AG132" i="6"/>
  <c r="AF132" i="6"/>
  <c r="HU126" i="1" l="1"/>
  <c r="HW125" i="1"/>
  <c r="HX125" i="1" s="1"/>
  <c r="IO124" i="1"/>
  <c r="IL124" i="1"/>
  <c r="II124" i="1"/>
  <c r="IF124" i="1"/>
  <c r="IC124" i="1"/>
  <c r="IK124" i="1"/>
  <c r="IH124" i="1"/>
  <c r="IQ124" i="1"/>
  <c r="IB124" i="1"/>
  <c r="IR124" i="1"/>
  <c r="IN124" i="1"/>
  <c r="IE124" i="1"/>
  <c r="AF133" i="6"/>
  <c r="AG133" i="6"/>
  <c r="AI134" i="6"/>
  <c r="AE135" i="6"/>
  <c r="AH134" i="6"/>
  <c r="IF125" i="1" l="1"/>
  <c r="IQ125" i="1"/>
  <c r="IO125" i="1"/>
  <c r="IE125" i="1"/>
  <c r="IB125" i="1"/>
  <c r="IN125" i="1"/>
  <c r="II125" i="1"/>
  <c r="IR125" i="1"/>
  <c r="IC125" i="1"/>
  <c r="IL125" i="1"/>
  <c r="IH125" i="1"/>
  <c r="IK125" i="1"/>
  <c r="HW126" i="1"/>
  <c r="HX126" i="1" s="1"/>
  <c r="HU127" i="1"/>
  <c r="AI135" i="6"/>
  <c r="AE136" i="6"/>
  <c r="AH135" i="6"/>
  <c r="AF134" i="6"/>
  <c r="AG134" i="6"/>
  <c r="HU128" i="1" l="1"/>
  <c r="HW127" i="1"/>
  <c r="HX127" i="1" s="1"/>
  <c r="IQ126" i="1"/>
  <c r="IL126" i="1"/>
  <c r="IB126" i="1"/>
  <c r="IK126" i="1"/>
  <c r="IN126" i="1"/>
  <c r="IF126" i="1"/>
  <c r="IO126" i="1"/>
  <c r="IH126" i="1"/>
  <c r="IR126" i="1"/>
  <c r="II126" i="1"/>
  <c r="IE126" i="1"/>
  <c r="IC126" i="1"/>
  <c r="AG135" i="6"/>
  <c r="AF135" i="6"/>
  <c r="AE137" i="6"/>
  <c r="AH136" i="6"/>
  <c r="AI136" i="6"/>
  <c r="HW128" i="1" l="1"/>
  <c r="HX128" i="1" s="1"/>
  <c r="HU129" i="1"/>
  <c r="IR127" i="1"/>
  <c r="II127" i="1"/>
  <c r="IE127" i="1"/>
  <c r="IO127" i="1"/>
  <c r="IH127" i="1"/>
  <c r="IB127" i="1"/>
  <c r="IL127" i="1"/>
  <c r="IQ127" i="1"/>
  <c r="IC127" i="1"/>
  <c r="IF127" i="1"/>
  <c r="IK127" i="1"/>
  <c r="IN127" i="1"/>
  <c r="AG136" i="6"/>
  <c r="AF136" i="6"/>
  <c r="AH137" i="6"/>
  <c r="AI137" i="6"/>
  <c r="AE138" i="6"/>
  <c r="HU130" i="1" l="1"/>
  <c r="HW129" i="1"/>
  <c r="HX129" i="1" s="1"/>
  <c r="IH128" i="1"/>
  <c r="IL128" i="1"/>
  <c r="IQ128" i="1"/>
  <c r="IE128" i="1"/>
  <c r="IR128" i="1"/>
  <c r="IO128" i="1"/>
  <c r="IN128" i="1"/>
  <c r="IF128" i="1"/>
  <c r="IK128" i="1"/>
  <c r="II128" i="1"/>
  <c r="IB128" i="1"/>
  <c r="IC128" i="1"/>
  <c r="AF137" i="6"/>
  <c r="AG137" i="6"/>
  <c r="AI138" i="6"/>
  <c r="AH138" i="6"/>
  <c r="AE139" i="6"/>
  <c r="HU131" i="1" l="1"/>
  <c r="HW130" i="1"/>
  <c r="HX130" i="1" s="1"/>
  <c r="IR129" i="1"/>
  <c r="IF129" i="1"/>
  <c r="IK129" i="1"/>
  <c r="IB129" i="1"/>
  <c r="II129" i="1"/>
  <c r="IL129" i="1"/>
  <c r="IH129" i="1"/>
  <c r="IE129" i="1"/>
  <c r="IO129" i="1"/>
  <c r="IN129" i="1"/>
  <c r="IC129" i="1"/>
  <c r="IQ129" i="1"/>
  <c r="AG138" i="6"/>
  <c r="AF138" i="6"/>
  <c r="AI139" i="6"/>
  <c r="AH139" i="6"/>
  <c r="AE140" i="6"/>
  <c r="IR130" i="1" l="1"/>
  <c r="II130" i="1"/>
  <c r="IL130" i="1"/>
  <c r="IO130" i="1"/>
  <c r="IE130" i="1"/>
  <c r="IF130" i="1"/>
  <c r="IB130" i="1"/>
  <c r="IK130" i="1"/>
  <c r="IN130" i="1"/>
  <c r="IQ130" i="1"/>
  <c r="IC130" i="1"/>
  <c r="IH130" i="1"/>
  <c r="HW131" i="1"/>
  <c r="HX131" i="1" s="1"/>
  <c r="HU132" i="1"/>
  <c r="AF139" i="6"/>
  <c r="AG139" i="6"/>
  <c r="AI140" i="6"/>
  <c r="AE141" i="6"/>
  <c r="AH140" i="6"/>
  <c r="HU133" i="1" l="1"/>
  <c r="HW132" i="1"/>
  <c r="HX132" i="1" s="1"/>
  <c r="IR131" i="1"/>
  <c r="IN131" i="1"/>
  <c r="IB131" i="1"/>
  <c r="IF131" i="1"/>
  <c r="IQ131" i="1"/>
  <c r="IK131" i="1"/>
  <c r="IH131" i="1"/>
  <c r="IC131" i="1"/>
  <c r="IO131" i="1"/>
  <c r="II131" i="1"/>
  <c r="IL131" i="1"/>
  <c r="IE131" i="1"/>
  <c r="AI141" i="6"/>
  <c r="AE142" i="6"/>
  <c r="AH141" i="6"/>
  <c r="AF140" i="6"/>
  <c r="AG140" i="6"/>
  <c r="IR132" i="1" l="1"/>
  <c r="II132" i="1"/>
  <c r="IN132" i="1"/>
  <c r="IC132" i="1"/>
  <c r="IE132" i="1"/>
  <c r="IH132" i="1"/>
  <c r="IL132" i="1"/>
  <c r="IB132" i="1"/>
  <c r="IO132" i="1"/>
  <c r="IF132" i="1"/>
  <c r="IQ132" i="1"/>
  <c r="IK132" i="1"/>
  <c r="HW133" i="1"/>
  <c r="HX133" i="1" s="1"/>
  <c r="HU134" i="1"/>
  <c r="AF141" i="6"/>
  <c r="AG141" i="6"/>
  <c r="AI142" i="6"/>
  <c r="AE143" i="6"/>
  <c r="AH142" i="6"/>
  <c r="HU135" i="1" l="1"/>
  <c r="HW134" i="1"/>
  <c r="HX134" i="1" s="1"/>
  <c r="IE133" i="1"/>
  <c r="IL133" i="1"/>
  <c r="IK133" i="1"/>
  <c r="II133" i="1"/>
  <c r="IH133" i="1"/>
  <c r="IN133" i="1"/>
  <c r="IR133" i="1"/>
  <c r="IQ133" i="1"/>
  <c r="IO133" i="1"/>
  <c r="IF133" i="1"/>
  <c r="IB133" i="1"/>
  <c r="IC133" i="1"/>
  <c r="AE144" i="6"/>
  <c r="AH143" i="6"/>
  <c r="AI143" i="6"/>
  <c r="AF142" i="6"/>
  <c r="AG142" i="6"/>
  <c r="IR134" i="1" l="1"/>
  <c r="II134" i="1"/>
  <c r="IO134" i="1"/>
  <c r="IF134" i="1"/>
  <c r="IB134" i="1"/>
  <c r="IK134" i="1"/>
  <c r="IN134" i="1"/>
  <c r="IE134" i="1"/>
  <c r="IQ134" i="1"/>
  <c r="IH134" i="1"/>
  <c r="IC134" i="1"/>
  <c r="IL134" i="1"/>
  <c r="HU136" i="1"/>
  <c r="HW135" i="1"/>
  <c r="HX135" i="1" s="1"/>
  <c r="AG143" i="6"/>
  <c r="AF143" i="6"/>
  <c r="AI144" i="6"/>
  <c r="AH144" i="6"/>
  <c r="AE145" i="6"/>
  <c r="HU137" i="1" l="1"/>
  <c r="HW136" i="1"/>
  <c r="HX136" i="1" s="1"/>
  <c r="IF135" i="1"/>
  <c r="IR135" i="1"/>
  <c r="IK135" i="1"/>
  <c r="IB135" i="1"/>
  <c r="IQ135" i="1"/>
  <c r="IL135" i="1"/>
  <c r="IO135" i="1"/>
  <c r="IC135" i="1"/>
  <c r="IN135" i="1"/>
  <c r="II135" i="1"/>
  <c r="IH135" i="1"/>
  <c r="IE135" i="1"/>
  <c r="AG144" i="6"/>
  <c r="AF144" i="6"/>
  <c r="AI145" i="6"/>
  <c r="AH145" i="6"/>
  <c r="AE146" i="6"/>
  <c r="IR136" i="1" l="1"/>
  <c r="II136" i="1"/>
  <c r="IO136" i="1"/>
  <c r="IC136" i="1"/>
  <c r="IE136" i="1"/>
  <c r="IH136" i="1"/>
  <c r="IK136" i="1"/>
  <c r="IB136" i="1"/>
  <c r="IQ136" i="1"/>
  <c r="IF136" i="1"/>
  <c r="IL136" i="1"/>
  <c r="IN136" i="1"/>
  <c r="HW137" i="1"/>
  <c r="HX137" i="1" s="1"/>
  <c r="HU138" i="1"/>
  <c r="AF145" i="6"/>
  <c r="AG145" i="6"/>
  <c r="AI146" i="6"/>
  <c r="AE147" i="6"/>
  <c r="AH146" i="6"/>
  <c r="IE137" i="1" l="1"/>
  <c r="IB137" i="1"/>
  <c r="IK137" i="1"/>
  <c r="IH137" i="1"/>
  <c r="IF137" i="1"/>
  <c r="IQ137" i="1"/>
  <c r="IC137" i="1"/>
  <c r="IL137" i="1"/>
  <c r="IO137" i="1"/>
  <c r="II137" i="1"/>
  <c r="IR137" i="1"/>
  <c r="IN137" i="1"/>
  <c r="HW138" i="1"/>
  <c r="HX138" i="1" s="1"/>
  <c r="HU139" i="1"/>
  <c r="AH147" i="6"/>
  <c r="AI147" i="6"/>
  <c r="AE148" i="6"/>
  <c r="AF146" i="6"/>
  <c r="AG146" i="6"/>
  <c r="HW139" i="1" l="1"/>
  <c r="HX139" i="1" s="1"/>
  <c r="HU140" i="1"/>
  <c r="II138" i="1"/>
  <c r="IF138" i="1"/>
  <c r="IR138" i="1"/>
  <c r="IQ138" i="1"/>
  <c r="IL138" i="1"/>
  <c r="IO138" i="1"/>
  <c r="IB138" i="1"/>
  <c r="IN138" i="1"/>
  <c r="IK138" i="1"/>
  <c r="IE138" i="1"/>
  <c r="IH138" i="1"/>
  <c r="IC138" i="1"/>
  <c r="AE149" i="6"/>
  <c r="AI148" i="6"/>
  <c r="AH148" i="6"/>
  <c r="AF147" i="6"/>
  <c r="AG147" i="6"/>
  <c r="IN139" i="1" l="1"/>
  <c r="II139" i="1"/>
  <c r="IO139" i="1"/>
  <c r="IC139" i="1"/>
  <c r="IE139" i="1"/>
  <c r="IQ139" i="1"/>
  <c r="IF139" i="1"/>
  <c r="IK139" i="1"/>
  <c r="IR139" i="1"/>
  <c r="IL139" i="1"/>
  <c r="IB139" i="1"/>
  <c r="IH139" i="1"/>
  <c r="HW140" i="1"/>
  <c r="HX140" i="1" s="1"/>
  <c r="HU141" i="1"/>
  <c r="AG148" i="6"/>
  <c r="AF148" i="6"/>
  <c r="AH149" i="6"/>
  <c r="AI149" i="6"/>
  <c r="AE150" i="6"/>
  <c r="IC140" i="1" l="1"/>
  <c r="IF140" i="1"/>
  <c r="IO140" i="1"/>
  <c r="II140" i="1"/>
  <c r="IQ140" i="1"/>
  <c r="IK140" i="1"/>
  <c r="IB140" i="1"/>
  <c r="IN140" i="1"/>
  <c r="IR140" i="1"/>
  <c r="IE140" i="1"/>
  <c r="IH140" i="1"/>
  <c r="IL140" i="1"/>
  <c r="HW141" i="1"/>
  <c r="HX141" i="1" s="1"/>
  <c r="HU142" i="1"/>
  <c r="AG149" i="6"/>
  <c r="AF149" i="6"/>
  <c r="AE151" i="6"/>
  <c r="AI150" i="6"/>
  <c r="AH150" i="6"/>
  <c r="HU143" i="1" l="1"/>
  <c r="HW142" i="1"/>
  <c r="HX142" i="1" s="1"/>
  <c r="IN141" i="1"/>
  <c r="IB141" i="1"/>
  <c r="IC141" i="1"/>
  <c r="II141" i="1"/>
  <c r="IL141" i="1"/>
  <c r="IQ141" i="1"/>
  <c r="IK141" i="1"/>
  <c r="IO141" i="1"/>
  <c r="IR141" i="1"/>
  <c r="IE141" i="1"/>
  <c r="IF141" i="1"/>
  <c r="IH141" i="1"/>
  <c r="AH151" i="6"/>
  <c r="AI151" i="6"/>
  <c r="AF150" i="6"/>
  <c r="AG150" i="6"/>
  <c r="HW143" i="1" l="1"/>
  <c r="HX143" i="1" s="1"/>
  <c r="HU144" i="1"/>
  <c r="IQ142" i="1"/>
  <c r="IH142" i="1"/>
  <c r="IN142" i="1"/>
  <c r="II142" i="1"/>
  <c r="IR142" i="1"/>
  <c r="IB142" i="1"/>
  <c r="IO142" i="1"/>
  <c r="IK142" i="1"/>
  <c r="IE142" i="1"/>
  <c r="IF142" i="1"/>
  <c r="IL142" i="1"/>
  <c r="IC142" i="1"/>
  <c r="HW144" i="1" l="1"/>
  <c r="HX144" i="1" s="1"/>
  <c r="HU145" i="1"/>
  <c r="IN143" i="1"/>
  <c r="IQ143" i="1"/>
  <c r="IH143" i="1"/>
  <c r="IL143" i="1"/>
  <c r="IC143" i="1"/>
  <c r="IF143" i="1"/>
  <c r="IK143" i="1"/>
  <c r="IB143" i="1"/>
  <c r="IO143" i="1"/>
  <c r="IE143" i="1"/>
  <c r="IR143" i="1"/>
  <c r="II143" i="1"/>
  <c r="HU146" i="1" l="1"/>
  <c r="HW145" i="1"/>
  <c r="HX145" i="1" s="1"/>
  <c r="IC144" i="1"/>
  <c r="IE144" i="1"/>
  <c r="IR144" i="1"/>
  <c r="IQ144" i="1"/>
  <c r="IH144" i="1"/>
  <c r="IN144" i="1"/>
  <c r="IB144" i="1"/>
  <c r="IK144" i="1"/>
  <c r="IF144" i="1"/>
  <c r="IL144" i="1"/>
  <c r="IO144" i="1"/>
  <c r="II144" i="1"/>
  <c r="IE145" i="1" l="1"/>
  <c r="II145" i="1"/>
  <c r="IF145" i="1"/>
  <c r="IN145" i="1"/>
  <c r="IC145" i="1"/>
  <c r="IK145" i="1"/>
  <c r="IO145" i="1"/>
  <c r="IR145" i="1"/>
  <c r="IL145" i="1"/>
  <c r="IQ145" i="1"/>
  <c r="IH145" i="1"/>
  <c r="IB145" i="1"/>
  <c r="HU147" i="1"/>
  <c r="HW146" i="1"/>
  <c r="HX146" i="1" s="1"/>
  <c r="IQ146" i="1" l="1"/>
  <c r="IH146" i="1"/>
  <c r="IN146" i="1"/>
  <c r="II146" i="1"/>
  <c r="IR146" i="1"/>
  <c r="IC146" i="1"/>
  <c r="IB146" i="1"/>
  <c r="IO146" i="1"/>
  <c r="IK146" i="1"/>
  <c r="IE146" i="1"/>
  <c r="IF146" i="1"/>
  <c r="IL146" i="1"/>
  <c r="HW147" i="1"/>
  <c r="HX147" i="1" s="1"/>
  <c r="HU148" i="1"/>
  <c r="HW148" i="1" l="1"/>
  <c r="HX148" i="1" s="1"/>
  <c r="HU149" i="1"/>
  <c r="IN147" i="1"/>
  <c r="IH147" i="1"/>
  <c r="IB147" i="1"/>
  <c r="IC147" i="1"/>
  <c r="IO147" i="1"/>
  <c r="II147" i="1"/>
  <c r="IQ147" i="1"/>
  <c r="IL147" i="1"/>
  <c r="IR147" i="1"/>
  <c r="IE147" i="1"/>
  <c r="IK147" i="1"/>
  <c r="IF147" i="1"/>
  <c r="HU150" i="1" l="1"/>
  <c r="HW149" i="1"/>
  <c r="HX149" i="1" s="1"/>
  <c r="IQ148" i="1"/>
  <c r="IO148" i="1"/>
  <c r="II148" i="1"/>
  <c r="IB148" i="1"/>
  <c r="IC148" i="1"/>
  <c r="IK148" i="1"/>
  <c r="IF148" i="1"/>
  <c r="IL148" i="1"/>
  <c r="IR148" i="1"/>
  <c r="IH148" i="1"/>
  <c r="IN148" i="1"/>
  <c r="IE148" i="1"/>
  <c r="IN149" i="1" l="1"/>
  <c r="IH149" i="1"/>
  <c r="II149" i="1"/>
  <c r="IQ149" i="1"/>
  <c r="IC149" i="1"/>
  <c r="IB149" i="1"/>
  <c r="IK149" i="1"/>
  <c r="IE149" i="1"/>
  <c r="IO149" i="1"/>
  <c r="IL149" i="1"/>
  <c r="IF149" i="1"/>
  <c r="IR149" i="1"/>
  <c r="HU151" i="1"/>
  <c r="HW150" i="1"/>
  <c r="HX150" i="1" s="1"/>
  <c r="IQ150" i="1" l="1"/>
  <c r="IK150" i="1"/>
  <c r="IH150" i="1"/>
  <c r="IB150" i="1"/>
  <c r="IR150" i="1"/>
  <c r="IO150" i="1"/>
  <c r="IC150" i="1"/>
  <c r="IL150" i="1"/>
  <c r="IF150" i="1"/>
  <c r="IN150" i="1"/>
  <c r="II150" i="1"/>
  <c r="IE150" i="1"/>
  <c r="HW151" i="1"/>
  <c r="HX151" i="1" s="1"/>
  <c r="HU152" i="1"/>
  <c r="HW152" i="1" l="1"/>
  <c r="HX152" i="1" s="1"/>
  <c r="HU153" i="1"/>
  <c r="IE151" i="1"/>
  <c r="IR151" i="1"/>
  <c r="II151" i="1"/>
  <c r="IC151" i="1"/>
  <c r="IN151" i="1"/>
  <c r="IQ151" i="1"/>
  <c r="IH151" i="1"/>
  <c r="IK151" i="1"/>
  <c r="IB151" i="1"/>
  <c r="IL151" i="1"/>
  <c r="IF151" i="1"/>
  <c r="IO151" i="1"/>
  <c r="HW153" i="1" l="1"/>
  <c r="HX153" i="1" s="1"/>
  <c r="HU154" i="1"/>
  <c r="IC152" i="1"/>
  <c r="IO152" i="1"/>
  <c r="IE152" i="1"/>
  <c r="IL152" i="1"/>
  <c r="IN152" i="1"/>
  <c r="IQ152" i="1"/>
  <c r="IK152" i="1"/>
  <c r="IH152" i="1"/>
  <c r="IB152" i="1"/>
  <c r="IR152" i="1"/>
  <c r="II152" i="1"/>
  <c r="IF152" i="1"/>
  <c r="HU155" i="1" l="1"/>
  <c r="HW154" i="1"/>
  <c r="HX154" i="1" s="1"/>
  <c r="IE153" i="1"/>
  <c r="IR153" i="1"/>
  <c r="IQ153" i="1"/>
  <c r="IN153" i="1"/>
  <c r="IF153" i="1"/>
  <c r="IO153" i="1"/>
  <c r="IK153" i="1"/>
  <c r="IH153" i="1"/>
  <c r="IC153" i="1"/>
  <c r="IL153" i="1"/>
  <c r="II153" i="1"/>
  <c r="IB153" i="1"/>
  <c r="IF154" i="1" l="1"/>
  <c r="IK154" i="1"/>
  <c r="IH154" i="1"/>
  <c r="IO154" i="1"/>
  <c r="IR154" i="1"/>
  <c r="IC154" i="1"/>
  <c r="II154" i="1"/>
  <c r="IL154" i="1"/>
  <c r="IN154" i="1"/>
  <c r="IQ154" i="1"/>
  <c r="IE154" i="1"/>
  <c r="IB154" i="1"/>
  <c r="HU156" i="1"/>
  <c r="HW155" i="1"/>
  <c r="HX155" i="1" s="1"/>
  <c r="IE155" i="1" l="1"/>
  <c r="IR155" i="1"/>
  <c r="II155" i="1"/>
  <c r="IL155" i="1"/>
  <c r="IC155" i="1"/>
  <c r="IF155" i="1"/>
  <c r="IN155" i="1"/>
  <c r="IQ155" i="1"/>
  <c r="IH155" i="1"/>
  <c r="IB155" i="1"/>
  <c r="IK155" i="1"/>
  <c r="IO155" i="1"/>
  <c r="HW156" i="1"/>
  <c r="HX156" i="1" s="1"/>
  <c r="HU157" i="1"/>
  <c r="HW157" i="1" l="1"/>
  <c r="HX157" i="1" s="1"/>
  <c r="HU158" i="1"/>
  <c r="IC156" i="1"/>
  <c r="IK156" i="1"/>
  <c r="IH156" i="1"/>
  <c r="IE156" i="1"/>
  <c r="IR156" i="1"/>
  <c r="IQ156" i="1"/>
  <c r="IL156" i="1"/>
  <c r="IO156" i="1"/>
  <c r="IB156" i="1"/>
  <c r="IN156" i="1"/>
  <c r="IF156" i="1"/>
  <c r="II156" i="1"/>
  <c r="HU159" i="1" l="1"/>
  <c r="HW158" i="1"/>
  <c r="HX158" i="1" s="1"/>
  <c r="IE157" i="1"/>
  <c r="IR157" i="1"/>
  <c r="IF157" i="1"/>
  <c r="IN157" i="1"/>
  <c r="IB157" i="1"/>
  <c r="IC157" i="1"/>
  <c r="IK157" i="1"/>
  <c r="IO157" i="1"/>
  <c r="II157" i="1"/>
  <c r="IL157" i="1"/>
  <c r="IQ157" i="1"/>
  <c r="IH157" i="1"/>
  <c r="IQ158" i="1" l="1"/>
  <c r="IR158" i="1"/>
  <c r="IO158" i="1"/>
  <c r="IB158" i="1"/>
  <c r="IE158" i="1"/>
  <c r="IF158" i="1"/>
  <c r="IK158" i="1"/>
  <c r="IH158" i="1"/>
  <c r="IN158" i="1"/>
  <c r="IC158" i="1"/>
  <c r="II158" i="1"/>
  <c r="IL158" i="1"/>
  <c r="HW159" i="1"/>
  <c r="HX159" i="1" s="1"/>
  <c r="HU160" i="1"/>
  <c r="HW160" i="1" l="1"/>
  <c r="HX160" i="1" s="1"/>
  <c r="HU161" i="1"/>
  <c r="IE159" i="1"/>
  <c r="IH159" i="1"/>
  <c r="IC159" i="1"/>
  <c r="IO159" i="1"/>
  <c r="IN159" i="1"/>
  <c r="IK159" i="1"/>
  <c r="IB159" i="1"/>
  <c r="IF159" i="1"/>
  <c r="IR159" i="1"/>
  <c r="II159" i="1"/>
  <c r="IL159" i="1"/>
  <c r="IQ159" i="1"/>
  <c r="HW161" i="1" l="1"/>
  <c r="HX161" i="1" s="1"/>
  <c r="HU162" i="1"/>
  <c r="IC160" i="1"/>
  <c r="IE160" i="1"/>
  <c r="IR160" i="1"/>
  <c r="IF160" i="1"/>
  <c r="IL160" i="1"/>
  <c r="IO160" i="1"/>
  <c r="IQ160" i="1"/>
  <c r="IH160" i="1"/>
  <c r="IN160" i="1"/>
  <c r="IB160" i="1"/>
  <c r="II160" i="1"/>
  <c r="IK160" i="1"/>
  <c r="HU163" i="1" l="1"/>
  <c r="HW162" i="1"/>
  <c r="HX162" i="1" s="1"/>
  <c r="IE161" i="1"/>
  <c r="IR161" i="1"/>
  <c r="IO161" i="1"/>
  <c r="IL161" i="1"/>
  <c r="IN161" i="1"/>
  <c r="IQ161" i="1"/>
  <c r="IH161" i="1"/>
  <c r="IK161" i="1"/>
  <c r="IB161" i="1"/>
  <c r="IC161" i="1"/>
  <c r="II161" i="1"/>
  <c r="IF161" i="1"/>
  <c r="II162" i="1" l="1"/>
  <c r="IE162" i="1"/>
  <c r="IR162" i="1"/>
  <c r="IB162" i="1"/>
  <c r="IO162" i="1"/>
  <c r="IK162" i="1"/>
  <c r="IF162" i="1"/>
  <c r="IL162" i="1"/>
  <c r="IC162" i="1"/>
  <c r="IQ162" i="1"/>
  <c r="IH162" i="1"/>
  <c r="IN162" i="1"/>
  <c r="HW163" i="1"/>
  <c r="HX163" i="1" s="1"/>
  <c r="HU164" i="1"/>
  <c r="HU165" i="1" l="1"/>
  <c r="HW164" i="1"/>
  <c r="HX164" i="1" s="1"/>
  <c r="IE163" i="1"/>
  <c r="IR163" i="1"/>
  <c r="II163" i="1"/>
  <c r="IL163" i="1"/>
  <c r="IC163" i="1"/>
  <c r="IF163" i="1"/>
  <c r="IN163" i="1"/>
  <c r="IQ163" i="1"/>
  <c r="IH163" i="1"/>
  <c r="IK163" i="1"/>
  <c r="IB163" i="1"/>
  <c r="IO163" i="1"/>
  <c r="IC164" i="1" l="1"/>
  <c r="IO164" i="1"/>
  <c r="IE164" i="1"/>
  <c r="IQ164" i="1"/>
  <c r="IK164" i="1"/>
  <c r="IH164" i="1"/>
  <c r="IB164" i="1"/>
  <c r="IR164" i="1"/>
  <c r="II164" i="1"/>
  <c r="IN164" i="1"/>
  <c r="IF164" i="1"/>
  <c r="IL164" i="1"/>
  <c r="HU166" i="1"/>
  <c r="HW165" i="1"/>
  <c r="HX165" i="1" s="1"/>
  <c r="IH165" i="1" l="1"/>
  <c r="IQ165" i="1"/>
  <c r="IO165" i="1"/>
  <c r="IK165" i="1"/>
  <c r="IC165" i="1"/>
  <c r="IN165" i="1"/>
  <c r="IB165" i="1"/>
  <c r="IE165" i="1"/>
  <c r="IR165" i="1"/>
  <c r="IL165" i="1"/>
  <c r="II165" i="1"/>
  <c r="IF165" i="1"/>
  <c r="HU167" i="1"/>
  <c r="HW166" i="1"/>
  <c r="HX166" i="1" s="1"/>
  <c r="IQ166" i="1" l="1"/>
  <c r="IR166" i="1"/>
  <c r="II166" i="1"/>
  <c r="IB166" i="1"/>
  <c r="IN166" i="1"/>
  <c r="IH166" i="1"/>
  <c r="IL166" i="1"/>
  <c r="IK166" i="1"/>
  <c r="IF166" i="1"/>
  <c r="IC166" i="1"/>
  <c r="IO166" i="1"/>
  <c r="IE166" i="1"/>
  <c r="HU168" i="1"/>
  <c r="HW167" i="1"/>
  <c r="HX167" i="1" s="1"/>
  <c r="IN167" i="1" l="1"/>
  <c r="IQ167" i="1"/>
  <c r="IB167" i="1"/>
  <c r="IE167" i="1"/>
  <c r="IR167" i="1"/>
  <c r="IO167" i="1"/>
  <c r="IL167" i="1"/>
  <c r="IC167" i="1"/>
  <c r="IF167" i="1"/>
  <c r="IK167" i="1"/>
  <c r="II167" i="1"/>
  <c r="IH167" i="1"/>
  <c r="HU169" i="1"/>
  <c r="HW168" i="1"/>
  <c r="HX168" i="1" s="1"/>
  <c r="IC168" i="1" l="1"/>
  <c r="IE168" i="1"/>
  <c r="IR168" i="1"/>
  <c r="IQ168" i="1"/>
  <c r="II168" i="1"/>
  <c r="IB168" i="1"/>
  <c r="IH168" i="1"/>
  <c r="IO168" i="1"/>
  <c r="IK168" i="1"/>
  <c r="IF168" i="1"/>
  <c r="IL168" i="1"/>
  <c r="IN168" i="1"/>
  <c r="HU170" i="1"/>
  <c r="HW169" i="1"/>
  <c r="HX169" i="1" s="1"/>
  <c r="IH169" i="1" l="1"/>
  <c r="IC169" i="1"/>
  <c r="IN169" i="1"/>
  <c r="IR169" i="1"/>
  <c r="IB169" i="1"/>
  <c r="IK169" i="1"/>
  <c r="IL169" i="1"/>
  <c r="IQ169" i="1"/>
  <c r="IO169" i="1"/>
  <c r="IE169" i="1"/>
  <c r="II169" i="1"/>
  <c r="IF169" i="1"/>
  <c r="HU171" i="1"/>
  <c r="HW170" i="1"/>
  <c r="HX170" i="1" s="1"/>
  <c r="IH170" i="1" l="1"/>
  <c r="IC170" i="1"/>
  <c r="IF170" i="1"/>
  <c r="IN170" i="1"/>
  <c r="IK170" i="1"/>
  <c r="II170" i="1"/>
  <c r="IQ170" i="1"/>
  <c r="IE170" i="1"/>
  <c r="IR170" i="1"/>
  <c r="IB170" i="1"/>
  <c r="IL170" i="1"/>
  <c r="IO170" i="1"/>
  <c r="HU172" i="1"/>
  <c r="HW171" i="1"/>
  <c r="HX171" i="1" s="1"/>
  <c r="IN171" i="1" l="1"/>
  <c r="IF171" i="1"/>
  <c r="IR171" i="1"/>
  <c r="IQ171" i="1"/>
  <c r="IB171" i="1"/>
  <c r="IC171" i="1"/>
  <c r="IE171" i="1"/>
  <c r="II171" i="1"/>
  <c r="IH171" i="1"/>
  <c r="IL171" i="1"/>
  <c r="IO171" i="1"/>
  <c r="IK171" i="1"/>
  <c r="HW172" i="1"/>
  <c r="HX172" i="1" s="1"/>
  <c r="HU173" i="1"/>
  <c r="HU174" i="1" l="1"/>
  <c r="HW173" i="1"/>
  <c r="HX173" i="1" s="1"/>
  <c r="IQ172" i="1"/>
  <c r="IE172" i="1"/>
  <c r="IN172" i="1"/>
  <c r="IH172" i="1"/>
  <c r="IB172" i="1"/>
  <c r="IF172" i="1"/>
  <c r="IO172" i="1"/>
  <c r="IR172" i="1"/>
  <c r="IC172" i="1"/>
  <c r="IK172" i="1"/>
  <c r="II172" i="1"/>
  <c r="IL172" i="1"/>
  <c r="IH173" i="1" l="1"/>
  <c r="IF173" i="1"/>
  <c r="IR173" i="1"/>
  <c r="II173" i="1"/>
  <c r="IE173" i="1"/>
  <c r="IC173" i="1"/>
  <c r="IN173" i="1"/>
  <c r="IQ173" i="1"/>
  <c r="IO173" i="1"/>
  <c r="IL173" i="1"/>
  <c r="IB173" i="1"/>
  <c r="IK173" i="1"/>
  <c r="HW174" i="1"/>
  <c r="HX174" i="1" s="1"/>
  <c r="HU175" i="1"/>
  <c r="HW175" i="1" l="1"/>
  <c r="HX175" i="1" s="1"/>
  <c r="HU176" i="1"/>
  <c r="IQ174" i="1"/>
  <c r="IK174" i="1"/>
  <c r="IN174" i="1"/>
  <c r="IB174" i="1"/>
  <c r="IR174" i="1"/>
  <c r="II174" i="1"/>
  <c r="IH174" i="1"/>
  <c r="IO174" i="1"/>
  <c r="IE174" i="1"/>
  <c r="IL174" i="1"/>
  <c r="IF174" i="1"/>
  <c r="IC174" i="1"/>
  <c r="HW176" i="1" l="1"/>
  <c r="HX176" i="1" s="1"/>
  <c r="HU177" i="1"/>
  <c r="IL175" i="1"/>
  <c r="IH175" i="1"/>
  <c r="IC175" i="1"/>
  <c r="IR175" i="1"/>
  <c r="IQ175" i="1"/>
  <c r="IN175" i="1"/>
  <c r="IB175" i="1"/>
  <c r="IK175" i="1"/>
  <c r="IO175" i="1"/>
  <c r="IE175" i="1"/>
  <c r="IF175" i="1"/>
  <c r="II175" i="1"/>
  <c r="HW177" i="1" l="1"/>
  <c r="HX177" i="1" s="1"/>
  <c r="HU178" i="1"/>
  <c r="IQ176" i="1"/>
  <c r="IO176" i="1"/>
  <c r="IK176" i="1"/>
  <c r="IH176" i="1"/>
  <c r="IE176" i="1"/>
  <c r="IR176" i="1"/>
  <c r="IC176" i="1"/>
  <c r="IL176" i="1"/>
  <c r="IN176" i="1"/>
  <c r="IB176" i="1"/>
  <c r="IF176" i="1"/>
  <c r="II176" i="1"/>
  <c r="HW178" i="1" l="1"/>
  <c r="HX178" i="1" s="1"/>
  <c r="HU179" i="1"/>
  <c r="IF177" i="1"/>
  <c r="IK177" i="1"/>
  <c r="IC177" i="1"/>
  <c r="IO177" i="1"/>
  <c r="IE177" i="1"/>
  <c r="IN177" i="1"/>
  <c r="II177" i="1"/>
  <c r="IL177" i="1"/>
  <c r="IH177" i="1"/>
  <c r="IQ177" i="1"/>
  <c r="IR177" i="1"/>
  <c r="IB177" i="1"/>
  <c r="HW179" i="1" l="1"/>
  <c r="HX179" i="1" s="1"/>
  <c r="HU180" i="1"/>
  <c r="IQ178" i="1"/>
  <c r="IE178" i="1"/>
  <c r="IO178" i="1"/>
  <c r="IL178" i="1"/>
  <c r="IK178" i="1"/>
  <c r="II178" i="1"/>
  <c r="IR178" i="1"/>
  <c r="IC178" i="1"/>
  <c r="IB178" i="1"/>
  <c r="IF178" i="1"/>
  <c r="IH178" i="1"/>
  <c r="IN178" i="1"/>
  <c r="HU181" i="1" l="1"/>
  <c r="HW180" i="1"/>
  <c r="HX180" i="1" s="1"/>
  <c r="IQ179" i="1"/>
  <c r="IR179" i="1"/>
  <c r="IK179" i="1"/>
  <c r="IC179" i="1"/>
  <c r="IB179" i="1"/>
  <c r="IO179" i="1"/>
  <c r="IN179" i="1"/>
  <c r="IL179" i="1"/>
  <c r="IE179" i="1"/>
  <c r="IF179" i="1"/>
  <c r="II179" i="1"/>
  <c r="IH179" i="1"/>
  <c r="IF180" i="1" l="1"/>
  <c r="IN180" i="1"/>
  <c r="IC180" i="1"/>
  <c r="II180" i="1"/>
  <c r="IK180" i="1"/>
  <c r="IH180" i="1"/>
  <c r="IQ180" i="1"/>
  <c r="IE180" i="1"/>
  <c r="IR180" i="1"/>
  <c r="IB180" i="1"/>
  <c r="IL180" i="1"/>
  <c r="IO180" i="1"/>
  <c r="HW181" i="1"/>
  <c r="HX181" i="1" s="1"/>
  <c r="HU182" i="1"/>
  <c r="HU183" i="1" l="1"/>
  <c r="HW182" i="1"/>
  <c r="HX182" i="1" s="1"/>
  <c r="IN181" i="1"/>
  <c r="IC181" i="1"/>
  <c r="IR181" i="1"/>
  <c r="IE181" i="1"/>
  <c r="IQ181" i="1"/>
  <c r="IH181" i="1"/>
  <c r="IO181" i="1"/>
  <c r="II181" i="1"/>
  <c r="IF181" i="1"/>
  <c r="IL181" i="1"/>
  <c r="IB181" i="1"/>
  <c r="IK181" i="1"/>
  <c r="II182" i="1" l="1"/>
  <c r="IL182" i="1"/>
  <c r="IC182" i="1"/>
  <c r="IF182" i="1"/>
  <c r="IN182" i="1"/>
  <c r="IH182" i="1"/>
  <c r="IQ182" i="1"/>
  <c r="IO182" i="1"/>
  <c r="IK182" i="1"/>
  <c r="IB182" i="1"/>
  <c r="IE182" i="1"/>
  <c r="IR182" i="1"/>
  <c r="HW183" i="1"/>
  <c r="HX183" i="1" s="1"/>
  <c r="HU184" i="1"/>
  <c r="HU185" i="1" l="1"/>
  <c r="HW184" i="1"/>
  <c r="HX184" i="1" s="1"/>
  <c r="IE183" i="1"/>
  <c r="IR183" i="1"/>
  <c r="IB183" i="1"/>
  <c r="IL183" i="1"/>
  <c r="IC183" i="1"/>
  <c r="IN183" i="1"/>
  <c r="IO183" i="1"/>
  <c r="IF183" i="1"/>
  <c r="IK183" i="1"/>
  <c r="IQ183" i="1"/>
  <c r="IH183" i="1"/>
  <c r="II183" i="1"/>
  <c r="IC184" i="1" l="1"/>
  <c r="IN184" i="1"/>
  <c r="IF184" i="1"/>
  <c r="II184" i="1"/>
  <c r="IK184" i="1"/>
  <c r="IH184" i="1"/>
  <c r="IE184" i="1"/>
  <c r="IR184" i="1"/>
  <c r="IQ184" i="1"/>
  <c r="IB184" i="1"/>
  <c r="IL184" i="1"/>
  <c r="IO184" i="1"/>
  <c r="HW185" i="1"/>
  <c r="HX185" i="1" s="1"/>
  <c r="HU186" i="1"/>
  <c r="HW186" i="1" l="1"/>
  <c r="HX186" i="1" s="1"/>
  <c r="HU187" i="1"/>
  <c r="IE185" i="1"/>
  <c r="IR185" i="1"/>
  <c r="IF185" i="1"/>
  <c r="IL185" i="1"/>
  <c r="IQ185" i="1"/>
  <c r="IH185" i="1"/>
  <c r="IN185" i="1"/>
  <c r="IC185" i="1"/>
  <c r="IK185" i="1"/>
  <c r="IO185" i="1"/>
  <c r="II185" i="1"/>
  <c r="IB185" i="1"/>
  <c r="HW187" i="1" l="1"/>
  <c r="HX187" i="1" s="1"/>
  <c r="HU188" i="1"/>
  <c r="IQ186" i="1"/>
  <c r="IH186" i="1"/>
  <c r="IN186" i="1"/>
  <c r="IR186" i="1"/>
  <c r="IF186" i="1"/>
  <c r="IL186" i="1"/>
  <c r="IC186" i="1"/>
  <c r="IB186" i="1"/>
  <c r="IO186" i="1"/>
  <c r="IK186" i="1"/>
  <c r="II186" i="1"/>
  <c r="IE186" i="1"/>
  <c r="HU189" i="1" l="1"/>
  <c r="HW188" i="1"/>
  <c r="HX188" i="1" s="1"/>
  <c r="IE187" i="1"/>
  <c r="IR187" i="1"/>
  <c r="II187" i="1"/>
  <c r="IB187" i="1"/>
  <c r="IL187" i="1"/>
  <c r="IC187" i="1"/>
  <c r="IF187" i="1"/>
  <c r="IN187" i="1"/>
  <c r="IQ187" i="1"/>
  <c r="IH187" i="1"/>
  <c r="IK187" i="1"/>
  <c r="IO187" i="1"/>
  <c r="IC188" i="1" l="1"/>
  <c r="IN188" i="1"/>
  <c r="IF188" i="1"/>
  <c r="IH188" i="1"/>
  <c r="IK188" i="1"/>
  <c r="II188" i="1"/>
  <c r="IQ188" i="1"/>
  <c r="IE188" i="1"/>
  <c r="IR188" i="1"/>
  <c r="IB188" i="1"/>
  <c r="IL188" i="1"/>
  <c r="IO188" i="1"/>
  <c r="HW189" i="1"/>
  <c r="HX189" i="1" s="1"/>
  <c r="HU190" i="1"/>
  <c r="HW190" i="1" l="1"/>
  <c r="HX190" i="1" s="1"/>
  <c r="HU191" i="1"/>
  <c r="IE189" i="1"/>
  <c r="II189" i="1"/>
  <c r="IF189" i="1"/>
  <c r="IN189" i="1"/>
  <c r="IB189" i="1"/>
  <c r="IC189" i="1"/>
  <c r="IK189" i="1"/>
  <c r="IO189" i="1"/>
  <c r="IR189" i="1"/>
  <c r="IL189" i="1"/>
  <c r="IQ189" i="1"/>
  <c r="IH189" i="1"/>
  <c r="HU192" i="1" l="1"/>
  <c r="HW191" i="1"/>
  <c r="HX191" i="1" s="1"/>
  <c r="IQ190" i="1"/>
  <c r="IO190" i="1"/>
  <c r="IK190" i="1"/>
  <c r="IE190" i="1"/>
  <c r="IC190" i="1"/>
  <c r="IB190" i="1"/>
  <c r="IR190" i="1"/>
  <c r="II190" i="1"/>
  <c r="IL190" i="1"/>
  <c r="IF190" i="1"/>
  <c r="IN190" i="1"/>
  <c r="IH190" i="1"/>
  <c r="IE191" i="1" l="1"/>
  <c r="IR191" i="1"/>
  <c r="IQ191" i="1"/>
  <c r="IC191" i="1"/>
  <c r="IN191" i="1"/>
  <c r="IF191" i="1"/>
  <c r="II191" i="1"/>
  <c r="IK191" i="1"/>
  <c r="IO191" i="1"/>
  <c r="IH191" i="1"/>
  <c r="IL191" i="1"/>
  <c r="IB191" i="1"/>
  <c r="HW192" i="1"/>
  <c r="HX192" i="1" s="1"/>
  <c r="HU193" i="1"/>
  <c r="HW193" i="1" l="1"/>
  <c r="HX193" i="1" s="1"/>
  <c r="HU194" i="1"/>
  <c r="IQ192" i="1"/>
  <c r="IR192" i="1"/>
  <c r="II192" i="1"/>
  <c r="IB192" i="1"/>
  <c r="IO192" i="1"/>
  <c r="IE192" i="1"/>
  <c r="IC192" i="1"/>
  <c r="IF192" i="1"/>
  <c r="IL192" i="1"/>
  <c r="IK192" i="1"/>
  <c r="IH192" i="1"/>
  <c r="IN192" i="1"/>
  <c r="HW194" i="1" l="1"/>
  <c r="HX194" i="1" s="1"/>
  <c r="HU195" i="1"/>
  <c r="IE193" i="1"/>
  <c r="IH193" i="1"/>
  <c r="IQ193" i="1"/>
  <c r="IL193" i="1"/>
  <c r="IK193" i="1"/>
  <c r="IB193" i="1"/>
  <c r="II193" i="1"/>
  <c r="IN193" i="1"/>
  <c r="IR193" i="1"/>
  <c r="IF193" i="1"/>
  <c r="IO193" i="1"/>
  <c r="IC193" i="1"/>
  <c r="HU196" i="1" l="1"/>
  <c r="HW195" i="1"/>
  <c r="HX195" i="1" s="1"/>
  <c r="II194" i="1"/>
  <c r="IE194" i="1"/>
  <c r="IR194" i="1"/>
  <c r="IQ194" i="1"/>
  <c r="IH194" i="1"/>
  <c r="IN194" i="1"/>
  <c r="IB194" i="1"/>
  <c r="IO194" i="1"/>
  <c r="IK194" i="1"/>
  <c r="IF194" i="1"/>
  <c r="IL194" i="1"/>
  <c r="IC194" i="1"/>
  <c r="IE195" i="1" l="1"/>
  <c r="IC195" i="1"/>
  <c r="IO195" i="1"/>
  <c r="IL195" i="1"/>
  <c r="IQ195" i="1"/>
  <c r="IR195" i="1"/>
  <c r="IH195" i="1"/>
  <c r="IK195" i="1"/>
  <c r="IN195" i="1"/>
  <c r="IB195" i="1"/>
  <c r="IF195" i="1"/>
  <c r="II195" i="1"/>
  <c r="HU197" i="1"/>
  <c r="HW196" i="1"/>
  <c r="HX196" i="1" s="1"/>
  <c r="IQ196" i="1" l="1"/>
  <c r="IN196" i="1"/>
  <c r="IF196" i="1"/>
  <c r="IK196" i="1"/>
  <c r="IC196" i="1"/>
  <c r="IR196" i="1"/>
  <c r="II196" i="1"/>
  <c r="IE196" i="1"/>
  <c r="IO196" i="1"/>
  <c r="IL196" i="1"/>
  <c r="IB196" i="1"/>
  <c r="IH196" i="1"/>
  <c r="HU198" i="1"/>
  <c r="HW197" i="1"/>
  <c r="HX197" i="1" s="1"/>
  <c r="IN197" i="1" l="1"/>
  <c r="IK197" i="1"/>
  <c r="IO197" i="1"/>
  <c r="IB197" i="1"/>
  <c r="IE197" i="1"/>
  <c r="IF197" i="1"/>
  <c r="II197" i="1"/>
  <c r="IL197" i="1"/>
  <c r="IH197" i="1"/>
  <c r="IQ197" i="1"/>
  <c r="IR197" i="1"/>
  <c r="IC197" i="1"/>
  <c r="HU199" i="1"/>
  <c r="HW198" i="1"/>
  <c r="HX198" i="1" s="1"/>
  <c r="II198" i="1" l="1"/>
  <c r="IR198" i="1"/>
  <c r="IO198" i="1"/>
  <c r="IC198" i="1"/>
  <c r="IL198" i="1"/>
  <c r="IE198" i="1"/>
  <c r="IN198" i="1"/>
  <c r="IQ198" i="1"/>
  <c r="IF198" i="1"/>
  <c r="IB198" i="1"/>
  <c r="IK198" i="1"/>
  <c r="IH198" i="1"/>
  <c r="HU200" i="1"/>
  <c r="HW199" i="1"/>
  <c r="HX199" i="1" s="1"/>
  <c r="IN199" i="1" l="1"/>
  <c r="IQ199" i="1"/>
  <c r="IH199" i="1"/>
  <c r="IK199" i="1"/>
  <c r="IB199" i="1"/>
  <c r="IO199" i="1"/>
  <c r="IE199" i="1"/>
  <c r="IR199" i="1"/>
  <c r="II199" i="1"/>
  <c r="IL199" i="1"/>
  <c r="IC199" i="1"/>
  <c r="IF199" i="1"/>
  <c r="HU201" i="1"/>
  <c r="HW200" i="1"/>
  <c r="HX200" i="1" s="1"/>
  <c r="IC200" i="1" l="1"/>
  <c r="IK200" i="1"/>
  <c r="IH200" i="1"/>
  <c r="IE200" i="1"/>
  <c r="IR200" i="1"/>
  <c r="II200" i="1"/>
  <c r="IQ200" i="1"/>
  <c r="IL200" i="1"/>
  <c r="IO200" i="1"/>
  <c r="IB200" i="1"/>
  <c r="IN200" i="1"/>
  <c r="IF200" i="1"/>
  <c r="HW201" i="1"/>
  <c r="HX201" i="1" s="1"/>
  <c r="HU202" i="1"/>
  <c r="HU203" i="1" l="1"/>
  <c r="HW202" i="1"/>
  <c r="HX202" i="1" s="1"/>
  <c r="IE201" i="1"/>
  <c r="IK201" i="1"/>
  <c r="IB201" i="1"/>
  <c r="IO201" i="1"/>
  <c r="IN201" i="1"/>
  <c r="II201" i="1"/>
  <c r="IF201" i="1"/>
  <c r="IH201" i="1"/>
  <c r="IQ201" i="1"/>
  <c r="IC201" i="1"/>
  <c r="IL201" i="1"/>
  <c r="IR201" i="1"/>
  <c r="II202" i="1" l="1"/>
  <c r="IR202" i="1"/>
  <c r="IO202" i="1"/>
  <c r="IQ202" i="1"/>
  <c r="IN202" i="1"/>
  <c r="IF202" i="1"/>
  <c r="IB202" i="1"/>
  <c r="IK202" i="1"/>
  <c r="IH202" i="1"/>
  <c r="IE202" i="1"/>
  <c r="IC202" i="1"/>
  <c r="IL202" i="1"/>
  <c r="HW203" i="1"/>
  <c r="HX203" i="1" s="1"/>
  <c r="HU204" i="1"/>
  <c r="HU205" i="1" l="1"/>
  <c r="HW204" i="1"/>
  <c r="HX204" i="1" s="1"/>
  <c r="IE203" i="1"/>
  <c r="IK203" i="1"/>
  <c r="IB203" i="1"/>
  <c r="IL203" i="1"/>
  <c r="IR203" i="1"/>
  <c r="II203" i="1"/>
  <c r="IN203" i="1"/>
  <c r="IC203" i="1"/>
  <c r="IF203" i="1"/>
  <c r="IO203" i="1"/>
  <c r="IQ203" i="1"/>
  <c r="IH203" i="1"/>
  <c r="IC204" i="1" l="1"/>
  <c r="IF204" i="1"/>
  <c r="IR204" i="1"/>
  <c r="IE204" i="1"/>
  <c r="IQ204" i="1"/>
  <c r="IL204" i="1"/>
  <c r="II204" i="1"/>
  <c r="IB204" i="1"/>
  <c r="IN204" i="1"/>
  <c r="IK204" i="1"/>
  <c r="IH204" i="1"/>
  <c r="IO204" i="1"/>
  <c r="HW205" i="1"/>
  <c r="HX205" i="1" s="1"/>
  <c r="HU206" i="1"/>
  <c r="HU207" i="1" l="1"/>
  <c r="HW206" i="1"/>
  <c r="HX206" i="1" s="1"/>
  <c r="IE205" i="1"/>
  <c r="IF205" i="1"/>
  <c r="II205" i="1"/>
  <c r="IQ205" i="1"/>
  <c r="IN205" i="1"/>
  <c r="IK205" i="1"/>
  <c r="IB205" i="1"/>
  <c r="IO205" i="1"/>
  <c r="IR205" i="1"/>
  <c r="IH205" i="1"/>
  <c r="IL205" i="1"/>
  <c r="IC205" i="1"/>
  <c r="II206" i="1" l="1"/>
  <c r="IC206" i="1"/>
  <c r="IE206" i="1"/>
  <c r="IQ206" i="1"/>
  <c r="IK206" i="1"/>
  <c r="IH206" i="1"/>
  <c r="IB206" i="1"/>
  <c r="IR206" i="1"/>
  <c r="IO206" i="1"/>
  <c r="IL206" i="1"/>
  <c r="IF206" i="1"/>
  <c r="IN206" i="1"/>
  <c r="HW207" i="1"/>
  <c r="HX207" i="1" s="1"/>
  <c r="HU208" i="1"/>
  <c r="HW208" i="1" l="1"/>
  <c r="HX208" i="1" s="1"/>
  <c r="HU209" i="1"/>
  <c r="IE207" i="1"/>
  <c r="IR207" i="1"/>
  <c r="IB207" i="1"/>
  <c r="IL207" i="1"/>
  <c r="IC207" i="1"/>
  <c r="IN207" i="1"/>
  <c r="IH207" i="1"/>
  <c r="IF207" i="1"/>
  <c r="IK207" i="1"/>
  <c r="IQ207" i="1"/>
  <c r="IO207" i="1"/>
  <c r="II207" i="1"/>
  <c r="HW209" i="1" l="1"/>
  <c r="HX209" i="1" s="1"/>
  <c r="HU210" i="1"/>
  <c r="IC208" i="1"/>
  <c r="IH208" i="1"/>
  <c r="IN208" i="1"/>
  <c r="IK208" i="1"/>
  <c r="II208" i="1"/>
  <c r="IO208" i="1"/>
  <c r="IQ208" i="1"/>
  <c r="IR208" i="1"/>
  <c r="IE208" i="1"/>
  <c r="IB208" i="1"/>
  <c r="IF208" i="1"/>
  <c r="IL208" i="1"/>
  <c r="HW210" i="1" l="1"/>
  <c r="HX210" i="1" s="1"/>
  <c r="HU211" i="1"/>
  <c r="IQ209" i="1"/>
  <c r="IK209" i="1"/>
  <c r="IH209" i="1"/>
  <c r="IB209" i="1"/>
  <c r="IR209" i="1"/>
  <c r="IC209" i="1"/>
  <c r="IF209" i="1"/>
  <c r="IO209" i="1"/>
  <c r="II209" i="1"/>
  <c r="IE209" i="1"/>
  <c r="IL209" i="1"/>
  <c r="IN209" i="1"/>
  <c r="HW211" i="1" l="1"/>
  <c r="HX211" i="1" s="1"/>
  <c r="HU212" i="1"/>
  <c r="IN210" i="1"/>
  <c r="IO210" i="1"/>
  <c r="IF210" i="1"/>
  <c r="IQ210" i="1"/>
  <c r="IK210" i="1"/>
  <c r="IH210" i="1"/>
  <c r="IE210" i="1"/>
  <c r="IB210" i="1"/>
  <c r="IR210" i="1"/>
  <c r="IL210" i="1"/>
  <c r="II210" i="1"/>
  <c r="IC210" i="1"/>
  <c r="HU213" i="1" l="1"/>
  <c r="HW212" i="1"/>
  <c r="HX212" i="1" s="1"/>
  <c r="IE211" i="1"/>
  <c r="IH211" i="1"/>
  <c r="IQ211" i="1"/>
  <c r="IL211" i="1"/>
  <c r="II211" i="1"/>
  <c r="IN211" i="1"/>
  <c r="IR211" i="1"/>
  <c r="IF211" i="1"/>
  <c r="IB211" i="1"/>
  <c r="IC211" i="1"/>
  <c r="IO211" i="1"/>
  <c r="IK211" i="1"/>
  <c r="IN212" i="1" l="1"/>
  <c r="IK212" i="1"/>
  <c r="IC212" i="1"/>
  <c r="IB212" i="1"/>
  <c r="II212" i="1"/>
  <c r="IE212" i="1"/>
  <c r="IF212" i="1"/>
  <c r="IO212" i="1"/>
  <c r="IL212" i="1"/>
  <c r="IH212" i="1"/>
  <c r="IQ212" i="1"/>
  <c r="IR212" i="1"/>
  <c r="HW213" i="1"/>
  <c r="HX213" i="1" s="1"/>
  <c r="HU214" i="1"/>
  <c r="HU215" i="1" l="1"/>
  <c r="HW214" i="1"/>
  <c r="HX214" i="1" s="1"/>
  <c r="IQ213" i="1"/>
  <c r="IK213" i="1"/>
  <c r="IC213" i="1"/>
  <c r="IB213" i="1"/>
  <c r="IR213" i="1"/>
  <c r="IO213" i="1"/>
  <c r="IF213" i="1"/>
  <c r="IN213" i="1"/>
  <c r="IL213" i="1"/>
  <c r="IH213" i="1"/>
  <c r="II213" i="1"/>
  <c r="IE213" i="1"/>
  <c r="IN214" i="1" l="1"/>
  <c r="IR214" i="1"/>
  <c r="IH214" i="1"/>
  <c r="IQ214" i="1"/>
  <c r="IO214" i="1"/>
  <c r="IE214" i="1"/>
  <c r="II214" i="1"/>
  <c r="IB214" i="1"/>
  <c r="IL214" i="1"/>
  <c r="IK214" i="1"/>
  <c r="IF214" i="1"/>
  <c r="IC214" i="1"/>
  <c r="HW215" i="1"/>
  <c r="HX215" i="1" s="1"/>
  <c r="HU216" i="1"/>
  <c r="HW216" i="1" l="1"/>
  <c r="HX216" i="1" s="1"/>
  <c r="HU217" i="1"/>
  <c r="IQ215" i="1"/>
  <c r="IK215" i="1"/>
  <c r="IO215" i="1"/>
  <c r="IB215" i="1"/>
  <c r="IR215" i="1"/>
  <c r="IE215" i="1"/>
  <c r="IL215" i="1"/>
  <c r="IH215" i="1"/>
  <c r="IC215" i="1"/>
  <c r="II215" i="1"/>
  <c r="IF215" i="1"/>
  <c r="IN215" i="1"/>
  <c r="HW217" i="1" l="1"/>
  <c r="HX217" i="1" s="1"/>
  <c r="HU218" i="1"/>
  <c r="IN216" i="1"/>
  <c r="IO216" i="1"/>
  <c r="IH216" i="1"/>
  <c r="II216" i="1"/>
  <c r="IE216" i="1"/>
  <c r="IK216" i="1"/>
  <c r="IC216" i="1"/>
  <c r="IL216" i="1"/>
  <c r="IR216" i="1"/>
  <c r="IF216" i="1"/>
  <c r="IB216" i="1"/>
  <c r="IQ216" i="1"/>
  <c r="HU219" i="1" l="1"/>
  <c r="HW218" i="1"/>
  <c r="HX218" i="1" s="1"/>
  <c r="IQ217" i="1"/>
  <c r="IL217" i="1"/>
  <c r="IH217" i="1"/>
  <c r="IO217" i="1"/>
  <c r="II217" i="1"/>
  <c r="IN217" i="1"/>
  <c r="IE217" i="1"/>
  <c r="IF217" i="1"/>
  <c r="IR217" i="1"/>
  <c r="IB217" i="1"/>
  <c r="IK217" i="1"/>
  <c r="IC217" i="1"/>
  <c r="IN218" i="1" l="1"/>
  <c r="IC218" i="1"/>
  <c r="IH218" i="1"/>
  <c r="IB218" i="1"/>
  <c r="IQ218" i="1"/>
  <c r="IE218" i="1"/>
  <c r="IK218" i="1"/>
  <c r="IL218" i="1"/>
  <c r="IR218" i="1"/>
  <c r="IF218" i="1"/>
  <c r="IO218" i="1"/>
  <c r="II218" i="1"/>
  <c r="HW219" i="1"/>
  <c r="HX219" i="1" s="1"/>
  <c r="HU220" i="1"/>
  <c r="HU221" i="1" l="1"/>
  <c r="HW220" i="1"/>
  <c r="HX220" i="1" s="1"/>
  <c r="IQ219" i="1"/>
  <c r="IH219" i="1"/>
  <c r="IN219" i="1"/>
  <c r="II219" i="1"/>
  <c r="IE219" i="1"/>
  <c r="IR219" i="1"/>
  <c r="IF219" i="1"/>
  <c r="IL219" i="1"/>
  <c r="IC219" i="1"/>
  <c r="IB219" i="1"/>
  <c r="IO219" i="1"/>
  <c r="IK219" i="1"/>
  <c r="IN220" i="1" l="1"/>
  <c r="IK220" i="1"/>
  <c r="IH220" i="1"/>
  <c r="IE220" i="1"/>
  <c r="IQ220" i="1"/>
  <c r="IB220" i="1"/>
  <c r="IL220" i="1"/>
  <c r="IC220" i="1"/>
  <c r="IF220" i="1"/>
  <c r="IR220" i="1"/>
  <c r="IO220" i="1"/>
  <c r="II220" i="1"/>
  <c r="HW221" i="1"/>
  <c r="HX221" i="1" s="1"/>
  <c r="HU222" i="1"/>
  <c r="HU223" i="1" l="1"/>
  <c r="HW222" i="1"/>
  <c r="HX222" i="1" s="1"/>
  <c r="IQ221" i="1"/>
  <c r="IR221" i="1"/>
  <c r="IC221" i="1"/>
  <c r="IB221" i="1"/>
  <c r="IO221" i="1"/>
  <c r="IF221" i="1"/>
  <c r="IL221" i="1"/>
  <c r="IK221" i="1"/>
  <c r="IH221" i="1"/>
  <c r="IN221" i="1"/>
  <c r="II221" i="1"/>
  <c r="IE221" i="1"/>
  <c r="IC222" i="1" l="1"/>
  <c r="IE222" i="1"/>
  <c r="IH222" i="1"/>
  <c r="IK222" i="1"/>
  <c r="IB222" i="1"/>
  <c r="IN222" i="1"/>
  <c r="IR222" i="1"/>
  <c r="II222" i="1"/>
  <c r="IF222" i="1"/>
  <c r="IQ222" i="1"/>
  <c r="IL222" i="1"/>
  <c r="IO222" i="1"/>
  <c r="HW223" i="1"/>
  <c r="HX223" i="1" s="1"/>
  <c r="HU224" i="1"/>
  <c r="HU225" i="1" l="1"/>
  <c r="HW224" i="1"/>
  <c r="HX224" i="1" s="1"/>
  <c r="IK223" i="1"/>
  <c r="IB223" i="1"/>
  <c r="IN223" i="1"/>
  <c r="IR223" i="1"/>
  <c r="IC223" i="1"/>
  <c r="IH223" i="1"/>
  <c r="IO223" i="1"/>
  <c r="IQ223" i="1"/>
  <c r="IL223" i="1"/>
  <c r="IE223" i="1"/>
  <c r="II223" i="1"/>
  <c r="IF223" i="1"/>
  <c r="II224" i="1" l="1"/>
  <c r="IK224" i="1"/>
  <c r="IB224" i="1"/>
  <c r="IE224" i="1"/>
  <c r="IR224" i="1"/>
  <c r="IC224" i="1"/>
  <c r="IF224" i="1"/>
  <c r="IL224" i="1"/>
  <c r="IO224" i="1"/>
  <c r="IH224" i="1"/>
  <c r="IN224" i="1"/>
  <c r="IQ224" i="1"/>
  <c r="HW225" i="1"/>
  <c r="HX225" i="1" s="1"/>
  <c r="HU226" i="1"/>
  <c r="HU227" i="1" l="1"/>
  <c r="HW226" i="1"/>
  <c r="HX226" i="1" s="1"/>
  <c r="IR225" i="1"/>
  <c r="IF225" i="1"/>
  <c r="IL225" i="1"/>
  <c r="II225" i="1"/>
  <c r="IH225" i="1"/>
  <c r="IN225" i="1"/>
  <c r="IB225" i="1"/>
  <c r="IQ225" i="1"/>
  <c r="IC225" i="1"/>
  <c r="IK225" i="1"/>
  <c r="IO225" i="1"/>
  <c r="IE225" i="1"/>
  <c r="HU228" i="1" l="1"/>
  <c r="HW227" i="1"/>
  <c r="HX227" i="1" s="1"/>
  <c r="II226" i="1"/>
  <c r="IO226" i="1"/>
  <c r="IK226" i="1"/>
  <c r="IQ226" i="1"/>
  <c r="IF226" i="1"/>
  <c r="IL226" i="1"/>
  <c r="IR226" i="1"/>
  <c r="IE226" i="1"/>
  <c r="IC226" i="1"/>
  <c r="IB226" i="1"/>
  <c r="IH226" i="1"/>
  <c r="IN226" i="1"/>
  <c r="HW228" i="1" l="1"/>
  <c r="HX228" i="1" s="1"/>
  <c r="HU229" i="1"/>
  <c r="IE227" i="1"/>
  <c r="IK227" i="1"/>
  <c r="IH227" i="1"/>
  <c r="IL227" i="1"/>
  <c r="IR227" i="1"/>
  <c r="IO227" i="1"/>
  <c r="IN227" i="1"/>
  <c r="IC227" i="1"/>
  <c r="IQ227" i="1"/>
  <c r="II227" i="1"/>
  <c r="IF227" i="1"/>
  <c r="IB227" i="1"/>
  <c r="IL228" i="1" l="1"/>
  <c r="IK228" i="1"/>
  <c r="IQ228" i="1"/>
  <c r="IF228" i="1"/>
  <c r="IC228" i="1"/>
  <c r="IE228" i="1"/>
  <c r="II228" i="1"/>
  <c r="IO228" i="1"/>
  <c r="IB228" i="1"/>
  <c r="IR228" i="1"/>
  <c r="IH228" i="1"/>
  <c r="IN228" i="1"/>
  <c r="HW229" i="1"/>
  <c r="HX229" i="1" s="1"/>
  <c r="HU230" i="1"/>
  <c r="IR229" i="1" l="1"/>
  <c r="IK229" i="1"/>
  <c r="IH229" i="1"/>
  <c r="IO229" i="1"/>
  <c r="IQ229" i="1"/>
  <c r="IF229" i="1"/>
  <c r="II229" i="1"/>
  <c r="IC229" i="1"/>
  <c r="IE229" i="1"/>
  <c r="IB229" i="1"/>
  <c r="IN229" i="1"/>
  <c r="IL229" i="1"/>
  <c r="HU231" i="1"/>
  <c r="HW230" i="1"/>
  <c r="HX230" i="1" s="1"/>
  <c r="HU232" i="1" l="1"/>
  <c r="HW231" i="1"/>
  <c r="HX231" i="1" s="1"/>
  <c r="IB230" i="1"/>
  <c r="IQ230" i="1"/>
  <c r="II230" i="1"/>
  <c r="IL230" i="1"/>
  <c r="IR230" i="1"/>
  <c r="IF230" i="1"/>
  <c r="IC230" i="1"/>
  <c r="IO230" i="1"/>
  <c r="IN230" i="1"/>
  <c r="IE230" i="1"/>
  <c r="IK230" i="1"/>
  <c r="IH230" i="1"/>
  <c r="HW232" i="1" l="1"/>
  <c r="HX232" i="1" s="1"/>
  <c r="HU233" i="1"/>
  <c r="II231" i="1"/>
  <c r="IE231" i="1"/>
  <c r="IC231" i="1"/>
  <c r="IB231" i="1"/>
  <c r="IK231" i="1"/>
  <c r="IL231" i="1"/>
  <c r="IF231" i="1"/>
  <c r="IN231" i="1"/>
  <c r="IO231" i="1"/>
  <c r="IQ231" i="1"/>
  <c r="IH231" i="1"/>
  <c r="IR231" i="1"/>
  <c r="IL232" i="1" l="1"/>
  <c r="II232" i="1"/>
  <c r="IQ232" i="1"/>
  <c r="IH232" i="1"/>
  <c r="IR232" i="1"/>
  <c r="IO232" i="1"/>
  <c r="IE232" i="1"/>
  <c r="IF232" i="1"/>
  <c r="IN232" i="1"/>
  <c r="IB232" i="1"/>
  <c r="IK232" i="1"/>
  <c r="IC232" i="1"/>
  <c r="HW233" i="1"/>
  <c r="HX233" i="1" s="1"/>
  <c r="HU234" i="1"/>
  <c r="IC233" i="1" l="1"/>
  <c r="IO233" i="1"/>
  <c r="IL233" i="1"/>
  <c r="IE233" i="1"/>
  <c r="IB233" i="1"/>
  <c r="IN233" i="1"/>
  <c r="IH233" i="1"/>
  <c r="IR233" i="1"/>
  <c r="IK233" i="1"/>
  <c r="II233" i="1"/>
  <c r="IQ233" i="1"/>
  <c r="IF233" i="1"/>
  <c r="HW234" i="1"/>
  <c r="HX234" i="1" s="1"/>
  <c r="HU235" i="1"/>
  <c r="IR234" i="1" l="1"/>
  <c r="IF234" i="1"/>
  <c r="IO234" i="1"/>
  <c r="IE234" i="1"/>
  <c r="IQ234" i="1"/>
  <c r="IN234" i="1"/>
  <c r="IL234" i="1"/>
  <c r="IB234" i="1"/>
  <c r="II234" i="1"/>
  <c r="IC234" i="1"/>
  <c r="IH234" i="1"/>
  <c r="IK234" i="1"/>
  <c r="HU236" i="1"/>
  <c r="HW235" i="1"/>
  <c r="HX235" i="1" s="1"/>
  <c r="HU237" i="1" l="1"/>
  <c r="HW236" i="1"/>
  <c r="HX236" i="1" s="1"/>
  <c r="IE235" i="1"/>
  <c r="IR235" i="1"/>
  <c r="IH235" i="1"/>
  <c r="IO235" i="1"/>
  <c r="IK235" i="1"/>
  <c r="IB235" i="1"/>
  <c r="IQ235" i="1"/>
  <c r="IL235" i="1"/>
  <c r="IC235" i="1"/>
  <c r="II235" i="1"/>
  <c r="IN235" i="1"/>
  <c r="IF235" i="1"/>
  <c r="IQ236" i="1" l="1"/>
  <c r="II236" i="1"/>
  <c r="IN236" i="1"/>
  <c r="IC236" i="1"/>
  <c r="IE236" i="1"/>
  <c r="IH236" i="1"/>
  <c r="IO236" i="1"/>
  <c r="IL236" i="1"/>
  <c r="IK236" i="1"/>
  <c r="IB236" i="1"/>
  <c r="IF236" i="1"/>
  <c r="IR236" i="1"/>
  <c r="HW237" i="1"/>
  <c r="HX237" i="1" s="1"/>
  <c r="HU238" i="1"/>
  <c r="HU239" i="1" l="1"/>
  <c r="HW238" i="1"/>
  <c r="HX238" i="1" s="1"/>
  <c r="IC237" i="1"/>
  <c r="IH237" i="1"/>
  <c r="IF237" i="1"/>
  <c r="IB237" i="1"/>
  <c r="IK237" i="1"/>
  <c r="IO237" i="1"/>
  <c r="IE237" i="1"/>
  <c r="IR237" i="1"/>
  <c r="IN237" i="1"/>
  <c r="IQ237" i="1"/>
  <c r="IL237" i="1"/>
  <c r="II237" i="1"/>
  <c r="IC238" i="1" l="1"/>
  <c r="IK238" i="1"/>
  <c r="IB238" i="1"/>
  <c r="IE238" i="1"/>
  <c r="IF238" i="1"/>
  <c r="IO238" i="1"/>
  <c r="IL238" i="1"/>
  <c r="IN238" i="1"/>
  <c r="IQ238" i="1"/>
  <c r="IH238" i="1"/>
  <c r="IR238" i="1"/>
  <c r="II238" i="1"/>
  <c r="HU240" i="1"/>
  <c r="HW239" i="1"/>
  <c r="HX239" i="1" s="1"/>
  <c r="IO239" i="1" l="1"/>
  <c r="IK239" i="1"/>
  <c r="IB239" i="1"/>
  <c r="IQ239" i="1"/>
  <c r="IL239" i="1"/>
  <c r="IC239" i="1"/>
  <c r="II239" i="1"/>
  <c r="IN239" i="1"/>
  <c r="IF239" i="1"/>
  <c r="IE239" i="1"/>
  <c r="IR239" i="1"/>
  <c r="IH239" i="1"/>
  <c r="HU241" i="1"/>
  <c r="HW240" i="1"/>
  <c r="HX240" i="1" s="1"/>
  <c r="IB240" i="1" l="1"/>
  <c r="IH240" i="1"/>
  <c r="IR240" i="1"/>
  <c r="IF240" i="1"/>
  <c r="IE240" i="1"/>
  <c r="II240" i="1"/>
  <c r="IO240" i="1"/>
  <c r="IK240" i="1"/>
  <c r="IC240" i="1"/>
  <c r="IN240" i="1"/>
  <c r="IL240" i="1"/>
  <c r="IQ240" i="1"/>
  <c r="HW241" i="1"/>
  <c r="HX241" i="1" s="1"/>
  <c r="HU242" i="1"/>
  <c r="HU243" i="1" l="1"/>
  <c r="HW242" i="1"/>
  <c r="HX242" i="1" s="1"/>
  <c r="IQ241" i="1"/>
  <c r="IK241" i="1"/>
  <c r="IN241" i="1"/>
  <c r="IC241" i="1"/>
  <c r="IE241" i="1"/>
  <c r="IB241" i="1"/>
  <c r="II241" i="1"/>
  <c r="IL241" i="1"/>
  <c r="IO241" i="1"/>
  <c r="IF241" i="1"/>
  <c r="IH241" i="1"/>
  <c r="IR241" i="1"/>
  <c r="IO242" i="1" l="1"/>
  <c r="II242" i="1"/>
  <c r="IQ242" i="1"/>
  <c r="IE242" i="1"/>
  <c r="IF242" i="1"/>
  <c r="IB242" i="1"/>
  <c r="IL242" i="1"/>
  <c r="IC242" i="1"/>
  <c r="IH242" i="1"/>
  <c r="IR242" i="1"/>
  <c r="IK242" i="1"/>
  <c r="IN242" i="1"/>
  <c r="HW243" i="1"/>
  <c r="HX243" i="1" s="1"/>
  <c r="HU244" i="1"/>
  <c r="HW244" i="1" l="1"/>
  <c r="HX244" i="1" s="1"/>
  <c r="HU245" i="1"/>
  <c r="IQ243" i="1"/>
  <c r="IN243" i="1"/>
  <c r="IR243" i="1"/>
  <c r="IO243" i="1"/>
  <c r="II243" i="1"/>
  <c r="IC243" i="1"/>
  <c r="IK243" i="1"/>
  <c r="IB243" i="1"/>
  <c r="IE243" i="1"/>
  <c r="IH243" i="1"/>
  <c r="IL243" i="1"/>
  <c r="IF243" i="1"/>
  <c r="HU246" i="1" l="1"/>
  <c r="HW245" i="1"/>
  <c r="HX245" i="1" s="1"/>
  <c r="IE244" i="1"/>
  <c r="IH244" i="1"/>
  <c r="II244" i="1"/>
  <c r="IC244" i="1"/>
  <c r="IQ244" i="1"/>
  <c r="IK244" i="1"/>
  <c r="IF244" i="1"/>
  <c r="IO244" i="1"/>
  <c r="IB244" i="1"/>
  <c r="IN244" i="1"/>
  <c r="IR244" i="1"/>
  <c r="IL244" i="1"/>
  <c r="IC245" i="1" l="1"/>
  <c r="IK245" i="1"/>
  <c r="IB245" i="1"/>
  <c r="IE245" i="1"/>
  <c r="IH245" i="1"/>
  <c r="IL245" i="1"/>
  <c r="IQ245" i="1"/>
  <c r="IN245" i="1"/>
  <c r="IR245" i="1"/>
  <c r="IO245" i="1"/>
  <c r="II245" i="1"/>
  <c r="IF245" i="1"/>
  <c r="HU247" i="1"/>
  <c r="HW246" i="1"/>
  <c r="HX246" i="1" s="1"/>
  <c r="II246" i="1" l="1"/>
  <c r="IQ246" i="1"/>
  <c r="IL246" i="1"/>
  <c r="IE246" i="1"/>
  <c r="IH246" i="1"/>
  <c r="IF246" i="1"/>
  <c r="IN246" i="1"/>
  <c r="IR246" i="1"/>
  <c r="IB246" i="1"/>
  <c r="IK246" i="1"/>
  <c r="IO246" i="1"/>
  <c r="IC246" i="1"/>
  <c r="HU248" i="1"/>
  <c r="HW247" i="1"/>
  <c r="HX247" i="1" s="1"/>
  <c r="IC247" i="1" l="1"/>
  <c r="IR247" i="1"/>
  <c r="IN247" i="1"/>
  <c r="IB247" i="1"/>
  <c r="IF247" i="1"/>
  <c r="II247" i="1"/>
  <c r="IQ247" i="1"/>
  <c r="IK247" i="1"/>
  <c r="IL247" i="1"/>
  <c r="IO247" i="1"/>
  <c r="IE247" i="1"/>
  <c r="IH247" i="1"/>
  <c r="HW248" i="1"/>
  <c r="HX248" i="1" s="1"/>
  <c r="HU249" i="1"/>
  <c r="HW249" i="1" l="1"/>
  <c r="HX249" i="1" s="1"/>
  <c r="HU250" i="1"/>
  <c r="IE248" i="1"/>
  <c r="IO248" i="1"/>
  <c r="IC248" i="1"/>
  <c r="II248" i="1"/>
  <c r="IH248" i="1"/>
  <c r="IB248" i="1"/>
  <c r="IQ248" i="1"/>
  <c r="IR248" i="1"/>
  <c r="IL248" i="1"/>
  <c r="IN248" i="1"/>
  <c r="IK248" i="1"/>
  <c r="IF248" i="1"/>
  <c r="HW250" i="1" l="1"/>
  <c r="HX250" i="1" s="1"/>
  <c r="HU251" i="1"/>
  <c r="IL249" i="1"/>
  <c r="IH249" i="1"/>
  <c r="IQ249" i="1"/>
  <c r="IB249" i="1"/>
  <c r="IO249" i="1"/>
  <c r="IR249" i="1"/>
  <c r="IC249" i="1"/>
  <c r="IF249" i="1"/>
  <c r="II249" i="1"/>
  <c r="IE249" i="1"/>
  <c r="IN249" i="1"/>
  <c r="IK249" i="1"/>
  <c r="HW251" i="1" l="1"/>
  <c r="HX251" i="1" s="1"/>
  <c r="HU252" i="1"/>
  <c r="IF250" i="1"/>
  <c r="II250" i="1"/>
  <c r="IK250" i="1"/>
  <c r="IH250" i="1"/>
  <c r="IR250" i="1"/>
  <c r="IO250" i="1"/>
  <c r="IL250" i="1"/>
  <c r="IC250" i="1"/>
  <c r="IB250" i="1"/>
  <c r="IN250" i="1"/>
  <c r="IQ250" i="1"/>
  <c r="IE250" i="1"/>
  <c r="HW252" i="1" l="1"/>
  <c r="HX252" i="1" s="1"/>
  <c r="HU253" i="1"/>
  <c r="IR251" i="1"/>
  <c r="IH251" i="1"/>
  <c r="IE251" i="1"/>
  <c r="IK251" i="1"/>
  <c r="IL251" i="1"/>
  <c r="II251" i="1"/>
  <c r="IF251" i="1"/>
  <c r="IN251" i="1"/>
  <c r="IQ251" i="1"/>
  <c r="IC251" i="1"/>
  <c r="IO251" i="1"/>
  <c r="IB251" i="1"/>
  <c r="HW253" i="1" l="1"/>
  <c r="HX253" i="1" s="1"/>
  <c r="HU254" i="1"/>
  <c r="IF252" i="1"/>
  <c r="IK252" i="1"/>
  <c r="IL252" i="1"/>
  <c r="IH252" i="1"/>
  <c r="IB252" i="1"/>
  <c r="IO252" i="1"/>
  <c r="II252" i="1"/>
  <c r="IR252" i="1"/>
  <c r="IE252" i="1"/>
  <c r="IQ252" i="1"/>
  <c r="IC252" i="1"/>
  <c r="IN252" i="1"/>
  <c r="HW254" i="1" l="1"/>
  <c r="HX254" i="1" s="1"/>
  <c r="HU255" i="1"/>
  <c r="IF253" i="1"/>
  <c r="IN253" i="1"/>
  <c r="IO253" i="1"/>
  <c r="IR253" i="1"/>
  <c r="II253" i="1"/>
  <c r="IL253" i="1"/>
  <c r="IC253" i="1"/>
  <c r="IK253" i="1"/>
  <c r="IE253" i="1"/>
  <c r="IH253" i="1"/>
  <c r="IQ253" i="1"/>
  <c r="IB253" i="1"/>
  <c r="HW255" i="1" l="1"/>
  <c r="HX255" i="1" s="1"/>
  <c r="HU256" i="1"/>
  <c r="IF254" i="1"/>
  <c r="IC254" i="1"/>
  <c r="IE254" i="1"/>
  <c r="IQ254" i="1"/>
  <c r="IO254" i="1"/>
  <c r="IB254" i="1"/>
  <c r="IN254" i="1"/>
  <c r="IR254" i="1"/>
  <c r="II254" i="1"/>
  <c r="IK254" i="1"/>
  <c r="IH254" i="1"/>
  <c r="IL254" i="1"/>
  <c r="HW256" i="1" l="1"/>
  <c r="HX256" i="1" s="1"/>
  <c r="HU257" i="1"/>
  <c r="IR255" i="1"/>
  <c r="IQ255" i="1"/>
  <c r="IL255" i="1"/>
  <c r="IC255" i="1"/>
  <c r="IK255" i="1"/>
  <c r="IH255" i="1"/>
  <c r="IE255" i="1"/>
  <c r="IB255" i="1"/>
  <c r="IO255" i="1"/>
  <c r="II255" i="1"/>
  <c r="IF255" i="1"/>
  <c r="IN255" i="1"/>
  <c r="HW257" i="1" l="1"/>
  <c r="HX257" i="1" s="1"/>
  <c r="HU258" i="1"/>
  <c r="IR256" i="1"/>
  <c r="IH256" i="1"/>
  <c r="IE256" i="1"/>
  <c r="IB256" i="1"/>
  <c r="IK256" i="1"/>
  <c r="IL256" i="1"/>
  <c r="II256" i="1"/>
  <c r="IF256" i="1"/>
  <c r="IN256" i="1"/>
  <c r="IQ256" i="1"/>
  <c r="IC256" i="1"/>
  <c r="IO256" i="1"/>
  <c r="HW258" i="1" l="1"/>
  <c r="HX258" i="1" s="1"/>
  <c r="HU259" i="1"/>
  <c r="IF257" i="1"/>
  <c r="IN257" i="1"/>
  <c r="IB257" i="1"/>
  <c r="IH257" i="1"/>
  <c r="IO257" i="1"/>
  <c r="IR257" i="1"/>
  <c r="IK257" i="1"/>
  <c r="IL257" i="1"/>
  <c r="IE257" i="1"/>
  <c r="IC257" i="1"/>
  <c r="IQ257" i="1"/>
  <c r="II257" i="1"/>
  <c r="HU260" i="1" l="1"/>
  <c r="HW259" i="1"/>
  <c r="HX259" i="1" s="1"/>
  <c r="IR258" i="1"/>
  <c r="IH258" i="1"/>
  <c r="IK258" i="1"/>
  <c r="IQ258" i="1"/>
  <c r="IL258" i="1"/>
  <c r="II258" i="1"/>
  <c r="IF258" i="1"/>
  <c r="IN258" i="1"/>
  <c r="IE258" i="1"/>
  <c r="IC258" i="1"/>
  <c r="IO258" i="1"/>
  <c r="IB258" i="1"/>
  <c r="IN259" i="1" l="1"/>
  <c r="IO259" i="1"/>
  <c r="IC259" i="1"/>
  <c r="IF259" i="1"/>
  <c r="II259" i="1"/>
  <c r="IE259" i="1"/>
  <c r="IH259" i="1"/>
  <c r="IQ259" i="1"/>
  <c r="IR259" i="1"/>
  <c r="IB259" i="1"/>
  <c r="IL259" i="1"/>
  <c r="IK259" i="1"/>
  <c r="HW260" i="1"/>
  <c r="HX260" i="1" s="1"/>
  <c r="HU261" i="1"/>
  <c r="HW261" i="1" l="1"/>
  <c r="HX261" i="1" s="1"/>
  <c r="HU262" i="1"/>
  <c r="IR260" i="1"/>
  <c r="IN260" i="1"/>
  <c r="IQ260" i="1"/>
  <c r="IK260" i="1"/>
  <c r="IB260" i="1"/>
  <c r="IH260" i="1"/>
  <c r="IL260" i="1"/>
  <c r="II260" i="1"/>
  <c r="IO260" i="1"/>
  <c r="IC260" i="1"/>
  <c r="IE260" i="1"/>
  <c r="IF260" i="1"/>
  <c r="HW262" i="1" l="1"/>
  <c r="HX262" i="1" s="1"/>
  <c r="HU263" i="1"/>
  <c r="IF261" i="1"/>
  <c r="IC261" i="1"/>
  <c r="IN261" i="1"/>
  <c r="IO261" i="1"/>
  <c r="II261" i="1"/>
  <c r="IE261" i="1"/>
  <c r="IR261" i="1"/>
  <c r="IL261" i="1"/>
  <c r="IK261" i="1"/>
  <c r="IH261" i="1"/>
  <c r="IB261" i="1"/>
  <c r="IQ261" i="1"/>
  <c r="HU264" i="1" l="1"/>
  <c r="HW263" i="1"/>
  <c r="HX263" i="1" s="1"/>
  <c r="IR262" i="1"/>
  <c r="IF262" i="1"/>
  <c r="IC262" i="1"/>
  <c r="IH262" i="1"/>
  <c r="IK262" i="1"/>
  <c r="IQ262" i="1"/>
  <c r="IO262" i="1"/>
  <c r="IB262" i="1"/>
  <c r="IE262" i="1"/>
  <c r="IL262" i="1"/>
  <c r="II262" i="1"/>
  <c r="IN262" i="1"/>
  <c r="IO263" i="1" l="1"/>
  <c r="IB263" i="1"/>
  <c r="IN263" i="1"/>
  <c r="IF263" i="1"/>
  <c r="IR263" i="1"/>
  <c r="IQ263" i="1"/>
  <c r="IH263" i="1"/>
  <c r="IC263" i="1"/>
  <c r="IL263" i="1"/>
  <c r="IE263" i="1"/>
  <c r="II263" i="1"/>
  <c r="IK263" i="1"/>
  <c r="HW264" i="1"/>
  <c r="HX264" i="1" s="1"/>
  <c r="HU265" i="1"/>
  <c r="HU266" i="1" l="1"/>
  <c r="HW265" i="1"/>
  <c r="HX265" i="1" s="1"/>
  <c r="IR264" i="1"/>
  <c r="IL264" i="1"/>
  <c r="II264" i="1"/>
  <c r="IC264" i="1"/>
  <c r="IK264" i="1"/>
  <c r="IE264" i="1"/>
  <c r="IF264" i="1"/>
  <c r="IH264" i="1"/>
  <c r="IB264" i="1"/>
  <c r="IO264" i="1"/>
  <c r="IN264" i="1"/>
  <c r="IQ264" i="1"/>
  <c r="IO265" i="1" l="1"/>
  <c r="II265" i="1"/>
  <c r="IR265" i="1"/>
  <c r="IL265" i="1"/>
  <c r="IK265" i="1"/>
  <c r="IE265" i="1"/>
  <c r="IF265" i="1"/>
  <c r="IC265" i="1"/>
  <c r="IN265" i="1"/>
  <c r="IH265" i="1"/>
  <c r="IB265" i="1"/>
  <c r="IQ265" i="1"/>
  <c r="HW266" i="1"/>
  <c r="HX266" i="1" s="1"/>
  <c r="HU267" i="1"/>
  <c r="HW267" i="1" l="1"/>
  <c r="HX267" i="1" s="1"/>
  <c r="HU268" i="1"/>
  <c r="IR266" i="1"/>
  <c r="IQ266" i="1"/>
  <c r="II266" i="1"/>
  <c r="IN266" i="1"/>
  <c r="IF266" i="1"/>
  <c r="IE266" i="1"/>
  <c r="IK266" i="1"/>
  <c r="IH266" i="1"/>
  <c r="IO266" i="1"/>
  <c r="IC266" i="1"/>
  <c r="IB266" i="1"/>
  <c r="IL266" i="1"/>
  <c r="HW268" i="1" l="1"/>
  <c r="HX268" i="1" s="1"/>
  <c r="HU269" i="1"/>
  <c r="IF267" i="1"/>
  <c r="IL267" i="1"/>
  <c r="IC267" i="1"/>
  <c r="IN267" i="1"/>
  <c r="IE267" i="1"/>
  <c r="IH267" i="1"/>
  <c r="IB267" i="1"/>
  <c r="II267" i="1"/>
  <c r="IR267" i="1"/>
  <c r="IO267" i="1"/>
  <c r="IK267" i="1"/>
  <c r="IQ267" i="1"/>
  <c r="HU270" i="1" l="1"/>
  <c r="HW269" i="1"/>
  <c r="HX269" i="1" s="1"/>
  <c r="IR268" i="1"/>
  <c r="IH268" i="1"/>
  <c r="IB268" i="1"/>
  <c r="IL268" i="1"/>
  <c r="IC268" i="1"/>
  <c r="IK268" i="1"/>
  <c r="IN268" i="1"/>
  <c r="IQ268" i="1"/>
  <c r="IF268" i="1"/>
  <c r="IE268" i="1"/>
  <c r="IO268" i="1"/>
  <c r="II268" i="1"/>
  <c r="IO269" i="1" l="1"/>
  <c r="II269" i="1"/>
  <c r="IR269" i="1"/>
  <c r="IN269" i="1"/>
  <c r="IF269" i="1"/>
  <c r="IE269" i="1"/>
  <c r="IL269" i="1"/>
  <c r="IH269" i="1"/>
  <c r="IB269" i="1"/>
  <c r="IQ269" i="1"/>
  <c r="IK269" i="1"/>
  <c r="IC269" i="1"/>
  <c r="HW270" i="1"/>
  <c r="HX270" i="1" s="1"/>
  <c r="HU271" i="1"/>
  <c r="HU272" i="1" l="1"/>
  <c r="HW271" i="1"/>
  <c r="HX271" i="1" s="1"/>
  <c r="IR270" i="1"/>
  <c r="IH270" i="1"/>
  <c r="IE270" i="1"/>
  <c r="IO270" i="1"/>
  <c r="II270" i="1"/>
  <c r="IC270" i="1"/>
  <c r="IL270" i="1"/>
  <c r="IK270" i="1"/>
  <c r="IQ270" i="1"/>
  <c r="IB270" i="1"/>
  <c r="IN270" i="1"/>
  <c r="IF270" i="1"/>
  <c r="IO271" i="1" l="1"/>
  <c r="II271" i="1"/>
  <c r="IB271" i="1"/>
  <c r="IQ271" i="1"/>
  <c r="IC271" i="1"/>
  <c r="IN271" i="1"/>
  <c r="IH271" i="1"/>
  <c r="IK271" i="1"/>
  <c r="IE271" i="1"/>
  <c r="IR271" i="1"/>
  <c r="IL271" i="1"/>
  <c r="IF271" i="1"/>
  <c r="HU273" i="1"/>
  <c r="HW272" i="1"/>
  <c r="HX272" i="1" s="1"/>
  <c r="IR272" i="1" l="1"/>
  <c r="IL272" i="1"/>
  <c r="II272" i="1"/>
  <c r="IF272" i="1"/>
  <c r="IC272" i="1"/>
  <c r="IN272" i="1"/>
  <c r="IQ272" i="1"/>
  <c r="IH272" i="1"/>
  <c r="IB272" i="1"/>
  <c r="IO272" i="1"/>
  <c r="IK272" i="1"/>
  <c r="IE272" i="1"/>
  <c r="HU274" i="1"/>
  <c r="HW273" i="1"/>
  <c r="HX273" i="1" s="1"/>
  <c r="IO273" i="1" l="1"/>
  <c r="IN273" i="1"/>
  <c r="IL273" i="1"/>
  <c r="IF273" i="1"/>
  <c r="IB273" i="1"/>
  <c r="IQ273" i="1"/>
  <c r="IH273" i="1"/>
  <c r="II273" i="1"/>
  <c r="IR273" i="1"/>
  <c r="IK273" i="1"/>
  <c r="IC273" i="1"/>
  <c r="IE273" i="1"/>
  <c r="HU275" i="1"/>
  <c r="HW274" i="1"/>
  <c r="HX274" i="1" s="1"/>
  <c r="IQ274" i="1" l="1"/>
  <c r="IH274" i="1"/>
  <c r="IF274" i="1"/>
  <c r="IO274" i="1"/>
  <c r="II274" i="1"/>
  <c r="IN274" i="1"/>
  <c r="IB274" i="1"/>
  <c r="IL274" i="1"/>
  <c r="IR274" i="1"/>
  <c r="IC274" i="1"/>
  <c r="IE274" i="1"/>
  <c r="IK274" i="1"/>
  <c r="HW275" i="1"/>
  <c r="HX275" i="1" s="1"/>
  <c r="HU276" i="1"/>
  <c r="HW276" i="1" l="1"/>
  <c r="HX276" i="1" s="1"/>
  <c r="HU277" i="1"/>
  <c r="IF275" i="1"/>
  <c r="II275" i="1"/>
  <c r="IR275" i="1"/>
  <c r="IH275" i="1"/>
  <c r="IL275" i="1"/>
  <c r="IC275" i="1"/>
  <c r="IO275" i="1"/>
  <c r="IB275" i="1"/>
  <c r="IK275" i="1"/>
  <c r="IQ275" i="1"/>
  <c r="IN275" i="1"/>
  <c r="IE275" i="1"/>
  <c r="HW277" i="1" l="1"/>
  <c r="HX277" i="1" s="1"/>
  <c r="HU278" i="1"/>
  <c r="IR276" i="1"/>
  <c r="IC276" i="1"/>
  <c r="IQ276" i="1"/>
  <c r="IF276" i="1"/>
  <c r="II276" i="1"/>
  <c r="IK276" i="1"/>
  <c r="IL276" i="1"/>
  <c r="IH276" i="1"/>
  <c r="IB276" i="1"/>
  <c r="IN276" i="1"/>
  <c r="IO276" i="1"/>
  <c r="IE276" i="1"/>
  <c r="HW278" i="1" l="1"/>
  <c r="HX278" i="1" s="1"/>
  <c r="HU279" i="1"/>
  <c r="IF277" i="1"/>
  <c r="IC277" i="1"/>
  <c r="IN277" i="1"/>
  <c r="IH277" i="1"/>
  <c r="IE277" i="1"/>
  <c r="IQ277" i="1"/>
  <c r="IO277" i="1"/>
  <c r="IK277" i="1"/>
  <c r="IR277" i="1"/>
  <c r="II277" i="1"/>
  <c r="IB277" i="1"/>
  <c r="IL277" i="1"/>
  <c r="HW279" i="1" l="1"/>
  <c r="HX279" i="1" s="1"/>
  <c r="HU280" i="1"/>
  <c r="IC278" i="1"/>
  <c r="IQ278" i="1"/>
  <c r="IO278" i="1"/>
  <c r="IB278" i="1"/>
  <c r="IE278" i="1"/>
  <c r="IL278" i="1"/>
  <c r="II278" i="1"/>
  <c r="IR278" i="1"/>
  <c r="IF278" i="1"/>
  <c r="IN278" i="1"/>
  <c r="IH278" i="1"/>
  <c r="IK278" i="1"/>
  <c r="HU281" i="1" l="1"/>
  <c r="HW280" i="1"/>
  <c r="HX280" i="1" s="1"/>
  <c r="IF279" i="1"/>
  <c r="IN279" i="1"/>
  <c r="IK279" i="1"/>
  <c r="IH279" i="1"/>
  <c r="IE279" i="1"/>
  <c r="IO279" i="1"/>
  <c r="IR279" i="1"/>
  <c r="IB279" i="1"/>
  <c r="IL279" i="1"/>
  <c r="IC279" i="1"/>
  <c r="IQ279" i="1"/>
  <c r="II279" i="1"/>
  <c r="IQ280" i="1" l="1"/>
  <c r="IL280" i="1"/>
  <c r="IC280" i="1"/>
  <c r="IR280" i="1"/>
  <c r="IB280" i="1"/>
  <c r="IF280" i="1"/>
  <c r="IK280" i="1"/>
  <c r="IH280" i="1"/>
  <c r="IN280" i="1"/>
  <c r="II280" i="1"/>
  <c r="IO280" i="1"/>
  <c r="IE280" i="1"/>
  <c r="HU282" i="1"/>
  <c r="HW281" i="1"/>
  <c r="HX281" i="1" s="1"/>
  <c r="IB281" i="1" l="1"/>
  <c r="IQ281" i="1"/>
  <c r="IH281" i="1"/>
  <c r="IL281" i="1"/>
  <c r="IC281" i="1"/>
  <c r="IK281" i="1"/>
  <c r="IF281" i="1"/>
  <c r="IO281" i="1"/>
  <c r="IE281" i="1"/>
  <c r="II281" i="1"/>
  <c r="IN281" i="1"/>
  <c r="IR281" i="1"/>
  <c r="HW282" i="1"/>
  <c r="HX282" i="1" s="1"/>
  <c r="HU283" i="1"/>
  <c r="HU284" i="1" l="1"/>
  <c r="HW283" i="1"/>
  <c r="HX283" i="1" s="1"/>
  <c r="IC282" i="1"/>
  <c r="IH282" i="1"/>
  <c r="IR282" i="1"/>
  <c r="IQ282" i="1"/>
  <c r="IL282" i="1"/>
  <c r="IE282" i="1"/>
  <c r="IO282" i="1"/>
  <c r="IF282" i="1"/>
  <c r="IK282" i="1"/>
  <c r="II282" i="1"/>
  <c r="IB282" i="1"/>
  <c r="IN282" i="1"/>
  <c r="IH283" i="1" l="1"/>
  <c r="IO283" i="1"/>
  <c r="IF283" i="1"/>
  <c r="IN283" i="1"/>
  <c r="IQ283" i="1"/>
  <c r="II283" i="1"/>
  <c r="IK283" i="1"/>
  <c r="IB283" i="1"/>
  <c r="IE283" i="1"/>
  <c r="IL283" i="1"/>
  <c r="IR283" i="1"/>
  <c r="IC283" i="1"/>
  <c r="HW284" i="1"/>
  <c r="HX284" i="1" s="1"/>
  <c r="HU285" i="1"/>
  <c r="HU286" i="1" l="1"/>
  <c r="HW285" i="1"/>
  <c r="HX285" i="1" s="1"/>
  <c r="IR284" i="1"/>
  <c r="II284" i="1"/>
  <c r="IE284" i="1"/>
  <c r="IN284" i="1"/>
  <c r="IK284" i="1"/>
  <c r="IQ284" i="1"/>
  <c r="IL284" i="1"/>
  <c r="IB284" i="1"/>
  <c r="IF284" i="1"/>
  <c r="IO284" i="1"/>
  <c r="IH284" i="1"/>
  <c r="IC284" i="1"/>
  <c r="IE285" i="1" l="1"/>
  <c r="IF285" i="1"/>
  <c r="IO285" i="1"/>
  <c r="IQ285" i="1"/>
  <c r="II285" i="1"/>
  <c r="IN285" i="1"/>
  <c r="IC285" i="1"/>
  <c r="IB285" i="1"/>
  <c r="IR285" i="1"/>
  <c r="IK285" i="1"/>
  <c r="IL285" i="1"/>
  <c r="IH285" i="1"/>
  <c r="HW286" i="1"/>
  <c r="HX286" i="1" s="1"/>
  <c r="HU287" i="1"/>
  <c r="HU288" i="1" l="1"/>
  <c r="HW287" i="1"/>
  <c r="HX287" i="1" s="1"/>
  <c r="IR286" i="1"/>
  <c r="II286" i="1"/>
  <c r="IB286" i="1"/>
  <c r="IE286" i="1"/>
  <c r="IH286" i="1"/>
  <c r="IL286" i="1"/>
  <c r="IN286" i="1"/>
  <c r="IO286" i="1"/>
  <c r="IF286" i="1"/>
  <c r="IQ286" i="1"/>
  <c r="IK286" i="1"/>
  <c r="IC286" i="1"/>
  <c r="IQ287" i="1" l="1"/>
  <c r="IK287" i="1"/>
  <c r="IF287" i="1"/>
  <c r="IL287" i="1"/>
  <c r="IH287" i="1"/>
  <c r="II287" i="1"/>
  <c r="IO287" i="1"/>
  <c r="IC287" i="1"/>
  <c r="IE287" i="1"/>
  <c r="IR287" i="1"/>
  <c r="IN287" i="1"/>
  <c r="IB287" i="1"/>
  <c r="HU289" i="1"/>
  <c r="HW288" i="1"/>
  <c r="HX288" i="1" s="1"/>
  <c r="IQ288" i="1" l="1"/>
  <c r="IL288" i="1"/>
  <c r="IB288" i="1"/>
  <c r="IO288" i="1"/>
  <c r="IH288" i="1"/>
  <c r="IF288" i="1"/>
  <c r="IR288" i="1"/>
  <c r="II288" i="1"/>
  <c r="IE288" i="1"/>
  <c r="IK288" i="1"/>
  <c r="IN288" i="1"/>
  <c r="IC288" i="1"/>
  <c r="HU290" i="1"/>
  <c r="HW289" i="1"/>
  <c r="HX289" i="1" s="1"/>
  <c r="IL289" i="1" l="1"/>
  <c r="IK289" i="1"/>
  <c r="IN289" i="1"/>
  <c r="IE289" i="1"/>
  <c r="IH289" i="1"/>
  <c r="IF289" i="1"/>
  <c r="IQ289" i="1"/>
  <c r="IB289" i="1"/>
  <c r="II289" i="1"/>
  <c r="IC289" i="1"/>
  <c r="IO289" i="1"/>
  <c r="IR289" i="1"/>
  <c r="HU291" i="1"/>
  <c r="HW290" i="1"/>
  <c r="HX290" i="1" s="1"/>
  <c r="IB290" i="1" l="1"/>
  <c r="IL290" i="1"/>
  <c r="IQ290" i="1"/>
  <c r="IF290" i="1"/>
  <c r="IO290" i="1"/>
  <c r="IN290" i="1"/>
  <c r="IR290" i="1"/>
  <c r="II290" i="1"/>
  <c r="IK290" i="1"/>
  <c r="IE290" i="1"/>
  <c r="IH290" i="1"/>
  <c r="IC290" i="1"/>
  <c r="HU292" i="1"/>
  <c r="HW291" i="1"/>
  <c r="HX291" i="1" s="1"/>
  <c r="IF291" i="1" l="1"/>
  <c r="IH291" i="1"/>
  <c r="IL291" i="1"/>
  <c r="II291" i="1"/>
  <c r="IC291" i="1"/>
  <c r="IO291" i="1"/>
  <c r="IE291" i="1"/>
  <c r="IN291" i="1"/>
  <c r="IR291" i="1"/>
  <c r="IQ291" i="1"/>
  <c r="IK291" i="1"/>
  <c r="IB291" i="1"/>
  <c r="HW292" i="1"/>
  <c r="HX292" i="1" s="1"/>
  <c r="HU293" i="1"/>
  <c r="HU294" i="1" l="1"/>
  <c r="HW293" i="1"/>
  <c r="HX293" i="1" s="1"/>
  <c r="IR292" i="1"/>
  <c r="IK292" i="1"/>
  <c r="IO292" i="1"/>
  <c r="IF292" i="1"/>
  <c r="IN292" i="1"/>
  <c r="IH292" i="1"/>
  <c r="IQ292" i="1"/>
  <c r="IE292" i="1"/>
  <c r="II292" i="1"/>
  <c r="IB292" i="1"/>
  <c r="IC292" i="1"/>
  <c r="IL292" i="1"/>
  <c r="IL293" i="1" l="1"/>
  <c r="IN293" i="1"/>
  <c r="IC293" i="1"/>
  <c r="IO293" i="1"/>
  <c r="IF293" i="1"/>
  <c r="IR293" i="1"/>
  <c r="IK293" i="1"/>
  <c r="II293" i="1"/>
  <c r="IH293" i="1"/>
  <c r="IE293" i="1"/>
  <c r="IB293" i="1"/>
  <c r="IQ293" i="1"/>
  <c r="HU295" i="1"/>
  <c r="HW294" i="1"/>
  <c r="HX294" i="1" s="1"/>
  <c r="IB294" i="1" l="1"/>
  <c r="IC294" i="1"/>
  <c r="IO294" i="1"/>
  <c r="IF294" i="1"/>
  <c r="IQ294" i="1"/>
  <c r="IK294" i="1"/>
  <c r="IN294" i="1"/>
  <c r="IR294" i="1"/>
  <c r="II294" i="1"/>
  <c r="IE294" i="1"/>
  <c r="IH294" i="1"/>
  <c r="IL294" i="1"/>
  <c r="HW295" i="1"/>
  <c r="HX295" i="1" s="1"/>
  <c r="HU296" i="1"/>
  <c r="HU297" i="1" l="1"/>
  <c r="HW296" i="1"/>
  <c r="HX296" i="1" s="1"/>
  <c r="IF295" i="1"/>
  <c r="IQ295" i="1"/>
  <c r="IK295" i="1"/>
  <c r="IH295" i="1"/>
  <c r="IO295" i="1"/>
  <c r="II295" i="1"/>
  <c r="IR295" i="1"/>
  <c r="IL295" i="1"/>
  <c r="IN295" i="1"/>
  <c r="IB295" i="1"/>
  <c r="IE295" i="1"/>
  <c r="IC295" i="1"/>
  <c r="IF296" i="1" l="1"/>
  <c r="IH296" i="1"/>
  <c r="IQ296" i="1"/>
  <c r="IN296" i="1"/>
  <c r="IL296" i="1"/>
  <c r="II296" i="1"/>
  <c r="IR296" i="1"/>
  <c r="IO296" i="1"/>
  <c r="IK296" i="1"/>
  <c r="IB296" i="1"/>
  <c r="IE296" i="1"/>
  <c r="IC296" i="1"/>
  <c r="HW297" i="1"/>
  <c r="HX297" i="1" s="1"/>
  <c r="HU298" i="1"/>
  <c r="HW298" i="1" l="1"/>
  <c r="HX298" i="1" s="1"/>
  <c r="HU299" i="1"/>
  <c r="IH297" i="1"/>
  <c r="IE297" i="1"/>
  <c r="IO297" i="1"/>
  <c r="IF297" i="1"/>
  <c r="IB297" i="1"/>
  <c r="IQ297" i="1"/>
  <c r="II297" i="1"/>
  <c r="IN297" i="1"/>
  <c r="IC297" i="1"/>
  <c r="IR297" i="1"/>
  <c r="IK297" i="1"/>
  <c r="IL297" i="1"/>
  <c r="HW299" i="1" l="1"/>
  <c r="HX299" i="1" s="1"/>
  <c r="HU300" i="1"/>
  <c r="IF298" i="1"/>
  <c r="IQ298" i="1"/>
  <c r="IK298" i="1"/>
  <c r="IR298" i="1"/>
  <c r="IH298" i="1"/>
  <c r="IE298" i="1"/>
  <c r="II298" i="1"/>
  <c r="IB298" i="1"/>
  <c r="IL298" i="1"/>
  <c r="IC298" i="1"/>
  <c r="IO298" i="1"/>
  <c r="IN298" i="1"/>
  <c r="HU301" i="1" l="1"/>
  <c r="HW300" i="1"/>
  <c r="HX300" i="1" s="1"/>
  <c r="IE299" i="1"/>
  <c r="IQ299" i="1"/>
  <c r="IL299" i="1"/>
  <c r="IR299" i="1"/>
  <c r="IC299" i="1"/>
  <c r="IO299" i="1"/>
  <c r="IF299" i="1"/>
  <c r="IB299" i="1"/>
  <c r="II299" i="1"/>
  <c r="IH299" i="1"/>
  <c r="IK299" i="1"/>
  <c r="IN299" i="1"/>
  <c r="IQ300" i="1" l="1"/>
  <c r="IN300" i="1"/>
  <c r="IC300" i="1"/>
  <c r="IL300" i="1"/>
  <c r="IF300" i="1"/>
  <c r="IH300" i="1"/>
  <c r="IB300" i="1"/>
  <c r="IO300" i="1"/>
  <c r="IK300" i="1"/>
  <c r="II300" i="1"/>
  <c r="IE300" i="1"/>
  <c r="IR300" i="1"/>
  <c r="HW301" i="1"/>
  <c r="HX301" i="1" s="1"/>
  <c r="HU302" i="1"/>
  <c r="HU303" i="1" l="1"/>
  <c r="HW302" i="1"/>
  <c r="HX302" i="1" s="1"/>
  <c r="IH301" i="1"/>
  <c r="IF301" i="1"/>
  <c r="IN301" i="1"/>
  <c r="IB301" i="1"/>
  <c r="IK301" i="1"/>
  <c r="IC301" i="1"/>
  <c r="IQ301" i="1"/>
  <c r="IL301" i="1"/>
  <c r="IR301" i="1"/>
  <c r="IE301" i="1"/>
  <c r="IO301" i="1"/>
  <c r="II301" i="1"/>
  <c r="IB302" i="1" l="1"/>
  <c r="IL302" i="1"/>
  <c r="II302" i="1"/>
  <c r="IC302" i="1"/>
  <c r="IO302" i="1"/>
  <c r="IH302" i="1"/>
  <c r="IE302" i="1"/>
  <c r="IF302" i="1"/>
  <c r="IR302" i="1"/>
  <c r="IQ302" i="1"/>
  <c r="IK302" i="1"/>
  <c r="IN302" i="1"/>
  <c r="HU304" i="1"/>
  <c r="HW303" i="1"/>
  <c r="HX303" i="1" s="1"/>
  <c r="IE303" i="1" l="1"/>
  <c r="IB303" i="1"/>
  <c r="IO303" i="1"/>
  <c r="IC303" i="1"/>
  <c r="IL303" i="1"/>
  <c r="IH303" i="1"/>
  <c r="II303" i="1"/>
  <c r="IK303" i="1"/>
  <c r="IF303" i="1"/>
  <c r="IQ303" i="1"/>
  <c r="IN303" i="1"/>
  <c r="IR303" i="1"/>
  <c r="HU305" i="1"/>
  <c r="HW304" i="1"/>
  <c r="HX304" i="1" s="1"/>
  <c r="IR304" i="1" l="1"/>
  <c r="IL304" i="1"/>
  <c r="II304" i="1"/>
  <c r="IE304" i="1"/>
  <c r="IF304" i="1"/>
  <c r="IB304" i="1"/>
  <c r="IO304" i="1"/>
  <c r="IK304" i="1"/>
  <c r="IH304" i="1"/>
  <c r="IC304" i="1"/>
  <c r="IQ304" i="1"/>
  <c r="IN304" i="1"/>
  <c r="HU306" i="1"/>
  <c r="HW305" i="1"/>
  <c r="HX305" i="1" s="1"/>
  <c r="IE305" i="1" l="1"/>
  <c r="IR305" i="1"/>
  <c r="IB305" i="1"/>
  <c r="IL305" i="1"/>
  <c r="II305" i="1"/>
  <c r="IC305" i="1"/>
  <c r="IN305" i="1"/>
  <c r="IF305" i="1"/>
  <c r="IK305" i="1"/>
  <c r="IQ305" i="1"/>
  <c r="IO305" i="1"/>
  <c r="IH305" i="1"/>
  <c r="HU307" i="1"/>
  <c r="HW306" i="1"/>
  <c r="HX306" i="1" s="1"/>
  <c r="IC306" i="1" l="1"/>
  <c r="IE306" i="1"/>
  <c r="IR306" i="1"/>
  <c r="IL306" i="1"/>
  <c r="IO306" i="1"/>
  <c r="IH306" i="1"/>
  <c r="IN306" i="1"/>
  <c r="IF306" i="1"/>
  <c r="IQ306" i="1"/>
  <c r="IB306" i="1"/>
  <c r="II306" i="1"/>
  <c r="IK306" i="1"/>
  <c r="HW307" i="1"/>
  <c r="HX307" i="1" s="1"/>
  <c r="HU308" i="1"/>
  <c r="HU309" i="1" l="1"/>
  <c r="HW308" i="1"/>
  <c r="HX308" i="1" s="1"/>
  <c r="IE307" i="1"/>
  <c r="IB307" i="1"/>
  <c r="IL307" i="1"/>
  <c r="IN307" i="1"/>
  <c r="IK307" i="1"/>
  <c r="IF307" i="1"/>
  <c r="IR307" i="1"/>
  <c r="IO307" i="1"/>
  <c r="IQ307" i="1"/>
  <c r="IC307" i="1"/>
  <c r="II307" i="1"/>
  <c r="IH307" i="1"/>
  <c r="IO308" i="1" l="1"/>
  <c r="IF308" i="1"/>
  <c r="IK308" i="1"/>
  <c r="IH308" i="1"/>
  <c r="IN308" i="1"/>
  <c r="IL308" i="1"/>
  <c r="IQ308" i="1"/>
  <c r="IR308" i="1"/>
  <c r="IC308" i="1"/>
  <c r="IB308" i="1"/>
  <c r="II308" i="1"/>
  <c r="IE308" i="1"/>
  <c r="HW309" i="1"/>
  <c r="HX309" i="1" s="1"/>
  <c r="HU310" i="1"/>
  <c r="HU311" i="1" l="1"/>
  <c r="HW310" i="1"/>
  <c r="HX310" i="1" s="1"/>
  <c r="IL309" i="1"/>
  <c r="IE309" i="1"/>
  <c r="IC309" i="1"/>
  <c r="IF309" i="1"/>
  <c r="IN309" i="1"/>
  <c r="IQ309" i="1"/>
  <c r="IO309" i="1"/>
  <c r="IR309" i="1"/>
  <c r="II309" i="1"/>
  <c r="IH309" i="1"/>
  <c r="IK309" i="1"/>
  <c r="IB309" i="1"/>
  <c r="IN310" i="1" l="1"/>
  <c r="IH310" i="1"/>
  <c r="IC310" i="1"/>
  <c r="IQ310" i="1"/>
  <c r="II310" i="1"/>
  <c r="IE310" i="1"/>
  <c r="IB310" i="1"/>
  <c r="IK310" i="1"/>
  <c r="IO310" i="1"/>
  <c r="IL310" i="1"/>
  <c r="IF310" i="1"/>
  <c r="IR310" i="1"/>
  <c r="HW311" i="1"/>
  <c r="HX311" i="1" s="1"/>
  <c r="HU312" i="1"/>
  <c r="HU313" i="1" l="1"/>
  <c r="HW312" i="1"/>
  <c r="HX312" i="1" s="1"/>
  <c r="IQ311" i="1"/>
  <c r="IL311" i="1"/>
  <c r="IO311" i="1"/>
  <c r="IE311" i="1"/>
  <c r="IR311" i="1"/>
  <c r="IC311" i="1"/>
  <c r="IB311" i="1"/>
  <c r="IN311" i="1"/>
  <c r="IF311" i="1"/>
  <c r="II311" i="1"/>
  <c r="IK311" i="1"/>
  <c r="IH311" i="1"/>
  <c r="IK312" i="1" l="1"/>
  <c r="IH312" i="1"/>
  <c r="IQ312" i="1"/>
  <c r="IE312" i="1"/>
  <c r="IB312" i="1"/>
  <c r="IL312" i="1"/>
  <c r="IN312" i="1"/>
  <c r="IF312" i="1"/>
  <c r="IR312" i="1"/>
  <c r="II312" i="1"/>
  <c r="IC312" i="1"/>
  <c r="IO312" i="1"/>
  <c r="HW313" i="1"/>
  <c r="HX313" i="1" s="1"/>
  <c r="HU314" i="1"/>
  <c r="IQ313" i="1" l="1"/>
  <c r="IK313" i="1"/>
  <c r="IO313" i="1"/>
  <c r="IB313" i="1"/>
  <c r="IR313" i="1"/>
  <c r="IE313" i="1"/>
  <c r="II313" i="1"/>
  <c r="IC313" i="1"/>
  <c r="IL313" i="1"/>
  <c r="IH313" i="1"/>
  <c r="IF313" i="1"/>
  <c r="IN313" i="1"/>
  <c r="HW314" i="1"/>
  <c r="HX314" i="1" s="1"/>
  <c r="HU315" i="1"/>
  <c r="HW315" i="1" l="1"/>
  <c r="HX315" i="1" s="1"/>
  <c r="HU316" i="1"/>
  <c r="IO314" i="1"/>
  <c r="IF314" i="1"/>
  <c r="IL314" i="1"/>
  <c r="IB314" i="1"/>
  <c r="IH314" i="1"/>
  <c r="IK314" i="1"/>
  <c r="IC314" i="1"/>
  <c r="IN314" i="1"/>
  <c r="II314" i="1"/>
  <c r="IR314" i="1"/>
  <c r="IE314" i="1"/>
  <c r="IQ314" i="1"/>
  <c r="HU317" i="1" l="1"/>
  <c r="HW316" i="1"/>
  <c r="HX316" i="1" s="1"/>
  <c r="II315" i="1"/>
  <c r="IK315" i="1"/>
  <c r="IL315" i="1"/>
  <c r="IF315" i="1"/>
  <c r="IR315" i="1"/>
  <c r="IN315" i="1"/>
  <c r="IQ315" i="1"/>
  <c r="IH315" i="1"/>
  <c r="IO315" i="1"/>
  <c r="IB315" i="1"/>
  <c r="IC315" i="1"/>
  <c r="IE315" i="1"/>
  <c r="IC316" i="1" l="1"/>
  <c r="IK316" i="1"/>
  <c r="IB316" i="1"/>
  <c r="IR316" i="1"/>
  <c r="IO316" i="1"/>
  <c r="IN316" i="1"/>
  <c r="IE316" i="1"/>
  <c r="IF316" i="1"/>
  <c r="IL316" i="1"/>
  <c r="II316" i="1"/>
  <c r="IH316" i="1"/>
  <c r="IQ316" i="1"/>
  <c r="HW317" i="1"/>
  <c r="HX317" i="1" s="1"/>
  <c r="HU318" i="1"/>
  <c r="HU319" i="1" l="1"/>
  <c r="HW318" i="1"/>
  <c r="HX318" i="1" s="1"/>
  <c r="II317" i="1"/>
  <c r="IR317" i="1"/>
  <c r="IO317" i="1"/>
  <c r="IL317" i="1"/>
  <c r="IK317" i="1"/>
  <c r="IE317" i="1"/>
  <c r="IC317" i="1"/>
  <c r="IB317" i="1"/>
  <c r="IQ317" i="1"/>
  <c r="IN317" i="1"/>
  <c r="IF317" i="1"/>
  <c r="IH317" i="1"/>
  <c r="IE318" i="1" l="1"/>
  <c r="IO318" i="1"/>
  <c r="IC318" i="1"/>
  <c r="IL318" i="1"/>
  <c r="IN318" i="1"/>
  <c r="IQ318" i="1"/>
  <c r="IF318" i="1"/>
  <c r="IB318" i="1"/>
  <c r="IH318" i="1"/>
  <c r="IR318" i="1"/>
  <c r="II318" i="1"/>
  <c r="IK318" i="1"/>
  <c r="HU320" i="1"/>
  <c r="HW319" i="1"/>
  <c r="HX319" i="1" s="1"/>
  <c r="II319" i="1" l="1"/>
  <c r="IK319" i="1"/>
  <c r="IH319" i="1"/>
  <c r="IR319" i="1"/>
  <c r="IC319" i="1"/>
  <c r="IB319" i="1"/>
  <c r="IF319" i="1"/>
  <c r="IE319" i="1"/>
  <c r="IQ319" i="1"/>
  <c r="IL319" i="1"/>
  <c r="IO319" i="1"/>
  <c r="IN319" i="1"/>
  <c r="HU321" i="1"/>
  <c r="HW320" i="1"/>
  <c r="HX320" i="1" s="1"/>
  <c r="IO320" i="1" l="1"/>
  <c r="IE320" i="1"/>
  <c r="IQ320" i="1"/>
  <c r="IF320" i="1"/>
  <c r="IL320" i="1"/>
  <c r="IB320" i="1"/>
  <c r="IC320" i="1"/>
  <c r="IN320" i="1"/>
  <c r="IH320" i="1"/>
  <c r="IK320" i="1"/>
  <c r="II320" i="1"/>
  <c r="IR320" i="1"/>
  <c r="HU322" i="1"/>
  <c r="HW321" i="1"/>
  <c r="HX321" i="1" s="1"/>
  <c r="II321" i="1" l="1"/>
  <c r="IK321" i="1"/>
  <c r="IH321" i="1"/>
  <c r="IE321" i="1"/>
  <c r="IR321" i="1"/>
  <c r="IQ321" i="1"/>
  <c r="IL321" i="1"/>
  <c r="IC321" i="1"/>
  <c r="IB321" i="1"/>
  <c r="IN321" i="1"/>
  <c r="IF321" i="1"/>
  <c r="IO321" i="1"/>
  <c r="HW322" i="1"/>
  <c r="HX322" i="1" s="1"/>
  <c r="HU323" i="1"/>
  <c r="HW323" i="1" l="1"/>
  <c r="HX323" i="1" s="1"/>
  <c r="HU324" i="1"/>
  <c r="IE322" i="1"/>
  <c r="IH322" i="1"/>
  <c r="IO322" i="1"/>
  <c r="IL322" i="1"/>
  <c r="IQ322" i="1"/>
  <c r="IN322" i="1"/>
  <c r="IK322" i="1"/>
  <c r="IB322" i="1"/>
  <c r="IF322" i="1"/>
  <c r="IR322" i="1"/>
  <c r="IC322" i="1"/>
  <c r="II322" i="1"/>
  <c r="HW324" i="1" l="1"/>
  <c r="HX324" i="1" s="1"/>
  <c r="HU325" i="1"/>
  <c r="II323" i="1"/>
  <c r="IN323" i="1"/>
  <c r="IH323" i="1"/>
  <c r="IF323" i="1"/>
  <c r="IK323" i="1"/>
  <c r="IQ323" i="1"/>
  <c r="IC323" i="1"/>
  <c r="IR323" i="1"/>
  <c r="IB323" i="1"/>
  <c r="IE323" i="1"/>
  <c r="IO323" i="1"/>
  <c r="IL323" i="1"/>
  <c r="HU326" i="1" l="1"/>
  <c r="HW325" i="1"/>
  <c r="HX325" i="1" s="1"/>
  <c r="IQ324" i="1"/>
  <c r="IE324" i="1"/>
  <c r="IR324" i="1"/>
  <c r="IC324" i="1"/>
  <c r="IB324" i="1"/>
  <c r="IL324" i="1"/>
  <c r="II324" i="1"/>
  <c r="IO324" i="1"/>
  <c r="IN324" i="1"/>
  <c r="IF324" i="1"/>
  <c r="IH324" i="1"/>
  <c r="IK324" i="1"/>
  <c r="HW326" i="1" l="1"/>
  <c r="HX326" i="1" s="1"/>
  <c r="HU327" i="1"/>
  <c r="IQ325" i="1"/>
  <c r="IH325" i="1"/>
  <c r="IC325" i="1"/>
  <c r="IO325" i="1"/>
  <c r="IF325" i="1"/>
  <c r="IB325" i="1"/>
  <c r="IE325" i="1"/>
  <c r="IR325" i="1"/>
  <c r="IN325" i="1"/>
  <c r="II325" i="1"/>
  <c r="IK325" i="1"/>
  <c r="IL325" i="1"/>
  <c r="HW327" i="1" l="1"/>
  <c r="HX327" i="1" s="1"/>
  <c r="HU328" i="1"/>
  <c r="IE326" i="1"/>
  <c r="IC326" i="1"/>
  <c r="IK326" i="1"/>
  <c r="IF326" i="1"/>
  <c r="IN326" i="1"/>
  <c r="IQ326" i="1"/>
  <c r="IR326" i="1"/>
  <c r="IB326" i="1"/>
  <c r="IL326" i="1"/>
  <c r="IO326" i="1"/>
  <c r="IH326" i="1"/>
  <c r="II326" i="1"/>
  <c r="HW328" i="1" l="1"/>
  <c r="HX328" i="1" s="1"/>
  <c r="HU329" i="1"/>
  <c r="IB327" i="1"/>
  <c r="IK327" i="1"/>
  <c r="IE327" i="1"/>
  <c r="IF327" i="1"/>
  <c r="IO327" i="1"/>
  <c r="IN327" i="1"/>
  <c r="IQ327" i="1"/>
  <c r="IH327" i="1"/>
  <c r="IC327" i="1"/>
  <c r="II327" i="1"/>
  <c r="IR327" i="1"/>
  <c r="IL327" i="1"/>
  <c r="HW329" i="1" l="1"/>
  <c r="HX329" i="1" s="1"/>
  <c r="HU330" i="1"/>
  <c r="IE328" i="1"/>
  <c r="IH328" i="1"/>
  <c r="II328" i="1"/>
  <c r="IN328" i="1"/>
  <c r="IK328" i="1"/>
  <c r="IB328" i="1"/>
  <c r="IF328" i="1"/>
  <c r="IR328" i="1"/>
  <c r="IO328" i="1"/>
  <c r="IL328" i="1"/>
  <c r="IC328" i="1"/>
  <c r="IQ328" i="1"/>
  <c r="HU331" i="1" l="1"/>
  <c r="HW330" i="1"/>
  <c r="HX330" i="1" s="1"/>
  <c r="IQ329" i="1"/>
  <c r="IL329" i="1"/>
  <c r="IC329" i="1"/>
  <c r="IB329" i="1"/>
  <c r="IN329" i="1"/>
  <c r="IF329" i="1"/>
  <c r="IE329" i="1"/>
  <c r="IR329" i="1"/>
  <c r="IO329" i="1"/>
  <c r="II329" i="1"/>
  <c r="IK329" i="1"/>
  <c r="IH329" i="1"/>
  <c r="IN330" i="1" l="1"/>
  <c r="IH330" i="1"/>
  <c r="IE330" i="1"/>
  <c r="IB330" i="1"/>
  <c r="IK330" i="1"/>
  <c r="IL330" i="1"/>
  <c r="IF330" i="1"/>
  <c r="IR330" i="1"/>
  <c r="IC330" i="1"/>
  <c r="IQ330" i="1"/>
  <c r="IO330" i="1"/>
  <c r="II330" i="1"/>
  <c r="HW331" i="1"/>
  <c r="HX331" i="1" s="1"/>
  <c r="HU332" i="1"/>
  <c r="HW332" i="1" l="1"/>
  <c r="HX332" i="1" s="1"/>
  <c r="HU333" i="1"/>
  <c r="IQ331" i="1"/>
  <c r="IH331" i="1"/>
  <c r="IO331" i="1"/>
  <c r="IB331" i="1"/>
  <c r="II331" i="1"/>
  <c r="IE331" i="1"/>
  <c r="IK331" i="1"/>
  <c r="IF331" i="1"/>
  <c r="IR331" i="1"/>
  <c r="IN331" i="1"/>
  <c r="IC331" i="1"/>
  <c r="IL331" i="1"/>
  <c r="HU334" i="1" l="1"/>
  <c r="HW333" i="1"/>
  <c r="HX333" i="1" s="1"/>
  <c r="IB332" i="1"/>
  <c r="IO332" i="1"/>
  <c r="IR332" i="1"/>
  <c r="IC332" i="1"/>
  <c r="IE332" i="1"/>
  <c r="II332" i="1"/>
  <c r="IN332" i="1"/>
  <c r="IF332" i="1"/>
  <c r="IL332" i="1"/>
  <c r="IQ332" i="1"/>
  <c r="IH332" i="1"/>
  <c r="IK332" i="1"/>
  <c r="II333" i="1" l="1"/>
  <c r="IR333" i="1"/>
  <c r="IL333" i="1"/>
  <c r="IN333" i="1"/>
  <c r="IH333" i="1"/>
  <c r="IF333" i="1"/>
  <c r="IC333" i="1"/>
  <c r="IQ333" i="1"/>
  <c r="IO333" i="1"/>
  <c r="IB333" i="1"/>
  <c r="IK333" i="1"/>
  <c r="IE333" i="1"/>
  <c r="HW334" i="1"/>
  <c r="HX334" i="1" s="1"/>
  <c r="HU335" i="1"/>
  <c r="HU336" i="1" l="1"/>
  <c r="HW335" i="1"/>
  <c r="HX335" i="1" s="1"/>
  <c r="IE334" i="1"/>
  <c r="IR334" i="1"/>
  <c r="IH334" i="1"/>
  <c r="IO334" i="1"/>
  <c r="IL334" i="1"/>
  <c r="II334" i="1"/>
  <c r="IN334" i="1"/>
  <c r="IQ334" i="1"/>
  <c r="IK334" i="1"/>
  <c r="IF334" i="1"/>
  <c r="IB334" i="1"/>
  <c r="IC334" i="1"/>
  <c r="IL335" i="1" l="1"/>
  <c r="IB335" i="1"/>
  <c r="IK335" i="1"/>
  <c r="II335" i="1"/>
  <c r="IN335" i="1"/>
  <c r="IC335" i="1"/>
  <c r="IQ335" i="1"/>
  <c r="IR335" i="1"/>
  <c r="IF335" i="1"/>
  <c r="IE335" i="1"/>
  <c r="IO335" i="1"/>
  <c r="IH335" i="1"/>
  <c r="HW336" i="1"/>
  <c r="HX336" i="1" s="1"/>
  <c r="HU337" i="1"/>
  <c r="HU338" i="1" l="1"/>
  <c r="HW337" i="1"/>
  <c r="HX337" i="1" s="1"/>
  <c r="IE336" i="1"/>
  <c r="IR336" i="1"/>
  <c r="IO336" i="1"/>
  <c r="IL336" i="1"/>
  <c r="II336" i="1"/>
  <c r="IF336" i="1"/>
  <c r="IQ336" i="1"/>
  <c r="IH336" i="1"/>
  <c r="IK336" i="1"/>
  <c r="IB336" i="1"/>
  <c r="IC336" i="1"/>
  <c r="IN336" i="1"/>
  <c r="II337" i="1" l="1"/>
  <c r="IE337" i="1"/>
  <c r="IR337" i="1"/>
  <c r="IF337" i="1"/>
  <c r="IL337" i="1"/>
  <c r="IQ337" i="1"/>
  <c r="IH337" i="1"/>
  <c r="IN337" i="1"/>
  <c r="IC337" i="1"/>
  <c r="IB337" i="1"/>
  <c r="IO337" i="1"/>
  <c r="IK337" i="1"/>
  <c r="HW338" i="1"/>
  <c r="HX338" i="1" s="1"/>
  <c r="HU339" i="1"/>
  <c r="HU340" i="1" l="1"/>
  <c r="HW339" i="1"/>
  <c r="HX339" i="1" s="1"/>
  <c r="IE338" i="1"/>
  <c r="IR338" i="1"/>
  <c r="IF338" i="1"/>
  <c r="IL338" i="1"/>
  <c r="IC338" i="1"/>
  <c r="IH338" i="1"/>
  <c r="IN338" i="1"/>
  <c r="II338" i="1"/>
  <c r="IK338" i="1"/>
  <c r="IO338" i="1"/>
  <c r="IB338" i="1"/>
  <c r="IQ338" i="1"/>
  <c r="IC339" i="1" l="1"/>
  <c r="IR339" i="1"/>
  <c r="IH339" i="1"/>
  <c r="IO339" i="1"/>
  <c r="IN339" i="1"/>
  <c r="IL339" i="1"/>
  <c r="IE339" i="1"/>
  <c r="IQ339" i="1"/>
  <c r="II339" i="1"/>
  <c r="IB339" i="1"/>
  <c r="IK339" i="1"/>
  <c r="IF339" i="1"/>
  <c r="HW340" i="1"/>
  <c r="HX340" i="1" s="1"/>
  <c r="HU341" i="1"/>
  <c r="HU342" i="1" l="1"/>
  <c r="HW341" i="1"/>
  <c r="HX341" i="1" s="1"/>
  <c r="IL340" i="1"/>
  <c r="IB340" i="1"/>
  <c r="IE340" i="1"/>
  <c r="IR340" i="1"/>
  <c r="IH340" i="1"/>
  <c r="II340" i="1"/>
  <c r="IK340" i="1"/>
  <c r="IF340" i="1"/>
  <c r="IN340" i="1"/>
  <c r="IQ340" i="1"/>
  <c r="IC340" i="1"/>
  <c r="IO340" i="1"/>
  <c r="II341" i="1" l="1"/>
  <c r="IN341" i="1"/>
  <c r="IF341" i="1"/>
  <c r="IO341" i="1"/>
  <c r="IH341" i="1"/>
  <c r="IK341" i="1"/>
  <c r="IR341" i="1"/>
  <c r="IB341" i="1"/>
  <c r="IL341" i="1"/>
  <c r="IC341" i="1"/>
  <c r="IQ341" i="1"/>
  <c r="IE341" i="1"/>
  <c r="HU343" i="1"/>
  <c r="HW342" i="1"/>
  <c r="HX342" i="1" s="1"/>
  <c r="IC342" i="1" l="1"/>
  <c r="IE342" i="1"/>
  <c r="IB342" i="1"/>
  <c r="IF342" i="1"/>
  <c r="IN342" i="1"/>
  <c r="II342" i="1"/>
  <c r="IO342" i="1"/>
  <c r="IL342" i="1"/>
  <c r="IH342" i="1"/>
  <c r="IR342" i="1"/>
  <c r="IK342" i="1"/>
  <c r="IQ342" i="1"/>
  <c r="HU344" i="1"/>
  <c r="HW343" i="1"/>
  <c r="HX343" i="1" s="1"/>
  <c r="IO343" i="1" l="1"/>
  <c r="IH343" i="1"/>
  <c r="IN343" i="1"/>
  <c r="IQ343" i="1"/>
  <c r="IK343" i="1"/>
  <c r="IC343" i="1"/>
  <c r="IB343" i="1"/>
  <c r="IR343" i="1"/>
  <c r="IE343" i="1"/>
  <c r="II343" i="1"/>
  <c r="IL343" i="1"/>
  <c r="IF343" i="1"/>
  <c r="HW344" i="1"/>
  <c r="HX344" i="1" s="1"/>
  <c r="HU345" i="1"/>
  <c r="HW345" i="1" l="1"/>
  <c r="HX345" i="1" s="1"/>
  <c r="HU346" i="1"/>
  <c r="IE344" i="1"/>
  <c r="IF344" i="1"/>
  <c r="IK344" i="1"/>
  <c r="IN344" i="1"/>
  <c r="IH344" i="1"/>
  <c r="IR344" i="1"/>
  <c r="IQ344" i="1"/>
  <c r="IO344" i="1"/>
  <c r="II344" i="1"/>
  <c r="IB344" i="1"/>
  <c r="IL344" i="1"/>
  <c r="IC344" i="1"/>
  <c r="HW346" i="1" l="1"/>
  <c r="HX346" i="1" s="1"/>
  <c r="HU347" i="1"/>
  <c r="IE345" i="1"/>
  <c r="IO345" i="1"/>
  <c r="IC345" i="1"/>
  <c r="IL345" i="1"/>
  <c r="IN345" i="1"/>
  <c r="IQ345" i="1"/>
  <c r="IF345" i="1"/>
  <c r="IK345" i="1"/>
  <c r="IH345" i="1"/>
  <c r="IR345" i="1"/>
  <c r="II345" i="1"/>
  <c r="IB345" i="1"/>
  <c r="HU348" i="1" l="1"/>
  <c r="HW347" i="1"/>
  <c r="HX347" i="1" s="1"/>
  <c r="IQ346" i="1"/>
  <c r="IE346" i="1"/>
  <c r="IR346" i="1"/>
  <c r="IL346" i="1"/>
  <c r="IB346" i="1"/>
  <c r="IO346" i="1"/>
  <c r="IC346" i="1"/>
  <c r="IN346" i="1"/>
  <c r="IF346" i="1"/>
  <c r="IH346" i="1"/>
  <c r="IK346" i="1"/>
  <c r="II346" i="1"/>
  <c r="IF347" i="1" l="1"/>
  <c r="IL347" i="1"/>
  <c r="IO347" i="1"/>
  <c r="II347" i="1"/>
  <c r="IE347" i="1"/>
  <c r="IH347" i="1"/>
  <c r="IN347" i="1"/>
  <c r="IQ347" i="1"/>
  <c r="IC347" i="1"/>
  <c r="IK347" i="1"/>
  <c r="IB347" i="1"/>
  <c r="IR347" i="1"/>
  <c r="HU349" i="1"/>
  <c r="HW348" i="1"/>
  <c r="HX348" i="1" s="1"/>
  <c r="IQ348" i="1" l="1"/>
  <c r="IH348" i="1"/>
  <c r="II348" i="1"/>
  <c r="IB348" i="1"/>
  <c r="IE348" i="1"/>
  <c r="IF348" i="1"/>
  <c r="IR348" i="1"/>
  <c r="IN348" i="1"/>
  <c r="IC348" i="1"/>
  <c r="IO348" i="1"/>
  <c r="IK348" i="1"/>
  <c r="IL348" i="1"/>
  <c r="HU350" i="1"/>
  <c r="HW349" i="1"/>
  <c r="HX349" i="1" s="1"/>
  <c r="IN349" i="1" l="1"/>
  <c r="IK349" i="1"/>
  <c r="IE349" i="1"/>
  <c r="IH349" i="1"/>
  <c r="IC349" i="1"/>
  <c r="IL349" i="1"/>
  <c r="IO349" i="1"/>
  <c r="IQ349" i="1"/>
  <c r="IB349" i="1"/>
  <c r="IF349" i="1"/>
  <c r="IR349" i="1"/>
  <c r="II349" i="1"/>
  <c r="HW350" i="1"/>
  <c r="HX350" i="1" s="1"/>
  <c r="HU351" i="1"/>
  <c r="HW351" i="1" l="1"/>
  <c r="HX351" i="1" s="1"/>
  <c r="HU352" i="1"/>
  <c r="IN350" i="1"/>
  <c r="IR350" i="1"/>
  <c r="IK350" i="1"/>
  <c r="IH350" i="1"/>
  <c r="IQ350" i="1"/>
  <c r="IC350" i="1"/>
  <c r="IO350" i="1"/>
  <c r="II350" i="1"/>
  <c r="IE350" i="1"/>
  <c r="IB350" i="1"/>
  <c r="IL350" i="1"/>
  <c r="IF350" i="1"/>
  <c r="HW352" i="1" l="1"/>
  <c r="HX352" i="1" s="1"/>
  <c r="HU353" i="1"/>
  <c r="IE351" i="1"/>
  <c r="IR351" i="1"/>
  <c r="IQ351" i="1"/>
  <c r="IL351" i="1"/>
  <c r="IO351" i="1"/>
  <c r="IB351" i="1"/>
  <c r="IF351" i="1"/>
  <c r="II351" i="1"/>
  <c r="IC351" i="1"/>
  <c r="IN351" i="1"/>
  <c r="IK351" i="1"/>
  <c r="IH351" i="1"/>
  <c r="HW353" i="1" l="1"/>
  <c r="HX353" i="1" s="1"/>
  <c r="HU354" i="1"/>
  <c r="IQ352" i="1"/>
  <c r="IO352" i="1"/>
  <c r="IK352" i="1"/>
  <c r="IR352" i="1"/>
  <c r="IC352" i="1"/>
  <c r="IL352" i="1"/>
  <c r="IN352" i="1"/>
  <c r="IH352" i="1"/>
  <c r="IB352" i="1"/>
  <c r="IE352" i="1"/>
  <c r="II352" i="1"/>
  <c r="IF352" i="1"/>
  <c r="HW354" i="1" l="1"/>
  <c r="HX354" i="1" s="1"/>
  <c r="HU355" i="1"/>
  <c r="IE353" i="1"/>
  <c r="IR353" i="1"/>
  <c r="IC353" i="1"/>
  <c r="IO353" i="1"/>
  <c r="IL353" i="1"/>
  <c r="IF353" i="1"/>
  <c r="IQ353" i="1"/>
  <c r="IK353" i="1"/>
  <c r="II353" i="1"/>
  <c r="IN353" i="1"/>
  <c r="IH353" i="1"/>
  <c r="IB353" i="1"/>
  <c r="HU356" i="1" l="1"/>
  <c r="HW355" i="1"/>
  <c r="HX355" i="1" s="1"/>
  <c r="IB354" i="1"/>
  <c r="IE354" i="1"/>
  <c r="IR354" i="1"/>
  <c r="IF354" i="1"/>
  <c r="IL354" i="1"/>
  <c r="IO354" i="1"/>
  <c r="IH354" i="1"/>
  <c r="II354" i="1"/>
  <c r="IK354" i="1"/>
  <c r="IC354" i="1"/>
  <c r="IN354" i="1"/>
  <c r="IQ354" i="1"/>
  <c r="IN355" i="1" l="1"/>
  <c r="IF355" i="1"/>
  <c r="IO355" i="1"/>
  <c r="IQ355" i="1"/>
  <c r="IH355" i="1"/>
  <c r="IR355" i="1"/>
  <c r="IE355" i="1"/>
  <c r="IB355" i="1"/>
  <c r="IC355" i="1"/>
  <c r="IL355" i="1"/>
  <c r="II355" i="1"/>
  <c r="IK355" i="1"/>
  <c r="HU357" i="1"/>
  <c r="HW356" i="1"/>
  <c r="HX356" i="1" s="1"/>
  <c r="IL356" i="1" l="1"/>
  <c r="IO356" i="1"/>
  <c r="IK356" i="1"/>
  <c r="IH356" i="1"/>
  <c r="IE356" i="1"/>
  <c r="IR356" i="1"/>
  <c r="IC356" i="1"/>
  <c r="IQ356" i="1"/>
  <c r="II356" i="1"/>
  <c r="IB356" i="1"/>
  <c r="IN356" i="1"/>
  <c r="IF356" i="1"/>
  <c r="HU358" i="1"/>
  <c r="HW357" i="1"/>
  <c r="HX357" i="1" s="1"/>
  <c r="IN357" i="1" l="1"/>
  <c r="II357" i="1"/>
  <c r="IR357" i="1"/>
  <c r="IK357" i="1"/>
  <c r="IF357" i="1"/>
  <c r="IB357" i="1"/>
  <c r="IE357" i="1"/>
  <c r="IC357" i="1"/>
  <c r="IH357" i="1"/>
  <c r="IL357" i="1"/>
  <c r="IQ357" i="1"/>
  <c r="IO357" i="1"/>
  <c r="HW358" i="1"/>
  <c r="HX358" i="1" s="1"/>
  <c r="HU359" i="1"/>
  <c r="HW359" i="1" l="1"/>
  <c r="HX359" i="1" s="1"/>
  <c r="HU360" i="1"/>
  <c r="IQ358" i="1"/>
  <c r="IH358" i="1"/>
  <c r="II358" i="1"/>
  <c r="IB358" i="1"/>
  <c r="IK358" i="1"/>
  <c r="IE358" i="1"/>
  <c r="IC358" i="1"/>
  <c r="IR358" i="1"/>
  <c r="IF358" i="1"/>
  <c r="IO358" i="1"/>
  <c r="IN358" i="1"/>
  <c r="IL358" i="1"/>
  <c r="HW360" i="1" l="1"/>
  <c r="HX360" i="1" s="1"/>
  <c r="HU361" i="1"/>
  <c r="IE359" i="1"/>
  <c r="IC359" i="1"/>
  <c r="IL359" i="1"/>
  <c r="IR359" i="1"/>
  <c r="IF359" i="1"/>
  <c r="IN359" i="1"/>
  <c r="IH359" i="1"/>
  <c r="IK359" i="1"/>
  <c r="IO359" i="1"/>
  <c r="IQ359" i="1"/>
  <c r="II359" i="1"/>
  <c r="IB359" i="1"/>
  <c r="HW361" i="1" l="1"/>
  <c r="HX361" i="1" s="1"/>
  <c r="HU362" i="1"/>
  <c r="IH360" i="1"/>
  <c r="IK360" i="1"/>
  <c r="IE360" i="1"/>
  <c r="IF360" i="1"/>
  <c r="IL360" i="1"/>
  <c r="II360" i="1"/>
  <c r="IQ360" i="1"/>
  <c r="IN360" i="1"/>
  <c r="IB360" i="1"/>
  <c r="IO360" i="1"/>
  <c r="IC360" i="1"/>
  <c r="IR360" i="1"/>
  <c r="HW362" i="1" l="1"/>
  <c r="HX362" i="1" s="1"/>
  <c r="HU363" i="1"/>
  <c r="IE361" i="1"/>
  <c r="IC361" i="1"/>
  <c r="IH361" i="1"/>
  <c r="IK361" i="1"/>
  <c r="IB361" i="1"/>
  <c r="IL361" i="1"/>
  <c r="IR361" i="1"/>
  <c r="IF361" i="1"/>
  <c r="II361" i="1"/>
  <c r="IN361" i="1"/>
  <c r="IQ361" i="1"/>
  <c r="IO361" i="1"/>
  <c r="HU364" i="1" l="1"/>
  <c r="HW363" i="1"/>
  <c r="HX363" i="1" s="1"/>
  <c r="IQ362" i="1"/>
  <c r="IE362" i="1"/>
  <c r="IR362" i="1"/>
  <c r="IO362" i="1"/>
  <c r="IN362" i="1"/>
  <c r="IF362" i="1"/>
  <c r="IH362" i="1"/>
  <c r="IK362" i="1"/>
  <c r="II362" i="1"/>
  <c r="IB362" i="1"/>
  <c r="IL362" i="1"/>
  <c r="IC362" i="1"/>
  <c r="IR363" i="1" l="1"/>
  <c r="IN363" i="1"/>
  <c r="IQ363" i="1"/>
  <c r="IH363" i="1"/>
  <c r="IK363" i="1"/>
  <c r="IB363" i="1"/>
  <c r="IC363" i="1"/>
  <c r="II363" i="1"/>
  <c r="IE363" i="1"/>
  <c r="IO363" i="1"/>
  <c r="IF363" i="1"/>
  <c r="IL363" i="1"/>
  <c r="HW364" i="1"/>
  <c r="HX364" i="1" s="1"/>
  <c r="HU365" i="1"/>
  <c r="HW365" i="1" l="1"/>
  <c r="HX365" i="1" s="1"/>
  <c r="HU366" i="1"/>
  <c r="IO364" i="1"/>
  <c r="IN364" i="1"/>
  <c r="IF364" i="1"/>
  <c r="IC364" i="1"/>
  <c r="IK364" i="1"/>
  <c r="IH364" i="1"/>
  <c r="IQ364" i="1"/>
  <c r="IE364" i="1"/>
  <c r="IR364" i="1"/>
  <c r="IB364" i="1"/>
  <c r="IL364" i="1"/>
  <c r="II364" i="1"/>
  <c r="HW366" i="1" l="1"/>
  <c r="HX366" i="1" s="1"/>
  <c r="HU367" i="1"/>
  <c r="IE365" i="1"/>
  <c r="IF365" i="1"/>
  <c r="IR365" i="1"/>
  <c r="IL365" i="1"/>
  <c r="IH365" i="1"/>
  <c r="IC365" i="1"/>
  <c r="II365" i="1"/>
  <c r="IB365" i="1"/>
  <c r="IN365" i="1"/>
  <c r="IO365" i="1"/>
  <c r="IQ365" i="1"/>
  <c r="IK365" i="1"/>
  <c r="HU368" i="1" l="1"/>
  <c r="HW367" i="1"/>
  <c r="HX367" i="1" s="1"/>
  <c r="II366" i="1"/>
  <c r="IK366" i="1"/>
  <c r="IF366" i="1"/>
  <c r="IR366" i="1"/>
  <c r="IH366" i="1"/>
  <c r="IB366" i="1"/>
  <c r="IE366" i="1"/>
  <c r="IC366" i="1"/>
  <c r="IQ366" i="1"/>
  <c r="IL366" i="1"/>
  <c r="IO366" i="1"/>
  <c r="IN366" i="1"/>
  <c r="IE367" i="1" l="1"/>
  <c r="IR367" i="1"/>
  <c r="IC367" i="1"/>
  <c r="IO367" i="1"/>
  <c r="IF367" i="1"/>
  <c r="IN367" i="1"/>
  <c r="IH367" i="1"/>
  <c r="IL367" i="1"/>
  <c r="IQ367" i="1"/>
  <c r="IK367" i="1"/>
  <c r="IB367" i="1"/>
  <c r="II367" i="1"/>
  <c r="HW368" i="1"/>
  <c r="HX368" i="1" s="1"/>
  <c r="HU369" i="1"/>
  <c r="HW369" i="1" l="1"/>
  <c r="HX369" i="1" s="1"/>
  <c r="HU370" i="1"/>
  <c r="IQ368" i="1"/>
  <c r="IL368" i="1"/>
  <c r="II368" i="1"/>
  <c r="IB368" i="1"/>
  <c r="IN368" i="1"/>
  <c r="IF368" i="1"/>
  <c r="IK368" i="1"/>
  <c r="IH368" i="1"/>
  <c r="IR368" i="1"/>
  <c r="IC368" i="1"/>
  <c r="IE368" i="1"/>
  <c r="IO368" i="1"/>
  <c r="HW370" i="1" l="1"/>
  <c r="HX370" i="1" s="1"/>
  <c r="HU371" i="1"/>
  <c r="IE369" i="1"/>
  <c r="IR369" i="1"/>
  <c r="IH369" i="1"/>
  <c r="IL369" i="1"/>
  <c r="IC369" i="1"/>
  <c r="IO369" i="1"/>
  <c r="IN369" i="1"/>
  <c r="IQ369" i="1"/>
  <c r="II369" i="1"/>
  <c r="IK369" i="1"/>
  <c r="IF369" i="1"/>
  <c r="IB369" i="1"/>
  <c r="HU372" i="1" l="1"/>
  <c r="HW371" i="1"/>
  <c r="HX371" i="1" s="1"/>
  <c r="II370" i="1"/>
  <c r="IK370" i="1"/>
  <c r="IH370" i="1"/>
  <c r="IE370" i="1"/>
  <c r="IR370" i="1"/>
  <c r="IN370" i="1"/>
  <c r="IQ370" i="1"/>
  <c r="IC370" i="1"/>
  <c r="IL370" i="1"/>
  <c r="IB370" i="1"/>
  <c r="IO370" i="1"/>
  <c r="IF370" i="1"/>
  <c r="II371" i="1" l="1"/>
  <c r="IQ371" i="1"/>
  <c r="IN371" i="1"/>
  <c r="IH371" i="1"/>
  <c r="IC371" i="1"/>
  <c r="IK371" i="1"/>
  <c r="IB371" i="1"/>
  <c r="IL371" i="1"/>
  <c r="IF371" i="1"/>
  <c r="IE371" i="1"/>
  <c r="IR371" i="1"/>
  <c r="IO371" i="1"/>
  <c r="HU373" i="1"/>
  <c r="HW372" i="1"/>
  <c r="HX372" i="1" s="1"/>
  <c r="IO372" i="1" l="1"/>
  <c r="IR372" i="1"/>
  <c r="IL372" i="1"/>
  <c r="IN372" i="1"/>
  <c r="II372" i="1"/>
  <c r="IE372" i="1"/>
  <c r="IF372" i="1"/>
  <c r="IC372" i="1"/>
  <c r="IK372" i="1"/>
  <c r="IQ372" i="1"/>
  <c r="IB372" i="1"/>
  <c r="IH372" i="1"/>
  <c r="HU374" i="1"/>
  <c r="HW373" i="1"/>
  <c r="HX373" i="1" s="1"/>
  <c r="IO373" i="1" l="1"/>
  <c r="IN373" i="1"/>
  <c r="IR373" i="1"/>
  <c r="IK373" i="1"/>
  <c r="IF373" i="1"/>
  <c r="IH373" i="1"/>
  <c r="IE373" i="1"/>
  <c r="IB373" i="1"/>
  <c r="II373" i="1"/>
  <c r="IL373" i="1"/>
  <c r="IQ373" i="1"/>
  <c r="IC373" i="1"/>
  <c r="HU375" i="1"/>
  <c r="HW374" i="1"/>
  <c r="HX374" i="1" s="1"/>
  <c r="II374" i="1" l="1"/>
  <c r="IE374" i="1"/>
  <c r="IR374" i="1"/>
  <c r="IF374" i="1"/>
  <c r="IL374" i="1"/>
  <c r="IN374" i="1"/>
  <c r="IO374" i="1"/>
  <c r="IH374" i="1"/>
  <c r="IQ374" i="1"/>
  <c r="IB374" i="1"/>
  <c r="IK374" i="1"/>
  <c r="IC374" i="1"/>
  <c r="HW375" i="1"/>
  <c r="HX375" i="1" s="1"/>
  <c r="HU376" i="1"/>
  <c r="HW376" i="1" l="1"/>
  <c r="HX376" i="1" s="1"/>
  <c r="HU377" i="1"/>
  <c r="IE375" i="1"/>
  <c r="IR375" i="1"/>
  <c r="IH375" i="1"/>
  <c r="IL375" i="1"/>
  <c r="IO375" i="1"/>
  <c r="IF375" i="1"/>
  <c r="IK375" i="1"/>
  <c r="IB375" i="1"/>
  <c r="II375" i="1"/>
  <c r="IC375" i="1"/>
  <c r="IQ375" i="1"/>
  <c r="IN375" i="1"/>
  <c r="HW377" i="1" l="1"/>
  <c r="HX377" i="1" s="1"/>
  <c r="HU378" i="1"/>
  <c r="IQ376" i="1"/>
  <c r="IE376" i="1"/>
  <c r="IR376" i="1"/>
  <c r="II376" i="1"/>
  <c r="IL376" i="1"/>
  <c r="IC376" i="1"/>
  <c r="IF376" i="1"/>
  <c r="IN376" i="1"/>
  <c r="IO376" i="1"/>
  <c r="IH376" i="1"/>
  <c r="IK376" i="1"/>
  <c r="IB376" i="1"/>
  <c r="HW378" i="1" l="1"/>
  <c r="HX378" i="1" s="1"/>
  <c r="HU379" i="1"/>
  <c r="II377" i="1"/>
  <c r="IF377" i="1"/>
  <c r="IB377" i="1"/>
  <c r="IR377" i="1"/>
  <c r="IO377" i="1"/>
  <c r="IN377" i="1"/>
  <c r="IE377" i="1"/>
  <c r="IQ377" i="1"/>
  <c r="IC377" i="1"/>
  <c r="IL377" i="1"/>
  <c r="IH377" i="1"/>
  <c r="IK377" i="1"/>
  <c r="HU380" i="1" l="1"/>
  <c r="HW379" i="1"/>
  <c r="HX379" i="1" s="1"/>
  <c r="IQ378" i="1"/>
  <c r="IO378" i="1"/>
  <c r="IH378" i="1"/>
  <c r="IC378" i="1"/>
  <c r="IE378" i="1"/>
  <c r="II378" i="1"/>
  <c r="IL378" i="1"/>
  <c r="IB378" i="1"/>
  <c r="IF378" i="1"/>
  <c r="IR378" i="1"/>
  <c r="IN378" i="1"/>
  <c r="IK378" i="1"/>
  <c r="IE379" i="1" l="1"/>
  <c r="IN379" i="1"/>
  <c r="IH379" i="1"/>
  <c r="IK379" i="1"/>
  <c r="IB379" i="1"/>
  <c r="IL379" i="1"/>
  <c r="IR379" i="1"/>
  <c r="IO379" i="1"/>
  <c r="IF379" i="1"/>
  <c r="IQ379" i="1"/>
  <c r="IC379" i="1"/>
  <c r="II379" i="1"/>
  <c r="HW380" i="1"/>
  <c r="HX380" i="1" s="1"/>
  <c r="HU381" i="1"/>
  <c r="HW381" i="1" l="1"/>
  <c r="HX381" i="1" s="1"/>
  <c r="HU382" i="1"/>
  <c r="IQ380" i="1"/>
  <c r="IK380" i="1"/>
  <c r="IH380" i="1"/>
  <c r="IO380" i="1"/>
  <c r="IR380" i="1"/>
  <c r="IE380" i="1"/>
  <c r="IN380" i="1"/>
  <c r="IF380" i="1"/>
  <c r="II380" i="1"/>
  <c r="IC380" i="1"/>
  <c r="IB380" i="1"/>
  <c r="IL380" i="1"/>
  <c r="HW382" i="1" l="1"/>
  <c r="HX382" i="1" s="1"/>
  <c r="HU383" i="1"/>
  <c r="IK381" i="1"/>
  <c r="IR381" i="1"/>
  <c r="IE381" i="1"/>
  <c r="IO381" i="1"/>
  <c r="IB381" i="1"/>
  <c r="II381" i="1"/>
  <c r="IQ381" i="1"/>
  <c r="IC381" i="1"/>
  <c r="IL381" i="1"/>
  <c r="IH381" i="1"/>
  <c r="IN381" i="1"/>
  <c r="IF381" i="1"/>
  <c r="HU384" i="1" l="1"/>
  <c r="HW383" i="1"/>
  <c r="HX383" i="1" s="1"/>
  <c r="IQ382" i="1"/>
  <c r="IO382" i="1"/>
  <c r="IN382" i="1"/>
  <c r="II382" i="1"/>
  <c r="IH382" i="1"/>
  <c r="IK382" i="1"/>
  <c r="IE382" i="1"/>
  <c r="IF382" i="1"/>
  <c r="IL382" i="1"/>
  <c r="IR382" i="1"/>
  <c r="IB382" i="1"/>
  <c r="IC382" i="1"/>
  <c r="IE383" i="1" l="1"/>
  <c r="IR383" i="1"/>
  <c r="IH383" i="1"/>
  <c r="II383" i="1"/>
  <c r="IQ383" i="1"/>
  <c r="IB383" i="1"/>
  <c r="IO383" i="1"/>
  <c r="IC383" i="1"/>
  <c r="IK383" i="1"/>
  <c r="IN383" i="1"/>
  <c r="IL383" i="1"/>
  <c r="IF383" i="1"/>
  <c r="HW384" i="1"/>
  <c r="HX384" i="1" s="1"/>
  <c r="HU385" i="1"/>
  <c r="HW385" i="1" l="1"/>
  <c r="HX385" i="1" s="1"/>
  <c r="HU386" i="1"/>
  <c r="IQ384" i="1"/>
  <c r="IL384" i="1"/>
  <c r="IH384" i="1"/>
  <c r="IN384" i="1"/>
  <c r="IO384" i="1"/>
  <c r="IK384" i="1"/>
  <c r="IB384" i="1"/>
  <c r="IR384" i="1"/>
  <c r="IF384" i="1"/>
  <c r="IE384" i="1"/>
  <c r="IC384" i="1"/>
  <c r="II384" i="1"/>
  <c r="HU387" i="1" l="1"/>
  <c r="HW386" i="1"/>
  <c r="HX386" i="1" s="1"/>
  <c r="IE385" i="1"/>
  <c r="IR385" i="1"/>
  <c r="IN385" i="1"/>
  <c r="II385" i="1"/>
  <c r="IF385" i="1"/>
  <c r="IB385" i="1"/>
  <c r="IL385" i="1"/>
  <c r="IQ385" i="1"/>
  <c r="IK385" i="1"/>
  <c r="IO385" i="1"/>
  <c r="IH385" i="1"/>
  <c r="IC385" i="1"/>
  <c r="IF386" i="1" l="1"/>
  <c r="IK386" i="1"/>
  <c r="IC386" i="1"/>
  <c r="IN386" i="1"/>
  <c r="IR386" i="1"/>
  <c r="IL386" i="1"/>
  <c r="IQ386" i="1"/>
  <c r="IE386" i="1"/>
  <c r="IO386" i="1"/>
  <c r="IH386" i="1"/>
  <c r="II386" i="1"/>
  <c r="IB386" i="1"/>
  <c r="HW387" i="1"/>
  <c r="HX387" i="1" s="1"/>
  <c r="HU388" i="1"/>
  <c r="HU389" i="1" l="1"/>
  <c r="HW388" i="1"/>
  <c r="HX388" i="1" s="1"/>
  <c r="IE387" i="1"/>
  <c r="IC387" i="1"/>
  <c r="IO387" i="1"/>
  <c r="IR387" i="1"/>
  <c r="IB387" i="1"/>
  <c r="IF387" i="1"/>
  <c r="IQ387" i="1"/>
  <c r="IL387" i="1"/>
  <c r="IN387" i="1"/>
  <c r="IK387" i="1"/>
  <c r="IH387" i="1"/>
  <c r="II387" i="1"/>
  <c r="IN388" i="1" l="1"/>
  <c r="IR388" i="1"/>
  <c r="II388" i="1"/>
  <c r="IF388" i="1"/>
  <c r="IC388" i="1"/>
  <c r="IK388" i="1"/>
  <c r="IE388" i="1"/>
  <c r="IB388" i="1"/>
  <c r="IH388" i="1"/>
  <c r="IQ388" i="1"/>
  <c r="IO388" i="1"/>
  <c r="IL388" i="1"/>
  <c r="HU390" i="1"/>
  <c r="HW389" i="1"/>
  <c r="HX389" i="1" s="1"/>
  <c r="II389" i="1" l="1"/>
  <c r="IN389" i="1"/>
  <c r="IE389" i="1"/>
  <c r="IR389" i="1"/>
  <c r="IO389" i="1"/>
  <c r="IC389" i="1"/>
  <c r="IB389" i="1"/>
  <c r="IF389" i="1"/>
  <c r="IQ389" i="1"/>
  <c r="IL389" i="1"/>
  <c r="IK389" i="1"/>
  <c r="IH389" i="1"/>
  <c r="HU391" i="1"/>
  <c r="HW390" i="1"/>
  <c r="HX390" i="1" s="1"/>
  <c r="IN390" i="1" l="1"/>
  <c r="IE390" i="1"/>
  <c r="IR390" i="1"/>
  <c r="IB390" i="1"/>
  <c r="II390" i="1"/>
  <c r="IF390" i="1"/>
  <c r="IC390" i="1"/>
  <c r="IH390" i="1"/>
  <c r="IQ390" i="1"/>
  <c r="IL390" i="1"/>
  <c r="IO390" i="1"/>
  <c r="IK390" i="1"/>
  <c r="HU392" i="1"/>
  <c r="HW391" i="1"/>
  <c r="HX391" i="1" s="1"/>
  <c r="IE391" i="1" l="1"/>
  <c r="IF391" i="1"/>
  <c r="IB391" i="1"/>
  <c r="IQ391" i="1"/>
  <c r="IL391" i="1"/>
  <c r="II391" i="1"/>
  <c r="IK391" i="1"/>
  <c r="IH391" i="1"/>
  <c r="IR391" i="1"/>
  <c r="IN391" i="1"/>
  <c r="IO391" i="1"/>
  <c r="IC391" i="1"/>
  <c r="HU393" i="1"/>
  <c r="HW392" i="1"/>
  <c r="HX392" i="1" s="1"/>
  <c r="IF392" i="1" l="1"/>
  <c r="IE392" i="1"/>
  <c r="IR392" i="1"/>
  <c r="IB392" i="1"/>
  <c r="II392" i="1"/>
  <c r="IO392" i="1"/>
  <c r="IN392" i="1"/>
  <c r="IQ392" i="1"/>
  <c r="IC392" i="1"/>
  <c r="IL392" i="1"/>
  <c r="IH392" i="1"/>
  <c r="IK392" i="1"/>
  <c r="HW393" i="1"/>
  <c r="HX393" i="1" s="1"/>
  <c r="HU394" i="1"/>
  <c r="HW394" i="1" l="1"/>
  <c r="HX394" i="1" s="1"/>
  <c r="HU395" i="1"/>
  <c r="IQ393" i="1"/>
  <c r="IR393" i="1"/>
  <c r="II393" i="1"/>
  <c r="IN393" i="1"/>
  <c r="IK393" i="1"/>
  <c r="IH393" i="1"/>
  <c r="IL393" i="1"/>
  <c r="IE393" i="1"/>
  <c r="IO393" i="1"/>
  <c r="IB393" i="1"/>
  <c r="IF393" i="1"/>
  <c r="IC393" i="1"/>
  <c r="HW395" i="1" l="1"/>
  <c r="HX395" i="1" s="1"/>
  <c r="HU396" i="1"/>
  <c r="IL394" i="1"/>
  <c r="IC394" i="1"/>
  <c r="IN394" i="1"/>
  <c r="IF394" i="1"/>
  <c r="IB394" i="1"/>
  <c r="II394" i="1"/>
  <c r="IH394" i="1"/>
  <c r="IQ394" i="1"/>
  <c r="IK394" i="1"/>
  <c r="IO394" i="1"/>
  <c r="IR394" i="1"/>
  <c r="IE394" i="1"/>
  <c r="HW396" i="1" l="1"/>
  <c r="HX396" i="1" s="1"/>
  <c r="HU397" i="1"/>
  <c r="IB395" i="1"/>
  <c r="IE395" i="1"/>
  <c r="IH395" i="1"/>
  <c r="IR395" i="1"/>
  <c r="IK395" i="1"/>
  <c r="IL395" i="1"/>
  <c r="II395" i="1"/>
  <c r="IF395" i="1"/>
  <c r="IC395" i="1"/>
  <c r="IO395" i="1"/>
  <c r="IQ395" i="1"/>
  <c r="IN395" i="1"/>
  <c r="HU398" i="1" l="1"/>
  <c r="HW397" i="1"/>
  <c r="HX397" i="1" s="1"/>
  <c r="IQ396" i="1"/>
  <c r="IO396" i="1"/>
  <c r="IK396" i="1"/>
  <c r="IR396" i="1"/>
  <c r="IE396" i="1"/>
  <c r="IL396" i="1"/>
  <c r="IH396" i="1"/>
  <c r="II396" i="1"/>
  <c r="IB396" i="1"/>
  <c r="IC396" i="1"/>
  <c r="IN396" i="1"/>
  <c r="IF396" i="1"/>
  <c r="IB397" i="1" l="1"/>
  <c r="II397" i="1"/>
  <c r="IC397" i="1"/>
  <c r="IK397" i="1"/>
  <c r="IQ397" i="1"/>
  <c r="IR397" i="1"/>
  <c r="IE397" i="1"/>
  <c r="IF397" i="1"/>
  <c r="IL397" i="1"/>
  <c r="IO397" i="1"/>
  <c r="IH397" i="1"/>
  <c r="IN397" i="1"/>
  <c r="HU399" i="1"/>
  <c r="HW398" i="1"/>
  <c r="HX398" i="1" s="1"/>
  <c r="IQ398" i="1" l="1"/>
  <c r="IB398" i="1"/>
  <c r="IH398" i="1"/>
  <c r="IR398" i="1"/>
  <c r="IO398" i="1"/>
  <c r="IK398" i="1"/>
  <c r="IC398" i="1"/>
  <c r="IE398" i="1"/>
  <c r="II398" i="1"/>
  <c r="IF398" i="1"/>
  <c r="IL398" i="1"/>
  <c r="IN398" i="1"/>
  <c r="HW399" i="1"/>
  <c r="HX399" i="1" s="1"/>
  <c r="HU400" i="1"/>
  <c r="HW400" i="1" l="1"/>
  <c r="HX400" i="1" s="1"/>
  <c r="HU401" i="1"/>
  <c r="IE399" i="1"/>
  <c r="IL399" i="1"/>
  <c r="II399" i="1"/>
  <c r="IF399" i="1"/>
  <c r="IC399" i="1"/>
  <c r="IH399" i="1"/>
  <c r="IQ399" i="1"/>
  <c r="IB399" i="1"/>
  <c r="IN399" i="1"/>
  <c r="IK399" i="1"/>
  <c r="IR399" i="1"/>
  <c r="IO399" i="1"/>
  <c r="HW401" i="1" l="1"/>
  <c r="HX401" i="1" s="1"/>
  <c r="HU402" i="1"/>
  <c r="IQ400" i="1"/>
  <c r="IH400" i="1"/>
  <c r="IK400" i="1"/>
  <c r="IB400" i="1"/>
  <c r="IE400" i="1"/>
  <c r="IR400" i="1"/>
  <c r="IO400" i="1"/>
  <c r="IF400" i="1"/>
  <c r="IN400" i="1"/>
  <c r="II400" i="1"/>
  <c r="IC400" i="1"/>
  <c r="IL400" i="1"/>
  <c r="HW402" i="1" l="1"/>
  <c r="HX402" i="1" s="1"/>
  <c r="HU403" i="1"/>
  <c r="IN401" i="1"/>
  <c r="IC401" i="1"/>
  <c r="IF401" i="1"/>
  <c r="IK401" i="1"/>
  <c r="IQ401" i="1"/>
  <c r="IH401" i="1"/>
  <c r="IE401" i="1"/>
  <c r="IR401" i="1"/>
  <c r="IB401" i="1"/>
  <c r="IL401" i="1"/>
  <c r="II401" i="1"/>
  <c r="IO401" i="1"/>
  <c r="HU404" i="1" l="1"/>
  <c r="HW403" i="1"/>
  <c r="HX403" i="1" s="1"/>
  <c r="IQ402" i="1"/>
  <c r="IH402" i="1"/>
  <c r="IC402" i="1"/>
  <c r="IB402" i="1"/>
  <c r="IO402" i="1"/>
  <c r="II402" i="1"/>
  <c r="IK402" i="1"/>
  <c r="IL402" i="1"/>
  <c r="IF402" i="1"/>
  <c r="IR402" i="1"/>
  <c r="IN402" i="1"/>
  <c r="IE402" i="1"/>
  <c r="IQ403" i="1" l="1"/>
  <c r="IO403" i="1"/>
  <c r="IC403" i="1"/>
  <c r="IB403" i="1"/>
  <c r="II403" i="1"/>
  <c r="IF403" i="1"/>
  <c r="IL403" i="1"/>
  <c r="IN403" i="1"/>
  <c r="IR403" i="1"/>
  <c r="IH403" i="1"/>
  <c r="IK403" i="1"/>
  <c r="IE403" i="1"/>
  <c r="HU405" i="1"/>
  <c r="HW404" i="1"/>
  <c r="HX404" i="1" s="1"/>
  <c r="IC404" i="1" l="1"/>
  <c r="IO404" i="1"/>
  <c r="IL404" i="1"/>
  <c r="IN404" i="1"/>
  <c r="IQ404" i="1"/>
  <c r="IK404" i="1"/>
  <c r="II404" i="1"/>
  <c r="IB404" i="1"/>
  <c r="IR404" i="1"/>
  <c r="IE404" i="1"/>
  <c r="IH404" i="1"/>
  <c r="IF404" i="1"/>
  <c r="HW405" i="1"/>
  <c r="HX405" i="1" s="1"/>
  <c r="HU406" i="1"/>
  <c r="HW406" i="1" l="1"/>
  <c r="HX406" i="1" s="1"/>
  <c r="HU407" i="1"/>
  <c r="IE405" i="1"/>
  <c r="II405" i="1"/>
  <c r="IN405" i="1"/>
  <c r="IO405" i="1"/>
  <c r="IK405" i="1"/>
  <c r="IF405" i="1"/>
  <c r="IQ405" i="1"/>
  <c r="IR405" i="1"/>
  <c r="IH405" i="1"/>
  <c r="IB405" i="1"/>
  <c r="IC405" i="1"/>
  <c r="IL405" i="1"/>
  <c r="HW407" i="1" l="1"/>
  <c r="HX407" i="1" s="1"/>
  <c r="HU408" i="1"/>
  <c r="IO406" i="1"/>
  <c r="IK406" i="1"/>
  <c r="IF406" i="1"/>
  <c r="IE406" i="1"/>
  <c r="IR406" i="1"/>
  <c r="IH406" i="1"/>
  <c r="IQ406" i="1"/>
  <c r="IL406" i="1"/>
  <c r="IC406" i="1"/>
  <c r="IB406" i="1"/>
  <c r="IN406" i="1"/>
  <c r="II406" i="1"/>
  <c r="HW408" i="1" l="1"/>
  <c r="HX408" i="1" s="1"/>
  <c r="HU409" i="1"/>
  <c r="IK407" i="1"/>
  <c r="IL407" i="1"/>
  <c r="IB407" i="1"/>
  <c r="IF407" i="1"/>
  <c r="IR407" i="1"/>
  <c r="II407" i="1"/>
  <c r="IE407" i="1"/>
  <c r="IH407" i="1"/>
  <c r="IC407" i="1"/>
  <c r="IN407" i="1"/>
  <c r="IO407" i="1"/>
  <c r="IQ407" i="1"/>
  <c r="HW409" i="1" l="1"/>
  <c r="HX409" i="1" s="1"/>
  <c r="HU410" i="1"/>
  <c r="IR408" i="1"/>
  <c r="IF408" i="1"/>
  <c r="IL408" i="1"/>
  <c r="IO408" i="1"/>
  <c r="IH408" i="1"/>
  <c r="IN408" i="1"/>
  <c r="IQ408" i="1"/>
  <c r="IB408" i="1"/>
  <c r="II408" i="1"/>
  <c r="IK408" i="1"/>
  <c r="IC408" i="1"/>
  <c r="IE408" i="1"/>
  <c r="HU411" i="1" l="1"/>
  <c r="HW410" i="1"/>
  <c r="HX410" i="1" s="1"/>
  <c r="IE409" i="1"/>
  <c r="IQ409" i="1"/>
  <c r="IC409" i="1"/>
  <c r="IN409" i="1"/>
  <c r="IO409" i="1"/>
  <c r="IL409" i="1"/>
  <c r="IH409" i="1"/>
  <c r="IK409" i="1"/>
  <c r="IF409" i="1"/>
  <c r="II409" i="1"/>
  <c r="IR409" i="1"/>
  <c r="IB409" i="1"/>
  <c r="IQ410" i="1" l="1"/>
  <c r="IE410" i="1"/>
  <c r="IR410" i="1"/>
  <c r="IC410" i="1"/>
  <c r="IO410" i="1"/>
  <c r="IK410" i="1"/>
  <c r="II410" i="1"/>
  <c r="IL410" i="1"/>
  <c r="IF410" i="1"/>
  <c r="IN410" i="1"/>
  <c r="IB410" i="1"/>
  <c r="IH410" i="1"/>
  <c r="HU412" i="1"/>
  <c r="HW411" i="1"/>
  <c r="HX411" i="1" s="1"/>
  <c r="IE411" i="1" l="1"/>
  <c r="IC411" i="1"/>
  <c r="IR411" i="1"/>
  <c r="IQ411" i="1"/>
  <c r="IK411" i="1"/>
  <c r="II411" i="1"/>
  <c r="IL411" i="1"/>
  <c r="IF411" i="1"/>
  <c r="IN411" i="1"/>
  <c r="IH411" i="1"/>
  <c r="IB411" i="1"/>
  <c r="IO411" i="1"/>
  <c r="HU413" i="1"/>
  <c r="HW412" i="1"/>
  <c r="HX412" i="1" s="1"/>
  <c r="IQ412" i="1" l="1"/>
  <c r="IK412" i="1"/>
  <c r="II412" i="1"/>
  <c r="IB412" i="1"/>
  <c r="IR412" i="1"/>
  <c r="IE412" i="1"/>
  <c r="IH412" i="1"/>
  <c r="IC412" i="1"/>
  <c r="IF412" i="1"/>
  <c r="IO412" i="1"/>
  <c r="IL412" i="1"/>
  <c r="IN412" i="1"/>
  <c r="HU414" i="1"/>
  <c r="HW413" i="1"/>
  <c r="HX413" i="1" s="1"/>
  <c r="HU415" i="1" l="1"/>
  <c r="HW414" i="1"/>
  <c r="HX414" i="1" s="1"/>
  <c r="IE413" i="1"/>
  <c r="IB413" i="1"/>
  <c r="IC413" i="1"/>
  <c r="II413" i="1"/>
  <c r="IK413" i="1"/>
  <c r="IO413" i="1"/>
  <c r="IL413" i="1"/>
  <c r="IR413" i="1"/>
  <c r="IN413" i="1"/>
  <c r="IQ413" i="1"/>
  <c r="IH413" i="1"/>
  <c r="IF413" i="1"/>
  <c r="II414" i="1" l="1"/>
  <c r="IK414" i="1"/>
  <c r="IH414" i="1"/>
  <c r="IQ414" i="1"/>
  <c r="IC414" i="1"/>
  <c r="IE414" i="1"/>
  <c r="IR414" i="1"/>
  <c r="IO414" i="1"/>
  <c r="IL414" i="1"/>
  <c r="IB414" i="1"/>
  <c r="IN414" i="1"/>
  <c r="IF414" i="1"/>
  <c r="HU416" i="1"/>
  <c r="HW415" i="1"/>
  <c r="HX415" i="1" s="1"/>
  <c r="IL415" i="1" l="1"/>
  <c r="IO415" i="1"/>
  <c r="IC415" i="1"/>
  <c r="II415" i="1"/>
  <c r="IN415" i="1"/>
  <c r="IQ415" i="1"/>
  <c r="IK415" i="1"/>
  <c r="IF415" i="1"/>
  <c r="IB415" i="1"/>
  <c r="IE415" i="1"/>
  <c r="IH415" i="1"/>
  <c r="IR415" i="1"/>
  <c r="HW416" i="1"/>
  <c r="HX416" i="1" s="1"/>
  <c r="HU417" i="1"/>
  <c r="HU418" i="1" l="1"/>
  <c r="HW417" i="1"/>
  <c r="HX417" i="1" s="1"/>
  <c r="IN416" i="1"/>
  <c r="IH416" i="1"/>
  <c r="IF416" i="1"/>
  <c r="IK416" i="1"/>
  <c r="IQ416" i="1"/>
  <c r="IL416" i="1"/>
  <c r="IO416" i="1"/>
  <c r="IC416" i="1"/>
  <c r="II416" i="1"/>
  <c r="IE416" i="1"/>
  <c r="IR416" i="1"/>
  <c r="IB416" i="1"/>
  <c r="IQ417" i="1" l="1"/>
  <c r="IL417" i="1"/>
  <c r="II417" i="1"/>
  <c r="IE417" i="1"/>
  <c r="IB417" i="1"/>
  <c r="IN417" i="1"/>
  <c r="IF417" i="1"/>
  <c r="IO417" i="1"/>
  <c r="IK417" i="1"/>
  <c r="IH417" i="1"/>
  <c r="IR417" i="1"/>
  <c r="IC417" i="1"/>
  <c r="HU419" i="1"/>
  <c r="HW418" i="1"/>
  <c r="HX418" i="1" s="1"/>
  <c r="IN418" i="1" l="1"/>
  <c r="IF418" i="1"/>
  <c r="IB418" i="1"/>
  <c r="IK418" i="1"/>
  <c r="IH418" i="1"/>
  <c r="II418" i="1"/>
  <c r="IR418" i="1"/>
  <c r="IE418" i="1"/>
  <c r="IO418" i="1"/>
  <c r="IL418" i="1"/>
  <c r="IC418" i="1"/>
  <c r="IQ418" i="1"/>
  <c r="HW419" i="1"/>
  <c r="HX419" i="1" s="1"/>
  <c r="HU420" i="1"/>
  <c r="HU421" i="1" l="1"/>
  <c r="HW420" i="1"/>
  <c r="HX420" i="1" s="1"/>
  <c r="IQ419" i="1"/>
  <c r="IC419" i="1"/>
  <c r="IO419" i="1"/>
  <c r="IE419" i="1"/>
  <c r="IR419" i="1"/>
  <c r="IH419" i="1"/>
  <c r="IN419" i="1"/>
  <c r="IB419" i="1"/>
  <c r="II419" i="1"/>
  <c r="IK419" i="1"/>
  <c r="IF419" i="1"/>
  <c r="IL419" i="1"/>
  <c r="IN420" i="1" l="1"/>
  <c r="IK420" i="1"/>
  <c r="IF420" i="1"/>
  <c r="IR420" i="1"/>
  <c r="IC420" i="1"/>
  <c r="IE420" i="1"/>
  <c r="IH420" i="1"/>
  <c r="IO420" i="1"/>
  <c r="IL420" i="1"/>
  <c r="II420" i="1"/>
  <c r="IQ420" i="1"/>
  <c r="IB420" i="1"/>
  <c r="HW421" i="1"/>
  <c r="HX421" i="1" s="1"/>
  <c r="HU422" i="1"/>
  <c r="HU423" i="1" l="1"/>
  <c r="HW422" i="1"/>
  <c r="HX422" i="1" s="1"/>
  <c r="IQ421" i="1"/>
  <c r="IE421" i="1"/>
  <c r="IR421" i="1"/>
  <c r="IB421" i="1"/>
  <c r="IL421" i="1"/>
  <c r="II421" i="1"/>
  <c r="IO421" i="1"/>
  <c r="IN421" i="1"/>
  <c r="IF421" i="1"/>
  <c r="IC421" i="1"/>
  <c r="IK421" i="1"/>
  <c r="IH421" i="1"/>
  <c r="IK422" i="1" l="1"/>
  <c r="IH422" i="1"/>
  <c r="IQ422" i="1"/>
  <c r="IO422" i="1"/>
  <c r="IE422" i="1"/>
  <c r="IN422" i="1"/>
  <c r="IC422" i="1"/>
  <c r="IB422" i="1"/>
  <c r="II422" i="1"/>
  <c r="IL422" i="1"/>
  <c r="IF422" i="1"/>
  <c r="IR422" i="1"/>
  <c r="HW423" i="1"/>
  <c r="HX423" i="1" s="1"/>
  <c r="HU424" i="1"/>
  <c r="HW424" i="1" l="1"/>
  <c r="HX424" i="1" s="1"/>
  <c r="HU425" i="1"/>
  <c r="IQ423" i="1"/>
  <c r="IH423" i="1"/>
  <c r="IN423" i="1"/>
  <c r="IB423" i="1"/>
  <c r="IO423" i="1"/>
  <c r="IK423" i="1"/>
  <c r="II423" i="1"/>
  <c r="IR423" i="1"/>
  <c r="IL423" i="1"/>
  <c r="IE423" i="1"/>
  <c r="IF423" i="1"/>
  <c r="IC423" i="1"/>
  <c r="HW425" i="1" l="1"/>
  <c r="HX425" i="1" s="1"/>
  <c r="HU426" i="1"/>
  <c r="IQ424" i="1"/>
  <c r="II424" i="1"/>
  <c r="IH424" i="1"/>
  <c r="IK424" i="1"/>
  <c r="IE424" i="1"/>
  <c r="IC424" i="1"/>
  <c r="IR424" i="1"/>
  <c r="IN424" i="1"/>
  <c r="IB424" i="1"/>
  <c r="IL424" i="1"/>
  <c r="IF424" i="1"/>
  <c r="IO424" i="1"/>
  <c r="HW426" i="1" l="1"/>
  <c r="HX426" i="1" s="1"/>
  <c r="HU427" i="1"/>
  <c r="IE425" i="1"/>
  <c r="IR425" i="1"/>
  <c r="IC425" i="1"/>
  <c r="II425" i="1"/>
  <c r="IK425" i="1"/>
  <c r="IO425" i="1"/>
  <c r="IL425" i="1"/>
  <c r="IQ425" i="1"/>
  <c r="IN425" i="1"/>
  <c r="IF425" i="1"/>
  <c r="IB425" i="1"/>
  <c r="IH425" i="1"/>
  <c r="HW427" i="1" l="1"/>
  <c r="HX427" i="1" s="1"/>
  <c r="HU428" i="1"/>
  <c r="II426" i="1"/>
  <c r="IF426" i="1"/>
  <c r="IL426" i="1"/>
  <c r="IK426" i="1"/>
  <c r="IH426" i="1"/>
  <c r="IN426" i="1"/>
  <c r="IE426" i="1"/>
  <c r="IQ426" i="1"/>
  <c r="IR426" i="1"/>
  <c r="IO426" i="1"/>
  <c r="IB426" i="1"/>
  <c r="IC426" i="1"/>
  <c r="HU429" i="1" l="1"/>
  <c r="HW428" i="1"/>
  <c r="HX428" i="1" s="1"/>
  <c r="IE427" i="1"/>
  <c r="IF427" i="1"/>
  <c r="IR427" i="1"/>
  <c r="IK427" i="1"/>
  <c r="IO427" i="1"/>
  <c r="IB427" i="1"/>
  <c r="IC427" i="1"/>
  <c r="IN427" i="1"/>
  <c r="II427" i="1"/>
  <c r="IL427" i="1"/>
  <c r="IH427" i="1"/>
  <c r="IQ427" i="1"/>
  <c r="IC428" i="1" l="1"/>
  <c r="IE428" i="1"/>
  <c r="IR428" i="1"/>
  <c r="IL428" i="1"/>
  <c r="IO428" i="1"/>
  <c r="IH428" i="1"/>
  <c r="IN428" i="1"/>
  <c r="IB428" i="1"/>
  <c r="II428" i="1"/>
  <c r="IK428" i="1"/>
  <c r="IF428" i="1"/>
  <c r="IQ428" i="1"/>
  <c r="HW429" i="1"/>
  <c r="HX429" i="1" s="1"/>
  <c r="HU430" i="1"/>
  <c r="HW430" i="1" l="1"/>
  <c r="HX430" i="1" s="1"/>
  <c r="HU431" i="1"/>
  <c r="IN429" i="1"/>
  <c r="IB429" i="1"/>
  <c r="IE429" i="1"/>
  <c r="IK429" i="1"/>
  <c r="IF429" i="1"/>
  <c r="IH429" i="1"/>
  <c r="II429" i="1"/>
  <c r="IC429" i="1"/>
  <c r="IL429" i="1"/>
  <c r="IR429" i="1"/>
  <c r="IQ429" i="1"/>
  <c r="IO429" i="1"/>
  <c r="HU432" i="1" l="1"/>
  <c r="HW431" i="1"/>
  <c r="HX431" i="1" s="1"/>
  <c r="IQ430" i="1"/>
  <c r="IK430" i="1"/>
  <c r="IO430" i="1"/>
  <c r="IC430" i="1"/>
  <c r="IB430" i="1"/>
  <c r="IR430" i="1"/>
  <c r="IE430" i="1"/>
  <c r="IH430" i="1"/>
  <c r="IF430" i="1"/>
  <c r="IN430" i="1"/>
  <c r="II430" i="1"/>
  <c r="IL430" i="1"/>
  <c r="IN431" i="1" l="1"/>
  <c r="IB431" i="1"/>
  <c r="IO431" i="1"/>
  <c r="IE431" i="1"/>
  <c r="IC431" i="1"/>
  <c r="IF431" i="1"/>
  <c r="IL431" i="1"/>
  <c r="IQ431" i="1"/>
  <c r="IH431" i="1"/>
  <c r="IK431" i="1"/>
  <c r="II431" i="1"/>
  <c r="IR431" i="1"/>
  <c r="HU433" i="1"/>
  <c r="HW432" i="1"/>
  <c r="HX432" i="1" s="1"/>
  <c r="IC432" i="1" l="1"/>
  <c r="IK432" i="1"/>
  <c r="IH432" i="1"/>
  <c r="IE432" i="1"/>
  <c r="IR432" i="1"/>
  <c r="II432" i="1"/>
  <c r="IQ432" i="1"/>
  <c r="IL432" i="1"/>
  <c r="IO432" i="1"/>
  <c r="IB432" i="1"/>
  <c r="IN432" i="1"/>
  <c r="IF432" i="1"/>
  <c r="HW433" i="1"/>
  <c r="HX433" i="1" s="1"/>
  <c r="HU434" i="1"/>
  <c r="HW434" i="1" l="1"/>
  <c r="HX434" i="1" s="1"/>
  <c r="HU435" i="1"/>
  <c r="IO433" i="1"/>
  <c r="IL433" i="1"/>
  <c r="IQ433" i="1"/>
  <c r="IF433" i="1"/>
  <c r="IN433" i="1"/>
  <c r="IB433" i="1"/>
  <c r="IE433" i="1"/>
  <c r="IH433" i="1"/>
  <c r="IK433" i="1"/>
  <c r="IR433" i="1"/>
  <c r="IC433" i="1"/>
  <c r="II433" i="1"/>
  <c r="HU436" i="1" l="1"/>
  <c r="HW435" i="1"/>
  <c r="HX435" i="1" s="1"/>
  <c r="IQ434" i="1"/>
  <c r="IO434" i="1"/>
  <c r="IK434" i="1"/>
  <c r="IB434" i="1"/>
  <c r="IE434" i="1"/>
  <c r="IR434" i="1"/>
  <c r="II434" i="1"/>
  <c r="IC434" i="1"/>
  <c r="IH434" i="1"/>
  <c r="IN434" i="1"/>
  <c r="IL434" i="1"/>
  <c r="IF434" i="1"/>
  <c r="IE435" i="1" l="1"/>
  <c r="IF435" i="1"/>
  <c r="IN435" i="1"/>
  <c r="IK435" i="1"/>
  <c r="IH435" i="1"/>
  <c r="IR435" i="1"/>
  <c r="IC435" i="1"/>
  <c r="IQ435" i="1"/>
  <c r="IB435" i="1"/>
  <c r="IL435" i="1"/>
  <c r="II435" i="1"/>
  <c r="IO435" i="1"/>
  <c r="HU437" i="1"/>
  <c r="HW436" i="1"/>
  <c r="HX436" i="1" s="1"/>
  <c r="IC436" i="1" l="1"/>
  <c r="IL436" i="1"/>
  <c r="IO436" i="1"/>
  <c r="IF436" i="1"/>
  <c r="IN436" i="1"/>
  <c r="II436" i="1"/>
  <c r="IK436" i="1"/>
  <c r="IH436" i="1"/>
  <c r="IB436" i="1"/>
  <c r="IE436" i="1"/>
  <c r="IR436" i="1"/>
  <c r="IQ436" i="1"/>
  <c r="HU438" i="1"/>
  <c r="HW437" i="1"/>
  <c r="HX437" i="1" s="1"/>
  <c r="IK437" i="1" l="1"/>
  <c r="IH437" i="1"/>
  <c r="IQ437" i="1"/>
  <c r="IC437" i="1"/>
  <c r="IB437" i="1"/>
  <c r="IO437" i="1"/>
  <c r="IR437" i="1"/>
  <c r="IE437" i="1"/>
  <c r="IN437" i="1"/>
  <c r="IL437" i="1"/>
  <c r="IF437" i="1"/>
  <c r="II437" i="1"/>
  <c r="HW438" i="1"/>
  <c r="HX438" i="1" s="1"/>
  <c r="HU439" i="1"/>
  <c r="HU440" i="1" l="1"/>
  <c r="HW439" i="1"/>
  <c r="HX439" i="1" s="1"/>
  <c r="IQ438" i="1"/>
  <c r="IK438" i="1"/>
  <c r="IO438" i="1"/>
  <c r="IR438" i="1"/>
  <c r="IH438" i="1"/>
  <c r="IF438" i="1"/>
  <c r="IN438" i="1"/>
  <c r="IB438" i="1"/>
  <c r="IE438" i="1"/>
  <c r="II438" i="1"/>
  <c r="IC438" i="1"/>
  <c r="IL438" i="1"/>
  <c r="IB439" i="1" l="1"/>
  <c r="IE439" i="1"/>
  <c r="IC439" i="1"/>
  <c r="IR439" i="1"/>
  <c r="IH439" i="1"/>
  <c r="IN439" i="1"/>
  <c r="IQ439" i="1"/>
  <c r="IO439" i="1"/>
  <c r="IK439" i="1"/>
  <c r="IF439" i="1"/>
  <c r="IL439" i="1"/>
  <c r="II439" i="1"/>
  <c r="HU441" i="1"/>
  <c r="HW440" i="1"/>
  <c r="HX440" i="1" s="1"/>
  <c r="IC440" i="1" l="1"/>
  <c r="IE440" i="1"/>
  <c r="IR440" i="1"/>
  <c r="IF440" i="1"/>
  <c r="IL440" i="1"/>
  <c r="IO440" i="1"/>
  <c r="IQ440" i="1"/>
  <c r="IH440" i="1"/>
  <c r="IN440" i="1"/>
  <c r="IB440" i="1"/>
  <c r="II440" i="1"/>
  <c r="IK440" i="1"/>
  <c r="HU442" i="1"/>
  <c r="HW441" i="1"/>
  <c r="HX441" i="1" s="1"/>
  <c r="IF441" i="1" l="1"/>
  <c r="IB441" i="1"/>
  <c r="IH441" i="1"/>
  <c r="IN441" i="1"/>
  <c r="IO441" i="1"/>
  <c r="IL441" i="1"/>
  <c r="IK441" i="1"/>
  <c r="IC441" i="1"/>
  <c r="IR441" i="1"/>
  <c r="II441" i="1"/>
  <c r="IE441" i="1"/>
  <c r="IQ441" i="1"/>
  <c r="HW442" i="1"/>
  <c r="HX442" i="1" s="1"/>
  <c r="HU443" i="1"/>
  <c r="HW443" i="1" l="1"/>
  <c r="HX443" i="1" s="1"/>
  <c r="HU444" i="1"/>
  <c r="IE442" i="1"/>
  <c r="IO442" i="1"/>
  <c r="IC442" i="1"/>
  <c r="IL442" i="1"/>
  <c r="IN442" i="1"/>
  <c r="IQ442" i="1"/>
  <c r="IF442" i="1"/>
  <c r="IK442" i="1"/>
  <c r="IB442" i="1"/>
  <c r="IH442" i="1"/>
  <c r="IR442" i="1"/>
  <c r="II442" i="1"/>
  <c r="HW444" i="1" l="1"/>
  <c r="HX444" i="1" s="1"/>
  <c r="HU445" i="1"/>
  <c r="IE443" i="1"/>
  <c r="IC443" i="1"/>
  <c r="IO443" i="1"/>
  <c r="IL443" i="1"/>
  <c r="IB443" i="1"/>
  <c r="IQ443" i="1"/>
  <c r="IK443" i="1"/>
  <c r="IN443" i="1"/>
  <c r="IF443" i="1"/>
  <c r="II443" i="1"/>
  <c r="IR443" i="1"/>
  <c r="IH443" i="1"/>
  <c r="HU446" i="1" l="1"/>
  <c r="HW445" i="1"/>
  <c r="HX445" i="1" s="1"/>
  <c r="IQ444" i="1"/>
  <c r="IH444" i="1"/>
  <c r="IO444" i="1"/>
  <c r="IB444" i="1"/>
  <c r="II444" i="1"/>
  <c r="IE444" i="1"/>
  <c r="IC444" i="1"/>
  <c r="IK444" i="1"/>
  <c r="IL444" i="1"/>
  <c r="IF444" i="1"/>
  <c r="IR444" i="1"/>
  <c r="IN444" i="1"/>
  <c r="II445" i="1" l="1"/>
  <c r="IH445" i="1"/>
  <c r="IN445" i="1"/>
  <c r="IQ445" i="1"/>
  <c r="IC445" i="1"/>
  <c r="IO445" i="1"/>
  <c r="IE445" i="1"/>
  <c r="IR445" i="1"/>
  <c r="IF445" i="1"/>
  <c r="IL445" i="1"/>
  <c r="IK445" i="1"/>
  <c r="IB445" i="1"/>
  <c r="HW446" i="1"/>
  <c r="HX446" i="1" s="1"/>
  <c r="HU447" i="1"/>
  <c r="HW447" i="1" l="1"/>
  <c r="HX447" i="1" s="1"/>
  <c r="HU448" i="1"/>
  <c r="IF446" i="1"/>
  <c r="IN446" i="1"/>
  <c r="II446" i="1"/>
  <c r="IK446" i="1"/>
  <c r="IH446" i="1"/>
  <c r="IE446" i="1"/>
  <c r="IB446" i="1"/>
  <c r="IL446" i="1"/>
  <c r="IC446" i="1"/>
  <c r="IO446" i="1"/>
  <c r="IQ446" i="1"/>
  <c r="IR446" i="1"/>
  <c r="HW448" i="1" l="1"/>
  <c r="HX448" i="1" s="1"/>
  <c r="HU449" i="1"/>
  <c r="IF447" i="1"/>
  <c r="IL447" i="1"/>
  <c r="IC447" i="1"/>
  <c r="IN447" i="1"/>
  <c r="IQ447" i="1"/>
  <c r="IO447" i="1"/>
  <c r="IK447" i="1"/>
  <c r="IR447" i="1"/>
  <c r="II447" i="1"/>
  <c r="IH447" i="1"/>
  <c r="IB447" i="1"/>
  <c r="IE447" i="1"/>
  <c r="HU450" i="1" l="1"/>
  <c r="HW449" i="1"/>
  <c r="HX449" i="1" s="1"/>
  <c r="IC448" i="1"/>
  <c r="IR448" i="1"/>
  <c r="IL448" i="1"/>
  <c r="II448" i="1"/>
  <c r="IB448" i="1"/>
  <c r="IK448" i="1"/>
  <c r="IE448" i="1"/>
  <c r="IF448" i="1"/>
  <c r="IO448" i="1"/>
  <c r="IN448" i="1"/>
  <c r="IQ448" i="1"/>
  <c r="IH448" i="1"/>
  <c r="IE449" i="1" l="1"/>
  <c r="IF449" i="1"/>
  <c r="IK449" i="1"/>
  <c r="IL449" i="1"/>
  <c r="IH449" i="1"/>
  <c r="IR449" i="1"/>
  <c r="IQ449" i="1"/>
  <c r="IO449" i="1"/>
  <c r="IN449" i="1"/>
  <c r="IB449" i="1"/>
  <c r="II449" i="1"/>
  <c r="IC449" i="1"/>
  <c r="HU451" i="1"/>
  <c r="HW450" i="1"/>
  <c r="HX450" i="1" s="1"/>
  <c r="II450" i="1" l="1"/>
  <c r="IN450" i="1"/>
  <c r="IF450" i="1"/>
  <c r="IH450" i="1"/>
  <c r="IQ450" i="1"/>
  <c r="IE450" i="1"/>
  <c r="IR450" i="1"/>
  <c r="IO450" i="1"/>
  <c r="IK450" i="1"/>
  <c r="IB450" i="1"/>
  <c r="IL450" i="1"/>
  <c r="IC450" i="1"/>
  <c r="HU452" i="1"/>
  <c r="HW451" i="1"/>
  <c r="HX451" i="1" s="1"/>
  <c r="IR451" i="1" l="1"/>
  <c r="IF451" i="1"/>
  <c r="IN451" i="1"/>
  <c r="IQ451" i="1"/>
  <c r="IH451" i="1"/>
  <c r="IC451" i="1"/>
  <c r="IL451" i="1"/>
  <c r="IB451" i="1"/>
  <c r="IO451" i="1"/>
  <c r="IK451" i="1"/>
  <c r="II451" i="1"/>
  <c r="IE451" i="1"/>
  <c r="HW452" i="1"/>
  <c r="HX452" i="1" s="1"/>
  <c r="HU453" i="1"/>
  <c r="HW453" i="1" l="1"/>
  <c r="HX453" i="1" s="1"/>
  <c r="HU454" i="1"/>
  <c r="IQ452" i="1"/>
  <c r="IH452" i="1"/>
  <c r="IN452" i="1"/>
  <c r="IK452" i="1"/>
  <c r="IF452" i="1"/>
  <c r="IL452" i="1"/>
  <c r="IO452" i="1"/>
  <c r="IB452" i="1"/>
  <c r="II452" i="1"/>
  <c r="IC452" i="1"/>
  <c r="IE452" i="1"/>
  <c r="IR452" i="1"/>
  <c r="HW454" i="1" l="1"/>
  <c r="HX454" i="1" s="1"/>
  <c r="HU455" i="1"/>
  <c r="IE453" i="1"/>
  <c r="IF453" i="1"/>
  <c r="IR453" i="1"/>
  <c r="IN453" i="1"/>
  <c r="IH453" i="1"/>
  <c r="II453" i="1"/>
  <c r="IK453" i="1"/>
  <c r="IC453" i="1"/>
  <c r="IQ453" i="1"/>
  <c r="IL453" i="1"/>
  <c r="IB453" i="1"/>
  <c r="IO453" i="1"/>
  <c r="HU456" i="1" l="1"/>
  <c r="HW455" i="1"/>
  <c r="HX455" i="1" s="1"/>
  <c r="II454" i="1"/>
  <c r="IF454" i="1"/>
  <c r="IL454" i="1"/>
  <c r="IO454" i="1"/>
  <c r="IB454" i="1"/>
  <c r="IC454" i="1"/>
  <c r="IK454" i="1"/>
  <c r="IH454" i="1"/>
  <c r="IN454" i="1"/>
  <c r="IE454" i="1"/>
  <c r="IQ454" i="1"/>
  <c r="IR454" i="1"/>
  <c r="IL455" i="1" l="1"/>
  <c r="IE455" i="1"/>
  <c r="IC455" i="1"/>
  <c r="IF455" i="1"/>
  <c r="IN455" i="1"/>
  <c r="IQ455" i="1"/>
  <c r="IH455" i="1"/>
  <c r="IO455" i="1"/>
  <c r="IR455" i="1"/>
  <c r="II455" i="1"/>
  <c r="IK455" i="1"/>
  <c r="IB455" i="1"/>
  <c r="HU457" i="1"/>
  <c r="HW456" i="1"/>
  <c r="HX456" i="1" s="1"/>
  <c r="IC456" i="1" l="1"/>
  <c r="IE456" i="1"/>
  <c r="IR456" i="1"/>
  <c r="IF456" i="1"/>
  <c r="IL456" i="1"/>
  <c r="IO456" i="1"/>
  <c r="IQ456" i="1"/>
  <c r="IH456" i="1"/>
  <c r="IN456" i="1"/>
  <c r="IB456" i="1"/>
  <c r="II456" i="1"/>
  <c r="IK456" i="1"/>
  <c r="HW457" i="1"/>
  <c r="HX457" i="1" s="1"/>
  <c r="HU458" i="1"/>
  <c r="HU459" i="1" l="1"/>
  <c r="HW458" i="1"/>
  <c r="HX458" i="1" s="1"/>
  <c r="IE457" i="1"/>
  <c r="IQ457" i="1"/>
  <c r="IH457" i="1"/>
  <c r="IL457" i="1"/>
  <c r="IB457" i="1"/>
  <c r="IC457" i="1"/>
  <c r="IK457" i="1"/>
  <c r="IF457" i="1"/>
  <c r="II457" i="1"/>
  <c r="IN457" i="1"/>
  <c r="IO457" i="1"/>
  <c r="IR457" i="1"/>
  <c r="II458" i="1" l="1"/>
  <c r="IE458" i="1"/>
  <c r="IO458" i="1"/>
  <c r="IQ458" i="1"/>
  <c r="IL458" i="1"/>
  <c r="IC458" i="1"/>
  <c r="IB458" i="1"/>
  <c r="IN458" i="1"/>
  <c r="IF458" i="1"/>
  <c r="IK458" i="1"/>
  <c r="IH458" i="1"/>
  <c r="IR458" i="1"/>
  <c r="HW459" i="1"/>
  <c r="HX459" i="1" s="1"/>
  <c r="HU460" i="1"/>
  <c r="HW460" i="1" l="1"/>
  <c r="HX460" i="1" s="1"/>
  <c r="HU461" i="1"/>
  <c r="IL459" i="1"/>
  <c r="IN459" i="1"/>
  <c r="II459" i="1"/>
  <c r="IK459" i="1"/>
  <c r="IR459" i="1"/>
  <c r="IF459" i="1"/>
  <c r="IC459" i="1"/>
  <c r="IE459" i="1"/>
  <c r="IQ459" i="1"/>
  <c r="IH459" i="1"/>
  <c r="IB459" i="1"/>
  <c r="IO459" i="1"/>
  <c r="HW461" i="1" l="1"/>
  <c r="HX461" i="1" s="1"/>
  <c r="HU462" i="1"/>
  <c r="IE460" i="1"/>
  <c r="IQ460" i="1"/>
  <c r="IH460" i="1"/>
  <c r="IL460" i="1"/>
  <c r="IB460" i="1"/>
  <c r="II460" i="1"/>
  <c r="IN460" i="1"/>
  <c r="IK460" i="1"/>
  <c r="IR460" i="1"/>
  <c r="IO460" i="1"/>
  <c r="IC460" i="1"/>
  <c r="IF460" i="1"/>
  <c r="HW462" i="1" l="1"/>
  <c r="HX462" i="1" s="1"/>
  <c r="HU463" i="1"/>
  <c r="IQ461" i="1"/>
  <c r="IH461" i="1"/>
  <c r="IK461" i="1"/>
  <c r="IB461" i="1"/>
  <c r="IE461" i="1"/>
  <c r="IR461" i="1"/>
  <c r="IO461" i="1"/>
  <c r="II461" i="1"/>
  <c r="IL461" i="1"/>
  <c r="IF461" i="1"/>
  <c r="IN461" i="1"/>
  <c r="IC461" i="1"/>
  <c r="IN462" i="1" l="1"/>
  <c r="IQ462" i="1"/>
  <c r="IH462" i="1"/>
  <c r="IK462" i="1"/>
  <c r="IB462" i="1"/>
  <c r="IO462" i="1"/>
  <c r="IR462" i="1"/>
  <c r="II462" i="1"/>
  <c r="IL462" i="1"/>
  <c r="IC462" i="1"/>
  <c r="IF462" i="1"/>
  <c r="IE462" i="1"/>
  <c r="HW463" i="1"/>
  <c r="HX463" i="1" s="1"/>
  <c r="HU464" i="1"/>
  <c r="HU465" i="1" l="1"/>
  <c r="HW464" i="1"/>
  <c r="HX464" i="1" s="1"/>
  <c r="II463" i="1"/>
  <c r="IL463" i="1"/>
  <c r="IC463" i="1"/>
  <c r="IF463" i="1"/>
  <c r="IN463" i="1"/>
  <c r="IH463" i="1"/>
  <c r="IQ463" i="1"/>
  <c r="IO463" i="1"/>
  <c r="IK463" i="1"/>
  <c r="IB463" i="1"/>
  <c r="IE463" i="1"/>
  <c r="IR463" i="1"/>
  <c r="IN464" i="1" l="1"/>
  <c r="IB464" i="1"/>
  <c r="II464" i="1"/>
  <c r="IF464" i="1"/>
  <c r="IK464" i="1"/>
  <c r="IC464" i="1"/>
  <c r="IR464" i="1"/>
  <c r="IL464" i="1"/>
  <c r="IQ464" i="1"/>
  <c r="IH464" i="1"/>
  <c r="IE464" i="1"/>
  <c r="IO464" i="1"/>
  <c r="HU466" i="1"/>
  <c r="HW465" i="1"/>
  <c r="HX465" i="1" s="1"/>
  <c r="IQ465" i="1" l="1"/>
  <c r="IE465" i="1"/>
  <c r="IR465" i="1"/>
  <c r="IB465" i="1"/>
  <c r="IL465" i="1"/>
  <c r="II465" i="1"/>
  <c r="IO465" i="1"/>
  <c r="IN465" i="1"/>
  <c r="IF465" i="1"/>
  <c r="IH465" i="1"/>
  <c r="IK465" i="1"/>
  <c r="IC465" i="1"/>
  <c r="HW466" i="1"/>
  <c r="HX466" i="1" s="1"/>
  <c r="HU467" i="1"/>
  <c r="HW467" i="1" l="1"/>
  <c r="HX467" i="1" s="1"/>
  <c r="HU468" i="1"/>
  <c r="IR466" i="1"/>
  <c r="IN466" i="1"/>
  <c r="IF466" i="1"/>
  <c r="II466" i="1"/>
  <c r="IK466" i="1"/>
  <c r="IH466" i="1"/>
  <c r="IO466" i="1"/>
  <c r="IE466" i="1"/>
  <c r="IQ466" i="1"/>
  <c r="IL466" i="1"/>
  <c r="IC466" i="1"/>
  <c r="IB466" i="1"/>
  <c r="HU469" i="1" l="1"/>
  <c r="HW468" i="1"/>
  <c r="HX468" i="1" s="1"/>
  <c r="IQ467" i="1"/>
  <c r="IH467" i="1"/>
  <c r="IR467" i="1"/>
  <c r="IB467" i="1"/>
  <c r="IE467" i="1"/>
  <c r="IC467" i="1"/>
  <c r="II467" i="1"/>
  <c r="IL467" i="1"/>
  <c r="IO467" i="1"/>
  <c r="IF467" i="1"/>
  <c r="IK467" i="1"/>
  <c r="IN467" i="1"/>
  <c r="IR468" i="1" l="1"/>
  <c r="II468" i="1"/>
  <c r="IQ468" i="1"/>
  <c r="IL468" i="1"/>
  <c r="IC468" i="1"/>
  <c r="IB468" i="1"/>
  <c r="IE468" i="1"/>
  <c r="IF468" i="1"/>
  <c r="IK468" i="1"/>
  <c r="IN468" i="1"/>
  <c r="IH468" i="1"/>
  <c r="IO468" i="1"/>
  <c r="HU470" i="1"/>
  <c r="HW469" i="1"/>
  <c r="HX469" i="1" s="1"/>
  <c r="IO469" i="1" l="1"/>
  <c r="II469" i="1"/>
  <c r="IL469" i="1"/>
  <c r="IF469" i="1"/>
  <c r="IH469" i="1"/>
  <c r="IN469" i="1"/>
  <c r="IQ469" i="1"/>
  <c r="IK469" i="1"/>
  <c r="IC469" i="1"/>
  <c r="IB469" i="1"/>
  <c r="IR469" i="1"/>
  <c r="IE469" i="1"/>
  <c r="HU471" i="1"/>
  <c r="HW470" i="1"/>
  <c r="HX470" i="1" s="1"/>
  <c r="IN470" i="1" l="1"/>
  <c r="IF470" i="1"/>
  <c r="II470" i="1"/>
  <c r="IO470" i="1"/>
  <c r="IH470" i="1"/>
  <c r="IK470" i="1"/>
  <c r="IE470" i="1"/>
  <c r="IR470" i="1"/>
  <c r="IQ470" i="1"/>
  <c r="IL470" i="1"/>
  <c r="IC470" i="1"/>
  <c r="IB470" i="1"/>
  <c r="HW471" i="1"/>
  <c r="HX471" i="1" s="1"/>
  <c r="HU472" i="1"/>
  <c r="HW472" i="1" l="1"/>
  <c r="HX472" i="1" s="1"/>
  <c r="HU473" i="1"/>
  <c r="IB471" i="1"/>
  <c r="IK471" i="1"/>
  <c r="II471" i="1"/>
  <c r="IE471" i="1"/>
  <c r="IR471" i="1"/>
  <c r="IF471" i="1"/>
  <c r="IL471" i="1"/>
  <c r="IC471" i="1"/>
  <c r="IQ471" i="1"/>
  <c r="IH471" i="1"/>
  <c r="IN471" i="1"/>
  <c r="IO471" i="1"/>
  <c r="HW473" i="1" l="1"/>
  <c r="HX473" i="1" s="1"/>
  <c r="HU474" i="1"/>
  <c r="IE472" i="1"/>
  <c r="IO472" i="1"/>
  <c r="IF472" i="1"/>
  <c r="IL472" i="1"/>
  <c r="IQ472" i="1"/>
  <c r="IH472" i="1"/>
  <c r="IN472" i="1"/>
  <c r="IB472" i="1"/>
  <c r="II472" i="1"/>
  <c r="IK472" i="1"/>
  <c r="IC472" i="1"/>
  <c r="IR472" i="1"/>
  <c r="HU475" i="1" l="1"/>
  <c r="HW474" i="1"/>
  <c r="HX474" i="1" s="1"/>
  <c r="IQ473" i="1"/>
  <c r="IH473" i="1"/>
  <c r="IN473" i="1"/>
  <c r="IK473" i="1"/>
  <c r="IO473" i="1"/>
  <c r="IR473" i="1"/>
  <c r="IB473" i="1"/>
  <c r="IC473" i="1"/>
  <c r="IF473" i="1"/>
  <c r="IL473" i="1"/>
  <c r="II473" i="1"/>
  <c r="IE473" i="1"/>
  <c r="IN474" i="1" l="1"/>
  <c r="IB474" i="1"/>
  <c r="IO474" i="1"/>
  <c r="IK474" i="1"/>
  <c r="II474" i="1"/>
  <c r="IE474" i="1"/>
  <c r="IR474" i="1"/>
  <c r="IC474" i="1"/>
  <c r="IF474" i="1"/>
  <c r="IL474" i="1"/>
  <c r="IQ474" i="1"/>
  <c r="IH474" i="1"/>
  <c r="HW475" i="1"/>
  <c r="HX475" i="1" s="1"/>
  <c r="HU476" i="1"/>
  <c r="HU477" i="1" l="1"/>
  <c r="HW476" i="1"/>
  <c r="HX476" i="1" s="1"/>
  <c r="IQ475" i="1"/>
  <c r="IH475" i="1"/>
  <c r="IN475" i="1"/>
  <c r="II475" i="1"/>
  <c r="IE475" i="1"/>
  <c r="IR475" i="1"/>
  <c r="IC475" i="1"/>
  <c r="IK475" i="1"/>
  <c r="IF475" i="1"/>
  <c r="IL475" i="1"/>
  <c r="IB475" i="1"/>
  <c r="IO475" i="1"/>
  <c r="H46" i="1"/>
  <c r="IN476" i="1" l="1"/>
  <c r="IB476" i="1"/>
  <c r="II476" i="1"/>
  <c r="IK476" i="1"/>
  <c r="IC476" i="1"/>
  <c r="IE476" i="1"/>
  <c r="IR476" i="1"/>
  <c r="IF476" i="1"/>
  <c r="IL476" i="1"/>
  <c r="IQ476" i="1"/>
  <c r="IH476" i="1"/>
  <c r="IO476" i="1"/>
  <c r="HW477" i="1"/>
  <c r="HX477" i="1" s="1"/>
  <c r="HU478" i="1"/>
  <c r="HW478" i="1" l="1"/>
  <c r="HX478" i="1" s="1"/>
  <c r="HU479" i="1"/>
  <c r="IQ477" i="1"/>
  <c r="IE477" i="1"/>
  <c r="IR477" i="1"/>
  <c r="IB477" i="1"/>
  <c r="IL477" i="1"/>
  <c r="IC477" i="1"/>
  <c r="II477" i="1"/>
  <c r="IH477" i="1"/>
  <c r="IO477" i="1"/>
  <c r="IN477" i="1"/>
  <c r="IF477" i="1"/>
  <c r="IK477" i="1"/>
  <c r="HW479" i="1" l="1"/>
  <c r="HX479" i="1" s="1"/>
  <c r="HU480" i="1"/>
  <c r="IN478" i="1"/>
  <c r="IB478" i="1"/>
  <c r="IO478" i="1"/>
  <c r="IE478" i="1"/>
  <c r="IC478" i="1"/>
  <c r="IF478" i="1"/>
  <c r="IL478" i="1"/>
  <c r="IQ478" i="1"/>
  <c r="IH478" i="1"/>
  <c r="IK478" i="1"/>
  <c r="II478" i="1"/>
  <c r="IR478" i="1"/>
  <c r="BG54" i="1"/>
  <c r="CS74" i="1"/>
  <c r="CP74" i="1" s="1"/>
  <c r="CS90" i="1"/>
  <c r="CP90" i="1" s="1"/>
  <c r="CS68" i="1"/>
  <c r="CP68" i="1" s="1"/>
  <c r="CS102" i="1"/>
  <c r="CP102" i="1" s="1"/>
  <c r="CS54" i="1"/>
  <c r="CP54" i="1" s="1"/>
  <c r="CS70" i="1"/>
  <c r="CP70" i="1" s="1"/>
  <c r="CS52" i="1"/>
  <c r="CP52" i="1" s="1"/>
  <c r="CS65" i="1"/>
  <c r="CP65" i="1" s="1"/>
  <c r="CS79" i="1"/>
  <c r="CP79" i="1" s="1"/>
  <c r="CS61" i="1"/>
  <c r="CP61" i="1" s="1"/>
  <c r="CS49" i="1"/>
  <c r="CP49" i="1" s="1"/>
  <c r="CS63" i="1"/>
  <c r="CP63" i="1" s="1"/>
  <c r="CS86" i="1"/>
  <c r="CP86" i="1" s="1"/>
  <c r="CS97" i="1"/>
  <c r="CP97" i="1" s="1"/>
  <c r="CS72" i="1"/>
  <c r="CP72" i="1" s="1"/>
  <c r="CS69" i="1"/>
  <c r="CP69" i="1" s="1"/>
  <c r="CS75" i="1"/>
  <c r="CP75" i="1" s="1"/>
  <c r="CS87" i="1"/>
  <c r="CP87" i="1" s="1"/>
  <c r="CS64" i="1"/>
  <c r="CP64" i="1" s="1"/>
  <c r="CS101" i="1"/>
  <c r="CP101" i="1" s="1"/>
  <c r="CS99" i="1"/>
  <c r="CP99" i="1" s="1"/>
  <c r="CS76" i="1"/>
  <c r="CP76" i="1" s="1"/>
  <c r="CS98" i="1"/>
  <c r="CP98" i="1" s="1"/>
  <c r="CS51" i="1"/>
  <c r="CP51" i="1" s="1"/>
  <c r="CS105" i="1"/>
  <c r="CP105" i="1" s="1"/>
  <c r="CS55" i="1"/>
  <c r="CP55" i="1" s="1"/>
  <c r="CS96" i="1"/>
  <c r="CP96" i="1" s="1"/>
  <c r="CS53" i="1"/>
  <c r="CP53" i="1" s="1"/>
  <c r="CS71" i="1"/>
  <c r="CP71" i="1" s="1"/>
  <c r="CS82" i="1"/>
  <c r="CP82" i="1" s="1"/>
  <c r="CS84" i="1"/>
  <c r="CP84" i="1" s="1"/>
  <c r="CS100" i="1"/>
  <c r="CP100" i="1" s="1"/>
  <c r="CS66" i="1"/>
  <c r="CP66" i="1" s="1"/>
  <c r="CS42" i="1"/>
  <c r="CP42" i="1" s="1"/>
  <c r="CS47" i="1"/>
  <c r="CP47" i="1" s="1"/>
  <c r="CS40" i="1"/>
  <c r="CP40" i="1" s="1"/>
  <c r="CS26" i="1"/>
  <c r="CP26" i="1" s="1"/>
  <c r="CS36" i="1"/>
  <c r="CP36" i="1" s="1"/>
  <c r="CS18" i="1"/>
  <c r="CP18" i="1" s="1"/>
  <c r="CS24" i="1"/>
  <c r="CP24" i="1" s="1"/>
  <c r="CS38" i="1"/>
  <c r="CP38" i="1" s="1"/>
  <c r="CS27" i="1"/>
  <c r="CP27" i="1" s="1"/>
  <c r="CS11" i="1"/>
  <c r="CP11" i="1" s="1"/>
  <c r="CS77" i="1"/>
  <c r="CP77" i="1" s="1"/>
  <c r="CS104" i="1"/>
  <c r="CP104" i="1" s="1"/>
  <c r="CS89" i="1"/>
  <c r="CP89" i="1" s="1"/>
  <c r="CS59" i="1"/>
  <c r="CP59" i="1" s="1"/>
  <c r="CS94" i="1"/>
  <c r="CP94" i="1" s="1"/>
  <c r="CS56" i="1"/>
  <c r="CP56" i="1" s="1"/>
  <c r="CS62" i="1"/>
  <c r="CP62" i="1" s="1"/>
  <c r="CS58" i="1"/>
  <c r="CP58" i="1" s="1"/>
  <c r="CS80" i="1"/>
  <c r="CP80" i="1" s="1"/>
  <c r="CS92" i="1"/>
  <c r="CP92" i="1" s="1"/>
  <c r="CS91" i="1"/>
  <c r="CP91" i="1" s="1"/>
  <c r="CS93" i="1"/>
  <c r="CP93" i="1" s="1"/>
  <c r="CS83" i="1"/>
  <c r="CP83" i="1" s="1"/>
  <c r="CS12" i="1"/>
  <c r="CP12" i="1" s="1"/>
  <c r="CS20" i="1"/>
  <c r="CP20" i="1" s="1"/>
  <c r="CS19" i="1"/>
  <c r="CP19" i="1" s="1"/>
  <c r="CS29" i="1"/>
  <c r="CP29" i="1" s="1"/>
  <c r="CS23" i="1"/>
  <c r="CP23" i="1" s="1"/>
  <c r="CS13" i="1"/>
  <c r="CP13" i="1" s="1"/>
  <c r="CS10" i="1"/>
  <c r="CP10" i="1" s="1"/>
  <c r="CS25" i="1"/>
  <c r="CP25" i="1" s="1"/>
  <c r="CS31" i="1"/>
  <c r="CP31" i="1" s="1"/>
  <c r="CS81" i="1"/>
  <c r="CP81" i="1" s="1"/>
  <c r="CS106" i="1"/>
  <c r="CP106" i="1" s="1"/>
  <c r="CS67" i="1"/>
  <c r="CP67" i="1" s="1"/>
  <c r="CS78" i="1"/>
  <c r="CP78" i="1" s="1"/>
  <c r="CS48" i="1"/>
  <c r="CP48" i="1" s="1"/>
  <c r="CS28" i="1"/>
  <c r="CP28" i="1" s="1"/>
  <c r="CS33" i="1"/>
  <c r="CP33" i="1" s="1"/>
  <c r="CS37" i="1"/>
  <c r="CP37" i="1" s="1"/>
  <c r="CS34" i="1"/>
  <c r="CP34" i="1" s="1"/>
  <c r="CS21" i="1"/>
  <c r="CP21" i="1" s="1"/>
  <c r="CS32" i="1"/>
  <c r="CP32" i="1" s="1"/>
  <c r="CS44" i="1"/>
  <c r="CP44" i="1" s="1"/>
  <c r="CS73" i="1"/>
  <c r="CP73" i="1" s="1"/>
  <c r="CS85" i="1"/>
  <c r="CP85" i="1" s="1"/>
  <c r="CS41" i="1"/>
  <c r="CP41" i="1" s="1"/>
  <c r="CS4" i="1"/>
  <c r="CP4" i="1" s="1"/>
  <c r="CS6" i="1"/>
  <c r="CP6" i="1" s="1"/>
  <c r="CS103" i="1"/>
  <c r="CP103" i="1" s="1"/>
  <c r="CS57" i="1"/>
  <c r="CP57" i="1" s="1"/>
  <c r="CS60" i="1"/>
  <c r="CP60" i="1" s="1"/>
  <c r="CS88" i="1"/>
  <c r="CP88" i="1" s="1"/>
  <c r="CS39" i="1"/>
  <c r="CP39" i="1" s="1"/>
  <c r="CS14" i="1"/>
  <c r="CP14" i="1" s="1"/>
  <c r="CS5" i="1"/>
  <c r="CP5" i="1" s="1"/>
  <c r="CS22" i="1"/>
  <c r="CP22" i="1" s="1"/>
  <c r="CS35" i="1"/>
  <c r="CP35" i="1" s="1"/>
  <c r="CS16" i="1"/>
  <c r="CP16" i="1" s="1"/>
  <c r="CS30" i="1"/>
  <c r="CP30" i="1" s="1"/>
  <c r="CS15" i="1"/>
  <c r="CP15" i="1" s="1"/>
  <c r="CS17" i="1"/>
  <c r="CP17" i="1" s="1"/>
  <c r="CS95" i="1"/>
  <c r="CP95" i="1" s="1"/>
  <c r="CS50" i="1"/>
  <c r="CP50" i="1" s="1"/>
  <c r="CS43" i="1"/>
  <c r="CP43" i="1" s="1"/>
  <c r="CS45" i="1"/>
  <c r="CP45" i="1" s="1"/>
  <c r="CS46" i="1"/>
  <c r="CP46" i="1" s="1"/>
  <c r="HU481" i="1" l="1"/>
  <c r="HW480" i="1"/>
  <c r="HX480" i="1" s="1"/>
  <c r="IQ479" i="1"/>
  <c r="IK479" i="1"/>
  <c r="IH479" i="1"/>
  <c r="IB479" i="1"/>
  <c r="IR479" i="1"/>
  <c r="IE479" i="1"/>
  <c r="IO479" i="1"/>
  <c r="IF479" i="1"/>
  <c r="IN479" i="1"/>
  <c r="II479" i="1"/>
  <c r="IC479" i="1"/>
  <c r="IL479" i="1"/>
  <c r="IR480" i="1" l="1"/>
  <c r="IN480" i="1"/>
  <c r="IB480" i="1"/>
  <c r="IC480" i="1"/>
  <c r="IF480" i="1"/>
  <c r="IK480" i="1"/>
  <c r="II480" i="1"/>
  <c r="IL480" i="1"/>
  <c r="IE480" i="1"/>
  <c r="IH480" i="1"/>
  <c r="IO480" i="1"/>
  <c r="IQ480" i="1"/>
  <c r="HW481" i="1"/>
  <c r="HX481" i="1" s="1"/>
  <c r="HU482" i="1"/>
  <c r="HW482" i="1" l="1"/>
  <c r="HX482" i="1" s="1"/>
  <c r="HU483" i="1"/>
  <c r="IO481" i="1"/>
  <c r="IE481" i="1"/>
  <c r="IR481" i="1"/>
  <c r="IQ481" i="1"/>
  <c r="IH481" i="1"/>
  <c r="IN481" i="1"/>
  <c r="IF481" i="1"/>
  <c r="IL481" i="1"/>
  <c r="II481" i="1"/>
  <c r="IB481" i="1"/>
  <c r="IC481" i="1"/>
  <c r="IK481" i="1"/>
  <c r="HU484" i="1" l="1"/>
  <c r="HW483" i="1"/>
  <c r="HX483" i="1" s="1"/>
  <c r="IN482" i="1"/>
  <c r="IB482" i="1"/>
  <c r="IR482" i="1"/>
  <c r="IK482" i="1"/>
  <c r="IF482" i="1"/>
  <c r="II482" i="1"/>
  <c r="IE482" i="1"/>
  <c r="IC482" i="1"/>
  <c r="IH482" i="1"/>
  <c r="IO482" i="1"/>
  <c r="IL482" i="1"/>
  <c r="IQ482" i="1"/>
  <c r="IC483" i="1" l="1"/>
  <c r="IL483" i="1"/>
  <c r="IO483" i="1"/>
  <c r="IF483" i="1"/>
  <c r="IN483" i="1"/>
  <c r="IQ483" i="1"/>
  <c r="II483" i="1"/>
  <c r="IK483" i="1"/>
  <c r="IH483" i="1"/>
  <c r="IB483" i="1"/>
  <c r="IE483" i="1"/>
  <c r="IR483" i="1"/>
  <c r="HW484" i="1"/>
  <c r="HX484" i="1" s="1"/>
  <c r="HU485" i="1"/>
  <c r="HW485" i="1" l="1"/>
  <c r="HX485" i="1" s="1"/>
  <c r="HU486" i="1"/>
  <c r="IQ484" i="1"/>
  <c r="IL484" i="1"/>
  <c r="IO484" i="1"/>
  <c r="II484" i="1"/>
  <c r="IB484" i="1"/>
  <c r="IN484" i="1"/>
  <c r="IF484" i="1"/>
  <c r="IE484" i="1"/>
  <c r="IR484" i="1"/>
  <c r="IC484" i="1"/>
  <c r="IK484" i="1"/>
  <c r="IH484" i="1"/>
  <c r="HU487" i="1" l="1"/>
  <c r="HW486" i="1"/>
  <c r="HX486" i="1" s="1"/>
  <c r="IL485" i="1"/>
  <c r="II485" i="1"/>
  <c r="IF485" i="1"/>
  <c r="IK485" i="1"/>
  <c r="IN485" i="1"/>
  <c r="IQ485" i="1"/>
  <c r="IH485" i="1"/>
  <c r="IB485" i="1"/>
  <c r="IE485" i="1"/>
  <c r="IR485" i="1"/>
  <c r="IO485" i="1"/>
  <c r="IC485" i="1"/>
  <c r="IQ486" i="1" l="1"/>
  <c r="IH486" i="1"/>
  <c r="IK486" i="1"/>
  <c r="IB486" i="1"/>
  <c r="IE486" i="1"/>
  <c r="IR486" i="1"/>
  <c r="II486" i="1"/>
  <c r="IL486" i="1"/>
  <c r="IC486" i="1"/>
  <c r="IF486" i="1"/>
  <c r="IN486" i="1"/>
  <c r="IO486" i="1"/>
  <c r="HW487" i="1"/>
  <c r="HX487" i="1" s="1"/>
  <c r="HU488" i="1"/>
  <c r="HW488" i="1" l="1"/>
  <c r="HX488" i="1" s="1"/>
  <c r="HU489" i="1"/>
  <c r="IQ487" i="1"/>
  <c r="IL487" i="1"/>
  <c r="IC487" i="1"/>
  <c r="IB487" i="1"/>
  <c r="IN487" i="1"/>
  <c r="IF487" i="1"/>
  <c r="IO487" i="1"/>
  <c r="IK487" i="1"/>
  <c r="IH487" i="1"/>
  <c r="IE487" i="1"/>
  <c r="IR487" i="1"/>
  <c r="II487" i="1"/>
  <c r="HW489" i="1" l="1"/>
  <c r="HX489" i="1" s="1"/>
  <c r="HU490" i="1"/>
  <c r="IQ488" i="1"/>
  <c r="IE488" i="1"/>
  <c r="IR488" i="1"/>
  <c r="IB488" i="1"/>
  <c r="IL488" i="1"/>
  <c r="IO488" i="1"/>
  <c r="IK488" i="1"/>
  <c r="II488" i="1"/>
  <c r="IN488" i="1"/>
  <c r="IH488" i="1"/>
  <c r="IF488" i="1"/>
  <c r="IC488" i="1"/>
  <c r="HW490" i="1" l="1"/>
  <c r="HX490" i="1" s="1"/>
  <c r="HU491" i="1"/>
  <c r="IH489" i="1"/>
  <c r="IQ489" i="1"/>
  <c r="IL489" i="1"/>
  <c r="IK489" i="1"/>
  <c r="IB489" i="1"/>
  <c r="IN489" i="1"/>
  <c r="IO489" i="1"/>
  <c r="IR489" i="1"/>
  <c r="IC489" i="1"/>
  <c r="IF489" i="1"/>
  <c r="II489" i="1"/>
  <c r="IE489" i="1"/>
  <c r="HU492" i="1" l="1"/>
  <c r="HW491" i="1"/>
  <c r="HX491" i="1" s="1"/>
  <c r="II490" i="1"/>
  <c r="IR490" i="1"/>
  <c r="IH490" i="1"/>
  <c r="IF490" i="1"/>
  <c r="IC490" i="1"/>
  <c r="IE490" i="1"/>
  <c r="IO490" i="1"/>
  <c r="IQ490" i="1"/>
  <c r="IL490" i="1"/>
  <c r="IK490" i="1"/>
  <c r="IB490" i="1"/>
  <c r="IN490" i="1"/>
  <c r="IF491" i="1" l="1"/>
  <c r="IN491" i="1"/>
  <c r="II491" i="1"/>
  <c r="IQ491" i="1"/>
  <c r="IE491" i="1"/>
  <c r="IC491" i="1"/>
  <c r="IO491" i="1"/>
  <c r="IK491" i="1"/>
  <c r="IH491" i="1"/>
  <c r="IR491" i="1"/>
  <c r="IB491" i="1"/>
  <c r="IL491" i="1"/>
  <c r="HW492" i="1"/>
  <c r="HX492" i="1" s="1"/>
  <c r="HU493" i="1"/>
  <c r="HU494" i="1" l="1"/>
  <c r="HW493" i="1"/>
  <c r="HX493" i="1" s="1"/>
  <c r="IB492" i="1"/>
  <c r="IN492" i="1"/>
  <c r="IO492" i="1"/>
  <c r="IH492" i="1"/>
  <c r="IC492" i="1"/>
  <c r="IQ492" i="1"/>
  <c r="IE492" i="1"/>
  <c r="IK492" i="1"/>
  <c r="IF492" i="1"/>
  <c r="IL492" i="1"/>
  <c r="IR492" i="1"/>
  <c r="II492" i="1"/>
  <c r="IO493" i="1" l="1"/>
  <c r="IH493" i="1"/>
  <c r="IQ493" i="1"/>
  <c r="IL493" i="1"/>
  <c r="IK493" i="1"/>
  <c r="IN493" i="1"/>
  <c r="IR493" i="1"/>
  <c r="II493" i="1"/>
  <c r="IF493" i="1"/>
  <c r="IE493" i="1"/>
  <c r="IC493" i="1"/>
  <c r="IB493" i="1"/>
  <c r="HW494" i="1"/>
  <c r="HX494" i="1" s="1"/>
  <c r="HU495" i="1"/>
  <c r="HU496" i="1" l="1"/>
  <c r="HW495" i="1"/>
  <c r="HX495" i="1" s="1"/>
  <c r="IQ494" i="1"/>
  <c r="IL494" i="1"/>
  <c r="IC494" i="1"/>
  <c r="IE494" i="1"/>
  <c r="IR494" i="1"/>
  <c r="IB494" i="1"/>
  <c r="IN494" i="1"/>
  <c r="IF494" i="1"/>
  <c r="II494" i="1"/>
  <c r="IK494" i="1"/>
  <c r="IH494" i="1"/>
  <c r="IO494" i="1"/>
  <c r="IO495" i="1" l="1"/>
  <c r="IH495" i="1"/>
  <c r="IF495" i="1"/>
  <c r="IC495" i="1"/>
  <c r="IE495" i="1"/>
  <c r="IK495" i="1"/>
  <c r="II495" i="1"/>
  <c r="IB495" i="1"/>
  <c r="IQ495" i="1"/>
  <c r="IL495" i="1"/>
  <c r="IR495" i="1"/>
  <c r="IN495" i="1"/>
  <c r="HU497" i="1"/>
  <c r="HW496" i="1"/>
  <c r="HX496" i="1" s="1"/>
  <c r="IQ496" i="1" l="1"/>
  <c r="IC496" i="1"/>
  <c r="IN496" i="1"/>
  <c r="IR496" i="1"/>
  <c r="IH496" i="1"/>
  <c r="IF496" i="1"/>
  <c r="IO496" i="1"/>
  <c r="IE496" i="1"/>
  <c r="II496" i="1"/>
  <c r="IB496" i="1"/>
  <c r="IL496" i="1"/>
  <c r="IK496" i="1"/>
  <c r="HU498" i="1"/>
  <c r="HW497" i="1"/>
  <c r="HX497" i="1" s="1"/>
  <c r="IO497" i="1" l="1"/>
  <c r="IL497" i="1"/>
  <c r="II497" i="1"/>
  <c r="IF497" i="1"/>
  <c r="IN497" i="1"/>
  <c r="IH497" i="1"/>
  <c r="IQ497" i="1"/>
  <c r="IC497" i="1"/>
  <c r="IK497" i="1"/>
  <c r="IB497" i="1"/>
  <c r="IE497" i="1"/>
  <c r="IR497" i="1"/>
  <c r="HW498" i="1"/>
  <c r="HX498" i="1" s="1"/>
  <c r="HU499" i="1"/>
  <c r="HW499" i="1" l="1"/>
  <c r="HX499" i="1" s="1"/>
  <c r="HU500" i="1"/>
  <c r="IL498" i="1"/>
  <c r="IB498" i="1"/>
  <c r="IN498" i="1"/>
  <c r="IK498" i="1"/>
  <c r="II498" i="1"/>
  <c r="IC498" i="1"/>
  <c r="IR498" i="1"/>
  <c r="IE498" i="1"/>
  <c r="IF498" i="1"/>
  <c r="IH498" i="1"/>
  <c r="IQ498" i="1"/>
  <c r="IO498" i="1"/>
  <c r="HW500" i="1" l="1"/>
  <c r="HX500" i="1" s="1"/>
  <c r="HU501" i="1"/>
  <c r="IQ499" i="1"/>
  <c r="IL499" i="1"/>
  <c r="IH499" i="1"/>
  <c r="IB499" i="1"/>
  <c r="IN499" i="1"/>
  <c r="IK499" i="1"/>
  <c r="II499" i="1"/>
  <c r="IR499" i="1"/>
  <c r="IC499" i="1"/>
  <c r="IE499" i="1"/>
  <c r="IF499" i="1"/>
  <c r="IO499" i="1"/>
  <c r="HU502" i="1" l="1"/>
  <c r="HW501" i="1"/>
  <c r="HX501" i="1" s="1"/>
  <c r="IB500" i="1"/>
  <c r="IO500" i="1"/>
  <c r="II500" i="1"/>
  <c r="IH500" i="1"/>
  <c r="IF500" i="1"/>
  <c r="IE500" i="1"/>
  <c r="IK500" i="1"/>
  <c r="IC500" i="1"/>
  <c r="IQ500" i="1"/>
  <c r="IL500" i="1"/>
  <c r="IR500" i="1"/>
  <c r="IN500" i="1"/>
  <c r="IO501" i="1" l="1"/>
  <c r="IF501" i="1"/>
  <c r="II501" i="1"/>
  <c r="IE501" i="1"/>
  <c r="IC501" i="1"/>
  <c r="IQ501" i="1"/>
  <c r="IL501" i="1"/>
  <c r="IK501" i="1"/>
  <c r="IB501" i="1"/>
  <c r="IN501" i="1"/>
  <c r="IR501" i="1"/>
  <c r="IH501" i="1"/>
  <c r="HW502" i="1"/>
  <c r="HX502" i="1" s="1"/>
  <c r="HU503" i="1"/>
  <c r="HW503" i="1" l="1"/>
  <c r="HX503" i="1" s="1"/>
  <c r="HU504" i="1"/>
  <c r="IQ502" i="1"/>
  <c r="IL502" i="1"/>
  <c r="IR502" i="1"/>
  <c r="IB502" i="1"/>
  <c r="IN502" i="1"/>
  <c r="IC502" i="1"/>
  <c r="II502" i="1"/>
  <c r="IH502" i="1"/>
  <c r="IE502" i="1"/>
  <c r="IK502" i="1"/>
  <c r="IO502" i="1"/>
  <c r="IF502" i="1"/>
  <c r="HU505" i="1" l="1"/>
  <c r="HW505" i="1" s="1"/>
  <c r="HW504" i="1"/>
  <c r="HX504" i="1" s="1"/>
  <c r="IQ503" i="1"/>
  <c r="IL503" i="1"/>
  <c r="IO503" i="1"/>
  <c r="II503" i="1"/>
  <c r="IR503" i="1"/>
  <c r="IB503" i="1"/>
  <c r="IN503" i="1"/>
  <c r="IK503" i="1"/>
  <c r="IC503" i="1"/>
  <c r="IE503" i="1"/>
  <c r="IF503" i="1"/>
  <c r="IH503" i="1"/>
  <c r="BF54" i="1"/>
  <c r="HX505" i="1" l="1"/>
  <c r="Y22" i="1"/>
  <c r="AP6" i="1"/>
  <c r="Z22" i="1"/>
  <c r="IE504" i="1"/>
  <c r="IK504" i="1"/>
  <c r="IF504" i="1"/>
  <c r="IL504" i="1"/>
  <c r="IR504" i="1"/>
  <c r="IC504" i="1"/>
  <c r="IQ504" i="1"/>
  <c r="IN504" i="1"/>
  <c r="IO504" i="1"/>
  <c r="IB504" i="1"/>
  <c r="IH504" i="1"/>
  <c r="II504" i="1"/>
  <c r="AQ6" i="1"/>
  <c r="E45" i="1" l="1"/>
  <c r="I45" i="1"/>
  <c r="Y14" i="1"/>
  <c r="AP14" i="1"/>
  <c r="Z6" i="1"/>
  <c r="D46" i="1"/>
  <c r="AQ14" i="1"/>
  <c r="Y6" i="1"/>
  <c r="AP22" i="1"/>
  <c r="AQ22" i="1"/>
  <c r="IB505" i="1"/>
  <c r="IB506" i="1" s="1"/>
  <c r="IC505" i="1"/>
  <c r="IK505" i="1"/>
  <c r="IK506" i="1" s="1"/>
  <c r="II505" i="1"/>
  <c r="IN505" i="1"/>
  <c r="IN506" i="1" s="1"/>
  <c r="IL505" i="1"/>
  <c r="IO505" i="1"/>
  <c r="IR505" i="1"/>
  <c r="IE505" i="1"/>
  <c r="IE506" i="1" s="1"/>
  <c r="IH505" i="1"/>
  <c r="IH506" i="1" s="1"/>
  <c r="IQ505" i="1"/>
  <c r="IQ506" i="1" s="1"/>
  <c r="IF505" i="1"/>
  <c r="Z14" i="1"/>
  <c r="Y17" i="1" l="1"/>
  <c r="Y16" i="1"/>
  <c r="Y29" i="1"/>
  <c r="Z29" i="1"/>
  <c r="Y9" i="1"/>
  <c r="IC506" i="1"/>
  <c r="IF506" i="1"/>
  <c r="Y8" i="1"/>
  <c r="IO506" i="1"/>
  <c r="IL506" i="1"/>
  <c r="IR506" i="1"/>
  <c r="II506" i="1"/>
  <c r="B29" i="1" l="1"/>
  <c r="BP1" i="6"/>
  <c r="CO4" i="1" a="1"/>
  <c r="CO103" i="1"/>
  <c r="CO36" i="1"/>
  <c r="CO63" i="1"/>
  <c r="CO38" i="1"/>
  <c r="CO79" i="1"/>
  <c r="CO13" i="1"/>
  <c r="CO35" i="1"/>
  <c r="CO45" i="1"/>
  <c r="CO47" i="1"/>
  <c r="CO77" i="1"/>
  <c r="CO78" i="1"/>
  <c r="CO80" i="1"/>
  <c r="CO18" i="1"/>
  <c r="CO43" i="1"/>
  <c r="CO68" i="1"/>
  <c r="CO96" i="1"/>
  <c r="CO71" i="1"/>
  <c r="CO84" i="1"/>
  <c r="CO90" i="1"/>
  <c r="CO106" i="1"/>
  <c r="CO25" i="1"/>
  <c r="CO83" i="1"/>
  <c r="CO73" i="1"/>
  <c r="CO54" i="1"/>
  <c r="CO28" i="1"/>
  <c r="CO76" i="1"/>
  <c r="CO5" i="1"/>
  <c r="CO94" i="1"/>
  <c r="CO29" i="1"/>
  <c r="CO42" i="1"/>
  <c r="CO7" i="1"/>
  <c r="CO101" i="1"/>
  <c r="CO37" i="1"/>
  <c r="CO82" i="1"/>
  <c r="CO10" i="1"/>
  <c r="CO16" i="1"/>
  <c r="CO57" i="1"/>
  <c r="CO75" i="1"/>
  <c r="CO6" i="1"/>
  <c r="CO62" i="1"/>
  <c r="CO50" i="1"/>
  <c r="CO55" i="1"/>
  <c r="CO87" i="1"/>
  <c r="CO31" i="1"/>
  <c r="CO89" i="1"/>
  <c r="CO19" i="1"/>
  <c r="CO67" i="1"/>
  <c r="CO74" i="1"/>
  <c r="CO21" i="1"/>
  <c r="CO12" i="1"/>
  <c r="CO52" i="1"/>
  <c r="CO46" i="1"/>
  <c r="CO99" i="1"/>
  <c r="CO39" i="1"/>
  <c r="CO93" i="1"/>
  <c r="CO65" i="1"/>
  <c r="CO32" i="1"/>
  <c r="CO86" i="1"/>
  <c r="CO100" i="1"/>
  <c r="CO95" i="1"/>
  <c r="CO14" i="1"/>
  <c r="CO53" i="1"/>
  <c r="CO91" i="1"/>
  <c r="CO23" i="1"/>
  <c r="CO58" i="1"/>
  <c r="CO104" i="1"/>
  <c r="CO20" i="1"/>
  <c r="CO49" i="1"/>
  <c r="CO51" i="1"/>
  <c r="CO97" i="1"/>
  <c r="CO22" i="1"/>
  <c r="CO44" i="1"/>
  <c r="CO111" i="1"/>
  <c r="CO17" i="1"/>
  <c r="CO92" i="1"/>
  <c r="CO66" i="1"/>
  <c r="CO107" i="1"/>
  <c r="CO41" i="1"/>
  <c r="CO110" i="1"/>
  <c r="CO34" i="1"/>
  <c r="CO102" i="1"/>
  <c r="CO24" i="1"/>
  <c r="CO98" i="1"/>
  <c r="CO40" i="1"/>
  <c r="CO108" i="1"/>
  <c r="CO105" i="1"/>
  <c r="CO70" i="1"/>
  <c r="CO11" i="1"/>
  <c r="CO48" i="1"/>
  <c r="CO60" i="1"/>
  <c r="CO27" i="1"/>
  <c r="CO59" i="1"/>
  <c r="CO56" i="1"/>
  <c r="CO30" i="1"/>
  <c r="CO81" i="1"/>
  <c r="CO15" i="1"/>
  <c r="CO69" i="1"/>
  <c r="CO109" i="1"/>
  <c r="CO4" i="1"/>
  <c r="CO64" i="1"/>
  <c r="CO85" i="1"/>
  <c r="CO26" i="1"/>
  <c r="CO88" i="1"/>
  <c r="CO8" i="1"/>
  <c r="CO33" i="1"/>
  <c r="CO61" i="1"/>
  <c r="CO9" i="1"/>
  <c r="CO72" i="1"/>
  <c r="BB51" i="1" l="1"/>
  <c r="BB22" i="1"/>
  <c r="BB18" i="1"/>
  <c r="BB35" i="1"/>
  <c r="BB26" i="1"/>
  <c r="BB39" i="1"/>
  <c r="BB48" i="1"/>
  <c r="BB24" i="1"/>
  <c r="BB44" i="1"/>
  <c r="BB40" i="1"/>
  <c r="BB28" i="1"/>
  <c r="BB43" i="1"/>
  <c r="BB37" i="1"/>
  <c r="BB31" i="1"/>
  <c r="BB49" i="1"/>
  <c r="BB14" i="1"/>
  <c r="BB38" i="1"/>
  <c r="BB47" i="1"/>
  <c r="BB54" i="1"/>
  <c r="BB23" i="1"/>
  <c r="BB20" i="1"/>
  <c r="BB30" i="1"/>
  <c r="BB41" i="1"/>
  <c r="BB36" i="1"/>
  <c r="BB27" i="1"/>
  <c r="BB52" i="1"/>
  <c r="BB16" i="1"/>
  <c r="BB13" i="1"/>
  <c r="BB32" i="1"/>
  <c r="BB11" i="1"/>
  <c r="BB21" i="1"/>
  <c r="BB33" i="1"/>
  <c r="BB34" i="1"/>
  <c r="BB53" i="1"/>
  <c r="BB25" i="1"/>
  <c r="BB42" i="1"/>
  <c r="BB46" i="1"/>
  <c r="BB15" i="1"/>
  <c r="BB50" i="1"/>
  <c r="BB12" i="1"/>
  <c r="BB29" i="1"/>
  <c r="BB19" i="1"/>
  <c r="BB45" i="1"/>
  <c r="BB17" i="1"/>
  <c r="BB10" i="1"/>
  <c r="BL13" i="1" l="1"/>
  <c r="BL11" i="1"/>
  <c r="BL12" i="1"/>
  <c r="BL10" i="1"/>
  <c r="BF50" i="1"/>
  <c r="BF49" i="1"/>
  <c r="BH19" i="1"/>
  <c r="BE23" i="1"/>
  <c r="BE12" i="1"/>
  <c r="BE50" i="1"/>
  <c r="BF16" i="1"/>
  <c r="BE10" i="1"/>
  <c r="BE40" i="1"/>
  <c r="BF24" i="1"/>
  <c r="BE52" i="1"/>
  <c r="BG13" i="1"/>
  <c r="BG27" i="1"/>
  <c r="BI27" i="1"/>
  <c r="BF26" i="1"/>
  <c r="BG41" i="1"/>
  <c r="BE54" i="1"/>
  <c r="BI53" i="1"/>
  <c r="BI29" i="1"/>
  <c r="BI19" i="1"/>
  <c r="BI35" i="1"/>
  <c r="BI17" i="1"/>
  <c r="BF42" i="1"/>
  <c r="BF46" i="1"/>
  <c r="BE33" i="1"/>
  <c r="BI44" i="1"/>
  <c r="BF22" i="1"/>
  <c r="BE20" i="1"/>
  <c r="BE25" i="1"/>
  <c r="BF27" i="1"/>
  <c r="BG36" i="1"/>
  <c r="BF31" i="1"/>
  <c r="BI49" i="1"/>
  <c r="BE27" i="1"/>
  <c r="BH32" i="1"/>
  <c r="BE13" i="1"/>
  <c r="BH53" i="1"/>
  <c r="BL54" i="1"/>
  <c r="BF45" i="1"/>
  <c r="BI14" i="1"/>
  <c r="BI25" i="1"/>
  <c r="BE32" i="1"/>
  <c r="BH37" i="1"/>
  <c r="BI11" i="1"/>
  <c r="BH21" i="1"/>
  <c r="BI48" i="1"/>
  <c r="BG45" i="1"/>
  <c r="BF48" i="1"/>
  <c r="BH17" i="1"/>
  <c r="BI12" i="1"/>
  <c r="BG38" i="1"/>
  <c r="BE46" i="1"/>
  <c r="BI23" i="1"/>
  <c r="BI34" i="1"/>
  <c r="BF34" i="1"/>
  <c r="BF39" i="1"/>
  <c r="BI41" i="1"/>
  <c r="BE38" i="1"/>
  <c r="BF44" i="1"/>
  <c r="BF37" i="1"/>
  <c r="BE17" i="1"/>
  <c r="BE26" i="1"/>
  <c r="BG43" i="1"/>
  <c r="BH11" i="1"/>
  <c r="BF15" i="1"/>
  <c r="BG21" i="1"/>
  <c r="BE15" i="1"/>
  <c r="BI50" i="1"/>
  <c r="BI15" i="1"/>
  <c r="BH13" i="1"/>
  <c r="BI51" i="1"/>
  <c r="BH26" i="1"/>
  <c r="BH31" i="1"/>
  <c r="BF30" i="1"/>
  <c r="BH50" i="1"/>
  <c r="BI39" i="1"/>
  <c r="BG33" i="1"/>
  <c r="BE39" i="1"/>
  <c r="BG34" i="1"/>
  <c r="BG53" i="1"/>
  <c r="BE41" i="1"/>
  <c r="BI42" i="1"/>
  <c r="BH34" i="1"/>
  <c r="BF21" i="1"/>
  <c r="BE29" i="1"/>
  <c r="BH43" i="1"/>
  <c r="BF20" i="1"/>
  <c r="BF28" i="1"/>
  <c r="BG17" i="1"/>
  <c r="BI52" i="1"/>
  <c r="BG18" i="1"/>
  <c r="BH38" i="1"/>
  <c r="BE43" i="1"/>
  <c r="BG47" i="1"/>
  <c r="BF40" i="1"/>
  <c r="BI10" i="1"/>
  <c r="BF13" i="1"/>
  <c r="BI26" i="1"/>
  <c r="BI28" i="1"/>
  <c r="BI16" i="1"/>
  <c r="BG50" i="1"/>
  <c r="BE21" i="1"/>
  <c r="BH23" i="1"/>
  <c r="BG11" i="1"/>
  <c r="BH39" i="1"/>
  <c r="BF52" i="1"/>
  <c r="BF38" i="1"/>
  <c r="BI22" i="1"/>
  <c r="BG25" i="1"/>
  <c r="BH24" i="1"/>
  <c r="BF53" i="1"/>
  <c r="BG16" i="1"/>
  <c r="BI31" i="1"/>
  <c r="BE16" i="1"/>
  <c r="BG31" i="1"/>
  <c r="BI18" i="1"/>
  <c r="BI38" i="1"/>
  <c r="BE31" i="1"/>
  <c r="BE48" i="1"/>
  <c r="BF51" i="1"/>
  <c r="BE24" i="1"/>
  <c r="BG24" i="1"/>
  <c r="BG44" i="1"/>
  <c r="BH36" i="1"/>
  <c r="BG35" i="1"/>
  <c r="BF12" i="1"/>
  <c r="BE45" i="1"/>
  <c r="BF32" i="1"/>
  <c r="BH16" i="1"/>
  <c r="BG19" i="1"/>
  <c r="BH14" i="1"/>
  <c r="BE34" i="1"/>
  <c r="BH18" i="1"/>
  <c r="BG49" i="1"/>
  <c r="BF33" i="1"/>
  <c r="BH22" i="1"/>
  <c r="BH52" i="1"/>
  <c r="BI32" i="1"/>
  <c r="BI46" i="1"/>
  <c r="BF29" i="1"/>
  <c r="BI21" i="1"/>
  <c r="BE19" i="1"/>
  <c r="BH15" i="1"/>
  <c r="BH30" i="1"/>
  <c r="BF11" i="1"/>
  <c r="BE49" i="1"/>
  <c r="BE36" i="1"/>
  <c r="BG28" i="1"/>
  <c r="BI37" i="1"/>
  <c r="BH42" i="1"/>
  <c r="BH41" i="1"/>
  <c r="BI20" i="1"/>
  <c r="BH27" i="1"/>
  <c r="BE11" i="1"/>
  <c r="BG26" i="1"/>
  <c r="BG12" i="1"/>
  <c r="BG29" i="1"/>
  <c r="BG20" i="1"/>
  <c r="BG22" i="1"/>
  <c r="BF17" i="1"/>
  <c r="BH48" i="1"/>
  <c r="BF43" i="1"/>
  <c r="BE37" i="1"/>
  <c r="BG42" i="1"/>
  <c r="BH25" i="1"/>
  <c r="BF14" i="1"/>
  <c r="BH40" i="1"/>
  <c r="BE14" i="1"/>
  <c r="BH35" i="1"/>
  <c r="BF41" i="1"/>
  <c r="BG10" i="1"/>
  <c r="BH45" i="1"/>
  <c r="BG46" i="1"/>
  <c r="BF23" i="1"/>
  <c r="BG32" i="1"/>
  <c r="BG39" i="1"/>
  <c r="BF18" i="1"/>
  <c r="BH51" i="1"/>
  <c r="BH28" i="1"/>
  <c r="BI13" i="1"/>
  <c r="BI30" i="1"/>
  <c r="BI36" i="1"/>
  <c r="BG14" i="1"/>
  <c r="BI43" i="1"/>
  <c r="BE44" i="1"/>
  <c r="BI33" i="1"/>
  <c r="BF47" i="1"/>
  <c r="BF19" i="1"/>
  <c r="BH44" i="1"/>
  <c r="BH10" i="1"/>
  <c r="BH12" i="1"/>
  <c r="BE47" i="1"/>
  <c r="BH33" i="1"/>
  <c r="BG30" i="1"/>
  <c r="BE18" i="1"/>
  <c r="BE51" i="1"/>
  <c r="BE42" i="1"/>
  <c r="BE35" i="1"/>
  <c r="BE28" i="1"/>
  <c r="BE22" i="1"/>
  <c r="BK54" i="1"/>
  <c r="BF35" i="1"/>
  <c r="BG23" i="1"/>
  <c r="BH49" i="1"/>
  <c r="BH20" i="1"/>
  <c r="BG52" i="1"/>
  <c r="BG40" i="1"/>
  <c r="BH46" i="1"/>
  <c r="BI47" i="1"/>
  <c r="BH47" i="1"/>
  <c r="BF10" i="1"/>
  <c r="BF25" i="1"/>
  <c r="BI40" i="1"/>
  <c r="BE30" i="1"/>
  <c r="BH29" i="1"/>
  <c r="BI45" i="1"/>
  <c r="BG51" i="1"/>
  <c r="BI24" i="1"/>
  <c r="BG48" i="1"/>
  <c r="BG37" i="1"/>
  <c r="BF36" i="1"/>
  <c r="BG15" i="1"/>
  <c r="BE53" i="1"/>
  <c r="CO3" i="1" l="1"/>
  <c r="BJ13" i="1"/>
  <c r="BK13" i="1"/>
  <c r="BJ21" i="1"/>
  <c r="BJ32" i="1"/>
  <c r="BJ51" i="1"/>
  <c r="BL38" i="1"/>
  <c r="BL47" i="1"/>
  <c r="BJ53" i="1"/>
  <c r="BJ54" i="1"/>
  <c r="BJ14" i="1"/>
  <c r="BL19" i="1"/>
  <c r="BK39" i="1"/>
  <c r="BJ30" i="1"/>
  <c r="BL27" i="1"/>
  <c r="BJ34" i="1"/>
  <c r="BK10" i="1"/>
  <c r="BK44" i="1"/>
  <c r="BL37" i="1"/>
  <c r="BJ22" i="1"/>
  <c r="BL36" i="1"/>
  <c r="BK47" i="1"/>
  <c r="BL51" i="1"/>
  <c r="BJ44" i="1"/>
  <c r="BL42" i="1"/>
  <c r="BL34" i="1"/>
  <c r="BL16" i="1"/>
  <c r="BK48" i="1"/>
  <c r="BJ38" i="1"/>
  <c r="BL21" i="1"/>
  <c r="BL20" i="1"/>
  <c r="BL30" i="1"/>
  <c r="BK15" i="1"/>
  <c r="BJ11" i="1"/>
  <c r="BL50" i="1"/>
  <c r="BK51" i="1"/>
  <c r="BJ25" i="1"/>
  <c r="BJ45" i="1"/>
  <c r="BJ23" i="1"/>
  <c r="BK24" i="1"/>
  <c r="BJ48" i="1"/>
  <c r="BK20" i="1"/>
  <c r="BK28" i="1"/>
  <c r="BL18" i="1"/>
  <c r="BL45" i="1"/>
  <c r="BK49" i="1"/>
  <c r="BJ28" i="1"/>
  <c r="BL49" i="1"/>
  <c r="BK35" i="1"/>
  <c r="BK45" i="1"/>
  <c r="BJ46" i="1"/>
  <c r="BK21" i="1"/>
  <c r="BJ43" i="1"/>
  <c r="BJ36" i="1"/>
  <c r="BK40" i="1"/>
  <c r="BK11" i="1"/>
  <c r="BL29" i="1"/>
  <c r="BK14" i="1"/>
  <c r="BJ29" i="1"/>
  <c r="BK46" i="1"/>
  <c r="BL32" i="1"/>
  <c r="BL33" i="1"/>
  <c r="BL39" i="1"/>
  <c r="BK19" i="1"/>
  <c r="BJ19" i="1"/>
  <c r="BJ16" i="1"/>
  <c r="BL41" i="1"/>
  <c r="BL48" i="1"/>
  <c r="BK17" i="1"/>
  <c r="BJ35" i="1"/>
  <c r="BK33" i="1"/>
  <c r="BL40" i="1"/>
  <c r="BL31" i="1"/>
  <c r="BL52" i="1"/>
  <c r="BK16" i="1"/>
  <c r="BL17" i="1"/>
  <c r="BK18" i="1"/>
  <c r="BL24" i="1"/>
  <c r="BL14" i="1"/>
  <c r="BJ33" i="1"/>
  <c r="BL25" i="1"/>
  <c r="BK42" i="1"/>
  <c r="BJ37" i="1"/>
  <c r="BL43" i="1"/>
  <c r="BK32" i="1"/>
  <c r="BK23" i="1"/>
  <c r="BJ18" i="1"/>
  <c r="BL22" i="1"/>
  <c r="BK25" i="1"/>
  <c r="BK36" i="1"/>
  <c r="BL44" i="1"/>
  <c r="BL23" i="1"/>
  <c r="BJ15" i="1"/>
  <c r="BK50" i="1"/>
  <c r="BJ52" i="1"/>
  <c r="BJ49" i="1"/>
  <c r="BK53" i="1"/>
  <c r="BJ50" i="1"/>
  <c r="BK26" i="1"/>
  <c r="BK31" i="1"/>
  <c r="BL53" i="1"/>
  <c r="BJ12" i="1"/>
  <c r="BJ41" i="1"/>
  <c r="BK52" i="1"/>
  <c r="BJ42" i="1"/>
  <c r="BJ27" i="1"/>
  <c r="BL46" i="1"/>
  <c r="BJ39" i="1"/>
  <c r="BJ24" i="1"/>
  <c r="BK38" i="1"/>
  <c r="BJ17" i="1"/>
  <c r="BJ31" i="1"/>
  <c r="BJ40" i="1"/>
  <c r="BK34" i="1"/>
  <c r="BJ20" i="1"/>
  <c r="BL26" i="1"/>
  <c r="BL28" i="1"/>
  <c r="BL35" i="1"/>
  <c r="BK29" i="1"/>
  <c r="BK41" i="1"/>
  <c r="BK27" i="1"/>
  <c r="BK22" i="1"/>
  <c r="BJ47" i="1"/>
  <c r="BJ10" i="1"/>
  <c r="BJ26" i="1"/>
  <c r="BK37" i="1"/>
  <c r="BK30" i="1"/>
  <c r="BK12" i="1"/>
  <c r="BL15" i="1"/>
  <c r="BK43" i="1"/>
</calcChain>
</file>

<file path=xl/sharedStrings.xml><?xml version="1.0" encoding="utf-8"?>
<sst xmlns="http://schemas.openxmlformats.org/spreadsheetml/2006/main" count="6543" uniqueCount="682">
  <si>
    <t>Linear Shaft Motor  Application Worksheet</t>
  </si>
  <si>
    <t>Forcer</t>
  </si>
  <si>
    <t>Shaft</t>
  </si>
  <si>
    <t>Units</t>
  </si>
  <si>
    <t>Linear Shaft Motors</t>
  </si>
  <si>
    <t>Single Drive</t>
  </si>
  <si>
    <t>Dual Drive</t>
  </si>
  <si>
    <t>Mass</t>
  </si>
  <si>
    <t>Parameter</t>
  </si>
  <si>
    <t>Value</t>
  </si>
  <si>
    <t>Move Profiles</t>
  </si>
  <si>
    <t>kg</t>
  </si>
  <si>
    <t>lbs</t>
  </si>
  <si>
    <t>degrees</t>
  </si>
  <si>
    <t>Segment #1</t>
  </si>
  <si>
    <t>0.xx</t>
  </si>
  <si>
    <t>Force</t>
  </si>
  <si>
    <t>Newton</t>
  </si>
  <si>
    <t>Traverse time:</t>
  </si>
  <si>
    <t>Ambient Temp:</t>
  </si>
  <si>
    <t>°C</t>
  </si>
  <si>
    <t>Dwell time:</t>
  </si>
  <si>
    <t>Max. allowable coil temp:</t>
  </si>
  <si>
    <t>Move distance:</t>
  </si>
  <si>
    <t>mm</t>
  </si>
  <si>
    <t>Distance</t>
  </si>
  <si>
    <t>Vdc</t>
  </si>
  <si>
    <t>Linear Shaft Motor Selection</t>
  </si>
  <si>
    <t>(Select model)</t>
  </si>
  <si>
    <t>Temperature</t>
  </si>
  <si>
    <t>Motor Model:</t>
  </si>
  <si>
    <t>°F</t>
  </si>
  <si>
    <t>?</t>
  </si>
  <si>
    <t>Voltage</t>
  </si>
  <si>
    <t>Vac</t>
  </si>
  <si>
    <t>Move</t>
  </si>
  <si>
    <t>S</t>
  </si>
  <si>
    <t>A1</t>
  </si>
  <si>
    <t>T</t>
  </si>
  <si>
    <t>D</t>
  </si>
  <si>
    <t>P</t>
  </si>
  <si>
    <t>A2</t>
  </si>
  <si>
    <t>A3</t>
  </si>
  <si>
    <t>A4</t>
  </si>
  <si>
    <t>A5</t>
  </si>
  <si>
    <t>A6</t>
  </si>
  <si>
    <t>Time</t>
  </si>
  <si>
    <t>Velocity</t>
  </si>
  <si>
    <t>Shaft Motor Specifications</t>
  </si>
  <si>
    <t>At room temperature(23℃)</t>
  </si>
  <si>
    <t>Specifications</t>
  </si>
  <si>
    <t>Continuous Force(*1)</t>
  </si>
  <si>
    <t>N</t>
  </si>
  <si>
    <t>Continuous Current(*1)</t>
  </si>
  <si>
    <t>A</t>
  </si>
  <si>
    <t>Peek Force</t>
  </si>
  <si>
    <t>Peek Current</t>
  </si>
  <si>
    <t>Force Constant   Kf</t>
  </si>
  <si>
    <t>N/A</t>
  </si>
  <si>
    <t>Back EMF</t>
  </si>
  <si>
    <t>V/m/s</t>
  </si>
  <si>
    <t>Resistance (*2)</t>
  </si>
  <si>
    <t>Ω</t>
  </si>
  <si>
    <t>Inductance (*3)</t>
  </si>
  <si>
    <t>mH</t>
  </si>
  <si>
    <t>Thermal Resistance  Kq</t>
  </si>
  <si>
    <t>°C/W</t>
  </si>
  <si>
    <t>Dimensions</t>
  </si>
  <si>
    <t>Moving Coil Length</t>
  </si>
  <si>
    <t>Moving Coil Width</t>
  </si>
  <si>
    <t>Forcer Weight</t>
  </si>
  <si>
    <t>Gap</t>
  </si>
  <si>
    <t>Diameter</t>
  </si>
  <si>
    <t>Pole (N-N) Distance</t>
  </si>
  <si>
    <t>Available Stroke</t>
  </si>
  <si>
    <t>Spacing</t>
  </si>
  <si>
    <t>Results</t>
  </si>
  <si>
    <t>RMS Force</t>
  </si>
  <si>
    <t>Mechanical</t>
  </si>
  <si>
    <t>Moving Coil Height</t>
  </si>
  <si>
    <t>Screw Pitch (P)</t>
  </si>
  <si>
    <t>Screw Pitch (P1)</t>
  </si>
  <si>
    <t>Screw Depth</t>
  </si>
  <si>
    <t>Cable V location</t>
  </si>
  <si>
    <t>Cable H location</t>
  </si>
  <si>
    <t>Cable Dim</t>
  </si>
  <si>
    <t>Cable Bend mult</t>
  </si>
  <si>
    <t>Support Stroke</t>
  </si>
  <si>
    <t>Support Length</t>
  </si>
  <si>
    <t>(*1) In case temperature of coil surface inside forcer is 110K.</t>
  </si>
  <si>
    <t>(*2) Mean value of U-V,V-W,W-V</t>
  </si>
  <si>
    <t>(*3) Mean value of U-V,V-W,W-V</t>
  </si>
  <si>
    <t>RMS</t>
  </si>
  <si>
    <t>Peek</t>
  </si>
  <si>
    <t>Stroke</t>
  </si>
  <si>
    <t>Calculators</t>
  </si>
  <si>
    <t>Triangle   1/2, 1,2</t>
  </si>
  <si>
    <t>Variable Trapezoidal</t>
  </si>
  <si>
    <t>Trapezoidal  1/3, 1/3, 1/3</t>
  </si>
  <si>
    <t>Know</t>
  </si>
  <si>
    <t xml:space="preserve">Acceleration </t>
  </si>
  <si>
    <t>Solve</t>
  </si>
  <si>
    <t>Supply Any 2</t>
  </si>
  <si>
    <t>Move Distance</t>
  </si>
  <si>
    <t>Traverse Distance</t>
  </si>
  <si>
    <t>Move Time</t>
  </si>
  <si>
    <t>Traverse Time</t>
  </si>
  <si>
    <t>Acc/Dec Time</t>
  </si>
  <si>
    <t>m/sec</t>
  </si>
  <si>
    <t>in/sec</t>
  </si>
  <si>
    <t>g</t>
  </si>
  <si>
    <t>Max Stroke</t>
  </si>
  <si>
    <t>Cont. stall Force:</t>
  </si>
  <si>
    <t>Peak Force:</t>
  </si>
  <si>
    <t>Force Constant:</t>
  </si>
  <si>
    <t>Coil Weight:</t>
  </si>
  <si>
    <t>Back EMF Constant:</t>
  </si>
  <si>
    <t>Inductance:</t>
  </si>
  <si>
    <t>Thermal Resistance:</t>
  </si>
  <si>
    <t>Resistance:</t>
  </si>
  <si>
    <t>sec</t>
  </si>
  <si>
    <t>Model</t>
  </si>
  <si>
    <t>Unit：kg</t>
  </si>
  <si>
    <t>Stroke mm</t>
  </si>
  <si>
    <t>Forcer weight</t>
  </si>
  <si>
    <t>c</t>
  </si>
  <si>
    <r>
      <t>m/sec</t>
    </r>
    <r>
      <rPr>
        <vertAlign val="superscript"/>
        <sz val="8"/>
        <rFont val="Arial"/>
        <family val="2"/>
      </rPr>
      <t>2</t>
    </r>
  </si>
  <si>
    <t>Velocity:</t>
  </si>
  <si>
    <r>
      <t>in/sec</t>
    </r>
    <r>
      <rPr>
        <vertAlign val="superscript"/>
        <sz val="8"/>
        <rFont val="Arial"/>
        <family val="2"/>
      </rPr>
      <t>2</t>
    </r>
  </si>
  <si>
    <t>Accel rates:</t>
  </si>
  <si>
    <t>FS</t>
  </si>
  <si>
    <t>FD</t>
  </si>
  <si>
    <t>SS</t>
  </si>
  <si>
    <t>Cont</t>
  </si>
  <si>
    <t>Peak</t>
  </si>
  <si>
    <t>Coil Temp</t>
  </si>
  <si>
    <t>Coil Temp rise</t>
  </si>
  <si>
    <t>Peak Force</t>
  </si>
  <si>
    <t>Peak Vol</t>
  </si>
  <si>
    <t>F/c</t>
  </si>
  <si>
    <t>Motion Profile</t>
  </si>
  <si>
    <t>X = N</t>
  </si>
  <si>
    <t>oz</t>
  </si>
  <si>
    <t>grams</t>
  </si>
  <si>
    <t>X = kg</t>
  </si>
  <si>
    <t>lb</t>
  </si>
  <si>
    <t>slug</t>
  </si>
  <si>
    <t>Linear Speed</t>
  </si>
  <si>
    <t>mm/s</t>
  </si>
  <si>
    <t>in/min</t>
  </si>
  <si>
    <t>m/min</t>
  </si>
  <si>
    <t>Linear Displacement</t>
  </si>
  <si>
    <t>in</t>
  </si>
  <si>
    <t>ft</t>
  </si>
  <si>
    <t>m</t>
  </si>
  <si>
    <t>x = sec</t>
  </si>
  <si>
    <t>msec</t>
  </si>
  <si>
    <t>min</t>
  </si>
  <si>
    <t>in/s^2</t>
  </si>
  <si>
    <t>ft/s^2</t>
  </si>
  <si>
    <t>m/s^2</t>
  </si>
  <si>
    <t>mm/s^2</t>
  </si>
  <si>
    <t>cm/s^2</t>
  </si>
  <si>
    <t>X = mm</t>
  </si>
  <si>
    <r>
      <t>m/sec</t>
    </r>
    <r>
      <rPr>
        <vertAlign val="superscript"/>
        <sz val="8"/>
        <color indexed="8"/>
        <rFont val="Arial"/>
        <family val="2"/>
      </rPr>
      <t>2</t>
    </r>
  </si>
  <si>
    <t>Unit Converters</t>
  </si>
  <si>
    <t>End Cap</t>
  </si>
  <si>
    <t>Screw</t>
  </si>
  <si>
    <t>Depth</t>
  </si>
  <si>
    <t>Cable V</t>
  </si>
  <si>
    <t>Cable H</t>
  </si>
  <si>
    <t>Cable Bend</t>
  </si>
  <si>
    <t>Orientation / Incline</t>
  </si>
  <si>
    <t>Load</t>
  </si>
  <si>
    <t>Friction coefficient</t>
  </si>
  <si>
    <t>Environmental Temperature</t>
  </si>
  <si>
    <t>Electrical Specifications</t>
  </si>
  <si>
    <t>Allowable Temperature</t>
  </si>
  <si>
    <t>Mechanical Specifications</t>
  </si>
  <si>
    <t>Allowable Temperature Rise</t>
  </si>
  <si>
    <t>°K</t>
  </si>
  <si>
    <t>Forcer (Coil)</t>
  </si>
  <si>
    <t>Power Source Voltage</t>
  </si>
  <si>
    <t>Arms</t>
  </si>
  <si>
    <t>Preload (Continuous Force)</t>
  </si>
  <si>
    <t xml:space="preserve"> Width</t>
  </si>
  <si>
    <t>Thrust force:</t>
  </si>
  <si>
    <t xml:space="preserve"> Height</t>
  </si>
  <si>
    <t xml:space="preserve">Force Constant   </t>
  </si>
  <si>
    <t>Kf</t>
  </si>
  <si>
    <t>N/Arms</t>
  </si>
  <si>
    <t>%</t>
  </si>
  <si>
    <t>Maximum Velocity</t>
  </si>
  <si>
    <t>Maximum Acceleration</t>
  </si>
  <si>
    <t>Bore Diameter</t>
  </si>
  <si>
    <t>Magnetic Pitch (N-N)</t>
  </si>
  <si>
    <t xml:space="preserve">Shaft </t>
  </si>
  <si>
    <t>Amplifier Sizing info:</t>
  </si>
  <si>
    <t>Thermal Specifications</t>
  </si>
  <si>
    <t>Shaft Diameter</t>
  </si>
  <si>
    <t xml:space="preserve">Max phase temperature </t>
  </si>
  <si>
    <t>135  ْC</t>
  </si>
  <si>
    <t>(275  ْF)</t>
  </si>
  <si>
    <t xml:space="preserve">Thermal Resistance   </t>
  </si>
  <si>
    <t>  ْC/W</t>
  </si>
  <si>
    <t>Shaft Support Length</t>
  </si>
  <si>
    <t>All specifications are for reference only.</t>
  </si>
  <si>
    <t>Max Bending</t>
  </si>
  <si>
    <t>Finest encoder resolution suggested</t>
  </si>
  <si>
    <t>um</t>
  </si>
  <si>
    <t>10 °C</t>
  </si>
  <si>
    <t>20 °C</t>
  </si>
  <si>
    <t>30 °C</t>
  </si>
  <si>
    <t>40 °C</t>
  </si>
  <si>
    <t>50 °C</t>
  </si>
  <si>
    <t>60 °C</t>
  </si>
  <si>
    <t>70 °C</t>
  </si>
  <si>
    <t>80 °C</t>
  </si>
  <si>
    <t>90 °C</t>
  </si>
  <si>
    <t>100 °C</t>
  </si>
  <si>
    <t>110 °C</t>
  </si>
  <si>
    <t>120 °C</t>
  </si>
  <si>
    <t>Force Profile</t>
  </si>
  <si>
    <t>Vol</t>
  </si>
  <si>
    <t>VBEMF</t>
  </si>
  <si>
    <t>Vind</t>
  </si>
  <si>
    <t>Acceleration Time　s</t>
  </si>
  <si>
    <t>Tresistance</t>
  </si>
  <si>
    <t>Constant Velocity Time　s</t>
  </si>
  <si>
    <t>Sm</t>
  </si>
  <si>
    <t>Deceleration Time　s</t>
  </si>
  <si>
    <t>Dwell</t>
  </si>
  <si>
    <t>MA</t>
  </si>
  <si>
    <t>Acceleration Force</t>
  </si>
  <si>
    <t>MM</t>
  </si>
  <si>
    <t>Constant Velocity Force</t>
  </si>
  <si>
    <t>PV</t>
  </si>
  <si>
    <t>Deceleration Force</t>
  </si>
  <si>
    <t>MV</t>
  </si>
  <si>
    <t>Dwell Force</t>
  </si>
  <si>
    <r>
      <t>Continuous Force</t>
    </r>
    <r>
      <rPr>
        <vertAlign val="superscript"/>
        <sz val="10"/>
        <color indexed="8"/>
        <rFont val="Tahoma"/>
        <family val="2"/>
      </rPr>
      <t>1</t>
    </r>
  </si>
  <si>
    <r>
      <t>Continuous Current</t>
    </r>
    <r>
      <rPr>
        <vertAlign val="superscript"/>
        <sz val="10"/>
        <color indexed="8"/>
        <rFont val="Tahoma"/>
        <family val="2"/>
      </rPr>
      <t>1</t>
    </r>
  </si>
  <si>
    <r>
      <t>VDC</t>
    </r>
    <r>
      <rPr>
        <vertAlign val="subscript"/>
        <sz val="10"/>
        <color indexed="8"/>
        <rFont val="Tahoma"/>
        <family val="2"/>
      </rPr>
      <t>bus</t>
    </r>
    <r>
      <rPr>
        <sz val="10"/>
        <color indexed="8"/>
        <rFont val="Tahoma"/>
        <family val="2"/>
      </rPr>
      <t xml:space="preserve"> =</t>
    </r>
  </si>
  <si>
    <r>
      <t>VAC</t>
    </r>
    <r>
      <rPr>
        <vertAlign val="subscript"/>
        <sz val="10"/>
        <color indexed="8"/>
        <rFont val="Tahoma"/>
        <family val="2"/>
      </rPr>
      <t>bus</t>
    </r>
    <r>
      <rPr>
        <sz val="10"/>
        <color indexed="8"/>
        <rFont val="Tahoma"/>
        <family val="2"/>
      </rPr>
      <t xml:space="preserve"> =</t>
    </r>
  </si>
  <si>
    <r>
      <t>I</t>
    </r>
    <r>
      <rPr>
        <vertAlign val="subscript"/>
        <sz val="10"/>
        <color indexed="8"/>
        <rFont val="Tahoma"/>
        <family val="2"/>
      </rPr>
      <t>prms</t>
    </r>
    <r>
      <rPr>
        <sz val="10"/>
        <color indexed="8"/>
        <rFont val="Tahoma"/>
        <family val="2"/>
      </rPr>
      <t xml:space="preserve"> =</t>
    </r>
  </si>
  <si>
    <r>
      <t>I</t>
    </r>
    <r>
      <rPr>
        <vertAlign val="subscript"/>
        <sz val="10"/>
        <color indexed="8"/>
        <rFont val="Tahoma"/>
        <family val="2"/>
      </rPr>
      <t>ppeak</t>
    </r>
    <r>
      <rPr>
        <sz val="10"/>
        <color indexed="8"/>
        <rFont val="Tahoma"/>
        <family val="2"/>
      </rPr>
      <t xml:space="preserve"> =</t>
    </r>
  </si>
  <si>
    <r>
      <t>I</t>
    </r>
    <r>
      <rPr>
        <vertAlign val="subscript"/>
        <sz val="10"/>
        <color indexed="8"/>
        <rFont val="Tahoma"/>
        <family val="2"/>
      </rPr>
      <t>Crms</t>
    </r>
    <r>
      <rPr>
        <sz val="10"/>
        <color indexed="8"/>
        <rFont val="Tahoma"/>
        <family val="2"/>
      </rPr>
      <t xml:space="preserve"> =</t>
    </r>
  </si>
  <si>
    <r>
      <t>I</t>
    </r>
    <r>
      <rPr>
        <vertAlign val="subscript"/>
        <sz val="10"/>
        <color indexed="8"/>
        <rFont val="Tahoma"/>
        <family val="2"/>
      </rPr>
      <t>Cpeak</t>
    </r>
    <r>
      <rPr>
        <sz val="10"/>
        <color indexed="8"/>
        <rFont val="Tahoma"/>
        <family val="2"/>
      </rPr>
      <t xml:space="preserve"> =</t>
    </r>
  </si>
  <si>
    <r>
      <t>1)</t>
    </r>
    <r>
      <rPr>
        <sz val="10"/>
        <rFont val="Tahoma"/>
        <family val="2"/>
      </rPr>
      <t xml:space="preserve"> Based on a temp rise of coil surface of 110°K over 25°C ambient temp, stalled forcer, and no external cooling or heat sinking.</t>
    </r>
  </si>
  <si>
    <t>Location</t>
  </si>
  <si>
    <t>L250T</t>
  </si>
  <si>
    <t>Coil Length</t>
  </si>
  <si>
    <t>PDC</t>
  </si>
  <si>
    <t>Hz</t>
  </si>
  <si>
    <t>Total Stroke</t>
  </si>
  <si>
    <t>Req Voltage</t>
  </si>
  <si>
    <t>Coil Temp:</t>
  </si>
  <si>
    <r>
      <t>G</t>
    </r>
    <r>
      <rPr>
        <vertAlign val="superscript"/>
        <sz val="10"/>
        <color indexed="8"/>
        <rFont val="Tahoma"/>
        <family val="2"/>
      </rPr>
      <t>2</t>
    </r>
  </si>
  <si>
    <t>Peak Force Time</t>
  </si>
  <si>
    <t>Power</t>
  </si>
  <si>
    <t>Thermal Resistance  C-H</t>
  </si>
  <si>
    <t>Estimated max coil Temperature:</t>
  </si>
  <si>
    <t>Estimated max forcer Temperature:</t>
  </si>
  <si>
    <t>Duty Cycle Power</t>
  </si>
  <si>
    <t>Duty Cycle Motion</t>
  </si>
  <si>
    <t>Total Motion Profile Time</t>
  </si>
  <si>
    <t>Allowable Temperature Rise:</t>
  </si>
  <si>
    <t xml:space="preserve"> </t>
  </si>
  <si>
    <t>RMS Vol</t>
  </si>
  <si>
    <t>Average Velocity</t>
  </si>
  <si>
    <t>Supplied application variables</t>
  </si>
  <si>
    <t>Application Data</t>
  </si>
  <si>
    <t>RMS Force required</t>
  </si>
  <si>
    <t>AC Amplifier (RMS values)</t>
  </si>
  <si>
    <t>Peak Current</t>
  </si>
  <si>
    <t>Continuous Current</t>
  </si>
  <si>
    <t>DC Amplifier (Peak values)</t>
  </si>
  <si>
    <t>W</t>
  </si>
  <si>
    <t>Minimum AC Bus Voltage</t>
  </si>
  <si>
    <t>Minimum DC Bus Voltage</t>
  </si>
  <si>
    <t>Dwell Time</t>
  </si>
  <si>
    <t>Extra Force</t>
  </si>
  <si>
    <t>Acceleration Time</t>
  </si>
  <si>
    <t>Constant Velocity Time</t>
  </si>
  <si>
    <t>Deceleration Time</t>
  </si>
  <si>
    <t>Peak Accel rate</t>
  </si>
  <si>
    <t>Safety Margin</t>
  </si>
  <si>
    <t xml:space="preserve">  Triangle   1/2</t>
  </si>
  <si>
    <t>Ac</t>
  </si>
  <si>
    <t>Tr</t>
  </si>
  <si>
    <t>Dc</t>
  </si>
  <si>
    <t>Mo</t>
  </si>
  <si>
    <t xml:space="preserve">  Trapezoid 1/3</t>
  </si>
  <si>
    <t xml:space="preserve">  Trapezoid var</t>
  </si>
  <si>
    <t>cm/sec</t>
  </si>
  <si>
    <t>ft/sec</t>
  </si>
  <si>
    <t>mm/sec</t>
  </si>
  <si>
    <t>Current</t>
  </si>
  <si>
    <t>Heat °C 
Over</t>
  </si>
  <si>
    <r>
      <t>x = m/sec</t>
    </r>
    <r>
      <rPr>
        <b/>
        <vertAlign val="superscript"/>
        <sz val="11"/>
        <color indexed="47"/>
        <rFont val="Arial"/>
        <family val="2"/>
      </rPr>
      <t>2</t>
    </r>
  </si>
  <si>
    <t>Servo Constant</t>
  </si>
  <si>
    <t>Settling time</t>
  </si>
  <si>
    <t>Servo Stiffness</t>
  </si>
  <si>
    <t>Settling time constant</t>
  </si>
  <si>
    <t>Change Log</t>
  </si>
  <si>
    <t>Frequency</t>
  </si>
  <si>
    <t>Decelerate time:</t>
  </si>
  <si>
    <t>Accelerate time:</t>
  </si>
  <si>
    <t>Accelerate/Decelerate Distance</t>
  </si>
  <si>
    <t>Decel rates:</t>
  </si>
  <si>
    <t>Supply Any Time and Distance</t>
  </si>
  <si>
    <t>SLP15</t>
  </si>
  <si>
    <t>SLP25</t>
  </si>
  <si>
    <t>SLP35</t>
  </si>
  <si>
    <t>SCR050</t>
  </si>
  <si>
    <t>SCR075</t>
  </si>
  <si>
    <t>SCR100</t>
  </si>
  <si>
    <t>SCR150</t>
  </si>
  <si>
    <t>Stages</t>
  </si>
  <si>
    <t>SLP</t>
  </si>
  <si>
    <t>Motors</t>
  </si>
  <si>
    <t>Suggestions</t>
  </si>
  <si>
    <t>X</t>
  </si>
  <si>
    <t>Time Constant</t>
  </si>
  <si>
    <t>Resistance Hot</t>
  </si>
  <si>
    <t>Max Current</t>
  </si>
  <si>
    <t>TC</t>
  </si>
  <si>
    <t>Vol (m/s)</t>
  </si>
  <si>
    <t>V</t>
  </si>
  <si>
    <t>Max Velocity</t>
  </si>
  <si>
    <t>V2.0</t>
  </si>
  <si>
    <t>Other Custom</t>
  </si>
  <si>
    <t>Force Constant</t>
  </si>
  <si>
    <t>Values</t>
  </si>
  <si>
    <t>X=N/A</t>
  </si>
  <si>
    <t>pk</t>
  </si>
  <si>
    <t>X=m/s</t>
  </si>
  <si>
    <t>X = mm/s</t>
  </si>
  <si>
    <t>Yes</t>
  </si>
  <si>
    <t>N0</t>
  </si>
  <si>
    <t>Back EMF, Phase to Phase</t>
  </si>
  <si>
    <t>Resistance @ 25°C</t>
  </si>
  <si>
    <t>Coil Weight</t>
  </si>
  <si>
    <t>Inductance</t>
  </si>
  <si>
    <t>Ohms</t>
  </si>
  <si>
    <t>Cont. stall Force</t>
  </si>
  <si>
    <t>Cont Force</t>
  </si>
  <si>
    <t>X=None</t>
  </si>
  <si>
    <t>Aluminum Heat Sink</t>
  </si>
  <si>
    <t>Forced Air</t>
  </si>
  <si>
    <t>Liquid cooling</t>
  </si>
  <si>
    <t>no external cooling</t>
  </si>
  <si>
    <t>Electrical Cycle</t>
  </si>
  <si>
    <t>Max coil Temp</t>
  </si>
  <si>
    <t>Thermal Resistance</t>
  </si>
  <si>
    <t>°F/W</t>
  </si>
  <si>
    <t>W/°C</t>
  </si>
  <si>
    <t>W/°F</t>
  </si>
  <si>
    <t>User Motor</t>
  </si>
  <si>
    <t>Motor Name or Part Number</t>
  </si>
  <si>
    <r>
      <t>lb</t>
    </r>
    <r>
      <rPr>
        <vertAlign val="subscript"/>
        <sz val="10"/>
        <color indexed="47"/>
        <rFont val="Arial"/>
        <family val="2"/>
      </rPr>
      <t>f</t>
    </r>
    <r>
      <rPr>
        <sz val="10"/>
        <color indexed="47"/>
        <rFont val="Arial"/>
        <family val="2"/>
      </rPr>
      <t>/A</t>
    </r>
  </si>
  <si>
    <t>Custom Linear Shaft Motor</t>
  </si>
  <si>
    <t>NPA Custom</t>
  </si>
  <si>
    <t>Thermal resistance</t>
  </si>
  <si>
    <t xml:space="preserve">Added support for stages, Custom NPA motor, and user defined motors. Test acceleration time, additional options for thrust force for segment 1, adjusted Bemf calculations. </t>
  </si>
  <si>
    <t>Linear Acceleration</t>
  </si>
  <si>
    <t>Power Dissipated</t>
  </si>
  <si>
    <t>Continuous force 
Based on</t>
  </si>
  <si>
    <t xml:space="preserve">To add your own motor simply type in the data into the white entry blanks. Be careful that you select the units.  Select weather the units you entered are RMS or peak based.  Also select what type of cooling the continuous is based on.  For the most accurate sizing use the RMS values based on no external cooling if they are available. To test the size of the motor simply select your motor from the motor selection pull down menu on the Smart worksheet. </t>
  </si>
  <si>
    <t>Seg #1</t>
  </si>
  <si>
    <t>Seg #2</t>
  </si>
  <si>
    <t>Seg #3</t>
  </si>
  <si>
    <t>Seg #4</t>
  </si>
  <si>
    <t>Seg #5</t>
  </si>
  <si>
    <t>Seg #6</t>
  </si>
  <si>
    <t>V2.1</t>
  </si>
  <si>
    <t>Enhanced Max Acceleration/Velocity display, Added ability to customize Profiles display</t>
  </si>
  <si>
    <t>V2.2</t>
  </si>
  <si>
    <t>Dwell Hide added.  Motor specs updated.  S605 series added.</t>
  </si>
  <si>
    <t>Name / Part Number</t>
  </si>
  <si>
    <r>
      <t xml:space="preserve">If NPA has provided you data for a custom Linear Shaft Motor.  You can test it in smart by entering the data here.
</t>
    </r>
    <r>
      <rPr>
        <b/>
        <sz val="10"/>
        <rFont val="Arial"/>
        <family val="2"/>
      </rPr>
      <t xml:space="preserve">
Motor shows up after Available Stroke is entered.</t>
    </r>
  </si>
  <si>
    <r>
      <t xml:space="preserve">You can enter the specific name or part number of your motor in the cell below.
</t>
    </r>
    <r>
      <rPr>
        <b/>
        <sz val="10"/>
        <rFont val="Arial"/>
        <family val="2"/>
      </rPr>
      <t>Motor shows up after Cont. stall Force is entered.</t>
    </r>
  </si>
  <si>
    <t>V2.2.1 Fixed Voltage Buffer</t>
  </si>
  <si>
    <t>V2.2.2 Fixed Custom motor lookup (AT32)</t>
  </si>
  <si>
    <t>Magnetic Attraction</t>
  </si>
  <si>
    <t>Pricing</t>
  </si>
  <si>
    <t>Parallel Drive</t>
  </si>
  <si>
    <t>Tandem Drive</t>
  </si>
  <si>
    <t>Price</t>
  </si>
  <si>
    <t>CE</t>
  </si>
  <si>
    <t>HA</t>
  </si>
  <si>
    <t>WP</t>
  </si>
  <si>
    <t>Single</t>
  </si>
  <si>
    <t>Estimated Cost</t>
  </si>
  <si>
    <t>b</t>
  </si>
  <si>
    <t>a</t>
  </si>
  <si>
    <t>V2.3</t>
  </si>
  <si>
    <t>KV  Eddy current loss</t>
  </si>
  <si>
    <t xml:space="preserve">Damping Force </t>
  </si>
  <si>
    <t>X= N/M/S</t>
  </si>
  <si>
    <t>N/m/sec</t>
  </si>
  <si>
    <t>Eddy current loss
(Damping Coefficient)</t>
  </si>
  <si>
    <t>lbs/in/Sec</t>
  </si>
  <si>
    <t>Relative</t>
  </si>
  <si>
    <t>Tandem Add</t>
  </si>
  <si>
    <t>Tandem</t>
  </si>
  <si>
    <t>Fixed issue with Trapezoidal calculators, Added Magnetic Attraction and Damping coefficient to Custom motor</t>
  </si>
  <si>
    <t>ST</t>
  </si>
  <si>
    <t>SP</t>
  </si>
  <si>
    <t>Fmass</t>
  </si>
  <si>
    <t>Sshaft</t>
  </si>
  <si>
    <t>Tshaft</t>
  </si>
  <si>
    <t>Dual</t>
  </si>
  <si>
    <t>Single Shaft</t>
  </si>
  <si>
    <t>Forcer M</t>
  </si>
  <si>
    <t>CF</t>
  </si>
  <si>
    <t>C</t>
  </si>
  <si>
    <t>Notes:</t>
  </si>
  <si>
    <r>
      <t xml:space="preserve"> </t>
    </r>
    <r>
      <rPr>
        <sz val="7"/>
        <rFont val="Symbol"/>
        <family val="1"/>
        <charset val="2"/>
      </rPr>
      <t>*2</t>
    </r>
  </si>
  <si>
    <r>
      <t xml:space="preserve"> </t>
    </r>
    <r>
      <rPr>
        <sz val="7"/>
        <rFont val="Symbol"/>
        <family val="1"/>
        <charset val="2"/>
      </rPr>
      <t>*</t>
    </r>
    <r>
      <rPr>
        <sz val="7"/>
        <rFont val="Tahoma"/>
        <family val="2"/>
      </rPr>
      <t>1</t>
    </r>
  </si>
  <si>
    <t>Third Angle projection</t>
  </si>
  <si>
    <t>Wire Gage</t>
  </si>
  <si>
    <t>UL for wire</t>
  </si>
  <si>
    <t>All units mm</t>
  </si>
  <si>
    <t xml:space="preserve"> Length (A)</t>
  </si>
  <si>
    <t>Total Length (L)</t>
  </si>
  <si>
    <t>Usable Stroke (S)</t>
  </si>
  <si>
    <t>Cycle Complete</t>
  </si>
  <si>
    <t>Max</t>
  </si>
  <si>
    <t>Min</t>
  </si>
  <si>
    <t>Eddie Current loss</t>
  </si>
  <si>
    <t>Requested Use Stroke</t>
  </si>
  <si>
    <t>Needed Use stroke</t>
  </si>
  <si>
    <t>Strokes</t>
  </si>
  <si>
    <t>S040</t>
  </si>
  <si>
    <t>S080</t>
  </si>
  <si>
    <t>S120</t>
  </si>
  <si>
    <t>S160&lt;</t>
  </si>
  <si>
    <t>Forcer Spacing</t>
  </si>
  <si>
    <t>Shaft Mass</t>
  </si>
  <si>
    <t>V2.3.1 Added Costing information.  Added SS series. Corrected Decel calculation</t>
  </si>
  <si>
    <t>ft/min</t>
  </si>
  <si>
    <r>
      <t>K</t>
    </r>
    <r>
      <rPr>
        <vertAlign val="subscript"/>
        <sz val="10"/>
        <color indexed="12"/>
        <rFont val="Arial"/>
        <family val="2"/>
      </rPr>
      <t>M</t>
    </r>
  </si>
  <si>
    <r>
      <t>x = m/sec</t>
    </r>
    <r>
      <rPr>
        <b/>
        <sz val="10"/>
        <color indexed="9"/>
        <rFont val="Arial"/>
        <family val="2"/>
      </rPr>
      <t>2</t>
    </r>
  </si>
  <si>
    <t>Custom Cable</t>
  </si>
  <si>
    <t>3MM</t>
  </si>
  <si>
    <t>3MS</t>
  </si>
  <si>
    <t>Heat Sink</t>
  </si>
  <si>
    <t>V2.4</t>
  </si>
  <si>
    <r>
      <t>Resistance</t>
    </r>
    <r>
      <rPr>
        <vertAlign val="superscript"/>
        <sz val="10"/>
        <color indexed="8"/>
        <rFont val="Tahoma"/>
        <family val="2"/>
      </rPr>
      <t>2</t>
    </r>
  </si>
  <si>
    <r>
      <t>Inductance</t>
    </r>
    <r>
      <rPr>
        <vertAlign val="superscript"/>
        <sz val="10"/>
        <color indexed="8"/>
        <rFont val="Tahoma"/>
        <family val="2"/>
      </rPr>
      <t>2</t>
    </r>
  </si>
  <si>
    <r>
      <t>2)</t>
    </r>
    <r>
      <rPr>
        <sz val="10"/>
        <rFont val="Tahoma"/>
        <family val="2"/>
      </rPr>
      <t xml:space="preserve"> All winding parameters listed are measured line-to-line (phase-to-phase).</t>
    </r>
  </si>
  <si>
    <t>Specifications listed on this data sheet are based on the conductions that were entered during the sizing of your application. See the "Supplied application variables" on page 2 for more information. The performance you experience may be different</t>
  </si>
  <si>
    <t>depending on servo driver that is selected. Consult Nippon Pulse for more information.</t>
  </si>
  <si>
    <t>BEMF MV</t>
  </si>
  <si>
    <t>L160D</t>
  </si>
  <si>
    <t>L160T</t>
  </si>
  <si>
    <t>L160Q</t>
  </si>
  <si>
    <t>L200D</t>
  </si>
  <si>
    <t>L200T</t>
  </si>
  <si>
    <t>L200Q</t>
  </si>
  <si>
    <t>L250D</t>
  </si>
  <si>
    <t>L250DS</t>
  </si>
  <si>
    <t>L250SS</t>
  </si>
  <si>
    <t>L250TS</t>
  </si>
  <si>
    <t>L250Q</t>
  </si>
  <si>
    <t>L250X</t>
  </si>
  <si>
    <t>L320D</t>
  </si>
  <si>
    <t>L320DS</t>
  </si>
  <si>
    <t>L320SS</t>
  </si>
  <si>
    <t>L320T</t>
  </si>
  <si>
    <t>L320TS</t>
  </si>
  <si>
    <t>L320Q</t>
  </si>
  <si>
    <t>L350D</t>
  </si>
  <si>
    <t>L350DS</t>
  </si>
  <si>
    <t>L350SS</t>
  </si>
  <si>
    <t>L350T</t>
  </si>
  <si>
    <t>L350TS</t>
  </si>
  <si>
    <t>L350Q</t>
  </si>
  <si>
    <t>L427D</t>
  </si>
  <si>
    <t>L427T</t>
  </si>
  <si>
    <t>L427Q</t>
  </si>
  <si>
    <t>S040D</t>
  </si>
  <si>
    <t>S040T</t>
  </si>
  <si>
    <t>S040Q</t>
  </si>
  <si>
    <t>S060D</t>
  </si>
  <si>
    <t>S060T</t>
  </si>
  <si>
    <t>S060Q</t>
  </si>
  <si>
    <t>S080D</t>
  </si>
  <si>
    <t>S080T</t>
  </si>
  <si>
    <t>S080Q</t>
  </si>
  <si>
    <t>S120D</t>
  </si>
  <si>
    <t>S120T</t>
  </si>
  <si>
    <t>S120Q</t>
  </si>
  <si>
    <t>S160D</t>
  </si>
  <si>
    <t>S160T</t>
  </si>
  <si>
    <t>S160Q</t>
  </si>
  <si>
    <t>S200D</t>
  </si>
  <si>
    <t>S200T</t>
  </si>
  <si>
    <t>S200Q</t>
  </si>
  <si>
    <t>S250D</t>
  </si>
  <si>
    <t>S250T</t>
  </si>
  <si>
    <t>S250Q</t>
  </si>
  <si>
    <t>S250X</t>
  </si>
  <si>
    <t>S320D</t>
  </si>
  <si>
    <t>S320T</t>
  </si>
  <si>
    <t>S320Q</t>
  </si>
  <si>
    <t>S350D</t>
  </si>
  <si>
    <t>S350T</t>
  </si>
  <si>
    <t>S350Q</t>
  </si>
  <si>
    <t>S380D</t>
  </si>
  <si>
    <t>S380T</t>
  </si>
  <si>
    <t>S380Q</t>
  </si>
  <si>
    <t>S427D</t>
  </si>
  <si>
    <t>S427T</t>
  </si>
  <si>
    <t>S427Q</t>
  </si>
  <si>
    <t>S435D</t>
  </si>
  <si>
    <t>S435T</t>
  </si>
  <si>
    <t>S435Q</t>
  </si>
  <si>
    <t>S500D</t>
  </si>
  <si>
    <t>S500T</t>
  </si>
  <si>
    <t>S500Q</t>
  </si>
  <si>
    <t>S605D</t>
  </si>
  <si>
    <t>S605T</t>
  </si>
  <si>
    <t>S605Q</t>
  </si>
  <si>
    <t>S1000D</t>
  </si>
  <si>
    <t>S1000T</t>
  </si>
  <si>
    <t>S1000Q</t>
  </si>
  <si>
    <t>105x100</t>
  </si>
  <si>
    <t>125/120</t>
  </si>
  <si>
    <t>x</t>
  </si>
  <si>
    <t>n/a</t>
  </si>
  <si>
    <t>2570FA</t>
  </si>
  <si>
    <t>2464FA</t>
  </si>
  <si>
    <t>S-Curve</t>
  </si>
  <si>
    <t>T1</t>
  </si>
  <si>
    <t>T2</t>
  </si>
  <si>
    <t>T3</t>
  </si>
  <si>
    <t>S1</t>
  </si>
  <si>
    <t>S2</t>
  </si>
  <si>
    <t>S4</t>
  </si>
  <si>
    <t>S5</t>
  </si>
  <si>
    <t>S1d</t>
  </si>
  <si>
    <t>S2d</t>
  </si>
  <si>
    <t>S3</t>
  </si>
  <si>
    <t>S3d</t>
  </si>
  <si>
    <t>S4d</t>
  </si>
  <si>
    <t>S5d</t>
  </si>
  <si>
    <t>S6</t>
  </si>
  <si>
    <t>S6d</t>
  </si>
  <si>
    <t>Mult</t>
  </si>
  <si>
    <t>Amax</t>
  </si>
  <si>
    <t>Friction coefficient:</t>
  </si>
  <si>
    <t>Parallel Shaft</t>
  </si>
  <si>
    <t>Tandem Shaft</t>
  </si>
  <si>
    <t>Web update of motor data and feature adding.  Smart motor suggestions.  Relative pricing.  Support for Heat sink data, to be web enabled when available. Data Sheet updated. Corrected Suggestions with Traverse only Thrust. Adjustable S-Curve now fully supported.</t>
  </si>
  <si>
    <t>Add your own Linear Motor (beta v0.6)</t>
  </si>
  <si>
    <t>V2.4.1 Corrected lookup error with L160 series (AQ31)</t>
  </si>
  <si>
    <t>Acceleration Current</t>
  </si>
  <si>
    <t>V2.4.2 Corrected lookup error for Shaft mass on Data Sheet (AR40), Corrected spelling on Custom Sheet</t>
  </si>
  <si>
    <t>S080D 1S</t>
  </si>
  <si>
    <t>S080T 1S</t>
  </si>
  <si>
    <t>S080Q 2S</t>
  </si>
  <si>
    <t>S080Q 1S</t>
  </si>
  <si>
    <t>S120D 1S</t>
  </si>
  <si>
    <t>S120T 1S</t>
  </si>
  <si>
    <t>S120Q 2S</t>
  </si>
  <si>
    <t>S120Q 1S</t>
  </si>
  <si>
    <t>S160D 1S</t>
  </si>
  <si>
    <t>S160T 1S</t>
  </si>
  <si>
    <t>S160Q 2S</t>
  </si>
  <si>
    <t>S160Q 1S</t>
  </si>
  <si>
    <t>S200D 1S</t>
  </si>
  <si>
    <t>S200T 1S</t>
  </si>
  <si>
    <t>S200Q 2S</t>
  </si>
  <si>
    <t>S200Q 1S</t>
  </si>
  <si>
    <t>S250D 1S</t>
  </si>
  <si>
    <t>S250T 1S</t>
  </si>
  <si>
    <t>S250Q 2S</t>
  </si>
  <si>
    <t>S250Q 1S</t>
  </si>
  <si>
    <t>S320D 1S</t>
  </si>
  <si>
    <t>S320T 1S</t>
  </si>
  <si>
    <t>S320Q 2S</t>
  </si>
  <si>
    <t>S320Q 1S</t>
  </si>
  <si>
    <t>S350D 1S</t>
  </si>
  <si>
    <t>S350T 1S</t>
  </si>
  <si>
    <t>S350Q 4S</t>
  </si>
  <si>
    <t>S350Q 1S</t>
  </si>
  <si>
    <t>S427D 1S</t>
  </si>
  <si>
    <t>S427T 1S</t>
  </si>
  <si>
    <t>S427Q 2S</t>
  </si>
  <si>
    <t>S427Q 1S</t>
  </si>
  <si>
    <t>S435D 1S</t>
  </si>
  <si>
    <t>S435T 1S</t>
  </si>
  <si>
    <t>S435Q 2S</t>
  </si>
  <si>
    <t>S435Q 1S</t>
  </si>
  <si>
    <t>S500D 2S</t>
  </si>
  <si>
    <t>S500T 3S</t>
  </si>
  <si>
    <t>S500Q 4S</t>
  </si>
  <si>
    <t>S500Q 2S</t>
  </si>
  <si>
    <t>S605D 1S</t>
  </si>
  <si>
    <t>S605T 1S</t>
  </si>
  <si>
    <t>S605Q 2S</t>
  </si>
  <si>
    <t>S605Q 1S</t>
  </si>
  <si>
    <t>V2.4.3 Fixed Web update.  Added LV windings.</t>
  </si>
  <si>
    <t>V2.4.4  Updated to work with Office 2010</t>
  </si>
  <si>
    <t>V2.4.5  Fixed issue with S605Q LV windings</t>
  </si>
  <si>
    <t>V2.5</t>
  </si>
  <si>
    <t>S040X</t>
  </si>
  <si>
    <t>L250D-1S</t>
  </si>
  <si>
    <t>L250T-1S</t>
  </si>
  <si>
    <t>L250Q-1S</t>
  </si>
  <si>
    <t>L250Q-2S</t>
  </si>
  <si>
    <t>L320D-1S</t>
  </si>
  <si>
    <t>L320T-1S</t>
  </si>
  <si>
    <t>L320Q-1S</t>
  </si>
  <si>
    <t>L320Q-2S</t>
  </si>
  <si>
    <t>L250QS</t>
  </si>
  <si>
    <t>L320QS</t>
  </si>
  <si>
    <t>L350QS</t>
  </si>
  <si>
    <t>L320Q-HV</t>
  </si>
  <si>
    <t>L320H-HV</t>
  </si>
  <si>
    <t>L320H</t>
  </si>
  <si>
    <t>Voltage Rated</t>
  </si>
  <si>
    <t>Rated Voltage</t>
  </si>
  <si>
    <t xml:space="preserve">Added LV winding into suggestions at all times. Updated Suggestions display so that it activity adjusts.  Removed all web updates. Updated Logo. </t>
  </si>
  <si>
    <t>S350X-1S</t>
  </si>
  <si>
    <t>User Defined Motor</t>
  </si>
  <si>
    <t>Custom LSM</t>
  </si>
  <si>
    <t>How to Use This Worksheet</t>
  </si>
  <si>
    <t>The Velocity and Force Profile window shows a preview of the entered motion profile along with required force.</t>
  </si>
  <si>
    <t>STEP 1 - Input the basic system Parameters (Load, Incline angle, Friction Coefficient, Thrust Force, Pre-load, Ambient Temp, Allowable coil temp, and Bus Voltage). The Mass of the Coil or Shaft is automatically factored into results.</t>
  </si>
  <si>
    <t>STEP 2 - Enter your motion.  Segments 2-6 can be added by selecting the check box next to their names. The Motion Profile Calculators can help in creating some commonly used moves. The thrust entered in step 1 can be added to each segment individually by checking its "Add Thrust Force to this Segment" check box.</t>
  </si>
  <si>
    <t xml:space="preserve">STEP 3 - Manually select a Linear Shaft Motor with the drop down, until PASSED is displayed. </t>
  </si>
  <si>
    <t>Motor Suggestions:</t>
  </si>
  <si>
    <t>On the right side of the screen, we propose other motors that may also meet the supplied requirements. All possible configurations are tested: Moving Forcer single (one coil) or Dual Drive (two coil, Parallel or Tandem), as well as Moving Shaft.  The results for Dual Drive moving shaft will reflect results as selected by the Drive type.</t>
  </si>
  <si>
    <t>Move Shaft:</t>
  </si>
  <si>
    <t>Select when moving the shaft verses moving the coil.</t>
  </si>
  <si>
    <t xml:space="preserve">Drive Type: - You can select the type of Shaft Motor, Drive Configuration.  </t>
  </si>
  <si>
    <t xml:space="preserve">     Single Drive: One Drive, One coil, One Shaft - This is the most common type. </t>
  </si>
  <si>
    <t xml:space="preserve">     Parallel Drive: One Drive, Two coils, Two Shafts - Both Motors are connected to the same load.</t>
  </si>
  <si>
    <t>Extra shaft length for second forcer is automatically calculated in to the required stroke.</t>
  </si>
  <si>
    <t>STEP 3 - The "Data Sheet" tab when selected will generate a datasheet with motor choice, Motion Profile, and Amplifier sizing information. This Datasheet can be printed.</t>
  </si>
  <si>
    <t>When "?" is displayed next to a Value, additional information is available by hovering the mouse over the "?".</t>
  </si>
  <si>
    <t>If you have any questions, please contact your local Nippon Pulse representative.</t>
  </si>
  <si>
    <t>Click here for info on 
how to use this worksheet.</t>
  </si>
  <si>
    <t>Click here to go back to the SMART worksheet.</t>
  </si>
  <si>
    <r>
      <t xml:space="preserve">Values in </t>
    </r>
    <r>
      <rPr>
        <b/>
        <sz val="10"/>
        <color rgb="FF0000FF"/>
        <rFont val="Arial"/>
        <family val="2"/>
      </rPr>
      <t>Blue</t>
    </r>
    <r>
      <rPr>
        <sz val="10"/>
        <rFont val="Arial"/>
        <family val="2"/>
      </rPr>
      <t xml:space="preserve"> are entered by the user.  Values in </t>
    </r>
    <r>
      <rPr>
        <b/>
        <sz val="10"/>
        <color rgb="FF00B050"/>
        <rFont val="Arial"/>
        <family val="2"/>
      </rPr>
      <t>Green</t>
    </r>
    <r>
      <rPr>
        <sz val="10"/>
        <rFont val="Arial"/>
        <family val="2"/>
      </rPr>
      <t xml:space="preserve"> are calculated.</t>
    </r>
  </si>
  <si>
    <r>
      <t xml:space="preserve">Units in </t>
    </r>
    <r>
      <rPr>
        <b/>
        <sz val="10"/>
        <color rgb="FF0000FF"/>
        <rFont val="Arial"/>
        <family val="2"/>
      </rPr>
      <t>Blue</t>
    </r>
    <r>
      <rPr>
        <sz val="10"/>
        <rFont val="Arial"/>
        <family val="2"/>
      </rPr>
      <t xml:space="preserve"> are selectable as Metric or English units. </t>
    </r>
  </si>
  <si>
    <t xml:space="preserve">     Tandem Drive: One Drive, Two coils on One Shaft - Both Coils are connected to the same load on the same shaft. (When this option is shaded out, Nippon Pulse does not recommend that this motor be used in Tandem Drive mode.)</t>
  </si>
  <si>
    <t>Note on Load</t>
  </si>
  <si>
    <t>This needs to be the combined mass of the load and table.</t>
  </si>
  <si>
    <t>The Mass of the selected Linear Shaft Motor is automatically added into the calculation.</t>
  </si>
  <si>
    <t>Load:</t>
  </si>
  <si>
    <t>Click to return to the SMART worksheet.</t>
  </si>
  <si>
    <t>Note on Incline Angle</t>
  </si>
  <si>
    <t>This worksheet assumes that positive moves are up an incline while negative moves are down an incline.</t>
  </si>
  <si>
    <t>Incline angle:</t>
  </si>
  <si>
    <t>Note on Thrust Force</t>
  </si>
  <si>
    <t>Thrust Force is added to all segments of the motion profile.  This is in addition to force needed to overcome mass, acceleration, and friction.</t>
  </si>
  <si>
    <t>Example of use:  As the motor moves, it needs to maintain 10 lbs of force on an object.</t>
  </si>
  <si>
    <t>Thrust Force is not a common variable.</t>
  </si>
  <si>
    <t>Thrust Force:</t>
  </si>
  <si>
    <t xml:space="preserve">Bearing pre-load Force is added to the friction load and is considered in all moving segments of the motion profile.  </t>
  </si>
  <si>
    <t>This is a common variable.</t>
  </si>
  <si>
    <t>Note on Bearing Pre-Load Force</t>
  </si>
  <si>
    <t>Bearing pre-load Force is mostly due to wipers added to the bearings, and is independent of the Friction coefficient.</t>
  </si>
  <si>
    <t xml:space="preserve">Bearing Pre-load Force: </t>
  </si>
  <si>
    <t>Note on Bus Voltage</t>
  </si>
  <si>
    <t>Enter value then select either AC or DC voltage.</t>
  </si>
  <si>
    <t>Bus Voltage:</t>
  </si>
  <si>
    <t>Note on Drive Types</t>
  </si>
  <si>
    <t>Single Drive: One Drive, One coil, One Shaft</t>
  </si>
  <si>
    <t>Parallel Drive: One Drive, Two coils, Two Shafts</t>
  </si>
  <si>
    <t>Tandem Drive: One Drive, Two coils on One Shaft</t>
  </si>
  <si>
    <t>Note on Move Shaft</t>
  </si>
  <si>
    <t>Select when moving the Shaft.</t>
  </si>
  <si>
    <t>If not selected, then it is assumed you are moving the Coil.</t>
  </si>
  <si>
    <t>Note on Stroke Required</t>
  </si>
  <si>
    <t xml:space="preserve">If you need the stroke to be longer than the calculated stroke length, enter the required stroke value here. </t>
  </si>
  <si>
    <t>V2.5.2</t>
  </si>
  <si>
    <t>V2.5.1  Update Motor Database, improve voltage check. Fixed ability to select stage and custom motor.
V2.5.2 Create Instructions tab for Comments and Assistance in Using SMART. Unlocked ? mark cells even when sheet is locked.</t>
  </si>
</sst>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7" formatCode="&quot;$&quot;#,##0.00_);\(&quot;$&quot;#,##0.00\)"/>
    <numFmt numFmtId="44" formatCode="_(&quot;$&quot;* #,##0.00_);_(&quot;$&quot;* \(#,##0.00\);_(&quot;$&quot;* &quot;-&quot;??_);_(@_)"/>
    <numFmt numFmtId="164" formatCode="_(* #,##0.00_);_(* \(#,##0.00\);_(* \-??_);_(@_)"/>
    <numFmt numFmtId="165" formatCode="&quot;TRUE&quot;;&quot;TRUE&quot;;&quot;FALSE&quot;"/>
    <numFmt numFmtId="166" formatCode="0.00_);[Red]\(0.00\)"/>
    <numFmt numFmtId="167" formatCode="0.0_);[Red]\(0.0\)"/>
    <numFmt numFmtId="168" formatCode="0_);[Red]\(0\)"/>
    <numFmt numFmtId="169" formatCode="0.0"/>
    <numFmt numFmtId="170" formatCode="0.0%"/>
    <numFmt numFmtId="171" formatCode="0.000"/>
    <numFmt numFmtId="172" formatCode="0.0000"/>
    <numFmt numFmtId="173" formatCode="yyyy/m/d;@"/>
    <numFmt numFmtId="174" formatCode="0.000000000"/>
    <numFmt numFmtId="175" formatCode="#,##0.000"/>
    <numFmt numFmtId="176" formatCode="0.0000000"/>
  </numFmts>
  <fonts count="140">
    <font>
      <sz val="10"/>
      <name val="Arial"/>
      <family val="2"/>
    </font>
    <font>
      <sz val="10"/>
      <name val="Arial"/>
      <family val="2"/>
    </font>
    <font>
      <sz val="10"/>
      <color indexed="8"/>
      <name val="Arial"/>
      <family val="2"/>
    </font>
    <font>
      <sz val="11"/>
      <name val="ＭＳ Ｐゴシック"/>
      <family val="2"/>
      <charset val="128"/>
    </font>
    <font>
      <sz val="10"/>
      <name val="Helv"/>
      <family val="2"/>
    </font>
    <font>
      <sz val="11"/>
      <name val="ＭＳ Ｐゴシック"/>
      <family val="3"/>
      <charset val="128"/>
    </font>
    <font>
      <b/>
      <sz val="18"/>
      <color indexed="12"/>
      <name val="Arial"/>
      <family val="2"/>
    </font>
    <font>
      <sz val="8"/>
      <name val="Arial"/>
      <family val="2"/>
    </font>
    <font>
      <b/>
      <sz val="10"/>
      <name val="Arial"/>
      <family val="2"/>
    </font>
    <font>
      <b/>
      <u/>
      <sz val="8"/>
      <name val="Arial"/>
      <family val="2"/>
    </font>
    <font>
      <sz val="8"/>
      <color indexed="12"/>
      <name val="Arial"/>
      <family val="2"/>
    </font>
    <font>
      <b/>
      <sz val="8"/>
      <color indexed="12"/>
      <name val="Arial"/>
      <family val="2"/>
    </font>
    <font>
      <sz val="8"/>
      <color indexed="9"/>
      <name val="Arial"/>
      <family val="2"/>
    </font>
    <font>
      <sz val="10"/>
      <color indexed="12"/>
      <name val="Arial"/>
      <family val="2"/>
    </font>
    <font>
      <sz val="10"/>
      <color indexed="10"/>
      <name val="Arial"/>
      <family val="2"/>
    </font>
    <font>
      <sz val="10"/>
      <color indexed="9"/>
      <name val="Arial"/>
      <family val="2"/>
    </font>
    <font>
      <sz val="8"/>
      <color indexed="10"/>
      <name val="Arial"/>
      <family val="2"/>
    </font>
    <font>
      <b/>
      <sz val="8"/>
      <name val="Arial"/>
      <family val="2"/>
    </font>
    <font>
      <sz val="11"/>
      <color indexed="12"/>
      <name val="Arial"/>
      <family val="2"/>
    </font>
    <font>
      <sz val="8"/>
      <name val="Tahoma"/>
      <family val="2"/>
    </font>
    <font>
      <b/>
      <sz val="11"/>
      <color indexed="12"/>
      <name val="Arial"/>
      <family val="2"/>
    </font>
    <font>
      <sz val="11"/>
      <name val="ＭＳ Ｐゴシック"/>
      <charset val="128"/>
    </font>
    <font>
      <sz val="10"/>
      <name val="Helv"/>
    </font>
    <font>
      <sz val="10"/>
      <name val="Arial"/>
      <family val="2"/>
    </font>
    <font>
      <sz val="8"/>
      <color indexed="17"/>
      <name val="Arial"/>
      <family val="2"/>
    </font>
    <font>
      <vertAlign val="superscript"/>
      <sz val="8"/>
      <name val="Arial"/>
      <family val="2"/>
    </font>
    <font>
      <sz val="10"/>
      <color indexed="47"/>
      <name val="Arial"/>
      <family val="2"/>
    </font>
    <font>
      <sz val="8"/>
      <color indexed="8"/>
      <name val="Arial"/>
      <family val="2"/>
    </font>
    <font>
      <sz val="6"/>
      <name val="ＭＳ Ｐゴシック"/>
      <family val="3"/>
      <charset val="128"/>
    </font>
    <font>
      <b/>
      <sz val="8"/>
      <color indexed="10"/>
      <name val="Arial"/>
      <family val="2"/>
    </font>
    <font>
      <b/>
      <sz val="8"/>
      <color indexed="8"/>
      <name val="Arial"/>
      <family val="2"/>
    </font>
    <font>
      <sz val="8"/>
      <color indexed="18"/>
      <name val="Arial"/>
      <family val="2"/>
    </font>
    <font>
      <b/>
      <sz val="10"/>
      <color indexed="8"/>
      <name val="Arial"/>
      <family val="2"/>
    </font>
    <font>
      <vertAlign val="superscript"/>
      <sz val="8"/>
      <color indexed="8"/>
      <name val="Arial"/>
      <family val="2"/>
    </font>
    <font>
      <sz val="8"/>
      <name val="ＭＳ Ｐゴシック"/>
      <charset val="128"/>
    </font>
    <font>
      <sz val="36"/>
      <name val="Tahoma"/>
      <family val="2"/>
    </font>
    <font>
      <sz val="8"/>
      <color indexed="8"/>
      <name val="Tahoma"/>
      <family val="2"/>
    </font>
    <font>
      <sz val="11"/>
      <color indexed="8"/>
      <name val="Tahoma"/>
      <family val="2"/>
    </font>
    <font>
      <sz val="18"/>
      <name val="Tahoma"/>
      <family val="2"/>
    </font>
    <font>
      <sz val="8"/>
      <color indexed="9"/>
      <name val="Tahoma"/>
      <family val="2"/>
    </font>
    <font>
      <sz val="11"/>
      <name val="Tahoma"/>
      <family val="2"/>
    </font>
    <font>
      <sz val="11"/>
      <color indexed="9"/>
      <name val="Tahoma"/>
      <family val="2"/>
    </font>
    <font>
      <sz val="7.5"/>
      <name val="Tahoma"/>
      <family val="2"/>
    </font>
    <font>
      <sz val="6"/>
      <name val="Tahoma"/>
      <family val="2"/>
    </font>
    <font>
      <sz val="36"/>
      <name val="ＭＳ Ｐゴシック"/>
      <charset val="128"/>
    </font>
    <font>
      <sz val="8.5"/>
      <name val="Tahoma"/>
      <family val="2"/>
    </font>
    <font>
      <sz val="7.5"/>
      <color indexed="8"/>
      <name val="Tahoma"/>
      <family val="2"/>
    </font>
    <font>
      <sz val="7.5"/>
      <color indexed="9"/>
      <name val="Tahoma"/>
      <family val="2"/>
    </font>
    <font>
      <sz val="10"/>
      <name val="Tahoma"/>
      <family val="2"/>
    </font>
    <font>
      <b/>
      <sz val="12"/>
      <name val="Tahoma"/>
      <family val="2"/>
    </font>
    <font>
      <sz val="10"/>
      <color indexed="8"/>
      <name val="Tahoma"/>
      <family val="2"/>
    </font>
    <font>
      <b/>
      <sz val="14"/>
      <name val="Tahoma"/>
      <family val="2"/>
    </font>
    <font>
      <sz val="12"/>
      <name val="Tahoma"/>
      <family val="2"/>
    </font>
    <font>
      <b/>
      <sz val="11"/>
      <name val="Tahoma"/>
      <family val="2"/>
    </font>
    <font>
      <vertAlign val="superscript"/>
      <sz val="10"/>
      <color indexed="8"/>
      <name val="Tahoma"/>
      <family val="2"/>
    </font>
    <font>
      <sz val="12"/>
      <color indexed="8"/>
      <name val="Tahoma"/>
      <family val="2"/>
    </font>
    <font>
      <b/>
      <sz val="12"/>
      <color indexed="8"/>
      <name val="Tahoma"/>
      <family val="2"/>
    </font>
    <font>
      <sz val="14"/>
      <name val="Tahoma"/>
      <family val="2"/>
    </font>
    <font>
      <sz val="10"/>
      <color indexed="9"/>
      <name val="Tahoma"/>
      <family val="2"/>
    </font>
    <font>
      <vertAlign val="subscript"/>
      <sz val="10"/>
      <color indexed="8"/>
      <name val="Tahoma"/>
      <family val="2"/>
    </font>
    <font>
      <b/>
      <sz val="10"/>
      <name val="Tahoma"/>
      <family val="2"/>
    </font>
    <font>
      <sz val="11"/>
      <color indexed="55"/>
      <name val="Tahoma"/>
      <family val="2"/>
    </font>
    <font>
      <sz val="11"/>
      <color indexed="55"/>
      <name val="Arial"/>
      <family val="2"/>
    </font>
    <font>
      <sz val="12"/>
      <color indexed="55"/>
      <name val="Tahoma"/>
      <family val="2"/>
    </font>
    <font>
      <sz val="11"/>
      <color indexed="51"/>
      <name val="Tahoma"/>
      <family val="2"/>
    </font>
    <font>
      <sz val="11"/>
      <color indexed="9"/>
      <name val="Arial"/>
      <family val="2"/>
    </font>
    <font>
      <b/>
      <sz val="11"/>
      <color indexed="47"/>
      <name val="Arial"/>
      <family val="2"/>
    </font>
    <font>
      <sz val="8"/>
      <color indexed="47"/>
      <name val="Arial"/>
      <family val="2"/>
    </font>
    <font>
      <sz val="7"/>
      <name val="Arial"/>
      <family val="2"/>
    </font>
    <font>
      <b/>
      <sz val="18"/>
      <color indexed="10"/>
      <name val="Tahoma"/>
      <family val="2"/>
    </font>
    <font>
      <b/>
      <u/>
      <sz val="7"/>
      <color indexed="8"/>
      <name val="Arial"/>
      <family val="2"/>
    </font>
    <font>
      <b/>
      <sz val="10"/>
      <color indexed="8"/>
      <name val="Tahoma"/>
      <family val="2"/>
    </font>
    <font>
      <sz val="10"/>
      <name val="Arial"/>
      <family val="2"/>
    </font>
    <font>
      <b/>
      <sz val="8"/>
      <color indexed="10"/>
      <name val="Tahoma"/>
      <family val="2"/>
    </font>
    <font>
      <sz val="10"/>
      <color indexed="17"/>
      <name val="Arial"/>
      <family val="2"/>
    </font>
    <font>
      <b/>
      <sz val="11"/>
      <color indexed="17"/>
      <name val="Arial"/>
      <family val="2"/>
    </font>
    <font>
      <b/>
      <sz val="7"/>
      <name val="Arial"/>
      <family val="2"/>
    </font>
    <font>
      <sz val="8"/>
      <color indexed="55"/>
      <name val="Tahoma"/>
      <family val="2"/>
    </font>
    <font>
      <b/>
      <sz val="10"/>
      <color indexed="12"/>
      <name val="Arial"/>
      <family val="2"/>
    </font>
    <font>
      <sz val="6"/>
      <name val="Arial"/>
      <family val="2"/>
    </font>
    <font>
      <sz val="10"/>
      <color indexed="9"/>
      <name val="Arial"/>
      <family val="2"/>
    </font>
    <font>
      <sz val="8"/>
      <color indexed="47"/>
      <name val="Arial"/>
      <family val="2"/>
    </font>
    <font>
      <sz val="10"/>
      <color indexed="47"/>
      <name val="Arial"/>
      <family val="2"/>
    </font>
    <font>
      <b/>
      <sz val="10"/>
      <color indexed="47"/>
      <name val="Arial"/>
      <family val="2"/>
    </font>
    <font>
      <b/>
      <sz val="11"/>
      <color indexed="47"/>
      <name val="Arial"/>
      <family val="2"/>
    </font>
    <font>
      <b/>
      <vertAlign val="superscript"/>
      <sz val="11"/>
      <color indexed="47"/>
      <name val="Arial"/>
      <family val="2"/>
    </font>
    <font>
      <sz val="11"/>
      <color indexed="47"/>
      <name val="Arial"/>
      <family val="2"/>
    </font>
    <font>
      <sz val="7"/>
      <color indexed="12"/>
      <name val="Arial"/>
      <family val="2"/>
    </font>
    <font>
      <sz val="10"/>
      <color indexed="47"/>
      <name val="Arial"/>
      <family val="2"/>
    </font>
    <font>
      <sz val="11"/>
      <color indexed="22"/>
      <name val="Tahoma"/>
      <family val="2"/>
    </font>
    <font>
      <sz val="10"/>
      <color indexed="22"/>
      <name val="Arial"/>
      <family val="2"/>
    </font>
    <font>
      <sz val="11"/>
      <color indexed="10"/>
      <name val="Tahoma"/>
      <family val="2"/>
    </font>
    <font>
      <sz val="12"/>
      <color indexed="9"/>
      <name val="Tahoma"/>
      <family val="2"/>
    </font>
    <font>
      <sz val="14"/>
      <color indexed="10"/>
      <name val="Arial"/>
      <family val="2"/>
    </font>
    <font>
      <sz val="11"/>
      <color indexed="48"/>
      <name val="Arial"/>
      <family val="2"/>
    </font>
    <font>
      <b/>
      <sz val="10"/>
      <color indexed="48"/>
      <name val="Arial"/>
      <family val="2"/>
    </font>
    <font>
      <vertAlign val="subscript"/>
      <sz val="10"/>
      <color indexed="47"/>
      <name val="Arial"/>
      <family val="2"/>
    </font>
    <font>
      <b/>
      <sz val="16"/>
      <color indexed="10"/>
      <name val="Tahoma"/>
      <family val="2"/>
    </font>
    <font>
      <sz val="10"/>
      <color indexed="10"/>
      <name val="Arial"/>
      <family val="2"/>
    </font>
    <font>
      <b/>
      <sz val="11"/>
      <color indexed="8"/>
      <name val="Arial"/>
      <family val="2"/>
    </font>
    <font>
      <sz val="11"/>
      <color indexed="9"/>
      <name val="Tahoma"/>
      <family val="2"/>
    </font>
    <font>
      <sz val="11"/>
      <color indexed="9"/>
      <name val="Arial"/>
      <family val="2"/>
    </font>
    <font>
      <sz val="11"/>
      <color indexed="8"/>
      <name val="Arial"/>
      <family val="2"/>
    </font>
    <font>
      <b/>
      <sz val="12"/>
      <color indexed="12"/>
      <name val="Arial"/>
      <family val="2"/>
    </font>
    <font>
      <b/>
      <sz val="12"/>
      <color indexed="48"/>
      <name val="Arial"/>
      <family val="2"/>
    </font>
    <font>
      <b/>
      <sz val="6"/>
      <color indexed="50"/>
      <name val="Arial"/>
      <family val="2"/>
    </font>
    <font>
      <sz val="8"/>
      <color indexed="10"/>
      <name val="Arial"/>
      <family val="2"/>
    </font>
    <font>
      <sz val="10"/>
      <color indexed="9"/>
      <name val="Arial"/>
      <family val="2"/>
    </font>
    <font>
      <sz val="8"/>
      <color indexed="9"/>
      <name val="Arial"/>
      <family val="2"/>
    </font>
    <font>
      <sz val="8"/>
      <color indexed="10"/>
      <name val="Arial"/>
      <family val="2"/>
    </font>
    <font>
      <sz val="10"/>
      <name val="Arial"/>
      <family val="2"/>
    </font>
    <font>
      <sz val="7"/>
      <color indexed="10"/>
      <name val="Arial"/>
      <family val="2"/>
    </font>
    <font>
      <b/>
      <sz val="10"/>
      <color indexed="10"/>
      <name val="Arial"/>
      <family val="2"/>
    </font>
    <font>
      <sz val="7"/>
      <name val="Tahoma"/>
      <family val="2"/>
    </font>
    <font>
      <sz val="7"/>
      <name val="Velvenda Cooler"/>
    </font>
    <font>
      <sz val="7"/>
      <name val="Symbol"/>
      <family val="1"/>
      <charset val="2"/>
    </font>
    <font>
      <b/>
      <sz val="8"/>
      <color indexed="47"/>
      <name val="Arial"/>
      <family val="2"/>
    </font>
    <font>
      <sz val="10"/>
      <color indexed="55"/>
      <name val="Arial"/>
      <family val="2"/>
    </font>
    <font>
      <sz val="10"/>
      <color indexed="9"/>
      <name val="Tahoma"/>
      <family val="2"/>
    </font>
    <font>
      <sz val="10"/>
      <color indexed="9"/>
      <name val="Arial"/>
      <family val="2"/>
    </font>
    <font>
      <sz val="11"/>
      <color indexed="9"/>
      <name val="Tahoma"/>
      <family val="2"/>
    </font>
    <font>
      <vertAlign val="subscript"/>
      <sz val="10"/>
      <color indexed="12"/>
      <name val="Arial"/>
      <family val="2"/>
    </font>
    <font>
      <b/>
      <sz val="10"/>
      <color indexed="9"/>
      <name val="Arial"/>
      <family val="2"/>
    </font>
    <font>
      <sz val="10"/>
      <color indexed="10"/>
      <name val="Arial"/>
      <family val="2"/>
    </font>
    <font>
      <sz val="11"/>
      <color indexed="9"/>
      <name val="ＭＳ Ｐゴシック"/>
      <charset val="128"/>
    </font>
    <font>
      <sz val="10"/>
      <color indexed="55"/>
      <name val="Tahoma"/>
      <family val="2"/>
    </font>
    <font>
      <sz val="8"/>
      <color indexed="22"/>
      <name val="Arial"/>
      <family val="2"/>
    </font>
    <font>
      <sz val="11"/>
      <color theme="1"/>
      <name val="Calibri"/>
      <family val="2"/>
      <scheme val="minor"/>
    </font>
    <font>
      <sz val="8"/>
      <color rgb="FF000000"/>
      <name val="Tahoma"/>
      <family val="2"/>
    </font>
    <font>
      <b/>
      <sz val="8"/>
      <color indexed="22"/>
      <name val="Arial"/>
      <family val="2"/>
    </font>
    <font>
      <sz val="10"/>
      <color theme="0"/>
      <name val="Arial"/>
      <family val="2"/>
    </font>
    <font>
      <sz val="10"/>
      <color rgb="FFFF0000"/>
      <name val="Arial"/>
      <family val="2"/>
    </font>
    <font>
      <sz val="8"/>
      <color rgb="FFFF0000"/>
      <name val="Arial"/>
      <family val="2"/>
    </font>
    <font>
      <sz val="8"/>
      <color theme="1"/>
      <name val="Arial"/>
      <family val="2"/>
    </font>
    <font>
      <b/>
      <sz val="8"/>
      <color theme="1"/>
      <name val="Arial"/>
      <family val="2"/>
    </font>
    <font>
      <sz val="10"/>
      <color theme="1"/>
      <name val="Meiryo UI"/>
      <family val="2"/>
      <charset val="128"/>
    </font>
    <font>
      <u/>
      <sz val="10"/>
      <color theme="10"/>
      <name val="Arial"/>
      <family val="2"/>
    </font>
    <font>
      <b/>
      <sz val="10"/>
      <color rgb="FF0000FF"/>
      <name val="Arial"/>
      <family val="2"/>
    </font>
    <font>
      <b/>
      <sz val="10"/>
      <color rgb="FF00B050"/>
      <name val="Arial"/>
      <family val="2"/>
    </font>
    <font>
      <u/>
      <sz val="9"/>
      <color theme="10"/>
      <name val="Arial"/>
      <family val="2"/>
    </font>
  </fonts>
  <fills count="30">
    <fill>
      <patternFill patternType="none"/>
    </fill>
    <fill>
      <patternFill patternType="gray125"/>
    </fill>
    <fill>
      <patternFill patternType="solid">
        <fgColor indexed="27"/>
        <bgColor indexed="41"/>
      </patternFill>
    </fill>
    <fill>
      <patternFill patternType="solid">
        <fgColor indexed="42"/>
        <bgColor indexed="27"/>
      </patternFill>
    </fill>
    <fill>
      <patternFill patternType="solid">
        <fgColor indexed="43"/>
        <bgColor indexed="26"/>
      </patternFill>
    </fill>
    <fill>
      <patternFill patternType="solid">
        <fgColor indexed="9"/>
        <bgColor indexed="64"/>
      </patternFill>
    </fill>
    <fill>
      <patternFill patternType="solid">
        <fgColor indexed="47"/>
        <bgColor indexed="64"/>
      </patternFill>
    </fill>
    <fill>
      <patternFill patternType="solid">
        <fgColor indexed="47"/>
        <bgColor indexed="26"/>
      </patternFill>
    </fill>
    <fill>
      <patternFill patternType="solid">
        <fgColor indexed="9"/>
        <bgColor indexed="26"/>
      </patternFill>
    </fill>
    <fill>
      <patternFill patternType="solid">
        <fgColor indexed="43"/>
        <bgColor indexed="64"/>
      </patternFill>
    </fill>
    <fill>
      <patternFill patternType="solid">
        <fgColor indexed="22"/>
        <bgColor indexed="64"/>
      </patternFill>
    </fill>
    <fill>
      <patternFill patternType="solid">
        <fgColor indexed="22"/>
        <bgColor indexed="26"/>
      </patternFill>
    </fill>
    <fill>
      <patternFill patternType="solid">
        <fgColor indexed="10"/>
        <bgColor indexed="60"/>
      </patternFill>
    </fill>
    <fill>
      <patternFill patternType="solid">
        <fgColor indexed="47"/>
        <bgColor indexed="8"/>
      </patternFill>
    </fill>
    <fill>
      <patternFill patternType="solid">
        <fgColor indexed="47"/>
        <bgColor indexed="60"/>
      </patternFill>
    </fill>
    <fill>
      <patternFill patternType="solid">
        <fgColor indexed="13"/>
        <bgColor indexed="64"/>
      </patternFill>
    </fill>
    <fill>
      <patternFill patternType="solid">
        <fgColor indexed="45"/>
        <bgColor indexed="64"/>
      </patternFill>
    </fill>
    <fill>
      <patternFill patternType="solid">
        <fgColor indexed="18"/>
        <bgColor indexed="64"/>
      </patternFill>
    </fill>
    <fill>
      <patternFill patternType="solid">
        <fgColor indexed="55"/>
        <bgColor indexed="64"/>
      </patternFill>
    </fill>
    <fill>
      <patternFill patternType="solid">
        <fgColor indexed="47"/>
        <bgColor indexed="41"/>
      </patternFill>
    </fill>
    <fill>
      <patternFill patternType="solid">
        <fgColor indexed="65"/>
        <bgColor indexed="64"/>
      </patternFill>
    </fill>
    <fill>
      <patternFill patternType="solid">
        <fgColor indexed="9"/>
        <bgColor indexed="8"/>
      </patternFill>
    </fill>
    <fill>
      <patternFill patternType="solid">
        <fgColor indexed="52"/>
        <bgColor indexed="64"/>
      </patternFill>
    </fill>
    <fill>
      <patternFill patternType="solid">
        <fgColor indexed="13"/>
        <bgColor indexed="26"/>
      </patternFill>
    </fill>
    <fill>
      <patternFill patternType="solid">
        <fgColor indexed="9"/>
        <bgColor indexed="60"/>
      </patternFill>
    </fill>
    <fill>
      <patternFill patternType="solid">
        <fgColor indexed="11"/>
        <bgColor indexed="49"/>
      </patternFill>
    </fill>
    <fill>
      <patternFill patternType="solid">
        <fgColor indexed="40"/>
        <bgColor indexed="39"/>
      </patternFill>
    </fill>
    <fill>
      <patternFill patternType="solid">
        <fgColor indexed="13"/>
        <bgColor indexed="34"/>
      </patternFill>
    </fill>
    <fill>
      <patternFill patternType="solid">
        <fgColor theme="0" tint="-0.249977111117893"/>
        <bgColor indexed="64"/>
      </patternFill>
    </fill>
    <fill>
      <patternFill patternType="solid">
        <fgColor theme="0"/>
        <bgColor indexed="64"/>
      </patternFill>
    </fill>
  </fills>
  <borders count="55">
    <border>
      <left/>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hair">
        <color indexed="8"/>
      </left>
      <right style="hair">
        <color indexed="8"/>
      </right>
      <top style="hair">
        <color indexed="8"/>
      </top>
      <bottom style="hair">
        <color indexed="8"/>
      </bottom>
      <diagonal/>
    </border>
    <border>
      <left/>
      <right/>
      <top style="medium">
        <color indexed="64"/>
      </top>
      <bottom/>
      <diagonal/>
    </border>
    <border>
      <left/>
      <right/>
      <top style="thin">
        <color indexed="64"/>
      </top>
      <bottom/>
      <diagonal/>
    </border>
    <border>
      <left style="thin">
        <color indexed="64"/>
      </left>
      <right/>
      <top/>
      <bottom/>
      <diagonal/>
    </border>
    <border>
      <left/>
      <right/>
      <top/>
      <bottom style="thin">
        <color indexed="64"/>
      </bottom>
      <diagonal/>
    </border>
    <border>
      <left style="thin">
        <color indexed="64"/>
      </left>
      <right/>
      <top/>
      <bottom style="thin">
        <color indexed="64"/>
      </bottom>
      <diagonal/>
    </border>
    <border>
      <left/>
      <right/>
      <top/>
      <bottom style="medium">
        <color indexed="64"/>
      </bottom>
      <diagonal/>
    </border>
    <border>
      <left style="thin">
        <color indexed="64"/>
      </left>
      <right/>
      <top style="thin">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style="medium">
        <color indexed="64"/>
      </left>
      <right/>
      <top/>
      <bottom/>
      <diagonal/>
    </border>
    <border>
      <left style="thin">
        <color indexed="64"/>
      </left>
      <right style="thin">
        <color indexed="64"/>
      </right>
      <top/>
      <bottom style="thin">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hair">
        <color indexed="8"/>
      </left>
      <right style="medium">
        <color indexed="64"/>
      </right>
      <top style="thin">
        <color indexed="8"/>
      </top>
      <bottom style="hair">
        <color indexed="8"/>
      </bottom>
      <diagonal/>
    </border>
    <border>
      <left/>
      <right style="medium">
        <color indexed="64"/>
      </right>
      <top style="hair">
        <color indexed="8"/>
      </top>
      <bottom style="hair">
        <color indexed="8"/>
      </bottom>
      <diagonal/>
    </border>
    <border>
      <left style="hair">
        <color indexed="8"/>
      </left>
      <right style="medium">
        <color indexed="64"/>
      </right>
      <top style="hair">
        <color indexed="8"/>
      </top>
      <bottom style="hair">
        <color indexed="8"/>
      </bottom>
      <diagonal/>
    </border>
    <border>
      <left style="hair">
        <color indexed="8"/>
      </left>
      <right style="medium">
        <color indexed="64"/>
      </right>
      <top style="hair">
        <color indexed="8"/>
      </top>
      <bottom style="thin">
        <color indexed="8"/>
      </bottom>
      <diagonal/>
    </border>
    <border>
      <left style="hair">
        <color indexed="8"/>
      </left>
      <right style="medium">
        <color indexed="64"/>
      </right>
      <top style="hair">
        <color indexed="8"/>
      </top>
      <bottom style="medium">
        <color indexed="64"/>
      </bottom>
      <diagonal/>
    </border>
    <border>
      <left style="hair">
        <color indexed="8"/>
      </left>
      <right style="medium">
        <color indexed="64"/>
      </right>
      <top style="thin">
        <color indexed="64"/>
      </top>
      <bottom style="thin">
        <color indexed="8"/>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right style="thin">
        <color indexed="64"/>
      </right>
      <top/>
      <bottom/>
      <diagonal/>
    </border>
    <border>
      <left/>
      <right style="medium">
        <color indexed="64"/>
      </right>
      <top/>
      <bottom style="thin">
        <color indexed="64"/>
      </bottom>
      <diagonal/>
    </border>
    <border>
      <left/>
      <right style="medium">
        <color indexed="64"/>
      </right>
      <top style="thin">
        <color indexed="64"/>
      </top>
      <bottom/>
      <diagonal/>
    </border>
    <border>
      <left style="thin">
        <color indexed="64"/>
      </left>
      <right style="medium">
        <color indexed="64"/>
      </right>
      <top/>
      <bottom style="medium">
        <color indexed="64"/>
      </bottom>
      <diagonal/>
    </border>
    <border>
      <left style="thin">
        <color indexed="64"/>
      </left>
      <right/>
      <top style="medium">
        <color indexed="64"/>
      </top>
      <bottom/>
      <diagonal/>
    </border>
    <border>
      <left/>
      <right style="thin">
        <color indexed="64"/>
      </right>
      <top style="thin">
        <color indexed="64"/>
      </top>
      <bottom style="thin">
        <color indexed="64"/>
      </bottom>
      <diagonal/>
    </border>
    <border>
      <left style="thin">
        <color indexed="64"/>
      </left>
      <right/>
      <top/>
      <bottom style="medium">
        <color indexed="64"/>
      </bottom>
      <diagonal/>
    </border>
    <border>
      <left style="medium">
        <color indexed="64"/>
      </left>
      <right/>
      <top style="medium">
        <color indexed="64"/>
      </top>
      <bottom/>
      <diagonal/>
    </border>
    <border>
      <left style="medium">
        <color indexed="64"/>
      </left>
      <right/>
      <top style="thin">
        <color indexed="64"/>
      </top>
      <bottom/>
      <diagonal/>
    </border>
    <border>
      <left style="medium">
        <color indexed="64"/>
      </left>
      <right/>
      <top/>
      <bottom style="thin">
        <color indexed="64"/>
      </bottom>
      <diagonal/>
    </border>
    <border>
      <left style="medium">
        <color indexed="64"/>
      </left>
      <right/>
      <top/>
      <bottom style="medium">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right/>
      <top style="thin">
        <color indexed="64"/>
      </top>
      <bottom style="thin">
        <color indexed="64"/>
      </bottom>
      <diagonal/>
    </border>
    <border>
      <left style="thin">
        <color indexed="8"/>
      </left>
      <right style="thin">
        <color indexed="8"/>
      </right>
      <top style="medium">
        <color indexed="64"/>
      </top>
      <bottom/>
      <diagonal/>
    </border>
    <border>
      <left style="thin">
        <color indexed="8"/>
      </left>
      <right/>
      <top style="medium">
        <color indexed="64"/>
      </top>
      <bottom/>
      <diagonal/>
    </border>
    <border>
      <left style="thin">
        <color indexed="8"/>
      </left>
      <right style="medium">
        <color indexed="64"/>
      </right>
      <top style="medium">
        <color indexed="64"/>
      </top>
      <bottom/>
      <diagonal/>
    </border>
    <border>
      <left style="thin">
        <color indexed="8"/>
      </left>
      <right/>
      <top/>
      <bottom/>
      <diagonal/>
    </border>
    <border>
      <left/>
      <right style="thin">
        <color indexed="64"/>
      </right>
      <top style="medium">
        <color indexed="64"/>
      </top>
      <bottom/>
      <diagonal/>
    </border>
    <border>
      <left/>
      <right style="thin">
        <color indexed="64"/>
      </right>
      <top/>
      <bottom style="medium">
        <color indexed="64"/>
      </bottom>
      <diagonal/>
    </border>
    <border>
      <left/>
      <right style="thin">
        <color indexed="8"/>
      </right>
      <top style="thin">
        <color indexed="8"/>
      </top>
      <bottom/>
      <diagonal/>
    </border>
    <border>
      <left/>
      <right style="thin">
        <color indexed="8"/>
      </right>
      <top/>
      <bottom/>
      <diagonal/>
    </border>
  </borders>
  <cellStyleXfs count="24">
    <xf numFmtId="0" fontId="0" fillId="0" borderId="0"/>
    <xf numFmtId="164" fontId="23" fillId="0" borderId="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27" fillId="0" borderId="0"/>
    <xf numFmtId="0" fontId="23" fillId="0" borderId="0"/>
    <xf numFmtId="0" fontId="1" fillId="0" borderId="0"/>
    <xf numFmtId="0" fontId="1" fillId="0" borderId="0"/>
    <xf numFmtId="0" fontId="2" fillId="0" borderId="0"/>
    <xf numFmtId="0" fontId="1" fillId="0" borderId="0"/>
    <xf numFmtId="0" fontId="110" fillId="0" borderId="0"/>
    <xf numFmtId="0" fontId="21" fillId="0" borderId="0"/>
    <xf numFmtId="0" fontId="3" fillId="0" borderId="0"/>
    <xf numFmtId="0" fontId="21" fillId="0" borderId="0"/>
    <xf numFmtId="0" fontId="5" fillId="0" borderId="0"/>
    <xf numFmtId="0" fontId="4" fillId="0" borderId="0"/>
    <xf numFmtId="0" fontId="22" fillId="0" borderId="0"/>
    <xf numFmtId="0" fontId="5" fillId="0" borderId="0"/>
    <xf numFmtId="0" fontId="5" fillId="0" borderId="0"/>
    <xf numFmtId="0" fontId="5" fillId="0" borderId="0"/>
    <xf numFmtId="9" fontId="1" fillId="0" borderId="0" applyFill="0" applyBorder="0" applyAlignment="0" applyProtection="0"/>
    <xf numFmtId="9" fontId="21" fillId="0" borderId="0" applyFont="0" applyFill="0" applyBorder="0" applyAlignment="0" applyProtection="0"/>
    <xf numFmtId="0" fontId="135" fillId="0" borderId="0">
      <alignment vertical="center"/>
    </xf>
    <xf numFmtId="0" fontId="136" fillId="0" borderId="0" applyNumberFormat="0" applyFill="0" applyBorder="0" applyAlignment="0" applyProtection="0"/>
  </cellStyleXfs>
  <cellXfs count="1032">
    <xf numFmtId="0" fontId="0" fillId="0" borderId="0" xfId="0"/>
    <xf numFmtId="0" fontId="2" fillId="0" borderId="0" xfId="12" applyFont="1" applyBorder="1"/>
    <xf numFmtId="0" fontId="2" fillId="0" borderId="0" xfId="19" applyFont="1" applyBorder="1"/>
    <xf numFmtId="0" fontId="2" fillId="0" borderId="0" xfId="12" applyFont="1" applyBorder="1" applyAlignment="1">
      <alignment horizontal="center"/>
    </xf>
    <xf numFmtId="0" fontId="2" fillId="0" borderId="0" xfId="12" applyFont="1" applyFill="1" applyBorder="1" applyAlignment="1">
      <alignment horizontal="center"/>
    </xf>
    <xf numFmtId="0" fontId="2" fillId="0" borderId="0" xfId="12" applyFont="1" applyFill="1" applyBorder="1" applyProtection="1">
      <protection locked="0"/>
    </xf>
    <xf numFmtId="0" fontId="2" fillId="2" borderId="1" xfId="19" applyFont="1" applyFill="1" applyBorder="1" applyAlignment="1">
      <alignment horizontal="center"/>
    </xf>
    <xf numFmtId="0" fontId="2" fillId="0" borderId="1" xfId="19" applyFont="1" applyFill="1" applyBorder="1"/>
    <xf numFmtId="0" fontId="2" fillId="2" borderId="1" xfId="19" applyFont="1" applyFill="1" applyBorder="1"/>
    <xf numFmtId="2" fontId="2" fillId="0" borderId="0" xfId="19" applyNumberFormat="1" applyFont="1" applyBorder="1"/>
    <xf numFmtId="2" fontId="2" fillId="0" borderId="0" xfId="12" applyNumberFormat="1" applyFont="1" applyFill="1" applyBorder="1"/>
    <xf numFmtId="1" fontId="2" fillId="0" borderId="0" xfId="12" applyNumberFormat="1" applyFont="1" applyFill="1" applyBorder="1" applyAlignment="1">
      <alignment horizontal="center"/>
    </xf>
    <xf numFmtId="1" fontId="2" fillId="0" borderId="0" xfId="12" applyNumberFormat="1" applyFont="1" applyFill="1" applyBorder="1"/>
    <xf numFmtId="0" fontId="2" fillId="0" borderId="0" xfId="12" applyFont="1" applyFill="1" applyBorder="1"/>
    <xf numFmtId="169" fontId="2" fillId="0" borderId="0" xfId="12" applyNumberFormat="1" applyFont="1" applyFill="1" applyBorder="1" applyAlignment="1">
      <alignment horizontal="center"/>
    </xf>
    <xf numFmtId="0" fontId="23" fillId="0" borderId="0" xfId="13" applyFont="1" applyFill="1" applyAlignment="1">
      <alignment horizontal="center"/>
    </xf>
    <xf numFmtId="0" fontId="23" fillId="0" borderId="0" xfId="13" applyFont="1" applyFill="1" applyAlignment="1">
      <alignment horizontal="center" vertical="center"/>
    </xf>
    <xf numFmtId="0" fontId="15" fillId="0" borderId="0" xfId="13" applyFont="1" applyFill="1" applyAlignment="1">
      <alignment horizontal="center"/>
    </xf>
    <xf numFmtId="0" fontId="2" fillId="3" borderId="2" xfId="12" applyFont="1" applyFill="1" applyBorder="1" applyAlignment="1">
      <alignment horizontal="center"/>
    </xf>
    <xf numFmtId="167" fontId="2" fillId="2" borderId="3" xfId="12" applyNumberFormat="1" applyFont="1" applyFill="1" applyBorder="1"/>
    <xf numFmtId="167" fontId="2" fillId="0" borderId="3" xfId="12" applyNumberFormat="1" applyFont="1" applyFill="1" applyBorder="1"/>
    <xf numFmtId="167" fontId="23" fillId="4" borderId="3" xfId="12" applyNumberFormat="1" applyFont="1" applyFill="1" applyBorder="1"/>
    <xf numFmtId="167" fontId="23" fillId="3" borderId="3" xfId="12" applyNumberFormat="1" applyFont="1" applyFill="1" applyBorder="1"/>
    <xf numFmtId="168" fontId="2" fillId="0" borderId="0" xfId="12" applyNumberFormat="1" applyFont="1" applyFill="1" applyBorder="1"/>
    <xf numFmtId="2" fontId="2" fillId="0" borderId="0" xfId="12" applyNumberFormat="1" applyFont="1" applyBorder="1"/>
    <xf numFmtId="1" fontId="2" fillId="0" borderId="0" xfId="12" applyNumberFormat="1" applyFont="1" applyBorder="1"/>
    <xf numFmtId="169" fontId="2" fillId="0" borderId="0" xfId="12" applyNumberFormat="1" applyFont="1" applyBorder="1"/>
    <xf numFmtId="169" fontId="2" fillId="0" borderId="0" xfId="12" applyNumberFormat="1" applyFont="1" applyBorder="1" applyAlignment="1">
      <alignment horizontal="center"/>
    </xf>
    <xf numFmtId="0" fontId="47" fillId="5" borderId="0" xfId="11" applyFont="1" applyFill="1" applyProtection="1">
      <protection hidden="1"/>
    </xf>
    <xf numFmtId="0" fontId="39" fillId="5" borderId="0" xfId="11" applyFont="1" applyFill="1" applyProtection="1">
      <protection hidden="1"/>
    </xf>
    <xf numFmtId="0" fontId="41" fillId="5" borderId="0" xfId="11" applyFont="1" applyFill="1" applyProtection="1">
      <protection hidden="1"/>
    </xf>
    <xf numFmtId="0" fontId="47" fillId="5" borderId="0" xfId="11" applyFont="1" applyFill="1" applyAlignment="1" applyProtection="1">
      <alignment vertical="center"/>
      <protection hidden="1"/>
    </xf>
    <xf numFmtId="0" fontId="41" fillId="5" borderId="0" xfId="11" applyFont="1" applyFill="1" applyAlignment="1" applyProtection="1">
      <alignment vertical="center"/>
      <protection hidden="1"/>
    </xf>
    <xf numFmtId="0" fontId="41" fillId="5" borderId="0" xfId="11" applyFont="1" applyFill="1" applyBorder="1" applyAlignment="1" applyProtection="1">
      <alignment vertical="center"/>
      <protection hidden="1"/>
    </xf>
    <xf numFmtId="0" fontId="48" fillId="5" borderId="0" xfId="11" applyFont="1" applyFill="1" applyAlignment="1" applyProtection="1">
      <alignment vertical="center"/>
      <protection hidden="1"/>
    </xf>
    <xf numFmtId="0" fontId="58" fillId="5" borderId="0" xfId="11" applyFont="1" applyFill="1" applyAlignment="1" applyProtection="1">
      <alignment vertical="center"/>
      <protection hidden="1"/>
    </xf>
    <xf numFmtId="0" fontId="50" fillId="5" borderId="0" xfId="11" applyFont="1" applyFill="1" applyAlignment="1" applyProtection="1">
      <alignment vertical="center"/>
      <protection hidden="1"/>
    </xf>
    <xf numFmtId="0" fontId="61" fillId="5" borderId="0" xfId="11" applyFont="1" applyFill="1" applyProtection="1">
      <protection hidden="1"/>
    </xf>
    <xf numFmtId="0" fontId="62" fillId="5" borderId="0" xfId="11" applyFont="1" applyFill="1" applyProtection="1">
      <protection hidden="1"/>
    </xf>
    <xf numFmtId="1" fontId="62" fillId="5" borderId="0" xfId="11" applyNumberFormat="1" applyFont="1" applyFill="1" applyProtection="1">
      <protection hidden="1"/>
    </xf>
    <xf numFmtId="0" fontId="40" fillId="5" borderId="0" xfId="11" applyFont="1" applyFill="1" applyProtection="1">
      <protection hidden="1"/>
    </xf>
    <xf numFmtId="1" fontId="61" fillId="5" borderId="0" xfId="11" applyNumberFormat="1" applyFont="1" applyFill="1" applyProtection="1">
      <protection hidden="1"/>
    </xf>
    <xf numFmtId="1" fontId="2" fillId="2" borderId="3" xfId="12" applyNumberFormat="1" applyFont="1" applyFill="1" applyBorder="1"/>
    <xf numFmtId="0" fontId="0" fillId="5" borderId="4" xfId="0" applyFill="1" applyBorder="1" applyProtection="1">
      <protection hidden="1"/>
    </xf>
    <xf numFmtId="0" fontId="0" fillId="5" borderId="0" xfId="0" applyFill="1" applyBorder="1" applyProtection="1">
      <protection hidden="1"/>
    </xf>
    <xf numFmtId="0" fontId="15" fillId="5" borderId="0" xfId="0" applyFont="1" applyFill="1" applyProtection="1">
      <protection hidden="1"/>
    </xf>
    <xf numFmtId="0" fontId="15" fillId="5" borderId="0" xfId="0" applyFont="1" applyFill="1" applyBorder="1" applyProtection="1">
      <protection hidden="1"/>
    </xf>
    <xf numFmtId="0" fontId="0" fillId="0" borderId="0" xfId="0" applyProtection="1">
      <protection hidden="1"/>
    </xf>
    <xf numFmtId="0" fontId="7" fillId="6" borderId="0" xfId="0" applyFont="1" applyFill="1" applyBorder="1" applyProtection="1">
      <protection hidden="1"/>
    </xf>
    <xf numFmtId="0" fontId="0" fillId="7" borderId="0" xfId="0" applyFill="1" applyBorder="1" applyProtection="1">
      <protection hidden="1"/>
    </xf>
    <xf numFmtId="0" fontId="0" fillId="7" borderId="0" xfId="0" applyFill="1" applyBorder="1" applyAlignment="1" applyProtection="1">
      <alignment horizontal="right"/>
      <protection hidden="1"/>
    </xf>
    <xf numFmtId="0" fontId="11" fillId="5" borderId="0" xfId="0" applyFont="1" applyFill="1" applyBorder="1" applyProtection="1">
      <protection hidden="1"/>
    </xf>
    <xf numFmtId="0" fontId="0" fillId="0" borderId="0" xfId="0" applyBorder="1" applyProtection="1">
      <protection hidden="1"/>
    </xf>
    <xf numFmtId="0" fontId="7" fillId="8" borderId="5" xfId="0" applyFont="1" applyFill="1" applyBorder="1" applyProtection="1">
      <protection hidden="1"/>
    </xf>
    <xf numFmtId="0" fontId="0" fillId="8" borderId="5" xfId="0" applyFill="1" applyBorder="1" applyProtection="1">
      <protection hidden="1"/>
    </xf>
    <xf numFmtId="0" fontId="9" fillId="8" borderId="5" xfId="15" applyFont="1" applyFill="1" applyBorder="1" applyAlignment="1" applyProtection="1">
      <alignment horizontal="left"/>
      <protection hidden="1"/>
    </xf>
    <xf numFmtId="0" fontId="7" fillId="7" borderId="5" xfId="0" applyFont="1" applyFill="1" applyBorder="1" applyProtection="1">
      <protection hidden="1"/>
    </xf>
    <xf numFmtId="0" fontId="0" fillId="7" borderId="5" xfId="0" applyFill="1" applyBorder="1" applyProtection="1">
      <protection hidden="1"/>
    </xf>
    <xf numFmtId="0" fontId="9" fillId="7" borderId="5" xfId="15" applyFont="1" applyFill="1" applyBorder="1" applyAlignment="1" applyProtection="1">
      <alignment horizontal="left"/>
      <protection hidden="1"/>
    </xf>
    <xf numFmtId="0" fontId="7" fillId="6" borderId="5" xfId="0" applyFont="1" applyFill="1" applyBorder="1" applyProtection="1">
      <protection hidden="1"/>
    </xf>
    <xf numFmtId="0" fontId="31" fillId="5" borderId="0" xfId="0" applyFont="1" applyFill="1" applyBorder="1" applyProtection="1">
      <protection hidden="1"/>
    </xf>
    <xf numFmtId="0" fontId="7" fillId="8" borderId="0" xfId="15" applyFont="1" applyFill="1" applyBorder="1" applyAlignment="1" applyProtection="1">
      <alignment horizontal="left" vertical="center"/>
      <protection hidden="1"/>
    </xf>
    <xf numFmtId="0" fontId="0" fillId="8" borderId="0" xfId="0" applyFill="1" applyBorder="1" applyAlignment="1" applyProtection="1">
      <alignment vertical="center"/>
      <protection hidden="1"/>
    </xf>
    <xf numFmtId="0" fontId="7" fillId="5" borderId="0" xfId="0" applyFont="1" applyFill="1" applyBorder="1" applyProtection="1">
      <protection hidden="1"/>
    </xf>
    <xf numFmtId="0" fontId="7" fillId="5" borderId="0" xfId="7" applyFont="1" applyFill="1" applyBorder="1" applyProtection="1">
      <protection hidden="1"/>
    </xf>
    <xf numFmtId="0" fontId="7" fillId="7" borderId="0" xfId="15" applyFont="1" applyFill="1" applyBorder="1" applyAlignment="1" applyProtection="1">
      <alignment horizontal="left" vertical="center"/>
      <protection hidden="1"/>
    </xf>
    <xf numFmtId="0" fontId="0" fillId="7" borderId="0" xfId="0" applyFill="1" applyBorder="1" applyAlignment="1" applyProtection="1">
      <alignment vertical="center"/>
      <protection hidden="1"/>
    </xf>
    <xf numFmtId="0" fontId="0" fillId="6" borderId="0" xfId="0" applyFill="1" applyBorder="1" applyProtection="1">
      <protection hidden="1"/>
    </xf>
    <xf numFmtId="0" fontId="7" fillId="6" borderId="0" xfId="7" applyFont="1" applyFill="1" applyBorder="1" applyProtection="1">
      <protection hidden="1"/>
    </xf>
    <xf numFmtId="0" fontId="7" fillId="9" borderId="0" xfId="0" applyFont="1" applyFill="1" applyBorder="1" applyAlignment="1" applyProtection="1">
      <alignment vertical="center"/>
      <protection hidden="1"/>
    </xf>
    <xf numFmtId="0" fontId="7" fillId="5" borderId="0" xfId="0" applyFont="1" applyFill="1" applyBorder="1" applyAlignment="1" applyProtection="1">
      <alignment vertical="center"/>
      <protection hidden="1"/>
    </xf>
    <xf numFmtId="0" fontId="7" fillId="10" borderId="0" xfId="16" applyFont="1" applyFill="1" applyBorder="1" applyAlignment="1" applyProtection="1">
      <alignment horizontal="left"/>
      <protection hidden="1"/>
    </xf>
    <xf numFmtId="0" fontId="7" fillId="11" borderId="0" xfId="0" applyFont="1" applyFill="1" applyBorder="1" applyProtection="1">
      <protection hidden="1"/>
    </xf>
    <xf numFmtId="0" fontId="7" fillId="10" borderId="0" xfId="0" applyFont="1" applyFill="1" applyBorder="1" applyProtection="1">
      <protection hidden="1"/>
    </xf>
    <xf numFmtId="0" fontId="7" fillId="10" borderId="0" xfId="16" applyFont="1" applyFill="1" applyBorder="1" applyProtection="1">
      <protection hidden="1"/>
    </xf>
    <xf numFmtId="0" fontId="0" fillId="9" borderId="0" xfId="0" applyFill="1" applyBorder="1" applyProtection="1">
      <protection hidden="1"/>
    </xf>
    <xf numFmtId="0" fontId="0" fillId="9" borderId="0" xfId="0" applyFill="1" applyBorder="1" applyAlignment="1" applyProtection="1">
      <alignment vertical="center"/>
      <protection hidden="1"/>
    </xf>
    <xf numFmtId="0" fontId="0" fillId="10" borderId="0" xfId="0" applyFill="1" applyBorder="1" applyProtection="1">
      <protection hidden="1"/>
    </xf>
    <xf numFmtId="0" fontId="14" fillId="12" borderId="0" xfId="0" applyFont="1" applyFill="1" applyBorder="1" applyProtection="1">
      <protection hidden="1"/>
    </xf>
    <xf numFmtId="0" fontId="12" fillId="5" borderId="0" xfId="0" applyFont="1" applyFill="1" applyBorder="1" applyAlignment="1" applyProtection="1">
      <alignment vertical="center"/>
      <protection hidden="1"/>
    </xf>
    <xf numFmtId="0" fontId="7" fillId="10" borderId="0" xfId="7" applyFont="1" applyFill="1" applyBorder="1" applyProtection="1">
      <protection hidden="1"/>
    </xf>
    <xf numFmtId="0" fontId="12" fillId="5" borderId="0" xfId="0" applyNumberFormat="1" applyFont="1" applyFill="1" applyBorder="1" applyAlignment="1" applyProtection="1">
      <alignment vertical="center"/>
      <protection hidden="1"/>
    </xf>
    <xf numFmtId="0" fontId="7" fillId="5" borderId="0" xfId="0" applyNumberFormat="1" applyFont="1" applyFill="1" applyBorder="1" applyAlignment="1" applyProtection="1">
      <alignment vertical="center"/>
      <protection hidden="1"/>
    </xf>
    <xf numFmtId="0" fontId="27" fillId="8" borderId="0" xfId="15" applyFont="1" applyFill="1" applyBorder="1" applyAlignment="1" applyProtection="1">
      <alignment horizontal="left" vertical="center"/>
      <protection hidden="1"/>
    </xf>
    <xf numFmtId="0" fontId="27" fillId="8" borderId="0" xfId="0" applyFont="1" applyFill="1" applyBorder="1" applyAlignment="1" applyProtection="1">
      <alignment vertical="center"/>
      <protection hidden="1"/>
    </xf>
    <xf numFmtId="0" fontId="7" fillId="5" borderId="0" xfId="16" applyFont="1" applyFill="1" applyBorder="1" applyAlignment="1" applyProtection="1">
      <alignment horizontal="left"/>
      <protection hidden="1"/>
    </xf>
    <xf numFmtId="0" fontId="7" fillId="5" borderId="0" xfId="16" applyFont="1" applyFill="1" applyBorder="1" applyProtection="1">
      <protection hidden="1"/>
    </xf>
    <xf numFmtId="0" fontId="7" fillId="6" borderId="0" xfId="16" applyFont="1" applyFill="1" applyBorder="1" applyAlignment="1" applyProtection="1">
      <alignment horizontal="left"/>
      <protection hidden="1"/>
    </xf>
    <xf numFmtId="0" fontId="7" fillId="6" borderId="0" xfId="16" applyFont="1" applyFill="1" applyBorder="1" applyProtection="1">
      <protection hidden="1"/>
    </xf>
    <xf numFmtId="0" fontId="0" fillId="8" borderId="6" xfId="0" applyFill="1" applyBorder="1" applyProtection="1">
      <protection hidden="1"/>
    </xf>
    <xf numFmtId="0" fontId="0" fillId="8" borderId="0" xfId="0" applyFill="1" applyBorder="1" applyProtection="1">
      <protection hidden="1"/>
    </xf>
    <xf numFmtId="0" fontId="0" fillId="8" borderId="0" xfId="0" applyFill="1" applyBorder="1" applyAlignment="1" applyProtection="1">
      <alignment horizontal="right"/>
      <protection hidden="1"/>
    </xf>
    <xf numFmtId="165" fontId="15" fillId="8" borderId="0" xfId="0" applyNumberFormat="1" applyFont="1" applyFill="1" applyBorder="1" applyAlignment="1" applyProtection="1">
      <alignment horizontal="right"/>
      <protection locked="0" hidden="1"/>
    </xf>
    <xf numFmtId="0" fontId="15" fillId="8" borderId="0" xfId="0" applyFont="1" applyFill="1" applyBorder="1" applyProtection="1">
      <protection hidden="1"/>
    </xf>
    <xf numFmtId="0" fontId="0" fillId="7" borderId="6" xfId="0" applyFill="1" applyBorder="1" applyProtection="1">
      <protection hidden="1"/>
    </xf>
    <xf numFmtId="0" fontId="26" fillId="7" borderId="0" xfId="0" applyFont="1" applyFill="1" applyBorder="1" applyProtection="1">
      <protection hidden="1"/>
    </xf>
    <xf numFmtId="0" fontId="12" fillId="5" borderId="0" xfId="0" applyFont="1" applyFill="1" applyBorder="1" applyProtection="1">
      <protection hidden="1"/>
    </xf>
    <xf numFmtId="0" fontId="9" fillId="8" borderId="0" xfId="15" applyFont="1" applyFill="1" applyBorder="1" applyAlignment="1" applyProtection="1">
      <alignment horizontal="left" vertical="center"/>
      <protection hidden="1"/>
    </xf>
    <xf numFmtId="0" fontId="9" fillId="7" borderId="6" xfId="15" applyFont="1" applyFill="1" applyBorder="1" applyAlignment="1" applyProtection="1">
      <alignment horizontal="left" vertical="center"/>
      <protection hidden="1"/>
    </xf>
    <xf numFmtId="0" fontId="26" fillId="7" borderId="0" xfId="0" applyFont="1" applyFill="1" applyBorder="1" applyAlignment="1" applyProtection="1">
      <alignment horizontal="right"/>
      <protection hidden="1"/>
    </xf>
    <xf numFmtId="0" fontId="26" fillId="6" borderId="0" xfId="0" applyFont="1" applyFill="1" applyBorder="1" applyProtection="1">
      <protection hidden="1"/>
    </xf>
    <xf numFmtId="0" fontId="7" fillId="10" borderId="5" xfId="0" applyFont="1" applyFill="1" applyBorder="1" applyProtection="1">
      <protection hidden="1"/>
    </xf>
    <xf numFmtId="0" fontId="7" fillId="11" borderId="5" xfId="0" applyFont="1" applyFill="1" applyBorder="1" applyProtection="1">
      <protection hidden="1"/>
    </xf>
    <xf numFmtId="0" fontId="7" fillId="10" borderId="5" xfId="16" applyFont="1" applyFill="1" applyBorder="1" applyProtection="1">
      <protection hidden="1"/>
    </xf>
    <xf numFmtId="0" fontId="0" fillId="10" borderId="5" xfId="0" applyFill="1" applyBorder="1" applyProtection="1">
      <protection hidden="1"/>
    </xf>
    <xf numFmtId="0" fontId="10" fillId="5" borderId="0" xfId="0" applyFont="1" applyFill="1" applyBorder="1" applyAlignment="1" applyProtection="1">
      <protection hidden="1"/>
    </xf>
    <xf numFmtId="0" fontId="7" fillId="7" borderId="0" xfId="0" applyFont="1" applyFill="1" applyBorder="1" applyProtection="1">
      <protection hidden="1"/>
    </xf>
    <xf numFmtId="0" fontId="7" fillId="8" borderId="0" xfId="0" applyFont="1" applyFill="1" applyBorder="1" applyProtection="1">
      <protection hidden="1"/>
    </xf>
    <xf numFmtId="0" fontId="0" fillId="5" borderId="0" xfId="0" applyNumberFormat="1" applyFill="1" applyBorder="1" applyProtection="1">
      <protection hidden="1"/>
    </xf>
    <xf numFmtId="0" fontId="27" fillId="5" borderId="0" xfId="0" applyFont="1" applyFill="1" applyBorder="1" applyProtection="1">
      <protection hidden="1"/>
    </xf>
    <xf numFmtId="0" fontId="0" fillId="7" borderId="7" xfId="0" applyFill="1" applyBorder="1" applyProtection="1">
      <protection hidden="1"/>
    </xf>
    <xf numFmtId="0" fontId="0" fillId="7" borderId="7" xfId="0" applyFill="1" applyBorder="1" applyAlignment="1" applyProtection="1">
      <alignment horizontal="right"/>
      <protection hidden="1"/>
    </xf>
    <xf numFmtId="0" fontId="0" fillId="11" borderId="7" xfId="0" applyFill="1" applyBorder="1" applyProtection="1">
      <protection hidden="1"/>
    </xf>
    <xf numFmtId="0" fontId="0" fillId="10" borderId="7" xfId="0" applyFill="1" applyBorder="1" applyProtection="1">
      <protection hidden="1"/>
    </xf>
    <xf numFmtId="0" fontId="7" fillId="10" borderId="7" xfId="7" applyFont="1" applyFill="1" applyBorder="1" applyProtection="1">
      <protection hidden="1"/>
    </xf>
    <xf numFmtId="0" fontId="0" fillId="8" borderId="8" xfId="0" applyFill="1" applyBorder="1" applyProtection="1">
      <protection hidden="1"/>
    </xf>
    <xf numFmtId="0" fontId="0" fillId="8" borderId="7" xfId="0" applyFill="1" applyBorder="1" applyProtection="1">
      <protection hidden="1"/>
    </xf>
    <xf numFmtId="0" fontId="0" fillId="8" borderId="7" xfId="0" applyFill="1" applyBorder="1" applyAlignment="1" applyProtection="1">
      <alignment horizontal="right"/>
      <protection hidden="1"/>
    </xf>
    <xf numFmtId="0" fontId="9" fillId="8" borderId="0" xfId="15" applyFont="1" applyFill="1" applyBorder="1" applyAlignment="1" applyProtection="1">
      <alignment horizontal="left"/>
      <protection hidden="1"/>
    </xf>
    <xf numFmtId="0" fontId="9" fillId="7" borderId="0" xfId="15" applyFont="1" applyFill="1" applyBorder="1" applyAlignment="1" applyProtection="1">
      <alignment horizontal="left"/>
      <protection hidden="1"/>
    </xf>
    <xf numFmtId="0" fontId="16" fillId="6" borderId="0" xfId="0" applyFont="1" applyFill="1" applyProtection="1">
      <protection hidden="1"/>
    </xf>
    <xf numFmtId="0" fontId="16" fillId="6" borderId="0" xfId="0" applyFont="1" applyFill="1" applyBorder="1" applyProtection="1">
      <protection hidden="1"/>
    </xf>
    <xf numFmtId="0" fontId="27" fillId="5" borderId="0" xfId="0" applyFont="1" applyFill="1" applyBorder="1" applyAlignment="1" applyProtection="1">
      <alignment vertical="center"/>
      <protection hidden="1"/>
    </xf>
    <xf numFmtId="0" fontId="12" fillId="0" borderId="0" xfId="0" applyFont="1" applyBorder="1" applyAlignment="1" applyProtection="1">
      <alignment vertical="center"/>
      <protection hidden="1"/>
    </xf>
    <xf numFmtId="0" fontId="0" fillId="5" borderId="0" xfId="0" applyFill="1" applyProtection="1">
      <protection hidden="1"/>
    </xf>
    <xf numFmtId="0" fontId="0" fillId="5" borderId="0" xfId="0" applyFill="1" applyAlignment="1" applyProtection="1">
      <protection hidden="1"/>
    </xf>
    <xf numFmtId="0" fontId="7" fillId="5" borderId="0" xfId="0" applyFont="1" applyFill="1" applyBorder="1" applyAlignment="1" applyProtection="1">
      <protection hidden="1"/>
    </xf>
    <xf numFmtId="170" fontId="24" fillId="5" borderId="0" xfId="21" applyNumberFormat="1" applyFont="1" applyFill="1" applyBorder="1" applyAlignment="1" applyProtection="1">
      <alignment horizontal="left"/>
      <protection hidden="1"/>
    </xf>
    <xf numFmtId="0" fontId="0" fillId="5" borderId="0" xfId="0" applyFill="1" applyBorder="1" applyAlignment="1" applyProtection="1">
      <protection hidden="1"/>
    </xf>
    <xf numFmtId="0" fontId="2" fillId="5" borderId="0" xfId="0" applyFont="1" applyFill="1" applyBorder="1" applyProtection="1">
      <protection hidden="1"/>
    </xf>
    <xf numFmtId="0" fontId="2" fillId="8" borderId="0" xfId="0" applyFont="1" applyFill="1" applyBorder="1" applyAlignment="1" applyProtection="1">
      <alignment vertical="center"/>
      <protection hidden="1"/>
    </xf>
    <xf numFmtId="0" fontId="30" fillId="9" borderId="0" xfId="0" applyFont="1" applyFill="1" applyBorder="1" applyProtection="1">
      <protection hidden="1"/>
    </xf>
    <xf numFmtId="0" fontId="30" fillId="4" borderId="0" xfId="15" applyFont="1" applyFill="1" applyBorder="1" applyAlignment="1" applyProtection="1">
      <alignment horizontal="left" vertical="center"/>
      <protection hidden="1"/>
    </xf>
    <xf numFmtId="0" fontId="30" fillId="4" borderId="0" xfId="0" applyFont="1" applyFill="1" applyBorder="1" applyAlignment="1" applyProtection="1">
      <alignment vertical="center"/>
      <protection hidden="1"/>
    </xf>
    <xf numFmtId="0" fontId="32" fillId="9" borderId="0" xfId="0" applyFont="1" applyFill="1" applyBorder="1" applyProtection="1">
      <protection hidden="1"/>
    </xf>
    <xf numFmtId="0" fontId="2" fillId="9" borderId="0" xfId="0" applyFont="1" applyFill="1" applyBorder="1" applyProtection="1">
      <protection hidden="1"/>
    </xf>
    <xf numFmtId="0" fontId="7" fillId="0" borderId="0" xfId="0" applyFont="1" applyBorder="1" applyProtection="1">
      <protection hidden="1"/>
    </xf>
    <xf numFmtId="0" fontId="27" fillId="5" borderId="0" xfId="0" applyFont="1" applyFill="1" applyBorder="1" applyAlignment="1" applyProtection="1">
      <alignment horizontal="center" vertical="center"/>
      <protection hidden="1"/>
    </xf>
    <xf numFmtId="0" fontId="2" fillId="5" borderId="0" xfId="0" applyFont="1" applyFill="1" applyBorder="1" applyAlignment="1" applyProtection="1">
      <protection hidden="1"/>
    </xf>
    <xf numFmtId="0" fontId="27" fillId="5" borderId="0" xfId="0" applyFont="1" applyFill="1" applyBorder="1" applyAlignment="1" applyProtection="1">
      <protection hidden="1"/>
    </xf>
    <xf numFmtId="0" fontId="30" fillId="9" borderId="0" xfId="0" applyFont="1" applyFill="1" applyBorder="1" applyAlignment="1" applyProtection="1">
      <alignment horizontal="center" vertical="center"/>
      <protection hidden="1"/>
    </xf>
    <xf numFmtId="0" fontId="30" fillId="9" borderId="0" xfId="0" applyFont="1" applyFill="1" applyBorder="1" applyAlignment="1" applyProtection="1">
      <protection hidden="1"/>
    </xf>
    <xf numFmtId="0" fontId="32" fillId="9" borderId="0" xfId="0" applyFont="1" applyFill="1" applyBorder="1" applyAlignment="1" applyProtection="1">
      <protection hidden="1"/>
    </xf>
    <xf numFmtId="171" fontId="27" fillId="5" borderId="0" xfId="7" applyNumberFormat="1" applyFont="1" applyFill="1" applyBorder="1" applyAlignment="1" applyProtection="1">
      <alignment horizontal="left"/>
      <protection hidden="1"/>
    </xf>
    <xf numFmtId="0" fontId="27" fillId="5" borderId="0" xfId="16" applyFont="1" applyFill="1" applyBorder="1" applyAlignment="1" applyProtection="1">
      <protection hidden="1"/>
    </xf>
    <xf numFmtId="171" fontId="30" fillId="9" borderId="0" xfId="16" applyNumberFormat="1" applyFont="1" applyFill="1" applyBorder="1" applyAlignment="1" applyProtection="1">
      <alignment horizontal="left"/>
      <protection hidden="1"/>
    </xf>
    <xf numFmtId="0" fontId="30" fillId="9" borderId="0" xfId="16" applyFont="1" applyFill="1" applyBorder="1" applyAlignment="1" applyProtection="1">
      <protection hidden="1"/>
    </xf>
    <xf numFmtId="0" fontId="15" fillId="6" borderId="0" xfId="0" applyFont="1" applyFill="1" applyBorder="1" applyProtection="1">
      <protection hidden="1"/>
    </xf>
    <xf numFmtId="0" fontId="2" fillId="5" borderId="9" xfId="0" applyFont="1" applyFill="1" applyBorder="1" applyProtection="1">
      <protection hidden="1"/>
    </xf>
    <xf numFmtId="0" fontId="2" fillId="5" borderId="9" xfId="0" applyFont="1" applyFill="1" applyBorder="1" applyAlignment="1" applyProtection="1">
      <protection hidden="1"/>
    </xf>
    <xf numFmtId="0" fontId="14" fillId="5" borderId="0" xfId="0" applyFont="1" applyFill="1" applyProtection="1">
      <protection hidden="1"/>
    </xf>
    <xf numFmtId="0" fontId="14" fillId="5" borderId="0" xfId="0" applyFont="1" applyFill="1" applyBorder="1" applyProtection="1">
      <protection hidden="1"/>
    </xf>
    <xf numFmtId="0" fontId="26" fillId="6" borderId="0" xfId="0" applyFont="1" applyFill="1" applyProtection="1">
      <protection hidden="1"/>
    </xf>
    <xf numFmtId="0" fontId="14" fillId="6" borderId="0" xfId="0" applyFont="1" applyFill="1" applyProtection="1">
      <protection hidden="1"/>
    </xf>
    <xf numFmtId="0" fontId="15" fillId="5" borderId="0" xfId="0" applyFont="1" applyFill="1" applyAlignment="1" applyProtection="1">
      <alignment horizontal="right"/>
      <protection hidden="1"/>
    </xf>
    <xf numFmtId="0" fontId="14" fillId="6" borderId="0" xfId="0" applyFont="1" applyFill="1" applyBorder="1" applyProtection="1">
      <protection hidden="1"/>
    </xf>
    <xf numFmtId="0" fontId="14" fillId="5" borderId="0" xfId="0" applyFont="1" applyFill="1" applyAlignment="1" applyProtection="1">
      <alignment vertical="center"/>
      <protection hidden="1"/>
    </xf>
    <xf numFmtId="0" fontId="0" fillId="0" borderId="0" xfId="0" applyAlignment="1" applyProtection="1">
      <alignment horizontal="right"/>
      <protection hidden="1"/>
    </xf>
    <xf numFmtId="0" fontId="26" fillId="7" borderId="0" xfId="0" applyNumberFormat="1" applyFont="1" applyFill="1" applyBorder="1" applyAlignment="1" applyProtection="1">
      <alignment horizontal="right"/>
      <protection locked="0" hidden="1"/>
    </xf>
    <xf numFmtId="0" fontId="15" fillId="8" borderId="0" xfId="0" applyNumberFormat="1" applyFont="1" applyFill="1" applyBorder="1" applyAlignment="1" applyProtection="1">
      <alignment horizontal="right"/>
      <protection locked="0" hidden="1"/>
    </xf>
    <xf numFmtId="165" fontId="12" fillId="8" borderId="10" xfId="0" applyNumberFormat="1" applyFont="1" applyFill="1" applyBorder="1" applyProtection="1">
      <protection locked="0" hidden="1"/>
    </xf>
    <xf numFmtId="0" fontId="12" fillId="7" borderId="6" xfId="0" applyNumberFormat="1" applyFont="1" applyFill="1" applyBorder="1" applyProtection="1">
      <protection locked="0" hidden="1"/>
    </xf>
    <xf numFmtId="0" fontId="15" fillId="6" borderId="0" xfId="0" applyFont="1" applyFill="1" applyProtection="1">
      <protection hidden="1"/>
    </xf>
    <xf numFmtId="0" fontId="0" fillId="5" borderId="11" xfId="0" applyFill="1" applyBorder="1" applyProtection="1">
      <protection hidden="1"/>
    </xf>
    <xf numFmtId="0" fontId="0" fillId="5" borderId="12" xfId="0" applyFill="1" applyBorder="1" applyProtection="1">
      <protection hidden="1"/>
    </xf>
    <xf numFmtId="0" fontId="12" fillId="5" borderId="12" xfId="0" applyFont="1" applyFill="1" applyBorder="1" applyProtection="1">
      <protection hidden="1"/>
    </xf>
    <xf numFmtId="0" fontId="12" fillId="0" borderId="12" xfId="0" applyFont="1" applyBorder="1" applyProtection="1">
      <protection hidden="1"/>
    </xf>
    <xf numFmtId="0" fontId="15" fillId="5" borderId="12" xfId="0" applyFont="1" applyFill="1" applyBorder="1" applyProtection="1">
      <protection hidden="1"/>
    </xf>
    <xf numFmtId="0" fontId="15" fillId="5" borderId="0" xfId="0" applyFont="1" applyFill="1" applyBorder="1" applyAlignment="1" applyProtection="1">
      <protection hidden="1"/>
    </xf>
    <xf numFmtId="0" fontId="0" fillId="5" borderId="12" xfId="0" applyNumberFormat="1" applyFill="1" applyBorder="1" applyProtection="1">
      <protection hidden="1"/>
    </xf>
    <xf numFmtId="0" fontId="0" fillId="9" borderId="12" xfId="0" applyFill="1" applyBorder="1" applyProtection="1">
      <protection hidden="1"/>
    </xf>
    <xf numFmtId="0" fontId="0" fillId="5" borderId="13" xfId="0" applyFill="1" applyBorder="1" applyProtection="1">
      <protection hidden="1"/>
    </xf>
    <xf numFmtId="0" fontId="67" fillId="6" borderId="0" xfId="0" applyFont="1" applyFill="1" applyProtection="1">
      <protection hidden="1"/>
    </xf>
    <xf numFmtId="0" fontId="67" fillId="6" borderId="0" xfId="0" applyFont="1" applyFill="1" applyAlignment="1" applyProtection="1">
      <alignment vertical="center"/>
      <protection hidden="1"/>
    </xf>
    <xf numFmtId="0" fontId="67" fillId="6" borderId="0" xfId="0" applyFont="1" applyFill="1" applyBorder="1" applyAlignment="1" applyProtection="1">
      <alignment vertical="center"/>
      <protection hidden="1"/>
    </xf>
    <xf numFmtId="0" fontId="67" fillId="6" borderId="0" xfId="0" applyFont="1" applyFill="1" applyBorder="1" applyProtection="1">
      <protection hidden="1"/>
    </xf>
    <xf numFmtId="0" fontId="26" fillId="6" borderId="0" xfId="0" applyNumberFormat="1" applyFont="1" applyFill="1" applyBorder="1" applyProtection="1">
      <protection hidden="1"/>
    </xf>
    <xf numFmtId="0" fontId="26" fillId="6" borderId="0" xfId="0" applyNumberFormat="1" applyFont="1" applyFill="1" applyProtection="1">
      <protection hidden="1"/>
    </xf>
    <xf numFmtId="0" fontId="27" fillId="8" borderId="0" xfId="1" applyNumberFormat="1" applyFont="1" applyFill="1" applyBorder="1" applyAlignment="1" applyProtection="1">
      <alignment horizontal="center" vertical="center"/>
      <protection hidden="1"/>
    </xf>
    <xf numFmtId="0" fontId="10" fillId="8" borderId="0" xfId="1" applyNumberFormat="1" applyFont="1" applyFill="1" applyBorder="1" applyAlignment="1" applyProtection="1">
      <alignment horizontal="center" vertical="center"/>
      <protection hidden="1"/>
    </xf>
    <xf numFmtId="0" fontId="30" fillId="4" borderId="0" xfId="1" applyNumberFormat="1" applyFont="1" applyFill="1" applyBorder="1" applyAlignment="1" applyProtection="1">
      <alignment horizontal="left" vertical="center"/>
      <protection hidden="1"/>
    </xf>
    <xf numFmtId="0" fontId="30" fillId="4" borderId="0" xfId="1" applyNumberFormat="1" applyFont="1" applyFill="1" applyBorder="1" applyAlignment="1" applyProtection="1">
      <alignment horizontal="center" vertical="center"/>
      <protection hidden="1"/>
    </xf>
    <xf numFmtId="0" fontId="14" fillId="6" borderId="0" xfId="0" applyNumberFormat="1" applyFont="1" applyFill="1" applyBorder="1" applyProtection="1">
      <protection hidden="1"/>
    </xf>
    <xf numFmtId="0" fontId="19" fillId="5" borderId="0" xfId="11" applyFont="1" applyFill="1" applyProtection="1">
      <protection hidden="1"/>
    </xf>
    <xf numFmtId="0" fontId="19" fillId="5" borderId="0" xfId="11" applyFont="1" applyFill="1" applyAlignment="1" applyProtection="1">
      <alignment horizontal="left"/>
      <protection hidden="1"/>
    </xf>
    <xf numFmtId="0" fontId="36" fillId="5" borderId="0" xfId="11" applyFont="1" applyFill="1" applyProtection="1">
      <protection hidden="1"/>
    </xf>
    <xf numFmtId="0" fontId="77" fillId="5" borderId="0" xfId="11" applyFont="1" applyFill="1" applyProtection="1">
      <protection hidden="1"/>
    </xf>
    <xf numFmtId="0" fontId="19" fillId="0" borderId="0" xfId="11" applyFont="1" applyProtection="1">
      <protection hidden="1"/>
    </xf>
    <xf numFmtId="0" fontId="40" fillId="0" borderId="0" xfId="11" applyFont="1" applyProtection="1">
      <protection hidden="1"/>
    </xf>
    <xf numFmtId="0" fontId="37" fillId="5" borderId="0" xfId="11" applyFont="1" applyFill="1" applyProtection="1">
      <protection hidden="1"/>
    </xf>
    <xf numFmtId="0" fontId="73" fillId="5" borderId="0" xfId="11" applyFont="1" applyFill="1" applyAlignment="1" applyProtection="1">
      <alignment horizontal="left" vertical="center"/>
      <protection hidden="1"/>
    </xf>
    <xf numFmtId="0" fontId="19" fillId="5" borderId="0" xfId="11" applyNumberFormat="1" applyFont="1" applyFill="1" applyProtection="1">
      <protection hidden="1"/>
    </xf>
    <xf numFmtId="0" fontId="40" fillId="5" borderId="0" xfId="11" applyFont="1" applyFill="1" applyAlignment="1" applyProtection="1">
      <alignment horizontal="left" vertical="center"/>
      <protection hidden="1"/>
    </xf>
    <xf numFmtId="0" fontId="49" fillId="5" borderId="0" xfId="11" applyFont="1" applyFill="1" applyAlignment="1" applyProtection="1">
      <alignment horizontal="left" vertical="center"/>
      <protection hidden="1"/>
    </xf>
    <xf numFmtId="0" fontId="50" fillId="5" borderId="0" xfId="11" applyFont="1" applyFill="1" applyBorder="1" applyAlignment="1" applyProtection="1">
      <alignment vertical="center"/>
      <protection hidden="1"/>
    </xf>
    <xf numFmtId="0" fontId="50" fillId="5" borderId="0" xfId="11" applyNumberFormat="1" applyFont="1" applyFill="1" applyBorder="1" applyAlignment="1" applyProtection="1">
      <alignment vertical="center"/>
      <protection hidden="1"/>
    </xf>
    <xf numFmtId="1" fontId="50" fillId="5" borderId="0" xfId="11" applyNumberFormat="1" applyFont="1" applyFill="1" applyBorder="1" applyAlignment="1" applyProtection="1">
      <alignment vertical="center"/>
      <protection hidden="1"/>
    </xf>
    <xf numFmtId="0" fontId="19" fillId="5" borderId="0" xfId="11" applyFont="1" applyFill="1" applyAlignment="1" applyProtection="1">
      <alignment horizontal="center"/>
      <protection hidden="1"/>
    </xf>
    <xf numFmtId="0" fontId="50" fillId="6" borderId="0" xfId="11" applyNumberFormat="1" applyFont="1" applyFill="1" applyAlignment="1" applyProtection="1">
      <alignment horizontal="center" vertical="center"/>
      <protection hidden="1"/>
    </xf>
    <xf numFmtId="0" fontId="50" fillId="6" borderId="0" xfId="11" applyNumberFormat="1" applyFont="1" applyFill="1" applyAlignment="1" applyProtection="1">
      <alignment vertical="center"/>
      <protection hidden="1"/>
    </xf>
    <xf numFmtId="0" fontId="50" fillId="5" borderId="0" xfId="11" applyNumberFormat="1" applyFont="1" applyFill="1" applyBorder="1" applyAlignment="1" applyProtection="1">
      <alignment horizontal="right" vertical="center"/>
      <protection hidden="1"/>
    </xf>
    <xf numFmtId="0" fontId="42" fillId="5" borderId="0" xfId="11" applyFont="1" applyFill="1" applyProtection="1">
      <protection hidden="1"/>
    </xf>
    <xf numFmtId="0" fontId="46" fillId="5" borderId="0" xfId="11" applyFont="1" applyFill="1" applyProtection="1">
      <protection hidden="1"/>
    </xf>
    <xf numFmtId="0" fontId="50" fillId="5" borderId="0" xfId="11" applyNumberFormat="1" applyFont="1" applyFill="1" applyBorder="1" applyAlignment="1" applyProtection="1">
      <alignment horizontal="left" vertical="center"/>
      <protection hidden="1"/>
    </xf>
    <xf numFmtId="0" fontId="49" fillId="5" borderId="0" xfId="9" applyFont="1" applyFill="1" applyAlignment="1" applyProtection="1">
      <alignment vertical="center"/>
      <protection hidden="1"/>
    </xf>
    <xf numFmtId="0" fontId="40" fillId="5" borderId="0" xfId="11" applyNumberFormat="1" applyFont="1" applyFill="1" applyAlignment="1" applyProtection="1">
      <alignment vertical="center"/>
      <protection hidden="1"/>
    </xf>
    <xf numFmtId="0" fontId="56" fillId="5" borderId="0" xfId="11" applyFont="1" applyFill="1" applyBorder="1" applyAlignment="1" applyProtection="1">
      <alignment vertical="center"/>
      <protection hidden="1"/>
    </xf>
    <xf numFmtId="0" fontId="40" fillId="0" borderId="0" xfId="11" applyFont="1" applyAlignment="1" applyProtection="1">
      <alignment vertical="center"/>
      <protection hidden="1"/>
    </xf>
    <xf numFmtId="0" fontId="50" fillId="5" borderId="0" xfId="18" applyNumberFormat="1" applyFont="1" applyFill="1" applyBorder="1" applyAlignment="1" applyProtection="1">
      <alignment vertical="center"/>
      <protection hidden="1"/>
    </xf>
    <xf numFmtId="0" fontId="50" fillId="5" borderId="0" xfId="9" applyNumberFormat="1" applyFont="1" applyFill="1" applyBorder="1" applyAlignment="1" applyProtection="1">
      <alignment vertical="center"/>
      <protection hidden="1"/>
    </xf>
    <xf numFmtId="0" fontId="40" fillId="5" borderId="0" xfId="11" applyFont="1" applyFill="1" applyAlignment="1" applyProtection="1">
      <alignment vertical="center"/>
      <protection hidden="1"/>
    </xf>
    <xf numFmtId="0" fontId="50" fillId="6" borderId="0" xfId="11" applyNumberFormat="1" applyFont="1" applyFill="1" applyBorder="1" applyAlignment="1" applyProtection="1">
      <alignment horizontal="right" vertical="center"/>
      <protection hidden="1"/>
    </xf>
    <xf numFmtId="0" fontId="50" fillId="6" borderId="0" xfId="11" applyNumberFormat="1" applyFont="1" applyFill="1" applyBorder="1" applyAlignment="1" applyProtection="1">
      <alignment horizontal="center" vertical="center"/>
      <protection hidden="1"/>
    </xf>
    <xf numFmtId="0" fontId="50" fillId="6" borderId="0" xfId="11" applyNumberFormat="1" applyFont="1" applyFill="1" applyAlignment="1" applyProtection="1">
      <alignment horizontal="right" vertical="center"/>
      <protection hidden="1"/>
    </xf>
    <xf numFmtId="0" fontId="50" fillId="5" borderId="0" xfId="11" applyNumberFormat="1" applyFont="1" applyFill="1" applyAlignment="1" applyProtection="1">
      <alignment horizontal="right" vertical="center"/>
      <protection hidden="1"/>
    </xf>
    <xf numFmtId="0" fontId="50" fillId="5" borderId="0" xfId="11" applyNumberFormat="1" applyFont="1" applyFill="1" applyAlignment="1" applyProtection="1">
      <alignment horizontal="center" vertical="center"/>
      <protection hidden="1"/>
    </xf>
    <xf numFmtId="0" fontId="40" fillId="5" borderId="0" xfId="11" applyFont="1" applyFill="1" applyBorder="1" applyAlignment="1" applyProtection="1">
      <alignment vertical="center"/>
      <protection hidden="1"/>
    </xf>
    <xf numFmtId="0" fontId="50" fillId="5" borderId="0" xfId="11" applyFont="1" applyFill="1" applyProtection="1">
      <protection hidden="1"/>
    </xf>
    <xf numFmtId="0" fontId="50" fillId="5" borderId="0" xfId="11" applyNumberFormat="1" applyFont="1" applyFill="1" applyAlignment="1" applyProtection="1">
      <alignment vertical="center"/>
      <protection hidden="1"/>
    </xf>
    <xf numFmtId="0" fontId="40" fillId="5" borderId="0" xfId="11" applyNumberFormat="1" applyFont="1" applyFill="1" applyProtection="1">
      <protection hidden="1"/>
    </xf>
    <xf numFmtId="0" fontId="42" fillId="5" borderId="0" xfId="11" applyFont="1" applyFill="1" applyAlignment="1" applyProtection="1">
      <alignment vertical="center"/>
      <protection hidden="1"/>
    </xf>
    <xf numFmtId="0" fontId="48" fillId="0" borderId="0" xfId="11" applyFont="1" applyAlignment="1" applyProtection="1">
      <alignment vertical="center"/>
      <protection hidden="1"/>
    </xf>
    <xf numFmtId="0" fontId="52" fillId="5" borderId="0" xfId="11" applyFont="1" applyFill="1" applyAlignment="1" applyProtection="1">
      <alignment vertical="center"/>
      <protection hidden="1"/>
    </xf>
    <xf numFmtId="0" fontId="48" fillId="6" borderId="0" xfId="11" applyFont="1" applyFill="1" applyAlignment="1" applyProtection="1">
      <alignment vertical="center"/>
      <protection hidden="1"/>
    </xf>
    <xf numFmtId="0" fontId="52" fillId="5" borderId="0" xfId="9" applyFont="1" applyFill="1" applyBorder="1" applyAlignment="1" applyProtection="1">
      <alignment vertical="center"/>
      <protection hidden="1"/>
    </xf>
    <xf numFmtId="0" fontId="52" fillId="5" borderId="0" xfId="9" applyFont="1" applyFill="1" applyBorder="1" applyAlignment="1" applyProtection="1">
      <alignment horizontal="center" vertical="center"/>
      <protection hidden="1"/>
    </xf>
    <xf numFmtId="0" fontId="48" fillId="5" borderId="0" xfId="9" applyFont="1" applyFill="1" applyAlignment="1" applyProtection="1">
      <alignment vertical="center"/>
      <protection hidden="1"/>
    </xf>
    <xf numFmtId="0" fontId="48" fillId="5" borderId="0" xfId="9" applyFont="1" applyFill="1" applyAlignment="1" applyProtection="1">
      <alignment horizontal="right" vertical="center"/>
      <protection hidden="1"/>
    </xf>
    <xf numFmtId="44" fontId="50" fillId="5" borderId="0" xfId="3" applyFont="1" applyFill="1" applyAlignment="1" applyProtection="1">
      <alignment vertical="center"/>
      <protection hidden="1"/>
    </xf>
    <xf numFmtId="0" fontId="50" fillId="5" borderId="0" xfId="9" applyFont="1" applyFill="1" applyAlignment="1" applyProtection="1">
      <alignment horizontal="center" vertical="center"/>
      <protection hidden="1"/>
    </xf>
    <xf numFmtId="0" fontId="48" fillId="5" borderId="0" xfId="18" applyFont="1" applyFill="1" applyBorder="1" applyAlignment="1" applyProtection="1">
      <alignment vertical="center"/>
      <protection hidden="1"/>
    </xf>
    <xf numFmtId="0" fontId="48" fillId="5" borderId="0" xfId="9" applyFont="1" applyFill="1" applyAlignment="1" applyProtection="1">
      <alignment horizontal="center" vertical="center"/>
      <protection hidden="1"/>
    </xf>
    <xf numFmtId="0" fontId="60" fillId="5" borderId="0" xfId="11" applyFont="1" applyFill="1" applyAlignment="1" applyProtection="1">
      <alignment vertical="center"/>
      <protection hidden="1"/>
    </xf>
    <xf numFmtId="0" fontId="48" fillId="5" borderId="0" xfId="18" applyFont="1" applyFill="1" applyBorder="1" applyAlignment="1" applyProtection="1">
      <alignment horizontal="left" vertical="center" shrinkToFit="1"/>
      <protection hidden="1"/>
    </xf>
    <xf numFmtId="0" fontId="55" fillId="5" borderId="0" xfId="9" applyFont="1" applyFill="1" applyBorder="1" applyAlignment="1" applyProtection="1">
      <alignment vertical="center"/>
      <protection hidden="1"/>
    </xf>
    <xf numFmtId="0" fontId="60" fillId="5" borderId="0" xfId="9" applyFont="1" applyFill="1" applyAlignment="1" applyProtection="1">
      <alignment vertical="center"/>
      <protection hidden="1"/>
    </xf>
    <xf numFmtId="0" fontId="48" fillId="5" borderId="0" xfId="11" applyNumberFormat="1" applyFont="1" applyFill="1" applyAlignment="1" applyProtection="1">
      <alignment vertical="center"/>
      <protection hidden="1"/>
    </xf>
    <xf numFmtId="0" fontId="37" fillId="5" borderId="0" xfId="11" applyFont="1" applyFill="1" applyAlignment="1" applyProtection="1">
      <alignment vertical="center"/>
      <protection hidden="1"/>
    </xf>
    <xf numFmtId="0" fontId="48" fillId="5" borderId="0" xfId="11" applyFont="1" applyFill="1" applyAlignment="1" applyProtection="1">
      <alignment horizontal="center" vertical="center"/>
      <protection hidden="1"/>
    </xf>
    <xf numFmtId="0" fontId="36" fillId="5" borderId="14" xfId="11" applyFont="1" applyFill="1" applyBorder="1" applyAlignment="1" applyProtection="1">
      <alignment horizontal="center" vertical="center" wrapText="1"/>
      <protection hidden="1"/>
    </xf>
    <xf numFmtId="0" fontId="36" fillId="5" borderId="14" xfId="14" applyFont="1" applyFill="1" applyBorder="1" applyAlignment="1" applyProtection="1">
      <alignment horizontal="center" vertical="center" wrapText="1"/>
      <protection hidden="1"/>
    </xf>
    <xf numFmtId="0" fontId="36" fillId="5" borderId="14" xfId="11" applyFont="1" applyFill="1" applyBorder="1" applyAlignment="1" applyProtection="1">
      <alignment horizontal="center" vertical="center"/>
      <protection hidden="1"/>
    </xf>
    <xf numFmtId="0" fontId="36" fillId="5" borderId="0" xfId="11" applyFont="1" applyFill="1" applyAlignment="1" applyProtection="1">
      <alignment horizontal="center"/>
      <protection hidden="1"/>
    </xf>
    <xf numFmtId="2" fontId="19" fillId="5" borderId="0" xfId="11" applyNumberFormat="1" applyFont="1" applyFill="1" applyAlignment="1" applyProtection="1">
      <alignment horizontal="center"/>
      <protection hidden="1"/>
    </xf>
    <xf numFmtId="2" fontId="36" fillId="5" borderId="0" xfId="11" applyNumberFormat="1" applyFont="1" applyFill="1" applyAlignment="1" applyProtection="1">
      <alignment horizontal="center"/>
      <protection hidden="1"/>
    </xf>
    <xf numFmtId="2" fontId="36" fillId="5" borderId="0" xfId="11" applyNumberFormat="1" applyFont="1" applyFill="1" applyAlignment="1" applyProtection="1">
      <alignment horizontal="center" vertical="center"/>
      <protection hidden="1"/>
    </xf>
    <xf numFmtId="0" fontId="39" fillId="5" borderId="0" xfId="11" applyFont="1" applyFill="1" applyAlignment="1" applyProtection="1">
      <alignment horizontal="center"/>
      <protection hidden="1"/>
    </xf>
    <xf numFmtId="2" fontId="39" fillId="5" borderId="0" xfId="11" applyNumberFormat="1" applyFont="1" applyFill="1" applyAlignment="1" applyProtection="1">
      <alignment horizontal="center"/>
      <protection hidden="1"/>
    </xf>
    <xf numFmtId="2" fontId="39" fillId="5" borderId="0" xfId="11" applyNumberFormat="1" applyFont="1" applyFill="1" applyAlignment="1" applyProtection="1">
      <alignment horizontal="center" vertical="center"/>
      <protection hidden="1"/>
    </xf>
    <xf numFmtId="0" fontId="41" fillId="5" borderId="0" xfId="11" applyNumberFormat="1" applyFont="1" applyFill="1" applyProtection="1">
      <protection hidden="1"/>
    </xf>
    <xf numFmtId="2" fontId="50" fillId="5" borderId="0" xfId="11" applyNumberFormat="1" applyFont="1" applyFill="1" applyProtection="1">
      <protection hidden="1"/>
    </xf>
    <xf numFmtId="0" fontId="37" fillId="5" borderId="0" xfId="11" applyNumberFormat="1" applyFont="1" applyFill="1" applyProtection="1">
      <protection hidden="1"/>
    </xf>
    <xf numFmtId="2" fontId="40" fillId="5" borderId="0" xfId="11" applyNumberFormat="1" applyFont="1" applyFill="1" applyProtection="1">
      <protection hidden="1"/>
    </xf>
    <xf numFmtId="0" fontId="56" fillId="5" borderId="0" xfId="18" applyFont="1" applyFill="1" applyBorder="1" applyAlignment="1" applyProtection="1">
      <alignment vertical="center"/>
      <protection hidden="1"/>
    </xf>
    <xf numFmtId="0" fontId="77" fillId="5" borderId="0" xfId="11" applyFont="1" applyFill="1" applyBorder="1" applyProtection="1">
      <protection hidden="1"/>
    </xf>
    <xf numFmtId="2" fontId="61" fillId="5" borderId="0" xfId="11" applyNumberFormat="1" applyFont="1" applyFill="1" applyBorder="1" applyProtection="1">
      <protection hidden="1"/>
    </xf>
    <xf numFmtId="169" fontId="62" fillId="5" borderId="0" xfId="11" applyNumberFormat="1" applyFont="1" applyFill="1" applyProtection="1">
      <protection hidden="1"/>
    </xf>
    <xf numFmtId="0" fontId="55" fillId="5" borderId="0" xfId="9" applyFont="1" applyFill="1" applyAlignment="1" applyProtection="1">
      <alignment vertical="center"/>
      <protection hidden="1"/>
    </xf>
    <xf numFmtId="0" fontId="64" fillId="5" borderId="0" xfId="11" applyFont="1" applyFill="1" applyProtection="1">
      <protection hidden="1"/>
    </xf>
    <xf numFmtId="0" fontId="77" fillId="5" borderId="0" xfId="14" applyFont="1" applyFill="1" applyBorder="1" applyProtection="1">
      <protection hidden="1"/>
    </xf>
    <xf numFmtId="2" fontId="61" fillId="5" borderId="0" xfId="11" applyNumberFormat="1" applyFont="1" applyFill="1" applyProtection="1">
      <protection hidden="1"/>
    </xf>
    <xf numFmtId="0" fontId="56" fillId="5" borderId="0" xfId="9" applyFont="1" applyFill="1" applyAlignment="1" applyProtection="1">
      <alignment vertical="center"/>
      <protection hidden="1"/>
    </xf>
    <xf numFmtId="0" fontId="63" fillId="5" borderId="0" xfId="18" applyFont="1" applyFill="1" applyBorder="1" applyAlignment="1" applyProtection="1">
      <alignment vertical="center"/>
      <protection hidden="1"/>
    </xf>
    <xf numFmtId="0" fontId="61" fillId="5" borderId="0" xfId="11" applyNumberFormat="1" applyFont="1" applyFill="1" applyProtection="1">
      <protection hidden="1"/>
    </xf>
    <xf numFmtId="0" fontId="62" fillId="5" borderId="0" xfId="11" applyNumberFormat="1" applyFont="1" applyFill="1" applyProtection="1">
      <protection hidden="1"/>
    </xf>
    <xf numFmtId="0" fontId="40" fillId="0" borderId="0" xfId="11" applyNumberFormat="1" applyFont="1" applyProtection="1">
      <protection hidden="1"/>
    </xf>
    <xf numFmtId="0" fontId="81" fillId="6" borderId="0" xfId="15" applyFont="1" applyFill="1" applyBorder="1" applyAlignment="1" applyProtection="1">
      <alignment horizontal="left" vertical="center"/>
      <protection hidden="1"/>
    </xf>
    <xf numFmtId="0" fontId="0" fillId="6" borderId="0" xfId="0" applyFill="1" applyProtection="1">
      <protection hidden="1"/>
    </xf>
    <xf numFmtId="0" fontId="16" fillId="6" borderId="0" xfId="5" applyFont="1" applyFill="1" applyBorder="1" applyAlignment="1" applyProtection="1">
      <alignment horizontal="left"/>
      <protection hidden="1"/>
    </xf>
    <xf numFmtId="0" fontId="0" fillId="6" borderId="0" xfId="0" applyFill="1" applyBorder="1" applyAlignment="1" applyProtection="1">
      <alignment vertical="center"/>
      <protection hidden="1"/>
    </xf>
    <xf numFmtId="0" fontId="7" fillId="6" borderId="0" xfId="0" applyFont="1" applyFill="1" applyBorder="1" applyAlignment="1" applyProtection="1">
      <alignment horizontal="right" vertical="center"/>
      <protection hidden="1"/>
    </xf>
    <xf numFmtId="0" fontId="20" fillId="6" borderId="0" xfId="5" applyFont="1" applyFill="1" applyBorder="1" applyAlignment="1" applyProtection="1">
      <alignment horizontal="right" vertical="center"/>
      <protection hidden="1"/>
    </xf>
    <xf numFmtId="165" fontId="26" fillId="6" borderId="0" xfId="0" applyNumberFormat="1" applyFont="1" applyFill="1" applyBorder="1" applyProtection="1">
      <protection locked="0" hidden="1"/>
    </xf>
    <xf numFmtId="0" fontId="68" fillId="6" borderId="0" xfId="0" applyFont="1" applyFill="1" applyBorder="1" applyProtection="1">
      <protection hidden="1"/>
    </xf>
    <xf numFmtId="0" fontId="0" fillId="6" borderId="0" xfId="0" applyFill="1" applyBorder="1" applyAlignment="1" applyProtection="1">
      <protection hidden="1"/>
    </xf>
    <xf numFmtId="170" fontId="1" fillId="6" borderId="0" xfId="20" applyNumberFormat="1" applyFill="1" applyBorder="1" applyAlignment="1" applyProtection="1">
      <protection hidden="1"/>
    </xf>
    <xf numFmtId="0" fontId="18" fillId="6" borderId="0" xfId="5" applyFont="1" applyFill="1" applyBorder="1" applyAlignment="1" applyProtection="1">
      <alignment horizontal="center"/>
      <protection hidden="1"/>
    </xf>
    <xf numFmtId="0" fontId="16" fillId="6" borderId="0" xfId="0" applyFont="1" applyFill="1" applyBorder="1" applyAlignment="1" applyProtection="1">
      <protection hidden="1"/>
    </xf>
    <xf numFmtId="170" fontId="16" fillId="6" borderId="0" xfId="20" applyNumberFormat="1" applyFont="1" applyFill="1" applyBorder="1" applyAlignment="1" applyProtection="1">
      <protection hidden="1"/>
    </xf>
    <xf numFmtId="0" fontId="16" fillId="7" borderId="0" xfId="0" applyFont="1" applyFill="1" applyBorder="1" applyProtection="1">
      <protection hidden="1"/>
    </xf>
    <xf numFmtId="0" fontId="30" fillId="7" borderId="0" xfId="0" applyFont="1" applyFill="1" applyBorder="1" applyProtection="1">
      <protection hidden="1"/>
    </xf>
    <xf numFmtId="0" fontId="7" fillId="7" borderId="0" xfId="0" applyFont="1" applyFill="1" applyBorder="1" applyAlignment="1" applyProtection="1">
      <alignment vertical="center"/>
      <protection hidden="1"/>
    </xf>
    <xf numFmtId="0" fontId="9" fillId="7" borderId="0" xfId="15" applyFont="1" applyFill="1" applyBorder="1" applyAlignment="1" applyProtection="1">
      <alignment horizontal="left" vertical="center"/>
      <protection hidden="1"/>
    </xf>
    <xf numFmtId="0" fontId="7" fillId="6" borderId="0" xfId="0" applyFont="1" applyFill="1" applyBorder="1" applyAlignment="1" applyProtection="1">
      <alignment horizontal="right"/>
      <protection hidden="1"/>
    </xf>
    <xf numFmtId="0" fontId="82" fillId="6" borderId="0" xfId="0" applyFont="1" applyFill="1" applyBorder="1" applyProtection="1">
      <protection hidden="1"/>
    </xf>
    <xf numFmtId="0" fontId="83" fillId="6" borderId="0" xfId="5" applyFont="1" applyFill="1" applyBorder="1" applyAlignment="1" applyProtection="1">
      <alignment horizontal="left"/>
      <protection hidden="1"/>
    </xf>
    <xf numFmtId="0" fontId="82" fillId="6" borderId="0" xfId="0" applyFont="1" applyFill="1" applyBorder="1" applyAlignment="1" applyProtection="1">
      <alignment horizontal="left"/>
      <protection hidden="1"/>
    </xf>
    <xf numFmtId="0" fontId="84" fillId="6" borderId="0" xfId="0" applyFont="1" applyFill="1" applyBorder="1" applyAlignment="1" applyProtection="1">
      <alignment horizontal="left"/>
      <protection hidden="1"/>
    </xf>
    <xf numFmtId="0" fontId="83" fillId="13" borderId="0" xfId="8" applyFont="1" applyFill="1" applyBorder="1" applyAlignment="1" applyProtection="1">
      <alignment horizontal="left" wrapText="1"/>
      <protection hidden="1"/>
    </xf>
    <xf numFmtId="0" fontId="84" fillId="6" borderId="0" xfId="0" applyFont="1" applyFill="1" applyBorder="1" applyAlignment="1" applyProtection="1">
      <alignment horizontal="right"/>
      <protection hidden="1"/>
    </xf>
    <xf numFmtId="0" fontId="86" fillId="6" borderId="0" xfId="0" applyFont="1" applyFill="1" applyBorder="1" applyAlignment="1" applyProtection="1">
      <alignment horizontal="left"/>
      <protection hidden="1"/>
    </xf>
    <xf numFmtId="0" fontId="86" fillId="6" borderId="0" xfId="0" applyFont="1" applyFill="1" applyBorder="1" applyAlignment="1" applyProtection="1">
      <alignment horizontal="right"/>
      <protection hidden="1"/>
    </xf>
    <xf numFmtId="0" fontId="81" fillId="6" borderId="0" xfId="15" applyFont="1" applyFill="1" applyBorder="1" applyAlignment="1" applyProtection="1">
      <alignment vertical="center"/>
      <protection hidden="1"/>
    </xf>
    <xf numFmtId="0" fontId="82" fillId="5" borderId="0" xfId="0" applyFont="1" applyFill="1" applyBorder="1" applyProtection="1">
      <protection hidden="1"/>
    </xf>
    <xf numFmtId="0" fontId="80" fillId="5" borderId="0" xfId="0" applyFont="1" applyFill="1" applyBorder="1" applyProtection="1">
      <protection hidden="1"/>
    </xf>
    <xf numFmtId="0" fontId="9" fillId="6" borderId="10" xfId="15" applyFont="1" applyFill="1" applyBorder="1" applyAlignment="1" applyProtection="1">
      <alignment horizontal="left" vertical="center"/>
      <protection hidden="1"/>
    </xf>
    <xf numFmtId="0" fontId="7" fillId="6" borderId="5" xfId="0" applyFont="1" applyFill="1" applyBorder="1" applyAlignment="1" applyProtection="1">
      <alignment horizontal="left" vertical="center"/>
      <protection hidden="1"/>
    </xf>
    <xf numFmtId="0" fontId="9" fillId="6" borderId="5" xfId="15" applyFont="1" applyFill="1" applyBorder="1" applyAlignment="1" applyProtection="1">
      <alignment horizontal="left"/>
      <protection hidden="1"/>
    </xf>
    <xf numFmtId="0" fontId="7" fillId="6" borderId="15" xfId="0" applyFont="1" applyFill="1" applyBorder="1" applyProtection="1">
      <protection hidden="1"/>
    </xf>
    <xf numFmtId="0" fontId="87" fillId="6" borderId="0" xfId="0" applyFont="1" applyFill="1" applyBorder="1" applyProtection="1">
      <protection hidden="1"/>
    </xf>
    <xf numFmtId="0" fontId="10" fillId="7" borderId="0" xfId="0" applyFont="1" applyFill="1" applyBorder="1" applyProtection="1">
      <protection hidden="1"/>
    </xf>
    <xf numFmtId="0" fontId="10" fillId="6" borderId="0" xfId="0" applyFont="1" applyFill="1" applyBorder="1" applyProtection="1">
      <protection hidden="1"/>
    </xf>
    <xf numFmtId="0" fontId="10" fillId="8" borderId="0" xfId="0" applyFont="1" applyFill="1" applyBorder="1" applyProtection="1">
      <protection hidden="1"/>
    </xf>
    <xf numFmtId="0" fontId="10" fillId="5" borderId="0" xfId="0" applyFont="1" applyFill="1" applyBorder="1" applyProtection="1">
      <protection hidden="1"/>
    </xf>
    <xf numFmtId="0" fontId="88" fillId="6" borderId="0" xfId="0" applyFont="1" applyFill="1" applyProtection="1">
      <protection hidden="1"/>
    </xf>
    <xf numFmtId="0" fontId="16" fillId="5" borderId="0" xfId="0" applyFont="1" applyFill="1" applyProtection="1">
      <protection hidden="1"/>
    </xf>
    <xf numFmtId="0" fontId="67" fillId="6" borderId="0" xfId="15" applyFont="1" applyFill="1" applyBorder="1" applyAlignment="1" applyProtection="1">
      <alignment vertical="center"/>
      <protection hidden="1"/>
    </xf>
    <xf numFmtId="0" fontId="88" fillId="6" borderId="0" xfId="0" applyFont="1" applyFill="1" applyBorder="1" applyProtection="1">
      <protection hidden="1"/>
    </xf>
    <xf numFmtId="0" fontId="88" fillId="6" borderId="0" xfId="0" applyFont="1" applyFill="1" applyBorder="1" applyAlignment="1" applyProtection="1">
      <alignment horizontal="right"/>
      <protection hidden="1"/>
    </xf>
    <xf numFmtId="0" fontId="88" fillId="6" borderId="0" xfId="0" applyFont="1" applyFill="1" applyBorder="1" applyAlignment="1" applyProtection="1">
      <alignment horizontal="left"/>
      <protection hidden="1"/>
    </xf>
    <xf numFmtId="0" fontId="66" fillId="6" borderId="0" xfId="0" applyFont="1" applyFill="1" applyBorder="1" applyAlignment="1" applyProtection="1">
      <alignment horizontal="left"/>
      <protection hidden="1"/>
    </xf>
    <xf numFmtId="0" fontId="88" fillId="13" borderId="0" xfId="8" applyFont="1" applyFill="1" applyBorder="1" applyAlignment="1" applyProtection="1">
      <alignment horizontal="left" wrapText="1"/>
      <protection hidden="1"/>
    </xf>
    <xf numFmtId="0" fontId="88" fillId="6" borderId="0" xfId="0" applyFont="1" applyFill="1" applyAlignment="1" applyProtection="1">
      <alignment horizontal="right"/>
      <protection hidden="1"/>
    </xf>
    <xf numFmtId="0" fontId="88" fillId="6" borderId="0" xfId="0" applyFont="1" applyFill="1" applyAlignment="1" applyProtection="1">
      <alignment horizontal="left"/>
      <protection hidden="1"/>
    </xf>
    <xf numFmtId="0" fontId="7" fillId="7" borderId="10" xfId="0" applyFont="1" applyFill="1" applyBorder="1" applyProtection="1">
      <protection hidden="1"/>
    </xf>
    <xf numFmtId="0" fontId="7" fillId="7" borderId="6" xfId="0" applyFont="1" applyFill="1" applyBorder="1" applyAlignment="1" applyProtection="1">
      <alignment vertical="center"/>
      <protection hidden="1"/>
    </xf>
    <xf numFmtId="0" fontId="7" fillId="6" borderId="6" xfId="0" applyFont="1" applyFill="1" applyBorder="1" applyAlignment="1" applyProtection="1">
      <alignment vertical="center"/>
      <protection hidden="1"/>
    </xf>
    <xf numFmtId="0" fontId="7" fillId="7" borderId="8" xfId="0" applyFont="1" applyFill="1" applyBorder="1" applyAlignment="1" applyProtection="1">
      <alignment vertical="center"/>
      <protection hidden="1"/>
    </xf>
    <xf numFmtId="0" fontId="7" fillId="6" borderId="7" xfId="0" applyFont="1" applyFill="1" applyBorder="1" applyProtection="1">
      <protection hidden="1"/>
    </xf>
    <xf numFmtId="0" fontId="7" fillId="7" borderId="7" xfId="0" applyFont="1" applyFill="1" applyBorder="1" applyAlignment="1" applyProtection="1">
      <alignment vertical="center"/>
      <protection hidden="1"/>
    </xf>
    <xf numFmtId="0" fontId="81" fillId="6" borderId="0" xfId="0" applyFont="1" applyFill="1" applyBorder="1" applyProtection="1">
      <protection locked="0" hidden="1"/>
    </xf>
    <xf numFmtId="0" fontId="87" fillId="10" borderId="0" xfId="0" applyFont="1" applyFill="1" applyBorder="1" applyProtection="1">
      <protection hidden="1"/>
    </xf>
    <xf numFmtId="0" fontId="10" fillId="11" borderId="0" xfId="0" applyFont="1" applyFill="1" applyBorder="1" applyProtection="1">
      <protection hidden="1"/>
    </xf>
    <xf numFmtId="0" fontId="10" fillId="10" borderId="0" xfId="0" applyFont="1" applyFill="1" applyBorder="1" applyProtection="1">
      <protection hidden="1"/>
    </xf>
    <xf numFmtId="0" fontId="87" fillId="5" borderId="0" xfId="0" applyFont="1" applyFill="1" applyBorder="1" applyProtection="1">
      <protection hidden="1"/>
    </xf>
    <xf numFmtId="0" fontId="89" fillId="5" borderId="0" xfId="11" applyFont="1" applyFill="1" applyProtection="1">
      <protection hidden="1"/>
    </xf>
    <xf numFmtId="0" fontId="82" fillId="9" borderId="0" xfId="0" applyFont="1" applyFill="1" applyBorder="1" applyProtection="1">
      <protection hidden="1"/>
    </xf>
    <xf numFmtId="0" fontId="26" fillId="14" borderId="16" xfId="0" applyFont="1" applyFill="1" applyBorder="1" applyProtection="1">
      <protection hidden="1"/>
    </xf>
    <xf numFmtId="0" fontId="14" fillId="6" borderId="16" xfId="0" applyFont="1" applyFill="1" applyBorder="1" applyProtection="1">
      <protection hidden="1"/>
    </xf>
    <xf numFmtId="4" fontId="81" fillId="6" borderId="0" xfId="15" applyNumberFormat="1" applyFont="1" applyFill="1" applyBorder="1" applyAlignment="1" applyProtection="1">
      <alignment vertical="center"/>
      <protection hidden="1"/>
    </xf>
    <xf numFmtId="0" fontId="6" fillId="7" borderId="0" xfId="15" applyFont="1" applyFill="1" applyBorder="1" applyAlignment="1" applyProtection="1">
      <alignment horizontal="center" vertical="center"/>
      <protection hidden="1"/>
    </xf>
    <xf numFmtId="0" fontId="80" fillId="5" borderId="0" xfId="0" applyFont="1" applyFill="1" applyAlignment="1" applyProtection="1">
      <alignment horizontal="right"/>
      <protection hidden="1"/>
    </xf>
    <xf numFmtId="0" fontId="80" fillId="5" borderId="0" xfId="0" applyFont="1" applyFill="1" applyProtection="1">
      <protection hidden="1"/>
    </xf>
    <xf numFmtId="172" fontId="15" fillId="5" borderId="0" xfId="0" applyNumberFormat="1" applyFont="1" applyFill="1" applyBorder="1" applyProtection="1">
      <protection hidden="1"/>
    </xf>
    <xf numFmtId="0" fontId="90" fillId="10" borderId="0" xfId="0" applyFont="1" applyFill="1" applyBorder="1" applyProtection="1">
      <protection hidden="1"/>
    </xf>
    <xf numFmtId="0" fontId="26" fillId="6" borderId="0" xfId="0" applyFont="1" applyFill="1" applyBorder="1" applyAlignment="1" applyProtection="1">
      <alignment vertical="center"/>
      <protection locked="0" hidden="1"/>
    </xf>
    <xf numFmtId="0" fontId="29" fillId="7" borderId="0" xfId="0" applyFont="1" applyFill="1" applyBorder="1" applyProtection="1">
      <protection hidden="1"/>
    </xf>
    <xf numFmtId="0" fontId="0" fillId="6" borderId="0" xfId="0" applyFill="1" applyAlignment="1" applyProtection="1">
      <alignment horizontal="right"/>
      <protection hidden="1"/>
    </xf>
    <xf numFmtId="0" fontId="0" fillId="6" borderId="0" xfId="0" applyFill="1" applyBorder="1" applyAlignment="1" applyProtection="1">
      <alignment horizontal="right" vertical="center"/>
      <protection hidden="1"/>
    </xf>
    <xf numFmtId="0" fontId="91" fillId="5" borderId="0" xfId="11" applyFont="1" applyFill="1" applyProtection="1">
      <protection hidden="1"/>
    </xf>
    <xf numFmtId="0" fontId="92" fillId="5" borderId="0" xfId="9" applyFont="1" applyFill="1" applyAlignment="1" applyProtection="1">
      <alignment vertical="center"/>
      <protection hidden="1"/>
    </xf>
    <xf numFmtId="0" fontId="0" fillId="7" borderId="0" xfId="0" applyFill="1" applyBorder="1" applyAlignment="1" applyProtection="1">
      <alignment horizontal="center" vertical="center"/>
      <protection hidden="1"/>
    </xf>
    <xf numFmtId="1" fontId="14" fillId="12" borderId="0" xfId="0" applyNumberFormat="1" applyFont="1" applyFill="1" applyBorder="1" applyProtection="1">
      <protection hidden="1"/>
    </xf>
    <xf numFmtId="0" fontId="2" fillId="0" borderId="0" xfId="19" applyFont="1" applyBorder="1" applyAlignment="1">
      <alignment horizontal="center"/>
    </xf>
    <xf numFmtId="2" fontId="94" fillId="5" borderId="17" xfId="0" applyNumberFormat="1" applyFont="1" applyFill="1" applyBorder="1" applyAlignment="1" applyProtection="1">
      <alignment horizontal="center" wrapText="1"/>
      <protection locked="0"/>
    </xf>
    <xf numFmtId="0" fontId="83" fillId="6" borderId="0" xfId="5" applyFont="1" applyFill="1" applyBorder="1" applyAlignment="1" applyProtection="1">
      <protection hidden="1"/>
    </xf>
    <xf numFmtId="0" fontId="88" fillId="6" borderId="0" xfId="5" applyFont="1" applyFill="1" applyBorder="1" applyAlignment="1" applyProtection="1">
      <alignment horizontal="left"/>
      <protection hidden="1"/>
    </xf>
    <xf numFmtId="0" fontId="88" fillId="6" borderId="0" xfId="5" applyFont="1" applyFill="1" applyBorder="1" applyAlignment="1" applyProtection="1">
      <protection hidden="1"/>
    </xf>
    <xf numFmtId="0" fontId="88" fillId="13" borderId="0" xfId="8" applyFont="1" applyFill="1" applyBorder="1" applyAlignment="1" applyProtection="1">
      <alignment wrapText="1"/>
      <protection hidden="1"/>
    </xf>
    <xf numFmtId="0" fontId="86" fillId="6" borderId="0" xfId="0" applyFont="1" applyFill="1" applyBorder="1" applyProtection="1">
      <protection hidden="1"/>
    </xf>
    <xf numFmtId="2" fontId="94" fillId="5" borderId="18" xfId="0" applyNumberFormat="1" applyFont="1" applyFill="1" applyBorder="1" applyAlignment="1" applyProtection="1">
      <alignment horizontal="center" wrapText="1"/>
      <protection locked="0"/>
    </xf>
    <xf numFmtId="0" fontId="97" fillId="5" borderId="0" xfId="11" applyFont="1" applyFill="1" applyAlignment="1" applyProtection="1">
      <alignment horizontal="center" vertical="center"/>
      <protection hidden="1"/>
    </xf>
    <xf numFmtId="2" fontId="86" fillId="6" borderId="0" xfId="0" applyNumberFormat="1" applyFont="1" applyFill="1" applyBorder="1" applyAlignment="1" applyProtection="1">
      <alignment horizontal="center" wrapText="1"/>
      <protection hidden="1"/>
    </xf>
    <xf numFmtId="0" fontId="86" fillId="6" borderId="0" xfId="0" applyFont="1" applyFill="1" applyBorder="1" applyAlignment="1" applyProtection="1">
      <alignment horizontal="center" wrapText="1"/>
      <protection hidden="1"/>
    </xf>
    <xf numFmtId="0" fontId="0" fillId="6" borderId="9" xfId="0" applyFill="1" applyBorder="1" applyProtection="1">
      <protection hidden="1"/>
    </xf>
    <xf numFmtId="174" fontId="86" fillId="6" borderId="0" xfId="0" applyNumberFormat="1" applyFont="1" applyFill="1" applyBorder="1" applyAlignment="1" applyProtection="1">
      <alignment horizontal="center" wrapText="1"/>
      <protection hidden="1"/>
    </xf>
    <xf numFmtId="0" fontId="26" fillId="6" borderId="0" xfId="0" applyFont="1" applyFill="1" applyBorder="1" applyAlignment="1" applyProtection="1">
      <protection hidden="1"/>
    </xf>
    <xf numFmtId="0" fontId="2" fillId="2" borderId="14" xfId="19" applyFont="1" applyFill="1" applyBorder="1" applyAlignment="1" applyProtection="1">
      <alignment horizontal="center"/>
      <protection hidden="1"/>
    </xf>
    <xf numFmtId="0" fontId="2" fillId="0" borderId="14" xfId="19" applyFont="1" applyFill="1" applyBorder="1" applyProtection="1">
      <protection hidden="1"/>
    </xf>
    <xf numFmtId="0" fontId="2" fillId="2" borderId="14" xfId="19" applyFont="1" applyFill="1" applyBorder="1" applyProtection="1">
      <protection hidden="1"/>
    </xf>
    <xf numFmtId="0" fontId="2" fillId="2" borderId="19" xfId="19" applyFont="1" applyFill="1" applyBorder="1" applyProtection="1">
      <protection hidden="1"/>
    </xf>
    <xf numFmtId="0" fontId="0" fillId="6" borderId="0" xfId="0" applyFill="1" applyAlignment="1" applyProtection="1">
      <alignment horizontal="center"/>
      <protection hidden="1"/>
    </xf>
    <xf numFmtId="168" fontId="2" fillId="4" borderId="20" xfId="12" applyNumberFormat="1" applyFont="1" applyFill="1" applyBorder="1" applyAlignment="1" applyProtection="1">
      <alignment horizontal="center"/>
      <protection locked="0"/>
    </xf>
    <xf numFmtId="167" fontId="2" fillId="2" borderId="21" xfId="12" applyNumberFormat="1" applyFont="1" applyFill="1" applyBorder="1" applyAlignment="1" applyProtection="1">
      <alignment horizontal="center"/>
      <protection locked="0"/>
    </xf>
    <xf numFmtId="168" fontId="23" fillId="4" borderId="22" xfId="12" applyNumberFormat="1" applyFont="1" applyFill="1" applyBorder="1" applyAlignment="1" applyProtection="1">
      <alignment horizontal="center"/>
      <protection locked="0"/>
    </xf>
    <xf numFmtId="167" fontId="23" fillId="3" borderId="22" xfId="12" applyNumberFormat="1" applyFont="1" applyFill="1" applyBorder="1" applyAlignment="1" applyProtection="1">
      <alignment horizontal="center"/>
      <protection locked="0"/>
    </xf>
    <xf numFmtId="168" fontId="23" fillId="3" borderId="22" xfId="12" applyNumberFormat="1" applyFont="1" applyFill="1" applyBorder="1" applyAlignment="1" applyProtection="1">
      <alignment horizontal="center"/>
      <protection locked="0"/>
    </xf>
    <xf numFmtId="167" fontId="2" fillId="4" borderId="22" xfId="12" applyNumberFormat="1" applyFont="1" applyFill="1" applyBorder="1" applyAlignment="1" applyProtection="1">
      <alignment horizontal="center"/>
      <protection locked="0"/>
    </xf>
    <xf numFmtId="167" fontId="2" fillId="3" borderId="22" xfId="12" applyNumberFormat="1" applyFont="1" applyFill="1" applyBorder="1" applyAlignment="1" applyProtection="1">
      <alignment horizontal="center"/>
      <protection locked="0"/>
    </xf>
    <xf numFmtId="167" fontId="2" fillId="4" borderId="23" xfId="12" applyNumberFormat="1" applyFont="1" applyFill="1" applyBorder="1" applyAlignment="1" applyProtection="1">
      <alignment horizontal="center"/>
      <protection locked="0"/>
    </xf>
    <xf numFmtId="168" fontId="2" fillId="3" borderId="20" xfId="12" applyNumberFormat="1" applyFont="1" applyFill="1" applyBorder="1" applyAlignment="1" applyProtection="1">
      <alignment horizontal="center"/>
      <protection locked="0"/>
    </xf>
    <xf numFmtId="168" fontId="2" fillId="4" borderId="22" xfId="12" applyNumberFormat="1" applyFont="1" applyFill="1" applyBorder="1" applyAlignment="1" applyProtection="1">
      <alignment horizontal="center"/>
      <protection locked="0"/>
    </xf>
    <xf numFmtId="166" fontId="2" fillId="4" borderId="22" xfId="12" applyNumberFormat="1" applyFont="1" applyFill="1" applyBorder="1" applyAlignment="1" applyProtection="1">
      <alignment horizontal="center"/>
      <protection locked="0"/>
    </xf>
    <xf numFmtId="1" fontId="2" fillId="3" borderId="24" xfId="12" applyNumberFormat="1" applyFont="1" applyFill="1" applyBorder="1" applyAlignment="1" applyProtection="1">
      <alignment horizontal="center"/>
      <protection locked="0"/>
    </xf>
    <xf numFmtId="0" fontId="2" fillId="4" borderId="25" xfId="12" applyFont="1" applyFill="1" applyBorder="1" applyAlignment="1" applyProtection="1">
      <alignment horizontal="center"/>
      <protection locked="0"/>
    </xf>
    <xf numFmtId="0" fontId="98" fillId="7" borderId="0" xfId="0" applyFont="1" applyFill="1" applyBorder="1" applyAlignment="1" applyProtection="1">
      <alignment horizontal="right"/>
      <protection hidden="1"/>
    </xf>
    <xf numFmtId="0" fontId="98" fillId="7" borderId="0" xfId="0" applyFont="1" applyFill="1" applyBorder="1" applyProtection="1">
      <protection hidden="1"/>
    </xf>
    <xf numFmtId="0" fontId="98" fillId="6" borderId="0" xfId="0" applyFont="1" applyFill="1" applyBorder="1" applyProtection="1">
      <protection hidden="1"/>
    </xf>
    <xf numFmtId="0" fontId="2" fillId="14" borderId="0" xfId="0" applyFont="1" applyFill="1" applyBorder="1" applyAlignment="1" applyProtection="1">
      <alignment vertical="center" textRotation="180"/>
      <protection hidden="1"/>
    </xf>
    <xf numFmtId="0" fontId="0" fillId="10" borderId="0" xfId="0" applyFill="1" applyProtection="1">
      <protection hidden="1"/>
    </xf>
    <xf numFmtId="0" fontId="15" fillId="10" borderId="0" xfId="0" applyFont="1" applyFill="1" applyProtection="1">
      <protection hidden="1"/>
    </xf>
    <xf numFmtId="0" fontId="14" fillId="10" borderId="0" xfId="0" applyFont="1" applyFill="1" applyProtection="1">
      <protection hidden="1"/>
    </xf>
    <xf numFmtId="0" fontId="100" fillId="5" borderId="0" xfId="11" applyFont="1" applyFill="1" applyProtection="1">
      <protection hidden="1"/>
    </xf>
    <xf numFmtId="0" fontId="101" fillId="5" borderId="0" xfId="11" applyFont="1" applyFill="1" applyProtection="1">
      <protection hidden="1"/>
    </xf>
    <xf numFmtId="169" fontId="101" fillId="5" borderId="0" xfId="11" applyNumberFormat="1" applyFont="1" applyFill="1" applyProtection="1">
      <protection hidden="1"/>
    </xf>
    <xf numFmtId="1" fontId="101" fillId="5" borderId="0" xfId="11" applyNumberFormat="1" applyFont="1" applyFill="1" applyProtection="1">
      <protection hidden="1"/>
    </xf>
    <xf numFmtId="0" fontId="26" fillId="7" borderId="0" xfId="0" applyFont="1" applyFill="1" applyBorder="1" applyProtection="1">
      <protection locked="0" hidden="1"/>
    </xf>
    <xf numFmtId="0" fontId="16" fillId="5" borderId="0" xfId="0" applyFont="1" applyFill="1" applyAlignment="1" applyProtection="1">
      <alignment vertical="center"/>
      <protection hidden="1"/>
    </xf>
    <xf numFmtId="0" fontId="29" fillId="7" borderId="0" xfId="0" applyFont="1" applyFill="1" applyBorder="1" applyAlignment="1" applyProtection="1">
      <protection hidden="1"/>
    </xf>
    <xf numFmtId="0" fontId="102" fillId="15" borderId="26" xfId="0" applyFont="1" applyFill="1" applyBorder="1" applyAlignment="1" applyProtection="1">
      <alignment horizontal="center" wrapText="1"/>
      <protection hidden="1"/>
    </xf>
    <xf numFmtId="0" fontId="102" fillId="15" borderId="27" xfId="0" applyFont="1" applyFill="1" applyBorder="1" applyAlignment="1" applyProtection="1">
      <alignment horizontal="center" wrapText="1"/>
      <protection hidden="1"/>
    </xf>
    <xf numFmtId="0" fontId="2" fillId="6" borderId="0" xfId="0" applyFont="1" applyFill="1" applyBorder="1" applyProtection="1">
      <protection hidden="1"/>
    </xf>
    <xf numFmtId="0" fontId="20" fillId="15" borderId="28" xfId="0" applyFont="1" applyFill="1" applyBorder="1" applyAlignment="1" applyProtection="1">
      <alignment horizontal="center" wrapText="1"/>
      <protection locked="0"/>
    </xf>
    <xf numFmtId="0" fontId="20" fillId="15" borderId="29" xfId="0" applyFont="1" applyFill="1" applyBorder="1" applyAlignment="1" applyProtection="1">
      <alignment horizontal="center" wrapText="1"/>
      <protection locked="0"/>
    </xf>
    <xf numFmtId="0" fontId="103" fillId="15" borderId="16" xfId="15" applyFont="1" applyFill="1" applyBorder="1" applyAlignment="1" applyProtection="1">
      <alignment horizontal="right" wrapText="1"/>
      <protection locked="0"/>
    </xf>
    <xf numFmtId="0" fontId="20" fillId="15" borderId="30" xfId="0" applyFont="1" applyFill="1" applyBorder="1" applyAlignment="1" applyProtection="1">
      <alignment horizontal="left" wrapText="1"/>
      <protection locked="0"/>
    </xf>
    <xf numFmtId="0" fontId="104" fillId="15" borderId="6" xfId="15" applyFont="1" applyFill="1" applyBorder="1" applyAlignment="1" applyProtection="1">
      <alignment horizontal="right" wrapText="1" readingOrder="2"/>
      <protection locked="0"/>
    </xf>
    <xf numFmtId="0" fontId="105" fillId="15" borderId="30" xfId="15" applyFont="1" applyFill="1" applyBorder="1" applyAlignment="1" applyProtection="1">
      <alignment horizontal="left" wrapText="1"/>
      <protection locked="0"/>
    </xf>
    <xf numFmtId="0" fontId="105" fillId="15" borderId="0" xfId="15" applyFont="1" applyFill="1" applyBorder="1" applyAlignment="1" applyProtection="1">
      <alignment horizontal="center"/>
      <protection locked="0"/>
    </xf>
    <xf numFmtId="0" fontId="15" fillId="5" borderId="0" xfId="0" applyFont="1" applyFill="1" applyAlignment="1" applyProtection="1">
      <alignment vertical="center"/>
      <protection hidden="1"/>
    </xf>
    <xf numFmtId="0" fontId="0" fillId="5" borderId="0" xfId="0" applyFill="1" applyAlignment="1" applyProtection="1">
      <alignment vertical="center"/>
      <protection hidden="1"/>
    </xf>
    <xf numFmtId="0" fontId="0" fillId="5" borderId="0" xfId="0" applyFill="1" applyBorder="1" applyAlignment="1" applyProtection="1">
      <alignment vertical="center"/>
      <protection hidden="1"/>
    </xf>
    <xf numFmtId="0" fontId="13" fillId="0" borderId="0" xfId="12" applyFont="1" applyFill="1" applyBorder="1" applyAlignment="1">
      <alignment vertical="center" textRotation="90"/>
    </xf>
    <xf numFmtId="0" fontId="107" fillId="5" borderId="0" xfId="0" applyFont="1" applyFill="1" applyProtection="1">
      <protection hidden="1"/>
    </xf>
    <xf numFmtId="0" fontId="1" fillId="0" borderId="0" xfId="13" applyFont="1" applyFill="1" applyAlignment="1">
      <alignment horizontal="center"/>
    </xf>
    <xf numFmtId="0" fontId="1" fillId="0" borderId="0" xfId="13" applyFont="1" applyFill="1" applyAlignment="1">
      <alignment horizontal="center" vertical="center"/>
    </xf>
    <xf numFmtId="0" fontId="109" fillId="5" borderId="0" xfId="0" applyFont="1" applyFill="1" applyProtection="1">
      <protection hidden="1"/>
    </xf>
    <xf numFmtId="0" fontId="109" fillId="5" borderId="0" xfId="0" applyFont="1" applyFill="1" applyAlignment="1" applyProtection="1">
      <alignment vertical="center"/>
      <protection hidden="1"/>
    </xf>
    <xf numFmtId="169" fontId="94" fillId="5" borderId="17" xfId="0" applyNumberFormat="1" applyFont="1" applyFill="1" applyBorder="1" applyAlignment="1" applyProtection="1">
      <alignment horizontal="center" wrapText="1"/>
      <protection locked="0"/>
    </xf>
    <xf numFmtId="0" fontId="0" fillId="5" borderId="31" xfId="0" applyFill="1" applyBorder="1" applyProtection="1">
      <protection hidden="1"/>
    </xf>
    <xf numFmtId="0" fontId="102" fillId="15" borderId="32" xfId="0" applyFont="1" applyFill="1" applyBorder="1" applyAlignment="1" applyProtection="1">
      <alignment horizontal="center" wrapText="1"/>
      <protection hidden="1"/>
    </xf>
    <xf numFmtId="2" fontId="94" fillId="5" borderId="31" xfId="0" applyNumberFormat="1" applyFont="1" applyFill="1" applyBorder="1" applyAlignment="1" applyProtection="1">
      <alignment horizontal="center" wrapText="1"/>
      <protection locked="0"/>
    </xf>
    <xf numFmtId="2" fontId="94" fillId="5" borderId="33" xfId="0" applyNumberFormat="1" applyFont="1" applyFill="1" applyBorder="1" applyAlignment="1" applyProtection="1">
      <alignment horizontal="center" wrapText="1"/>
      <protection locked="0"/>
    </xf>
    <xf numFmtId="0" fontId="76" fillId="6" borderId="0" xfId="0" applyFont="1" applyFill="1" applyBorder="1" applyAlignment="1" applyProtection="1">
      <alignment horizontal="center" vertical="center"/>
      <protection hidden="1"/>
    </xf>
    <xf numFmtId="0" fontId="0" fillId="5" borderId="34" xfId="0" applyFill="1" applyBorder="1" applyProtection="1">
      <protection hidden="1"/>
    </xf>
    <xf numFmtId="0" fontId="76" fillId="6" borderId="0" xfId="0" applyFont="1" applyFill="1" applyBorder="1" applyAlignment="1" applyProtection="1">
      <alignment horizontal="left" vertical="center"/>
      <protection hidden="1"/>
    </xf>
    <xf numFmtId="0" fontId="110" fillId="16" borderId="0" xfId="10" applyNumberFormat="1" applyFill="1"/>
    <xf numFmtId="0" fontId="110" fillId="17" borderId="0" xfId="10" applyNumberFormat="1" applyFill="1"/>
    <xf numFmtId="0" fontId="110" fillId="0" borderId="0" xfId="10"/>
    <xf numFmtId="0" fontId="2" fillId="6" borderId="0" xfId="0" applyFont="1" applyFill="1" applyProtection="1">
      <protection hidden="1"/>
    </xf>
    <xf numFmtId="0" fontId="27" fillId="6" borderId="0" xfId="0" applyFont="1" applyFill="1" applyAlignment="1" applyProtection="1">
      <alignment vertical="center"/>
      <protection hidden="1"/>
    </xf>
    <xf numFmtId="0" fontId="108" fillId="5" borderId="0" xfId="0" applyFont="1" applyFill="1" applyBorder="1" applyAlignment="1" applyProtection="1">
      <alignment vertical="center"/>
      <protection hidden="1"/>
    </xf>
    <xf numFmtId="0" fontId="82" fillId="6" borderId="0" xfId="0" applyFont="1" applyFill="1" applyProtection="1">
      <protection hidden="1"/>
    </xf>
    <xf numFmtId="0" fontId="98" fillId="6" borderId="0" xfId="0" applyFont="1" applyFill="1" applyProtection="1">
      <protection hidden="1"/>
    </xf>
    <xf numFmtId="2" fontId="106" fillId="6" borderId="0" xfId="7" applyNumberFormat="1" applyFont="1" applyFill="1" applyBorder="1" applyAlignment="1" applyProtection="1">
      <alignment horizontal="right"/>
      <protection hidden="1"/>
    </xf>
    <xf numFmtId="2" fontId="14" fillId="6" borderId="0" xfId="0" applyNumberFormat="1" applyFont="1" applyFill="1" applyBorder="1" applyAlignment="1" applyProtection="1">
      <alignment horizontal="right"/>
      <protection hidden="1"/>
    </xf>
    <xf numFmtId="0" fontId="16" fillId="6" borderId="0" xfId="7" applyFont="1" applyFill="1" applyBorder="1" applyProtection="1">
      <protection hidden="1"/>
    </xf>
    <xf numFmtId="0" fontId="99" fillId="15" borderId="28" xfId="0" applyFont="1" applyFill="1" applyBorder="1" applyAlignment="1" applyProtection="1">
      <alignment horizontal="center" wrapText="1"/>
    </xf>
    <xf numFmtId="0" fontId="20" fillId="15" borderId="12" xfId="0" applyFont="1" applyFill="1" applyBorder="1" applyAlignment="1" applyProtection="1">
      <alignment horizontal="center" wrapText="1"/>
      <protection locked="0"/>
    </xf>
    <xf numFmtId="0" fontId="82" fillId="6" borderId="0" xfId="0" applyNumberFormat="1" applyFont="1" applyFill="1" applyProtection="1">
      <protection hidden="1"/>
    </xf>
    <xf numFmtId="0" fontId="88" fillId="6" borderId="0" xfId="0" applyFont="1" applyFill="1" applyBorder="1" applyAlignment="1" applyProtection="1">
      <protection hidden="1"/>
    </xf>
    <xf numFmtId="0" fontId="88" fillId="6" borderId="0" xfId="12" applyFont="1" applyFill="1" applyBorder="1" applyAlignment="1" applyProtection="1">
      <alignment horizontal="center"/>
      <protection hidden="1"/>
    </xf>
    <xf numFmtId="168" fontId="88" fillId="6" borderId="0" xfId="12" applyNumberFormat="1" applyFont="1" applyFill="1" applyBorder="1" applyProtection="1">
      <protection hidden="1"/>
    </xf>
    <xf numFmtId="167" fontId="88" fillId="19" borderId="0" xfId="12" applyNumberFormat="1" applyFont="1" applyFill="1" applyBorder="1" applyProtection="1">
      <protection hidden="1"/>
    </xf>
    <xf numFmtId="168" fontId="88" fillId="19" borderId="0" xfId="12" applyNumberFormat="1" applyFont="1" applyFill="1" applyBorder="1" applyProtection="1">
      <protection hidden="1"/>
    </xf>
    <xf numFmtId="167" fontId="88" fillId="6" borderId="0" xfId="12" applyNumberFormat="1" applyFont="1" applyFill="1" applyBorder="1" applyProtection="1">
      <protection hidden="1"/>
    </xf>
    <xf numFmtId="168" fontId="88" fillId="6" borderId="0" xfId="12" applyNumberFormat="1" applyFont="1" applyFill="1" applyBorder="1" applyAlignment="1" applyProtection="1">
      <alignment horizontal="right"/>
      <protection hidden="1"/>
    </xf>
    <xf numFmtId="166" fontId="88" fillId="6" borderId="0" xfId="12" applyNumberFormat="1" applyFont="1" applyFill="1" applyBorder="1" applyProtection="1">
      <protection hidden="1"/>
    </xf>
    <xf numFmtId="1" fontId="88" fillId="19" borderId="0" xfId="12" applyNumberFormat="1" applyFont="1" applyFill="1" applyBorder="1" applyProtection="1">
      <protection hidden="1"/>
    </xf>
    <xf numFmtId="0" fontId="16" fillId="6" borderId="0" xfId="0" applyNumberFormat="1" applyFont="1" applyFill="1" applyBorder="1" applyAlignment="1" applyProtection="1">
      <alignment horizontal="center" vertical="center"/>
      <protection hidden="1"/>
    </xf>
    <xf numFmtId="2" fontId="16" fillId="6" borderId="0" xfId="0" applyNumberFormat="1" applyFont="1" applyFill="1" applyBorder="1" applyAlignment="1" applyProtection="1">
      <alignment horizontal="center" vertical="center"/>
      <protection hidden="1"/>
    </xf>
    <xf numFmtId="165" fontId="16" fillId="6" borderId="0" xfId="0" applyNumberFormat="1" applyFont="1" applyFill="1" applyBorder="1" applyAlignment="1" applyProtection="1">
      <alignment horizontal="center" vertical="center"/>
      <protection hidden="1"/>
    </xf>
    <xf numFmtId="0" fontId="16" fillId="6" borderId="0" xfId="15" applyNumberFormat="1" applyFont="1" applyFill="1" applyBorder="1" applyAlignment="1" applyProtection="1">
      <alignment horizontal="center" vertical="center"/>
      <protection hidden="1"/>
    </xf>
    <xf numFmtId="0" fontId="106" fillId="6" borderId="0" xfId="0" applyFont="1" applyFill="1" applyBorder="1" applyProtection="1">
      <protection hidden="1"/>
    </xf>
    <xf numFmtId="0" fontId="98" fillId="5" borderId="0" xfId="0" applyFont="1" applyFill="1" applyProtection="1">
      <protection hidden="1"/>
    </xf>
    <xf numFmtId="0" fontId="98" fillId="10" borderId="0" xfId="0" applyFont="1" applyFill="1" applyProtection="1">
      <protection hidden="1"/>
    </xf>
    <xf numFmtId="0" fontId="0" fillId="6" borderId="0" xfId="0" applyFill="1" applyBorder="1" applyAlignment="1" applyProtection="1">
      <alignment horizontal="center" vertical="center"/>
      <protection hidden="1"/>
    </xf>
    <xf numFmtId="0" fontId="114" fillId="5" borderId="0" xfId="11" applyFont="1" applyFill="1" applyAlignment="1" applyProtection="1">
      <alignment vertical="top"/>
      <protection hidden="1"/>
    </xf>
    <xf numFmtId="0" fontId="19" fillId="5" borderId="0" xfId="11" applyFont="1" applyFill="1" applyAlignment="1" applyProtection="1">
      <alignment vertical="top"/>
      <protection hidden="1"/>
    </xf>
    <xf numFmtId="0" fontId="14" fillId="7" borderId="0" xfId="0" applyFont="1" applyFill="1" applyBorder="1" applyProtection="1">
      <protection hidden="1"/>
    </xf>
    <xf numFmtId="0" fontId="112" fillId="6" borderId="0" xfId="5" applyFont="1" applyFill="1" applyBorder="1" applyAlignment="1" applyProtection="1">
      <protection hidden="1"/>
    </xf>
    <xf numFmtId="0" fontId="14" fillId="10" borderId="0" xfId="0" applyFont="1" applyFill="1" applyBorder="1" applyProtection="1">
      <protection hidden="1"/>
    </xf>
    <xf numFmtId="0" fontId="107" fillId="5" borderId="0" xfId="0" applyFont="1" applyFill="1" applyAlignment="1" applyProtection="1">
      <alignment horizontal="right"/>
      <protection hidden="1"/>
    </xf>
    <xf numFmtId="0" fontId="30" fillId="6" borderId="0" xfId="15" applyFont="1" applyFill="1" applyBorder="1" applyAlignment="1" applyProtection="1">
      <alignment vertical="center"/>
      <protection locked="0" hidden="1"/>
    </xf>
    <xf numFmtId="0" fontId="26" fillId="6" borderId="0" xfId="5" applyFont="1" applyFill="1" applyBorder="1" applyAlignment="1" applyProtection="1">
      <alignment horizontal="left" wrapText="1"/>
      <protection hidden="1"/>
    </xf>
    <xf numFmtId="0" fontId="116" fillId="7" borderId="0" xfId="0" applyFont="1" applyFill="1" applyBorder="1" applyProtection="1">
      <protection hidden="1"/>
    </xf>
    <xf numFmtId="0" fontId="117" fillId="10" borderId="0" xfId="0" applyFont="1" applyFill="1" applyProtection="1">
      <protection hidden="1"/>
    </xf>
    <xf numFmtId="0" fontId="0" fillId="6" borderId="0" xfId="0" applyFill="1" applyBorder="1" applyProtection="1">
      <protection locked="0" hidden="1"/>
    </xf>
    <xf numFmtId="0" fontId="26" fillId="6" borderId="0" xfId="0" applyFont="1" applyFill="1" applyBorder="1" applyProtection="1">
      <protection locked="0" hidden="1"/>
    </xf>
    <xf numFmtId="0" fontId="0" fillId="6" borderId="0" xfId="0" applyFill="1" applyProtection="1">
      <protection locked="0" hidden="1"/>
    </xf>
    <xf numFmtId="0" fontId="68" fillId="6" borderId="0" xfId="15" applyFont="1" applyFill="1" applyBorder="1" applyAlignment="1" applyProtection="1">
      <alignment horizontal="left" vertical="center"/>
      <protection locked="0" hidden="1"/>
    </xf>
    <xf numFmtId="0" fontId="7" fillId="6" borderId="0" xfId="15" applyFont="1" applyFill="1" applyBorder="1" applyAlignment="1" applyProtection="1">
      <alignment horizontal="left" vertical="center"/>
      <protection locked="0" hidden="1"/>
    </xf>
    <xf numFmtId="0" fontId="0" fillId="6" borderId="0" xfId="0" applyFill="1" applyBorder="1" applyAlignment="1" applyProtection="1">
      <alignment horizontal="left"/>
      <protection locked="0" hidden="1"/>
    </xf>
    <xf numFmtId="0" fontId="16" fillId="7" borderId="0" xfId="0" applyFont="1" applyFill="1" applyBorder="1" applyProtection="1">
      <protection locked="0" hidden="1"/>
    </xf>
    <xf numFmtId="0" fontId="118" fillId="5" borderId="0" xfId="11" applyNumberFormat="1" applyFont="1" applyFill="1" applyBorder="1" applyAlignment="1" applyProtection="1">
      <alignment vertical="center"/>
      <protection hidden="1"/>
    </xf>
    <xf numFmtId="0" fontId="120" fillId="5" borderId="0" xfId="11" applyFont="1" applyFill="1" applyProtection="1">
      <protection hidden="1"/>
    </xf>
    <xf numFmtId="0" fontId="14" fillId="5" borderId="0" xfId="0" applyFont="1" applyFill="1" applyAlignment="1" applyProtection="1">
      <alignment horizontal="right"/>
      <protection hidden="1"/>
    </xf>
    <xf numFmtId="0" fontId="14" fillId="6" borderId="0" xfId="5" applyFont="1" applyFill="1" applyBorder="1" applyAlignment="1" applyProtection="1">
      <protection hidden="1"/>
    </xf>
    <xf numFmtId="0" fontId="2" fillId="20" borderId="0" xfId="12" applyFont="1" applyFill="1" applyBorder="1" applyAlignment="1">
      <alignment horizontal="center"/>
    </xf>
    <xf numFmtId="0" fontId="26" fillId="13" borderId="0" xfId="8" applyFont="1" applyFill="1" applyBorder="1" applyAlignment="1" applyProtection="1">
      <alignment horizontal="left" wrapText="1"/>
      <protection hidden="1"/>
    </xf>
    <xf numFmtId="0" fontId="15" fillId="21" borderId="0" xfId="8" applyFont="1" applyFill="1" applyBorder="1" applyAlignment="1" applyProtection="1">
      <alignment horizontal="left" wrapText="1"/>
      <protection hidden="1"/>
    </xf>
    <xf numFmtId="0" fontId="65" fillId="5" borderId="0" xfId="0" applyFont="1" applyFill="1" applyBorder="1" applyAlignment="1" applyProtection="1">
      <alignment horizontal="left"/>
      <protection hidden="1"/>
    </xf>
    <xf numFmtId="0" fontId="80" fillId="5" borderId="0" xfId="0" applyFont="1" applyFill="1" applyBorder="1" applyAlignment="1" applyProtection="1">
      <alignment horizontal="left"/>
      <protection hidden="1"/>
    </xf>
    <xf numFmtId="0" fontId="80" fillId="21" borderId="0" xfId="8" applyFont="1" applyFill="1" applyBorder="1" applyAlignment="1" applyProtection="1">
      <alignment horizontal="left" wrapText="1"/>
      <protection hidden="1"/>
    </xf>
    <xf numFmtId="0" fontId="101" fillId="5" borderId="0" xfId="0" applyFont="1" applyFill="1" applyBorder="1" applyAlignment="1" applyProtection="1">
      <alignment horizontal="left"/>
      <protection hidden="1"/>
    </xf>
    <xf numFmtId="0" fontId="107" fillId="5" borderId="0" xfId="0" applyFont="1" applyFill="1" applyAlignment="1" applyProtection="1">
      <alignment horizontal="left"/>
      <protection hidden="1"/>
    </xf>
    <xf numFmtId="0" fontId="107" fillId="21" borderId="0" xfId="8" applyFont="1" applyFill="1" applyBorder="1" applyAlignment="1" applyProtection="1">
      <alignment horizontal="left" wrapText="1"/>
      <protection hidden="1"/>
    </xf>
    <xf numFmtId="0" fontId="80" fillId="5" borderId="0" xfId="0" applyFont="1" applyFill="1" applyAlignment="1" applyProtection="1">
      <alignment horizontal="left"/>
      <protection hidden="1"/>
    </xf>
    <xf numFmtId="0" fontId="101" fillId="5" borderId="0" xfId="0" applyFont="1" applyFill="1" applyBorder="1" applyAlignment="1" applyProtection="1">
      <alignment horizontal="right"/>
      <protection hidden="1"/>
    </xf>
    <xf numFmtId="0" fontId="107" fillId="21" borderId="0" xfId="8" applyFont="1" applyFill="1" applyBorder="1" applyAlignment="1" applyProtection="1">
      <alignment wrapText="1"/>
      <protection hidden="1"/>
    </xf>
    <xf numFmtId="0" fontId="65" fillId="5" borderId="0" xfId="0" applyFont="1" applyFill="1" applyBorder="1" applyProtection="1">
      <protection hidden="1"/>
    </xf>
    <xf numFmtId="1" fontId="2" fillId="0" borderId="0" xfId="12" applyNumberFormat="1" applyFont="1" applyBorder="1" applyAlignment="1"/>
    <xf numFmtId="0" fontId="14" fillId="12" borderId="5" xfId="0" applyFont="1" applyFill="1" applyBorder="1" applyProtection="1">
      <protection hidden="1"/>
    </xf>
    <xf numFmtId="0" fontId="14" fillId="12" borderId="9" xfId="0" applyFont="1" applyFill="1" applyBorder="1" applyProtection="1">
      <protection hidden="1"/>
    </xf>
    <xf numFmtId="1" fontId="14" fillId="12" borderId="32" xfId="0" applyNumberFormat="1" applyFont="1" applyFill="1" applyBorder="1" applyProtection="1">
      <protection hidden="1"/>
    </xf>
    <xf numFmtId="1" fontId="14" fillId="12" borderId="12" xfId="0" applyNumberFormat="1" applyFont="1" applyFill="1" applyBorder="1" applyProtection="1">
      <protection hidden="1"/>
    </xf>
    <xf numFmtId="1" fontId="14" fillId="12" borderId="13" xfId="0" applyNumberFormat="1" applyFont="1" applyFill="1" applyBorder="1" applyProtection="1">
      <protection hidden="1"/>
    </xf>
    <xf numFmtId="1" fontId="14" fillId="12" borderId="5" xfId="0" applyNumberFormat="1" applyFont="1" applyFill="1" applyBorder="1" applyProtection="1">
      <protection hidden="1"/>
    </xf>
    <xf numFmtId="1" fontId="14" fillId="12" borderId="9" xfId="0" applyNumberFormat="1" applyFont="1" applyFill="1" applyBorder="1" applyProtection="1">
      <protection hidden="1"/>
    </xf>
    <xf numFmtId="0" fontId="14" fillId="12" borderId="10" xfId="0" applyFont="1" applyFill="1" applyBorder="1" applyProtection="1">
      <protection hidden="1"/>
    </xf>
    <xf numFmtId="0" fontId="14" fillId="12" borderId="6" xfId="0" applyFont="1" applyFill="1" applyBorder="1" applyProtection="1">
      <protection hidden="1"/>
    </xf>
    <xf numFmtId="0" fontId="14" fillId="12" borderId="36" xfId="0" applyFont="1" applyFill="1" applyBorder="1" applyProtection="1">
      <protection hidden="1"/>
    </xf>
    <xf numFmtId="0" fontId="0" fillId="16" borderId="0" xfId="0" applyNumberFormat="1" applyFill="1" applyAlignment="1">
      <alignment horizontal="center"/>
    </xf>
    <xf numFmtId="0" fontId="0" fillId="17" borderId="0" xfId="0" applyNumberFormat="1" applyFill="1"/>
    <xf numFmtId="0" fontId="0" fillId="22" borderId="0" xfId="0" applyNumberFormat="1" applyFill="1"/>
    <xf numFmtId="7" fontId="0" fillId="0" borderId="0" xfId="0" applyNumberFormat="1"/>
    <xf numFmtId="44" fontId="0" fillId="0" borderId="0" xfId="2" applyFont="1"/>
    <xf numFmtId="0" fontId="0" fillId="0" borderId="0" xfId="0" applyNumberFormat="1"/>
    <xf numFmtId="44" fontId="0" fillId="22" borderId="0" xfId="2" applyFont="1" applyFill="1"/>
    <xf numFmtId="0" fontId="0" fillId="15" borderId="0" xfId="0" applyNumberFormat="1" applyFill="1"/>
    <xf numFmtId="0" fontId="16" fillId="15" borderId="0" xfId="0" applyNumberFormat="1" applyFont="1" applyFill="1" applyBorder="1" applyAlignment="1" applyProtection="1">
      <alignment horizontal="center" vertical="center"/>
      <protection hidden="1"/>
    </xf>
    <xf numFmtId="2" fontId="16" fillId="15" borderId="0" xfId="0" applyNumberFormat="1" applyFont="1" applyFill="1" applyBorder="1" applyAlignment="1" applyProtection="1">
      <alignment horizontal="center" vertical="center"/>
      <protection hidden="1"/>
    </xf>
    <xf numFmtId="165" fontId="16" fillId="15" borderId="0" xfId="0" applyNumberFormat="1" applyFont="1" applyFill="1" applyBorder="1" applyAlignment="1" applyProtection="1">
      <alignment horizontal="center" vertical="center"/>
      <protection hidden="1"/>
    </xf>
    <xf numFmtId="0" fontId="16" fillId="15" borderId="0" xfId="15" applyNumberFormat="1" applyFont="1" applyFill="1" applyBorder="1" applyAlignment="1" applyProtection="1">
      <alignment horizontal="center" vertical="center"/>
      <protection hidden="1"/>
    </xf>
    <xf numFmtId="173" fontId="1" fillId="0" borderId="0" xfId="17" applyNumberFormat="1" applyFont="1" applyFill="1" applyAlignment="1">
      <alignment horizontal="center"/>
    </xf>
    <xf numFmtId="0" fontId="1" fillId="0" borderId="0" xfId="17" applyFont="1" applyFill="1" applyAlignment="1">
      <alignment horizontal="center"/>
    </xf>
    <xf numFmtId="0" fontId="1" fillId="0" borderId="0" xfId="17" applyFont="1" applyFill="1" applyAlignment="1">
      <alignment horizontal="center" vertical="center"/>
    </xf>
    <xf numFmtId="0" fontId="0" fillId="0" borderId="0" xfId="0" applyNumberFormat="1" applyFill="1" applyAlignment="1">
      <alignment horizontal="center"/>
    </xf>
    <xf numFmtId="0" fontId="1" fillId="15" borderId="0" xfId="17" applyFont="1" applyFill="1" applyAlignment="1">
      <alignment horizontal="center" vertical="center"/>
    </xf>
    <xf numFmtId="0" fontId="1" fillId="15" borderId="0" xfId="13" applyFont="1" applyFill="1" applyAlignment="1">
      <alignment horizontal="center" vertical="center"/>
    </xf>
    <xf numFmtId="0" fontId="15" fillId="15" borderId="0" xfId="13" applyFont="1" applyFill="1" applyAlignment="1">
      <alignment horizontal="center" vertical="center"/>
    </xf>
    <xf numFmtId="0" fontId="1" fillId="0" borderId="0" xfId="13" applyFont="1" applyFill="1" applyBorder="1" applyAlignment="1">
      <alignment horizontal="center"/>
    </xf>
    <xf numFmtId="0" fontId="123" fillId="6" borderId="0" xfId="0" applyFont="1" applyFill="1" applyProtection="1">
      <protection hidden="1"/>
    </xf>
    <xf numFmtId="0" fontId="123" fillId="5" borderId="0" xfId="0" applyFont="1" applyFill="1" applyProtection="1">
      <protection hidden="1"/>
    </xf>
    <xf numFmtId="165" fontId="27" fillId="0" borderId="0" xfId="19" applyNumberFormat="1" applyFont="1" applyBorder="1"/>
    <xf numFmtId="0" fontId="82" fillId="6" borderId="0" xfId="0" applyFont="1" applyFill="1" applyBorder="1" applyProtection="1">
      <protection locked="0" hidden="1"/>
    </xf>
    <xf numFmtId="0" fontId="0" fillId="5" borderId="0" xfId="0" applyFill="1" applyAlignment="1">
      <alignment vertical="top" wrapText="1"/>
    </xf>
    <xf numFmtId="0" fontId="40" fillId="5" borderId="0" xfId="11" applyFont="1" applyFill="1" applyAlignment="1" applyProtection="1">
      <protection hidden="1"/>
    </xf>
    <xf numFmtId="1" fontId="2" fillId="2" borderId="1" xfId="19" applyNumberFormat="1" applyFont="1" applyFill="1" applyBorder="1"/>
    <xf numFmtId="0" fontId="15" fillId="5" borderId="9" xfId="0" applyFont="1" applyFill="1" applyBorder="1" applyProtection="1">
      <protection hidden="1"/>
    </xf>
    <xf numFmtId="1" fontId="14" fillId="12" borderId="6" xfId="0" applyNumberFormat="1" applyFont="1" applyFill="1" applyBorder="1" applyProtection="1">
      <protection hidden="1"/>
    </xf>
    <xf numFmtId="0" fontId="117" fillId="6" borderId="0" xfId="0" applyFont="1" applyFill="1" applyProtection="1">
      <protection hidden="1"/>
    </xf>
    <xf numFmtId="0" fontId="82" fillId="10" borderId="0" xfId="0" applyFont="1" applyFill="1" applyProtection="1">
      <protection hidden="1"/>
    </xf>
    <xf numFmtId="2" fontId="41" fillId="5" borderId="0" xfId="11" applyNumberFormat="1" applyFont="1" applyFill="1" applyProtection="1">
      <protection hidden="1"/>
    </xf>
    <xf numFmtId="0" fontId="65" fillId="5" borderId="0" xfId="11" applyFont="1" applyFill="1" applyProtection="1">
      <protection hidden="1"/>
    </xf>
    <xf numFmtId="2" fontId="65" fillId="5" borderId="0" xfId="11" applyNumberFormat="1" applyFont="1" applyFill="1" applyProtection="1">
      <protection hidden="1"/>
    </xf>
    <xf numFmtId="169" fontId="65" fillId="5" borderId="0" xfId="11" applyNumberFormat="1" applyFont="1" applyFill="1" applyProtection="1">
      <protection hidden="1"/>
    </xf>
    <xf numFmtId="1" fontId="65" fillId="5" borderId="0" xfId="11" applyNumberFormat="1" applyFont="1" applyFill="1" applyProtection="1">
      <protection hidden="1"/>
    </xf>
    <xf numFmtId="169" fontId="12" fillId="24" borderId="6" xfId="0" applyNumberFormat="1" applyFont="1" applyFill="1" applyBorder="1" applyProtection="1">
      <protection hidden="1"/>
    </xf>
    <xf numFmtId="169" fontId="12" fillId="24" borderId="0" xfId="0" applyNumberFormat="1" applyFont="1" applyFill="1" applyBorder="1" applyProtection="1">
      <protection hidden="1"/>
    </xf>
    <xf numFmtId="169" fontId="12" fillId="24" borderId="12" xfId="0" applyNumberFormat="1" applyFont="1" applyFill="1" applyBorder="1" applyProtection="1">
      <protection hidden="1"/>
    </xf>
    <xf numFmtId="169" fontId="12" fillId="24" borderId="36" xfId="0" applyNumberFormat="1" applyFont="1" applyFill="1" applyBorder="1" applyProtection="1">
      <protection hidden="1"/>
    </xf>
    <xf numFmtId="169" fontId="12" fillId="24" borderId="9" xfId="0" applyNumberFormat="1" applyFont="1" applyFill="1" applyBorder="1" applyProtection="1">
      <protection hidden="1"/>
    </xf>
    <xf numFmtId="169" fontId="12" fillId="24" borderId="13" xfId="0" applyNumberFormat="1" applyFont="1" applyFill="1" applyBorder="1" applyProtection="1">
      <protection hidden="1"/>
    </xf>
    <xf numFmtId="0" fontId="12" fillId="8" borderId="37" xfId="0" applyNumberFormat="1" applyFont="1" applyFill="1" applyBorder="1" applyProtection="1">
      <protection hidden="1"/>
    </xf>
    <xf numFmtId="0" fontId="7" fillId="8" borderId="4" xfId="0" applyFont="1" applyFill="1" applyBorder="1" applyProtection="1">
      <protection hidden="1"/>
    </xf>
    <xf numFmtId="0" fontId="0" fillId="8" borderId="4" xfId="0" applyFill="1" applyBorder="1" applyProtection="1">
      <protection hidden="1"/>
    </xf>
    <xf numFmtId="0" fontId="9" fillId="8" borderId="4" xfId="15" applyFont="1" applyFill="1" applyBorder="1" applyAlignment="1" applyProtection="1">
      <alignment horizontal="left"/>
      <protection hidden="1"/>
    </xf>
    <xf numFmtId="0" fontId="7" fillId="5" borderId="4" xfId="0" applyFont="1" applyFill="1" applyBorder="1" applyProtection="1">
      <protection hidden="1"/>
    </xf>
    <xf numFmtId="0" fontId="7" fillId="5" borderId="4" xfId="16" applyFont="1" applyFill="1" applyBorder="1" applyProtection="1">
      <protection hidden="1"/>
    </xf>
    <xf numFmtId="0" fontId="12" fillId="7" borderId="34" xfId="0" applyNumberFormat="1" applyFont="1" applyFill="1" applyBorder="1" applyProtection="1">
      <protection locked="0" hidden="1"/>
    </xf>
    <xf numFmtId="0" fontId="7" fillId="7" borderId="4" xfId="0" applyFont="1" applyFill="1" applyBorder="1" applyProtection="1">
      <protection hidden="1"/>
    </xf>
    <xf numFmtId="0" fontId="0" fillId="7" borderId="4" xfId="0" applyFill="1" applyBorder="1" applyProtection="1">
      <protection hidden="1"/>
    </xf>
    <xf numFmtId="0" fontId="9" fillId="7" borderId="4" xfId="15" applyFont="1" applyFill="1" applyBorder="1" applyAlignment="1" applyProtection="1">
      <alignment horizontal="left"/>
      <protection hidden="1"/>
    </xf>
    <xf numFmtId="0" fontId="0" fillId="6" borderId="4" xfId="0" applyFill="1" applyBorder="1" applyProtection="1">
      <protection hidden="1"/>
    </xf>
    <xf numFmtId="0" fontId="7" fillId="6" borderId="4" xfId="0" applyFont="1" applyFill="1" applyBorder="1" applyProtection="1">
      <protection hidden="1"/>
    </xf>
    <xf numFmtId="0" fontId="7" fillId="6" borderId="4" xfId="16" applyFont="1" applyFill="1" applyBorder="1" applyProtection="1">
      <protection hidden="1"/>
    </xf>
    <xf numFmtId="0" fontId="0" fillId="6" borderId="11" xfId="0" applyFill="1" applyBorder="1" applyProtection="1">
      <protection hidden="1"/>
    </xf>
    <xf numFmtId="0" fontId="7" fillId="10" borderId="12" xfId="0" applyFont="1" applyFill="1" applyBorder="1" applyProtection="1">
      <protection hidden="1"/>
    </xf>
    <xf numFmtId="0" fontId="7" fillId="6" borderId="12" xfId="0" applyFont="1" applyFill="1" applyBorder="1" applyProtection="1">
      <protection hidden="1"/>
    </xf>
    <xf numFmtId="0" fontId="0" fillId="8" borderId="16" xfId="0" applyFill="1" applyBorder="1" applyProtection="1">
      <protection hidden="1"/>
    </xf>
    <xf numFmtId="0" fontId="0" fillId="6" borderId="12" xfId="0" applyFill="1" applyBorder="1" applyProtection="1">
      <protection hidden="1"/>
    </xf>
    <xf numFmtId="0" fontId="0" fillId="0" borderId="16" xfId="0" applyBorder="1" applyProtection="1">
      <protection hidden="1"/>
    </xf>
    <xf numFmtId="165" fontId="67" fillId="7" borderId="38" xfId="0" applyNumberFormat="1" applyFont="1" applyFill="1" applyBorder="1" applyProtection="1">
      <protection locked="0" hidden="1"/>
    </xf>
    <xf numFmtId="0" fontId="0" fillId="10" borderId="32" xfId="0" applyFill="1" applyBorder="1" applyProtection="1">
      <protection hidden="1"/>
    </xf>
    <xf numFmtId="0" fontId="7" fillId="5" borderId="12" xfId="0" applyFont="1" applyFill="1" applyBorder="1" applyProtection="1">
      <protection hidden="1"/>
    </xf>
    <xf numFmtId="0" fontId="0" fillId="7" borderId="16" xfId="0" applyFill="1" applyBorder="1" applyProtection="1">
      <protection hidden="1"/>
    </xf>
    <xf numFmtId="0" fontId="0" fillId="10" borderId="12" xfId="0" applyFill="1" applyBorder="1" applyProtection="1">
      <protection hidden="1"/>
    </xf>
    <xf numFmtId="0" fontId="0" fillId="7" borderId="39" xfId="0" applyFill="1" applyBorder="1" applyProtection="1">
      <protection hidden="1"/>
    </xf>
    <xf numFmtId="0" fontId="0" fillId="10" borderId="31" xfId="0" applyFill="1" applyBorder="1" applyProtection="1">
      <protection hidden="1"/>
    </xf>
    <xf numFmtId="0" fontId="12" fillId="8" borderId="16" xfId="0" applyNumberFormat="1" applyFont="1" applyFill="1" applyBorder="1" applyProtection="1">
      <protection locked="0" hidden="1"/>
    </xf>
    <xf numFmtId="0" fontId="0" fillId="8" borderId="40" xfId="0" applyFill="1" applyBorder="1" applyProtection="1">
      <protection hidden="1"/>
    </xf>
    <xf numFmtId="0" fontId="0" fillId="8" borderId="9" xfId="0" applyFill="1" applyBorder="1" applyProtection="1">
      <protection hidden="1"/>
    </xf>
    <xf numFmtId="0" fontId="0" fillId="8" borderId="9" xfId="0" applyFill="1" applyBorder="1" applyAlignment="1" applyProtection="1">
      <alignment horizontal="right"/>
      <protection hidden="1"/>
    </xf>
    <xf numFmtId="0" fontId="15" fillId="8" borderId="9" xfId="0" applyFont="1" applyFill="1" applyBorder="1" applyProtection="1">
      <protection hidden="1"/>
    </xf>
    <xf numFmtId="0" fontId="0" fillId="5" borderId="9" xfId="0" applyFill="1" applyBorder="1" applyProtection="1">
      <protection hidden="1"/>
    </xf>
    <xf numFmtId="0" fontId="7" fillId="5" borderId="9" xfId="7" applyFont="1" applyFill="1" applyBorder="1" applyProtection="1">
      <protection hidden="1"/>
    </xf>
    <xf numFmtId="0" fontId="0" fillId="7" borderId="36" xfId="0" applyFill="1" applyBorder="1" applyProtection="1">
      <protection hidden="1"/>
    </xf>
    <xf numFmtId="0" fontId="0" fillId="7" borderId="9" xfId="0" applyFill="1" applyBorder="1" applyProtection="1">
      <protection hidden="1"/>
    </xf>
    <xf numFmtId="0" fontId="0" fillId="7" borderId="9" xfId="0" applyFill="1" applyBorder="1" applyAlignment="1" applyProtection="1">
      <alignment horizontal="right"/>
      <protection hidden="1"/>
    </xf>
    <xf numFmtId="0" fontId="26" fillId="7" borderId="9" xfId="0" applyFont="1" applyFill="1" applyBorder="1" applyAlignment="1" applyProtection="1">
      <alignment horizontal="right"/>
      <protection hidden="1"/>
    </xf>
    <xf numFmtId="0" fontId="26" fillId="7" borderId="9" xfId="0" applyFont="1" applyFill="1" applyBorder="1" applyProtection="1">
      <protection hidden="1"/>
    </xf>
    <xf numFmtId="0" fontId="7" fillId="6" borderId="9" xfId="7" applyFont="1" applyFill="1" applyBorder="1" applyProtection="1">
      <protection hidden="1"/>
    </xf>
    <xf numFmtId="0" fontId="0" fillId="6" borderId="13" xfId="0" applyFill="1" applyBorder="1" applyProtection="1">
      <protection hidden="1"/>
    </xf>
    <xf numFmtId="0" fontId="2" fillId="7" borderId="0" xfId="0" applyFont="1" applyFill="1" applyBorder="1" applyProtection="1">
      <protection hidden="1"/>
    </xf>
    <xf numFmtId="2" fontId="91" fillId="5" borderId="0" xfId="11" applyNumberFormat="1" applyFont="1" applyFill="1" applyBorder="1" applyProtection="1">
      <protection hidden="1"/>
    </xf>
    <xf numFmtId="169" fontId="61" fillId="5" borderId="0" xfId="11" applyNumberFormat="1" applyFont="1" applyFill="1" applyBorder="1" applyProtection="1">
      <protection hidden="1"/>
    </xf>
    <xf numFmtId="0" fontId="14" fillId="6" borderId="0" xfId="0" applyNumberFormat="1" applyFont="1" applyFill="1" applyProtection="1">
      <protection hidden="1"/>
    </xf>
    <xf numFmtId="1" fontId="26" fillId="7" borderId="0" xfId="0" applyNumberFormat="1" applyFont="1" applyFill="1" applyBorder="1" applyProtection="1">
      <protection hidden="1"/>
    </xf>
    <xf numFmtId="0" fontId="90" fillId="10" borderId="0" xfId="0" applyFont="1" applyFill="1" applyProtection="1">
      <protection hidden="1"/>
    </xf>
    <xf numFmtId="0" fontId="90" fillId="10" borderId="0" xfId="0" applyFont="1" applyFill="1" applyAlignment="1" applyProtection="1">
      <alignment horizontal="right"/>
      <protection hidden="1"/>
    </xf>
    <xf numFmtId="0" fontId="90" fillId="11" borderId="0" xfId="0" applyFont="1" applyFill="1" applyBorder="1" applyProtection="1">
      <protection hidden="1"/>
    </xf>
    <xf numFmtId="2" fontId="90" fillId="10" borderId="0" xfId="0" applyNumberFormat="1" applyFont="1" applyFill="1" applyProtection="1">
      <protection hidden="1"/>
    </xf>
    <xf numFmtId="4" fontId="41" fillId="5" borderId="0" xfId="11" applyNumberFormat="1" applyFont="1" applyFill="1" applyProtection="1">
      <protection hidden="1"/>
    </xf>
    <xf numFmtId="0" fontId="124" fillId="5" borderId="0" xfId="0" applyFont="1" applyFill="1" applyBorder="1" applyProtection="1">
      <protection hidden="1"/>
    </xf>
    <xf numFmtId="0" fontId="39" fillId="5" borderId="0" xfId="11" applyFont="1" applyFill="1" applyBorder="1" applyProtection="1">
      <protection hidden="1"/>
    </xf>
    <xf numFmtId="0" fontId="41" fillId="5" borderId="0" xfId="11" applyFont="1" applyFill="1" applyBorder="1" applyProtection="1">
      <protection hidden="1"/>
    </xf>
    <xf numFmtId="2" fontId="41" fillId="5" borderId="0" xfId="11" applyNumberFormat="1" applyFont="1" applyFill="1" applyBorder="1" applyProtection="1">
      <protection hidden="1"/>
    </xf>
    <xf numFmtId="169" fontId="41" fillId="5" borderId="0" xfId="11" applyNumberFormat="1" applyFont="1" applyFill="1" applyBorder="1" applyProtection="1">
      <protection hidden="1"/>
    </xf>
    <xf numFmtId="0" fontId="15" fillId="5" borderId="0" xfId="14" applyFont="1" applyFill="1" applyBorder="1" applyProtection="1">
      <protection hidden="1"/>
    </xf>
    <xf numFmtId="172" fontId="124" fillId="5" borderId="0" xfId="0" applyNumberFormat="1" applyFont="1" applyFill="1" applyBorder="1" applyProtection="1">
      <protection hidden="1"/>
    </xf>
    <xf numFmtId="0" fontId="39" fillId="5" borderId="0" xfId="14" applyFont="1" applyFill="1" applyBorder="1" applyProtection="1">
      <protection hidden="1"/>
    </xf>
    <xf numFmtId="0" fontId="80" fillId="5" borderId="0" xfId="14" applyFont="1" applyFill="1" applyBorder="1" applyProtection="1">
      <protection hidden="1"/>
    </xf>
    <xf numFmtId="2" fontId="124" fillId="5" borderId="0" xfId="0" applyNumberFormat="1" applyFont="1" applyFill="1" applyBorder="1" applyProtection="1">
      <protection hidden="1"/>
    </xf>
    <xf numFmtId="0" fontId="65" fillId="5" borderId="0" xfId="0" applyFont="1" applyFill="1" applyProtection="1">
      <protection hidden="1"/>
    </xf>
    <xf numFmtId="172" fontId="65" fillId="5" borderId="0" xfId="0" applyNumberFormat="1" applyFont="1" applyFill="1" applyProtection="1">
      <protection hidden="1"/>
    </xf>
    <xf numFmtId="171" fontId="124" fillId="5" borderId="0" xfId="0" applyNumberFormat="1" applyFont="1" applyFill="1" applyBorder="1" applyProtection="1">
      <protection hidden="1"/>
    </xf>
    <xf numFmtId="2" fontId="58" fillId="5" borderId="0" xfId="6" applyNumberFormat="1" applyFont="1" applyFill="1" applyProtection="1">
      <protection hidden="1"/>
    </xf>
    <xf numFmtId="0" fontId="118" fillId="5" borderId="0" xfId="6" applyFont="1" applyFill="1" applyProtection="1">
      <protection hidden="1"/>
    </xf>
    <xf numFmtId="2" fontId="125" fillId="5" borderId="0" xfId="6" applyNumberFormat="1" applyFont="1" applyFill="1" applyProtection="1">
      <protection hidden="1"/>
    </xf>
    <xf numFmtId="0" fontId="61" fillId="0" borderId="0" xfId="11" applyFont="1" applyProtection="1">
      <protection hidden="1"/>
    </xf>
    <xf numFmtId="2" fontId="100" fillId="5" borderId="0" xfId="11" applyNumberFormat="1" applyFont="1" applyFill="1" applyBorder="1" applyProtection="1">
      <protection hidden="1"/>
    </xf>
    <xf numFmtId="169" fontId="100" fillId="5" borderId="0" xfId="11" applyNumberFormat="1" applyFont="1" applyFill="1" applyBorder="1" applyProtection="1">
      <protection hidden="1"/>
    </xf>
    <xf numFmtId="168" fontId="2" fillId="4" borderId="22" xfId="12" quotePrefix="1" applyNumberFormat="1" applyFont="1" applyFill="1" applyBorder="1" applyAlignment="1" applyProtection="1">
      <alignment horizontal="center"/>
      <protection locked="0"/>
    </xf>
    <xf numFmtId="2" fontId="14" fillId="7" borderId="0" xfId="0" applyNumberFormat="1" applyFont="1" applyFill="1" applyBorder="1" applyAlignment="1" applyProtection="1">
      <protection hidden="1"/>
    </xf>
    <xf numFmtId="0" fontId="14" fillId="10" borderId="0" xfId="0" applyFont="1" applyFill="1" applyAlignment="1" applyProtection="1">
      <alignment horizontal="right"/>
      <protection hidden="1"/>
    </xf>
    <xf numFmtId="0" fontId="126" fillId="10" borderId="0" xfId="0" applyNumberFormat="1" applyFont="1" applyFill="1" applyBorder="1" applyAlignment="1" applyProtection="1">
      <alignment horizontal="center" vertical="center"/>
      <protection hidden="1"/>
    </xf>
    <xf numFmtId="2" fontId="126" fillId="10" borderId="0" xfId="0" applyNumberFormat="1" applyFont="1" applyFill="1" applyBorder="1" applyAlignment="1" applyProtection="1">
      <alignment horizontal="center" vertical="center"/>
      <protection hidden="1"/>
    </xf>
    <xf numFmtId="0" fontId="126" fillId="10" borderId="0" xfId="15" applyNumberFormat="1" applyFont="1" applyFill="1" applyBorder="1" applyAlignment="1" applyProtection="1">
      <alignment horizontal="center" vertical="center"/>
      <protection hidden="1"/>
    </xf>
    <xf numFmtId="0" fontId="126" fillId="10" borderId="0" xfId="1" applyNumberFormat="1" applyFont="1" applyFill="1" applyBorder="1" applyAlignment="1" applyProtection="1">
      <alignment horizontal="center" vertical="center"/>
      <protection locked="0" hidden="1"/>
    </xf>
    <xf numFmtId="0" fontId="126" fillId="11" borderId="0" xfId="0" applyFont="1" applyFill="1" applyBorder="1" applyProtection="1">
      <protection hidden="1"/>
    </xf>
    <xf numFmtId="0" fontId="2" fillId="0" borderId="0" xfId="0" applyFont="1" applyFill="1" applyBorder="1" applyProtection="1">
      <protection hidden="1"/>
    </xf>
    <xf numFmtId="0" fontId="2" fillId="0" borderId="0" xfId="0" applyFont="1" applyFill="1" applyProtection="1">
      <protection hidden="1"/>
    </xf>
    <xf numFmtId="0" fontId="2" fillId="0" borderId="0" xfId="0" applyFont="1" applyFill="1" applyAlignment="1" applyProtection="1">
      <alignment horizontal="right"/>
      <protection hidden="1"/>
    </xf>
    <xf numFmtId="0" fontId="27" fillId="0" borderId="0" xfId="0" applyFont="1" applyFill="1" applyBorder="1" applyProtection="1">
      <protection hidden="1"/>
    </xf>
    <xf numFmtId="0" fontId="116" fillId="7" borderId="0" xfId="0" applyFont="1" applyFill="1" applyBorder="1" applyAlignment="1" applyProtection="1">
      <protection hidden="1"/>
    </xf>
    <xf numFmtId="0" fontId="2" fillId="0" borderId="0" xfId="12" applyFont="1" applyBorder="1" applyAlignment="1">
      <alignment horizontal="left"/>
    </xf>
    <xf numFmtId="0" fontId="14" fillId="12" borderId="30" xfId="0" applyFont="1" applyFill="1" applyBorder="1" applyProtection="1">
      <protection hidden="1"/>
    </xf>
    <xf numFmtId="0" fontId="16" fillId="6" borderId="0" xfId="0" applyFont="1" applyFill="1" applyAlignment="1" applyProtection="1">
      <alignment horizontal="center" vertical="center"/>
      <protection hidden="1"/>
    </xf>
    <xf numFmtId="2" fontId="16" fillId="6" borderId="0" xfId="0" applyNumberFormat="1" applyFont="1" applyFill="1" applyAlignment="1" applyProtection="1">
      <alignment horizontal="center" vertical="center"/>
      <protection hidden="1"/>
    </xf>
    <xf numFmtId="0" fontId="29" fillId="6" borderId="0" xfId="5" applyFont="1" applyFill="1" applyBorder="1" applyAlignment="1" applyProtection="1">
      <alignment horizontal="center" vertical="center"/>
      <protection hidden="1"/>
    </xf>
    <xf numFmtId="176" fontId="16" fillId="6" borderId="0" xfId="0" applyNumberFormat="1" applyFont="1" applyFill="1" applyBorder="1" applyAlignment="1" applyProtection="1">
      <alignment horizontal="center" vertical="center"/>
      <protection hidden="1"/>
    </xf>
    <xf numFmtId="2" fontId="16" fillId="15" borderId="0" xfId="0" applyNumberFormat="1" applyFont="1" applyFill="1" applyAlignment="1" applyProtection="1">
      <alignment horizontal="center" vertical="center"/>
      <protection hidden="1"/>
    </xf>
    <xf numFmtId="176" fontId="16" fillId="6" borderId="0" xfId="0" applyNumberFormat="1" applyFont="1" applyFill="1" applyBorder="1" applyAlignment="1" applyProtection="1">
      <alignment horizontal="center" vertical="center" wrapText="1"/>
      <protection hidden="1"/>
    </xf>
    <xf numFmtId="2" fontId="126" fillId="10" borderId="0" xfId="0" applyNumberFormat="1" applyFont="1" applyFill="1" applyAlignment="1" applyProtection="1">
      <alignment horizontal="center" vertical="center"/>
      <protection hidden="1"/>
    </xf>
    <xf numFmtId="2" fontId="27" fillId="0" borderId="0" xfId="0" applyNumberFormat="1" applyFont="1" applyFill="1" applyAlignment="1" applyProtection="1">
      <alignment horizontal="center" vertical="center"/>
      <protection hidden="1"/>
    </xf>
    <xf numFmtId="176" fontId="16" fillId="6" borderId="0" xfId="0" applyNumberFormat="1" applyFont="1" applyFill="1" applyAlignment="1" applyProtection="1">
      <alignment horizontal="center" vertical="center"/>
      <protection hidden="1"/>
    </xf>
    <xf numFmtId="1" fontId="16" fillId="6" borderId="0" xfId="0" applyNumberFormat="1" applyFont="1" applyFill="1" applyAlignment="1" applyProtection="1">
      <alignment horizontal="center" vertical="center"/>
      <protection hidden="1"/>
    </xf>
    <xf numFmtId="169" fontId="16" fillId="6" borderId="0" xfId="0" applyNumberFormat="1" applyFont="1" applyFill="1" applyAlignment="1" applyProtection="1">
      <alignment horizontal="center" vertical="center"/>
      <protection hidden="1"/>
    </xf>
    <xf numFmtId="0" fontId="16" fillId="10" borderId="0" xfId="0" applyFont="1" applyFill="1" applyAlignment="1" applyProtection="1">
      <alignment horizontal="center" vertical="center"/>
      <protection hidden="1"/>
    </xf>
    <xf numFmtId="171" fontId="16" fillId="6" borderId="0" xfId="0" applyNumberFormat="1" applyFont="1" applyFill="1" applyAlignment="1" applyProtection="1">
      <alignment horizontal="center" vertical="center"/>
      <protection hidden="1"/>
    </xf>
    <xf numFmtId="0" fontId="16" fillId="6" borderId="0" xfId="0" applyNumberFormat="1" applyFont="1" applyFill="1" applyAlignment="1" applyProtection="1">
      <alignment horizontal="center" vertical="center"/>
      <protection hidden="1"/>
    </xf>
    <xf numFmtId="0" fontId="16" fillId="6" borderId="0" xfId="0" applyFont="1" applyFill="1" applyBorder="1" applyAlignment="1" applyProtection="1">
      <alignment horizontal="center" vertical="center"/>
      <protection hidden="1"/>
    </xf>
    <xf numFmtId="171" fontId="16" fillId="6" borderId="0" xfId="0" applyNumberFormat="1" applyFont="1" applyFill="1" applyBorder="1" applyAlignment="1" applyProtection="1">
      <alignment horizontal="center" vertical="center"/>
      <protection hidden="1"/>
    </xf>
    <xf numFmtId="1" fontId="16" fillId="6" borderId="0" xfId="0" applyNumberFormat="1" applyFont="1" applyFill="1" applyBorder="1" applyAlignment="1" applyProtection="1">
      <alignment horizontal="center" vertical="center"/>
      <protection hidden="1"/>
    </xf>
    <xf numFmtId="0" fontId="16" fillId="10" borderId="0" xfId="0" applyNumberFormat="1" applyFont="1" applyFill="1" applyAlignment="1" applyProtection="1">
      <alignment horizontal="center" vertical="center"/>
      <protection hidden="1"/>
    </xf>
    <xf numFmtId="176" fontId="16" fillId="15" borderId="0" xfId="0" applyNumberFormat="1" applyFont="1" applyFill="1" applyBorder="1" applyAlignment="1" applyProtection="1">
      <alignment horizontal="center" vertical="center"/>
      <protection hidden="1"/>
    </xf>
    <xf numFmtId="0" fontId="16" fillId="15" borderId="0" xfId="0" applyNumberFormat="1" applyFont="1" applyFill="1" applyAlignment="1" applyProtection="1">
      <alignment horizontal="center" vertical="center"/>
      <protection hidden="1"/>
    </xf>
    <xf numFmtId="0" fontId="16" fillId="15" borderId="0" xfId="0" applyFont="1" applyFill="1" applyAlignment="1" applyProtection="1">
      <alignment horizontal="center" vertical="center"/>
      <protection hidden="1"/>
    </xf>
    <xf numFmtId="0" fontId="126" fillId="10" borderId="0" xfId="0" applyFont="1" applyFill="1" applyAlignment="1" applyProtection="1">
      <alignment horizontal="center" vertical="center"/>
      <protection hidden="1"/>
    </xf>
    <xf numFmtId="0" fontId="67" fillId="10" borderId="0" xfId="0" applyFont="1" applyFill="1" applyAlignment="1" applyProtection="1">
      <alignment horizontal="center" vertical="center"/>
      <protection hidden="1"/>
    </xf>
    <xf numFmtId="176" fontId="126" fillId="10" borderId="0" xfId="0" applyNumberFormat="1" applyFont="1" applyFill="1" applyAlignment="1" applyProtection="1">
      <alignment horizontal="center" vertical="center"/>
      <protection hidden="1"/>
    </xf>
    <xf numFmtId="2" fontId="126" fillId="10" borderId="0" xfId="5" applyNumberFormat="1" applyFont="1" applyFill="1" applyBorder="1" applyAlignment="1" applyProtection="1">
      <alignment horizontal="center" vertical="center"/>
      <protection locked="0" hidden="1"/>
    </xf>
    <xf numFmtId="0" fontId="126" fillId="10" borderId="0" xfId="0" applyNumberFormat="1" applyFont="1" applyFill="1" applyAlignment="1" applyProtection="1">
      <alignment horizontal="center" vertical="center"/>
      <protection hidden="1"/>
    </xf>
    <xf numFmtId="2" fontId="129" fillId="10" borderId="0" xfId="5" applyNumberFormat="1" applyFont="1" applyFill="1" applyBorder="1" applyAlignment="1" applyProtection="1">
      <alignment horizontal="center" vertical="center"/>
      <protection locked="0" hidden="1"/>
    </xf>
    <xf numFmtId="0" fontId="27" fillId="0" borderId="0" xfId="0" applyFont="1" applyFill="1" applyAlignment="1" applyProtection="1">
      <alignment horizontal="center" vertical="center"/>
      <protection hidden="1"/>
    </xf>
    <xf numFmtId="176" fontId="7" fillId="0" borderId="0" xfId="0" applyNumberFormat="1" applyFont="1" applyFill="1" applyBorder="1" applyAlignment="1" applyProtection="1">
      <alignment horizontal="center" vertical="center"/>
      <protection hidden="1"/>
    </xf>
    <xf numFmtId="0" fontId="16" fillId="5" borderId="0" xfId="0" applyFont="1" applyFill="1" applyAlignment="1" applyProtection="1">
      <alignment horizontal="center" vertical="center"/>
      <protection hidden="1"/>
    </xf>
    <xf numFmtId="176" fontId="27" fillId="0" borderId="0" xfId="0" applyNumberFormat="1" applyFont="1" applyFill="1" applyAlignment="1" applyProtection="1">
      <alignment horizontal="center" vertical="center"/>
      <protection hidden="1"/>
    </xf>
    <xf numFmtId="0" fontId="82" fillId="28" borderId="0" xfId="0" applyFont="1" applyFill="1" applyProtection="1">
      <protection hidden="1"/>
    </xf>
    <xf numFmtId="0" fontId="67" fillId="28" borderId="0" xfId="0" applyFont="1" applyFill="1" applyProtection="1">
      <protection hidden="1"/>
    </xf>
    <xf numFmtId="0" fontId="82" fillId="28" borderId="0" xfId="0" applyNumberFormat="1" applyFont="1" applyFill="1" applyProtection="1">
      <protection hidden="1"/>
    </xf>
    <xf numFmtId="0" fontId="90" fillId="28" borderId="0" xfId="0" applyFont="1" applyFill="1" applyProtection="1">
      <protection hidden="1"/>
    </xf>
    <xf numFmtId="0" fontId="2" fillId="28" borderId="0" xfId="0" applyFont="1" applyFill="1" applyProtection="1">
      <protection hidden="1"/>
    </xf>
    <xf numFmtId="171" fontId="2" fillId="0" borderId="0" xfId="12" applyNumberFormat="1" applyFont="1" applyBorder="1"/>
    <xf numFmtId="167" fontId="2" fillId="0" borderId="0" xfId="12" applyNumberFormat="1" applyFont="1" applyFill="1" applyBorder="1"/>
    <xf numFmtId="0" fontId="130" fillId="5" borderId="11" xfId="0" applyFont="1" applyFill="1" applyBorder="1" applyProtection="1">
      <protection locked="0" hidden="1"/>
    </xf>
    <xf numFmtId="0" fontId="86" fillId="6" borderId="12" xfId="0" applyFont="1" applyFill="1" applyBorder="1" applyAlignment="1" applyProtection="1">
      <alignment horizontal="center" wrapText="1"/>
      <protection hidden="1"/>
    </xf>
    <xf numFmtId="0" fontId="2" fillId="6" borderId="0" xfId="0" applyFont="1" applyFill="1" applyBorder="1" applyAlignment="1" applyProtection="1">
      <alignment horizontal="center"/>
      <protection hidden="1"/>
    </xf>
    <xf numFmtId="0" fontId="2" fillId="6" borderId="0" xfId="0" applyNumberFormat="1" applyFont="1" applyFill="1" applyBorder="1" applyAlignment="1" applyProtection="1">
      <alignment horizontal="center"/>
      <protection hidden="1"/>
    </xf>
    <xf numFmtId="0" fontId="16" fillId="7" borderId="0" xfId="5" applyFont="1" applyFill="1" applyBorder="1" applyAlignment="1" applyProtection="1">
      <alignment horizontal="center" vertical="center"/>
      <protection hidden="1"/>
    </xf>
    <xf numFmtId="0" fontId="16" fillId="6" borderId="0" xfId="1" applyNumberFormat="1" applyFont="1" applyFill="1" applyBorder="1" applyAlignment="1" applyProtection="1">
      <alignment horizontal="center" vertical="center"/>
      <protection hidden="1"/>
    </xf>
    <xf numFmtId="0" fontId="16" fillId="6" borderId="35" xfId="0" applyFont="1" applyFill="1" applyBorder="1" applyAlignment="1" applyProtection="1">
      <alignment horizontal="center" vertical="center"/>
      <protection hidden="1"/>
    </xf>
    <xf numFmtId="0" fontId="16" fillId="23" borderId="0" xfId="5" applyFont="1" applyFill="1" applyBorder="1" applyAlignment="1" applyProtection="1">
      <alignment horizontal="center" vertical="center"/>
      <protection hidden="1"/>
    </xf>
    <xf numFmtId="0" fontId="16" fillId="15" borderId="0" xfId="1" applyNumberFormat="1" applyFont="1" applyFill="1" applyBorder="1" applyAlignment="1" applyProtection="1">
      <alignment horizontal="center" vertical="center"/>
      <protection hidden="1"/>
    </xf>
    <xf numFmtId="0" fontId="16" fillId="6" borderId="0" xfId="15" applyFont="1" applyFill="1" applyBorder="1" applyAlignment="1" applyProtection="1">
      <alignment horizontal="center" vertical="center"/>
      <protection hidden="1"/>
    </xf>
    <xf numFmtId="0" fontId="16" fillId="6" borderId="0" xfId="5" applyFont="1" applyFill="1" applyBorder="1" applyAlignment="1" applyProtection="1">
      <alignment horizontal="center" vertical="center"/>
      <protection hidden="1"/>
    </xf>
    <xf numFmtId="0" fontId="27" fillId="28" borderId="0" xfId="0" applyFont="1" applyFill="1" applyAlignment="1" applyProtection="1">
      <alignment horizontal="center" vertical="center"/>
      <protection hidden="1"/>
    </xf>
    <xf numFmtId="0" fontId="131" fillId="7" borderId="0" xfId="0" applyFont="1" applyFill="1" applyBorder="1" applyProtection="1">
      <protection hidden="1"/>
    </xf>
    <xf numFmtId="0" fontId="132" fillId="7" borderId="0" xfId="0" applyFont="1" applyFill="1" applyBorder="1" applyProtection="1">
      <protection hidden="1"/>
    </xf>
    <xf numFmtId="0" fontId="131" fillId="7" borderId="0" xfId="0" applyNumberFormat="1" applyFont="1" applyFill="1" applyBorder="1" applyProtection="1">
      <protection hidden="1"/>
    </xf>
    <xf numFmtId="0" fontId="131" fillId="6" borderId="0" xfId="0" applyFont="1" applyFill="1" applyBorder="1" applyProtection="1">
      <protection hidden="1"/>
    </xf>
    <xf numFmtId="0" fontId="131" fillId="6" borderId="0" xfId="0" applyFont="1" applyFill="1" applyProtection="1">
      <protection hidden="1"/>
    </xf>
    <xf numFmtId="0" fontId="131" fillId="5" borderId="0" xfId="0" applyFont="1" applyFill="1" applyProtection="1">
      <protection hidden="1"/>
    </xf>
    <xf numFmtId="0" fontId="131" fillId="5" borderId="0" xfId="0" applyNumberFormat="1" applyFont="1" applyFill="1" applyProtection="1">
      <protection hidden="1"/>
    </xf>
    <xf numFmtId="0" fontId="131" fillId="5" borderId="0" xfId="0" applyFont="1" applyFill="1" applyAlignment="1" applyProtection="1">
      <alignment horizontal="right"/>
      <protection hidden="1"/>
    </xf>
    <xf numFmtId="0" fontId="131" fillId="8" borderId="0" xfId="0" applyFont="1" applyFill="1" applyBorder="1" applyProtection="1">
      <protection hidden="1"/>
    </xf>
    <xf numFmtId="0" fontId="133" fillId="18" borderId="0" xfId="15" applyFont="1" applyFill="1" applyBorder="1" applyAlignment="1" applyProtection="1">
      <alignment horizontal="left"/>
      <protection hidden="1"/>
    </xf>
    <xf numFmtId="0" fontId="133" fillId="18" borderId="0" xfId="0" applyFont="1" applyFill="1" applyProtection="1">
      <protection hidden="1"/>
    </xf>
    <xf numFmtId="0" fontId="133" fillId="18" borderId="0" xfId="1" applyNumberFormat="1" applyFont="1" applyFill="1" applyBorder="1" applyAlignment="1" applyProtection="1">
      <alignment horizontal="center" vertical="center"/>
      <protection hidden="1"/>
    </xf>
    <xf numFmtId="0" fontId="133" fillId="18" borderId="0" xfId="1" applyNumberFormat="1" applyFont="1" applyFill="1" applyBorder="1" applyAlignment="1" applyProtection="1">
      <alignment horizontal="right" vertical="center"/>
      <protection hidden="1"/>
    </xf>
    <xf numFmtId="0" fontId="133" fillId="18" borderId="0" xfId="15" applyFont="1" applyFill="1" applyBorder="1" applyAlignment="1" applyProtection="1">
      <alignment horizontal="right" vertical="center"/>
      <protection hidden="1"/>
    </xf>
    <xf numFmtId="0" fontId="133" fillId="18" borderId="0" xfId="15" applyFont="1" applyFill="1" applyBorder="1" applyAlignment="1" applyProtection="1">
      <alignment horizontal="left" vertical="center"/>
      <protection hidden="1"/>
    </xf>
    <xf numFmtId="0" fontId="133" fillId="18" borderId="0" xfId="0" applyFont="1" applyFill="1" applyBorder="1" applyAlignment="1" applyProtection="1">
      <alignment vertical="center"/>
      <protection hidden="1"/>
    </xf>
    <xf numFmtId="0" fontId="133" fillId="18" borderId="0" xfId="0" applyFont="1" applyFill="1" applyBorder="1" applyAlignment="1" applyProtection="1">
      <protection hidden="1"/>
    </xf>
    <xf numFmtId="0" fontId="130" fillId="8" borderId="0" xfId="0" applyFont="1" applyFill="1" applyBorder="1" applyProtection="1">
      <protection hidden="1"/>
    </xf>
    <xf numFmtId="0" fontId="117" fillId="29" borderId="0" xfId="0" applyFont="1" applyFill="1" applyProtection="1">
      <protection hidden="1"/>
    </xf>
    <xf numFmtId="0" fontId="0" fillId="0" borderId="0" xfId="0" applyAlignment="1">
      <alignment vertical="center"/>
    </xf>
    <xf numFmtId="167" fontId="2" fillId="0" borderId="0" xfId="12" applyNumberFormat="1" applyFont="1" applyBorder="1"/>
    <xf numFmtId="0" fontId="132" fillId="6" borderId="0" xfId="0" applyFont="1" applyFill="1" applyBorder="1" applyAlignment="1" applyProtection="1">
      <alignment horizontal="center" vertical="center"/>
      <protection hidden="1"/>
    </xf>
    <xf numFmtId="1" fontId="132" fillId="6" borderId="0" xfId="0" applyNumberFormat="1" applyFont="1" applyFill="1" applyBorder="1" applyAlignment="1" applyProtection="1">
      <alignment horizontal="center" vertical="center"/>
      <protection hidden="1"/>
    </xf>
    <xf numFmtId="0" fontId="132" fillId="6" borderId="0" xfId="0" applyNumberFormat="1" applyFont="1" applyFill="1" applyBorder="1" applyAlignment="1" applyProtection="1">
      <alignment horizontal="center" vertical="center"/>
      <protection hidden="1"/>
    </xf>
    <xf numFmtId="0" fontId="132" fillId="5" borderId="0" xfId="0" applyFont="1" applyFill="1" applyBorder="1" applyAlignment="1" applyProtection="1">
      <alignment horizontal="center" vertical="center"/>
      <protection hidden="1"/>
    </xf>
    <xf numFmtId="0" fontId="132" fillId="5" borderId="0" xfId="0" applyFont="1" applyFill="1" applyBorder="1" applyAlignment="1" applyProtection="1">
      <alignment horizontal="center" vertical="center" wrapText="1"/>
      <protection hidden="1"/>
    </xf>
    <xf numFmtId="0" fontId="132" fillId="10" borderId="0" xfId="0" applyFont="1" applyFill="1" applyBorder="1" applyAlignment="1" applyProtection="1">
      <alignment horizontal="center" vertical="center"/>
      <protection hidden="1"/>
    </xf>
    <xf numFmtId="0" fontId="132" fillId="0" borderId="0" xfId="0" applyFont="1" applyFill="1" applyBorder="1" applyAlignment="1" applyProtection="1">
      <alignment horizontal="center" vertical="center"/>
      <protection hidden="1"/>
    </xf>
    <xf numFmtId="0" fontId="98" fillId="6" borderId="0" xfId="0" applyFont="1" applyFill="1" applyBorder="1" applyProtection="1">
      <protection locked="0" hidden="1"/>
    </xf>
    <xf numFmtId="0" fontId="7" fillId="6" borderId="6" xfId="15" applyFont="1" applyFill="1" applyBorder="1" applyAlignment="1" applyProtection="1">
      <alignment horizontal="left" vertical="center"/>
      <protection hidden="1"/>
    </xf>
    <xf numFmtId="0" fontId="7" fillId="6" borderId="0" xfId="15" applyFont="1" applyFill="1" applyBorder="1" applyAlignment="1" applyProtection="1">
      <alignment horizontal="left" vertical="center"/>
      <protection hidden="1"/>
    </xf>
    <xf numFmtId="0" fontId="7" fillId="6" borderId="8" xfId="15" applyFont="1" applyFill="1" applyBorder="1" applyAlignment="1" applyProtection="1">
      <alignment horizontal="left" vertical="center"/>
      <protection hidden="1"/>
    </xf>
    <xf numFmtId="0" fontId="7" fillId="6" borderId="7" xfId="15" applyFont="1" applyFill="1" applyBorder="1" applyAlignment="1" applyProtection="1">
      <alignment horizontal="left" vertical="center"/>
      <protection hidden="1"/>
    </xf>
    <xf numFmtId="0" fontId="0" fillId="0" borderId="0" xfId="0" applyAlignment="1">
      <alignment wrapText="1"/>
    </xf>
    <xf numFmtId="0" fontId="0" fillId="29" borderId="11" xfId="0" applyFill="1" applyBorder="1" applyAlignment="1">
      <alignment wrapText="1"/>
    </xf>
    <xf numFmtId="0" fontId="8" fillId="29" borderId="12" xfId="0" applyFont="1" applyFill="1" applyBorder="1" applyAlignment="1">
      <alignment wrapText="1"/>
    </xf>
    <xf numFmtId="0" fontId="0" fillId="29" borderId="12" xfId="0" applyFill="1" applyBorder="1" applyAlignment="1">
      <alignment wrapText="1"/>
    </xf>
    <xf numFmtId="0" fontId="136" fillId="29" borderId="12" xfId="23" applyFill="1" applyBorder="1" applyAlignment="1">
      <alignment wrapText="1"/>
    </xf>
    <xf numFmtId="0" fontId="0" fillId="29" borderId="13" xfId="0" applyFill="1" applyBorder="1" applyAlignment="1">
      <alignment wrapText="1"/>
    </xf>
    <xf numFmtId="0" fontId="16" fillId="5" borderId="0" xfId="0" applyFont="1" applyFill="1" applyAlignment="1" applyProtection="1">
      <alignment horizontal="left" vertical="top" wrapText="1"/>
      <protection hidden="1"/>
    </xf>
    <xf numFmtId="0" fontId="11" fillId="8" borderId="16" xfId="0" applyFont="1" applyFill="1" applyBorder="1" applyAlignment="1" applyProtection="1">
      <alignment horizontal="center" vertical="center"/>
      <protection hidden="1"/>
    </xf>
    <xf numFmtId="0" fontId="0" fillId="0" borderId="0" xfId="0" applyBorder="1" applyAlignment="1" applyProtection="1">
      <alignment horizontal="center"/>
      <protection hidden="1"/>
    </xf>
    <xf numFmtId="0" fontId="0" fillId="0" borderId="30" xfId="0" applyBorder="1" applyAlignment="1" applyProtection="1">
      <alignment horizontal="center"/>
      <protection hidden="1"/>
    </xf>
    <xf numFmtId="0" fontId="11" fillId="8" borderId="39" xfId="0" applyFont="1" applyFill="1" applyBorder="1" applyAlignment="1" applyProtection="1">
      <alignment horizontal="left" vertical="center"/>
      <protection hidden="1"/>
    </xf>
    <xf numFmtId="0" fontId="0" fillId="0" borderId="7" xfId="0" applyBorder="1" applyAlignment="1" applyProtection="1">
      <alignment horizontal="left"/>
      <protection hidden="1"/>
    </xf>
    <xf numFmtId="0" fontId="0" fillId="0" borderId="41" xfId="0" applyBorder="1" applyAlignment="1" applyProtection="1">
      <alignment horizontal="left"/>
      <protection hidden="1"/>
    </xf>
    <xf numFmtId="15" fontId="2" fillId="6" borderId="0" xfId="0" applyNumberFormat="1" applyFont="1" applyFill="1" applyAlignment="1" applyProtection="1">
      <protection hidden="1"/>
    </xf>
    <xf numFmtId="0" fontId="2" fillId="0" borderId="0" xfId="0" applyFont="1" applyAlignment="1"/>
    <xf numFmtId="0" fontId="7" fillId="6" borderId="0" xfId="0" applyFont="1" applyFill="1" applyBorder="1" applyAlignment="1" applyProtection="1">
      <protection hidden="1"/>
    </xf>
    <xf numFmtId="0" fontId="7" fillId="5" borderId="14" xfId="0" applyFont="1" applyFill="1" applyBorder="1" applyAlignment="1" applyProtection="1">
      <alignment horizontal="center" vertical="center"/>
      <protection locked="0" hidden="1"/>
    </xf>
    <xf numFmtId="2" fontId="16" fillId="5" borderId="0" xfId="0" applyNumberFormat="1" applyFont="1" applyFill="1" applyAlignment="1" applyProtection="1">
      <alignment horizontal="left" vertical="top" wrapText="1"/>
      <protection hidden="1"/>
    </xf>
    <xf numFmtId="0" fontId="11" fillId="8" borderId="0" xfId="15" applyFont="1" applyFill="1" applyBorder="1" applyAlignment="1" applyProtection="1">
      <alignment vertical="center"/>
      <protection locked="0" hidden="1"/>
    </xf>
    <xf numFmtId="0" fontId="7" fillId="5" borderId="14" xfId="0" applyFont="1" applyFill="1" applyBorder="1" applyAlignment="1" applyProtection="1">
      <alignment vertical="center"/>
      <protection locked="0" hidden="1"/>
    </xf>
    <xf numFmtId="0" fontId="10" fillId="5" borderId="6" xfId="0" applyFont="1" applyFill="1" applyBorder="1" applyAlignment="1" applyProtection="1">
      <protection locked="0" hidden="1"/>
    </xf>
    <xf numFmtId="0" fontId="10" fillId="5" borderId="0" xfId="0" applyFont="1" applyFill="1" applyBorder="1" applyAlignment="1" applyProtection="1">
      <protection locked="0" hidden="1"/>
    </xf>
    <xf numFmtId="0" fontId="7" fillId="5" borderId="0" xfId="0" applyFont="1" applyFill="1" applyBorder="1" applyAlignment="1" applyProtection="1">
      <alignment vertical="center"/>
      <protection hidden="1"/>
    </xf>
    <xf numFmtId="0" fontId="11" fillId="7" borderId="0" xfId="15" applyFont="1" applyFill="1" applyBorder="1" applyAlignment="1" applyProtection="1">
      <alignment horizontal="left" vertical="center"/>
      <protection locked="0" hidden="1"/>
    </xf>
    <xf numFmtId="0" fontId="11" fillId="10" borderId="0" xfId="7" applyFont="1" applyFill="1" applyBorder="1" applyAlignment="1" applyProtection="1">
      <protection locked="0" hidden="1"/>
    </xf>
    <xf numFmtId="0" fontId="78" fillId="0" borderId="12" xfId="0" applyFont="1" applyBorder="1" applyAlignment="1" applyProtection="1">
      <protection locked="0"/>
    </xf>
    <xf numFmtId="0" fontId="117" fillId="10" borderId="0" xfId="0" applyFont="1" applyFill="1" applyAlignment="1" applyProtection="1">
      <alignment horizontal="center"/>
      <protection hidden="1"/>
    </xf>
    <xf numFmtId="2" fontId="24" fillId="6" borderId="0" xfId="7" applyNumberFormat="1" applyFont="1" applyFill="1" applyBorder="1" applyAlignment="1" applyProtection="1">
      <alignment horizontal="right"/>
      <protection hidden="1"/>
    </xf>
    <xf numFmtId="2" fontId="0" fillId="6" borderId="0" xfId="0" applyNumberFormat="1" applyFill="1" applyBorder="1" applyAlignment="1" applyProtection="1">
      <alignment horizontal="right"/>
      <protection hidden="1"/>
    </xf>
    <xf numFmtId="0" fontId="133" fillId="5" borderId="42" xfId="0" applyFont="1" applyFill="1" applyBorder="1" applyAlignment="1" applyProtection="1">
      <alignment horizontal="center" vertical="center"/>
      <protection locked="0" hidden="1"/>
    </xf>
    <xf numFmtId="0" fontId="133" fillId="5" borderId="43" xfId="0" applyFont="1" applyFill="1" applyBorder="1" applyAlignment="1" applyProtection="1">
      <alignment horizontal="center" vertical="center"/>
      <protection locked="0" hidden="1"/>
    </xf>
    <xf numFmtId="2" fontId="24" fillId="6" borderId="9" xfId="7" applyNumberFormat="1" applyFont="1" applyFill="1" applyBorder="1" applyAlignment="1" applyProtection="1">
      <alignment horizontal="right"/>
      <protection hidden="1"/>
    </xf>
    <xf numFmtId="2" fontId="0" fillId="6" borderId="9" xfId="0" applyNumberFormat="1" applyFill="1" applyBorder="1" applyAlignment="1" applyProtection="1">
      <alignment horizontal="right"/>
      <protection hidden="1"/>
    </xf>
    <xf numFmtId="0" fontId="7" fillId="5" borderId="44" xfId="0" applyFont="1" applyFill="1" applyBorder="1" applyAlignment="1" applyProtection="1">
      <alignment horizontal="center" vertical="center"/>
      <protection locked="0" hidden="1"/>
    </xf>
    <xf numFmtId="0" fontId="7" fillId="5" borderId="35" xfId="0" applyFont="1" applyFill="1" applyBorder="1" applyAlignment="1" applyProtection="1">
      <alignment horizontal="center" vertical="center"/>
      <protection locked="0" hidden="1"/>
    </xf>
    <xf numFmtId="0" fontId="7" fillId="8" borderId="0" xfId="15" applyFont="1" applyFill="1" applyBorder="1" applyAlignment="1" applyProtection="1">
      <alignment horizontal="left" vertical="center"/>
      <protection hidden="1"/>
    </xf>
    <xf numFmtId="0" fontId="0" fillId="0" borderId="35" xfId="0" applyBorder="1" applyAlignment="1" applyProtection="1">
      <alignment horizontal="center" vertical="center"/>
      <protection locked="0" hidden="1"/>
    </xf>
    <xf numFmtId="169" fontId="7" fillId="7" borderId="7" xfId="0" applyNumberFormat="1" applyFont="1" applyFill="1" applyBorder="1" applyAlignment="1" applyProtection="1">
      <alignment horizontal="right" vertical="center"/>
      <protection hidden="1"/>
    </xf>
    <xf numFmtId="0" fontId="10" fillId="10" borderId="0" xfId="16" applyFont="1" applyFill="1" applyBorder="1" applyAlignment="1" applyProtection="1">
      <alignment horizontal="left"/>
      <protection hidden="1"/>
    </xf>
    <xf numFmtId="0" fontId="10" fillId="7" borderId="0" xfId="1" applyNumberFormat="1" applyFont="1" applyFill="1" applyBorder="1" applyAlignment="1" applyProtection="1">
      <alignment horizontal="right" vertical="center"/>
      <protection locked="0" hidden="1"/>
    </xf>
    <xf numFmtId="169" fontId="7" fillId="6" borderId="0" xfId="0" applyNumberFormat="1" applyFont="1" applyFill="1" applyBorder="1" applyAlignment="1" applyProtection="1">
      <alignment vertical="center"/>
      <protection hidden="1"/>
    </xf>
    <xf numFmtId="169" fontId="0" fillId="6" borderId="0" xfId="0" applyNumberFormat="1" applyFill="1" applyBorder="1" applyAlignment="1" applyProtection="1">
      <alignment vertical="center"/>
      <protection hidden="1"/>
    </xf>
    <xf numFmtId="0" fontId="7" fillId="6" borderId="7" xfId="0" applyFont="1" applyFill="1" applyBorder="1" applyAlignment="1" applyProtection="1">
      <protection hidden="1"/>
    </xf>
    <xf numFmtId="0" fontId="7" fillId="6" borderId="0" xfId="0" applyFont="1" applyFill="1" applyBorder="1" applyAlignment="1" applyProtection="1">
      <alignment vertical="center"/>
      <protection hidden="1"/>
    </xf>
    <xf numFmtId="0" fontId="0" fillId="6" borderId="0" xfId="0" applyFill="1" applyBorder="1" applyAlignment="1" applyProtection="1">
      <protection hidden="1"/>
    </xf>
    <xf numFmtId="2" fontId="24" fillId="5" borderId="9" xfId="7" applyNumberFormat="1" applyFont="1" applyFill="1" applyBorder="1" applyAlignment="1" applyProtection="1">
      <alignment horizontal="right"/>
      <protection hidden="1"/>
    </xf>
    <xf numFmtId="2" fontId="0" fillId="5" borderId="9" xfId="0" applyNumberFormat="1" applyFill="1" applyBorder="1" applyAlignment="1" applyProtection="1">
      <alignment horizontal="right"/>
      <protection hidden="1"/>
    </xf>
    <xf numFmtId="2" fontId="24" fillId="5" borderId="0" xfId="7" applyNumberFormat="1" applyFont="1" applyFill="1" applyBorder="1" applyAlignment="1" applyProtection="1">
      <alignment horizontal="right"/>
      <protection hidden="1"/>
    </xf>
    <xf numFmtId="2" fontId="0" fillId="5" borderId="0" xfId="0" applyNumberFormat="1" applyFill="1" applyBorder="1" applyAlignment="1" applyProtection="1">
      <alignment horizontal="right"/>
      <protection hidden="1"/>
    </xf>
    <xf numFmtId="0" fontId="7" fillId="8" borderId="16" xfId="15" applyFont="1" applyFill="1" applyBorder="1" applyAlignment="1" applyProtection="1">
      <alignment horizontal="left" vertical="center"/>
      <protection hidden="1"/>
    </xf>
    <xf numFmtId="0" fontId="11" fillId="8" borderId="0" xfId="15" applyFont="1" applyFill="1" applyBorder="1" applyAlignment="1" applyProtection="1">
      <alignment horizontal="left" vertical="center"/>
      <protection locked="0" hidden="1"/>
    </xf>
    <xf numFmtId="0" fontId="7" fillId="7" borderId="6" xfId="15" applyFont="1" applyFill="1" applyBorder="1" applyAlignment="1" applyProtection="1">
      <alignment horizontal="left" vertical="center"/>
      <protection hidden="1"/>
    </xf>
    <xf numFmtId="0" fontId="7" fillId="7" borderId="0" xfId="15" applyFont="1" applyFill="1" applyBorder="1" applyAlignment="1" applyProtection="1">
      <alignment horizontal="left" vertical="center"/>
      <protection hidden="1"/>
    </xf>
    <xf numFmtId="2" fontId="24" fillId="10" borderId="0" xfId="7" applyNumberFormat="1" applyFont="1" applyFill="1" applyBorder="1" applyAlignment="1" applyProtection="1">
      <alignment horizontal="right"/>
      <protection hidden="1"/>
    </xf>
    <xf numFmtId="2" fontId="0" fillId="10" borderId="0" xfId="0" applyNumberFormat="1" applyFill="1" applyBorder="1" applyAlignment="1" applyProtection="1">
      <alignment horizontal="right"/>
      <protection hidden="1"/>
    </xf>
    <xf numFmtId="2" fontId="24" fillId="6" borderId="0" xfId="16" applyNumberFormat="1" applyFont="1" applyFill="1" applyBorder="1" applyAlignment="1" applyProtection="1">
      <alignment horizontal="right"/>
      <protection hidden="1"/>
    </xf>
    <xf numFmtId="2" fontId="7" fillId="6" borderId="0" xfId="0" applyNumberFormat="1" applyFont="1" applyFill="1" applyBorder="1" applyAlignment="1" applyProtection="1">
      <alignment horizontal="right"/>
      <protection hidden="1"/>
    </xf>
    <xf numFmtId="2" fontId="24" fillId="10" borderId="7" xfId="7" applyNumberFormat="1" applyFont="1" applyFill="1" applyBorder="1" applyAlignment="1" applyProtection="1">
      <alignment horizontal="right"/>
      <protection hidden="1"/>
    </xf>
    <xf numFmtId="2" fontId="0" fillId="10" borderId="7" xfId="0" applyNumberFormat="1" applyFill="1" applyBorder="1" applyAlignment="1" applyProtection="1">
      <alignment horizontal="right"/>
      <protection hidden="1"/>
    </xf>
    <xf numFmtId="0" fontId="10" fillId="8" borderId="0" xfId="1" applyNumberFormat="1" applyFont="1" applyFill="1" applyBorder="1" applyAlignment="1" applyProtection="1">
      <alignment horizontal="right" vertical="center"/>
      <protection locked="0" hidden="1"/>
    </xf>
    <xf numFmtId="0" fontId="7" fillId="6" borderId="50" xfId="0" applyFont="1" applyFill="1" applyBorder="1" applyAlignment="1" applyProtection="1">
      <alignment horizontal="center" vertical="center" textRotation="90" shrinkToFit="1"/>
      <protection hidden="1"/>
    </xf>
    <xf numFmtId="0" fontId="76" fillId="6" borderId="37" xfId="0" applyFont="1" applyFill="1" applyBorder="1" applyAlignment="1" applyProtection="1">
      <alignment horizontal="center" vertical="center" textRotation="90"/>
      <protection hidden="1"/>
    </xf>
    <xf numFmtId="0" fontId="76" fillId="6" borderId="16" xfId="0" applyFont="1" applyFill="1" applyBorder="1" applyAlignment="1" applyProtection="1">
      <alignment horizontal="center" vertical="center" textRotation="90"/>
      <protection hidden="1"/>
    </xf>
    <xf numFmtId="0" fontId="27" fillId="8" borderId="0" xfId="1" applyNumberFormat="1" applyFont="1" applyFill="1" applyBorder="1" applyAlignment="1" applyProtection="1">
      <alignment horizontal="center" vertical="center"/>
      <protection hidden="1"/>
    </xf>
    <xf numFmtId="0" fontId="10" fillId="8" borderId="0" xfId="1" applyNumberFormat="1" applyFont="1" applyFill="1" applyBorder="1" applyAlignment="1" applyProtection="1">
      <alignment horizontal="center" vertical="center"/>
      <protection hidden="1"/>
    </xf>
    <xf numFmtId="0" fontId="10" fillId="8" borderId="0" xfId="1" applyNumberFormat="1" applyFont="1" applyFill="1" applyBorder="1" applyAlignment="1" applyProtection="1">
      <alignment horizontal="center" vertical="center"/>
      <protection locked="0" hidden="1"/>
    </xf>
    <xf numFmtId="0" fontId="0" fillId="0" borderId="0" xfId="0" applyBorder="1" applyAlignment="1" applyProtection="1">
      <protection locked="0" hidden="1"/>
    </xf>
    <xf numFmtId="2" fontId="24" fillId="10" borderId="5" xfId="16" applyNumberFormat="1" applyFont="1" applyFill="1" applyBorder="1" applyAlignment="1" applyProtection="1">
      <alignment horizontal="right"/>
      <protection hidden="1"/>
    </xf>
    <xf numFmtId="2" fontId="7" fillId="10" borderId="5" xfId="0" applyNumberFormat="1" applyFont="1" applyFill="1" applyBorder="1" applyAlignment="1" applyProtection="1">
      <alignment horizontal="right"/>
      <protection hidden="1"/>
    </xf>
    <xf numFmtId="0" fontId="11" fillId="6" borderId="0" xfId="7" applyFont="1" applyFill="1" applyBorder="1" applyAlignment="1" applyProtection="1">
      <protection locked="0" hidden="1"/>
    </xf>
    <xf numFmtId="2" fontId="11" fillId="10" borderId="0" xfId="7" applyNumberFormat="1" applyFont="1" applyFill="1" applyBorder="1" applyAlignment="1" applyProtection="1">
      <protection locked="0" hidden="1"/>
    </xf>
    <xf numFmtId="2" fontId="78" fillId="0" borderId="30" xfId="0" applyNumberFormat="1" applyFont="1" applyBorder="1" applyAlignment="1" applyProtection="1">
      <protection locked="0"/>
    </xf>
    <xf numFmtId="0" fontId="7" fillId="8" borderId="6" xfId="15" applyFont="1" applyFill="1" applyBorder="1" applyAlignment="1" applyProtection="1">
      <alignment horizontal="left" vertical="center"/>
      <protection hidden="1"/>
    </xf>
    <xf numFmtId="0" fontId="76" fillId="6" borderId="4" xfId="0" applyFont="1" applyFill="1" applyBorder="1" applyAlignment="1" applyProtection="1">
      <alignment horizontal="center" vertical="center" textRotation="90"/>
      <protection hidden="1"/>
    </xf>
    <xf numFmtId="0" fontId="76" fillId="6" borderId="0" xfId="0" applyFont="1" applyFill="1" applyBorder="1" applyAlignment="1" applyProtection="1">
      <alignment horizontal="center" vertical="center" textRotation="90"/>
      <protection hidden="1"/>
    </xf>
    <xf numFmtId="0" fontId="8" fillId="5" borderId="4" xfId="0" applyFont="1" applyFill="1" applyBorder="1" applyAlignment="1" applyProtection="1">
      <alignment horizontal="center" vertical="center"/>
      <protection hidden="1"/>
    </xf>
    <xf numFmtId="0" fontId="8" fillId="5" borderId="0" xfId="0" applyFont="1" applyFill="1" applyBorder="1" applyAlignment="1" applyProtection="1">
      <alignment horizontal="center" vertical="center"/>
      <protection hidden="1"/>
    </xf>
    <xf numFmtId="0" fontId="76" fillId="6" borderId="9" xfId="0" applyFont="1" applyFill="1" applyBorder="1" applyAlignment="1" applyProtection="1">
      <alignment horizontal="center" vertical="center"/>
      <protection hidden="1"/>
    </xf>
    <xf numFmtId="0" fontId="7" fillId="9" borderId="0" xfId="0" applyFont="1" applyFill="1" applyBorder="1" applyAlignment="1" applyProtection="1">
      <alignment horizontal="center" vertical="center" textRotation="90" shrinkToFit="1"/>
      <protection hidden="1"/>
    </xf>
    <xf numFmtId="0" fontId="7" fillId="6" borderId="12" xfId="0" applyFont="1" applyFill="1" applyBorder="1" applyAlignment="1" applyProtection="1">
      <alignment horizontal="center" vertical="center" textRotation="90" shrinkToFit="1"/>
      <protection hidden="1"/>
    </xf>
    <xf numFmtId="0" fontId="7" fillId="6" borderId="47" xfId="0" applyFont="1" applyFill="1" applyBorder="1" applyAlignment="1" applyProtection="1">
      <alignment horizontal="center" vertical="center" shrinkToFit="1"/>
      <protection hidden="1"/>
    </xf>
    <xf numFmtId="0" fontId="7" fillId="6" borderId="48" xfId="0" applyFont="1" applyFill="1" applyBorder="1" applyAlignment="1" applyProtection="1">
      <alignment horizontal="center" vertical="center" shrinkToFit="1"/>
      <protection hidden="1"/>
    </xf>
    <xf numFmtId="0" fontId="7" fillId="6" borderId="49" xfId="0" applyFont="1" applyFill="1" applyBorder="1" applyAlignment="1" applyProtection="1">
      <alignment horizontal="center" vertical="center" shrinkToFit="1"/>
      <protection hidden="1"/>
    </xf>
    <xf numFmtId="1" fontId="27" fillId="26" borderId="16" xfId="0" applyNumberFormat="1" applyFont="1" applyFill="1" applyBorder="1" applyAlignment="1" applyProtection="1">
      <alignment horizontal="center" vertical="center"/>
      <protection hidden="1"/>
    </xf>
    <xf numFmtId="1" fontId="0" fillId="0" borderId="0" xfId="0" applyNumberFormat="1" applyBorder="1" applyAlignment="1" applyProtection="1">
      <protection hidden="1"/>
    </xf>
    <xf numFmtId="1" fontId="0" fillId="0" borderId="30" xfId="0" applyNumberFormat="1" applyBorder="1" applyAlignment="1" applyProtection="1">
      <protection hidden="1"/>
    </xf>
    <xf numFmtId="0" fontId="76" fillId="6" borderId="11" xfId="0" applyFont="1" applyFill="1" applyBorder="1" applyAlignment="1" applyProtection="1">
      <alignment horizontal="center" vertical="center" textRotation="90"/>
      <protection hidden="1"/>
    </xf>
    <xf numFmtId="0" fontId="76" fillId="6" borderId="12" xfId="0" applyFont="1" applyFill="1" applyBorder="1" applyAlignment="1" applyProtection="1">
      <alignment horizontal="center" vertical="center" textRotation="90"/>
      <protection hidden="1"/>
    </xf>
    <xf numFmtId="0" fontId="7" fillId="9" borderId="4" xfId="0" applyFont="1" applyFill="1" applyBorder="1" applyAlignment="1" applyProtection="1">
      <alignment horizontal="center" vertical="center" shrinkToFit="1"/>
      <protection hidden="1"/>
    </xf>
    <xf numFmtId="0" fontId="7" fillId="9" borderId="48" xfId="0" applyFont="1" applyFill="1" applyBorder="1" applyAlignment="1" applyProtection="1">
      <alignment horizontal="center" vertical="center" shrinkToFit="1"/>
      <protection hidden="1"/>
    </xf>
    <xf numFmtId="0" fontId="76" fillId="6" borderId="45" xfId="0" applyFont="1" applyFill="1" applyBorder="1" applyAlignment="1" applyProtection="1">
      <alignment horizontal="center" vertical="center"/>
      <protection hidden="1"/>
    </xf>
    <xf numFmtId="0" fontId="76" fillId="6" borderId="46" xfId="0" applyFont="1" applyFill="1" applyBorder="1" applyAlignment="1" applyProtection="1">
      <alignment horizontal="center" vertical="center"/>
      <protection hidden="1"/>
    </xf>
    <xf numFmtId="0" fontId="76" fillId="6" borderId="5" xfId="0" applyFont="1" applyFill="1" applyBorder="1" applyAlignment="1" applyProtection="1">
      <alignment horizontal="center" vertical="center"/>
      <protection hidden="1"/>
    </xf>
    <xf numFmtId="0" fontId="76" fillId="6" borderId="32" xfId="0" applyFont="1" applyFill="1" applyBorder="1" applyAlignment="1" applyProtection="1">
      <alignment horizontal="center" vertical="center"/>
      <protection hidden="1"/>
    </xf>
    <xf numFmtId="0" fontId="7" fillId="6" borderId="0" xfId="0" applyFont="1" applyFill="1" applyBorder="1" applyAlignment="1" applyProtection="1">
      <alignment horizontal="center" vertical="center" textRotation="90" shrinkToFit="1"/>
      <protection hidden="1"/>
    </xf>
    <xf numFmtId="0" fontId="23" fillId="0" borderId="7" xfId="0" applyFont="1" applyBorder="1" applyAlignment="1" applyProtection="1">
      <alignment horizontal="center" vertical="center" textRotation="90" shrinkToFit="1"/>
      <protection hidden="1"/>
    </xf>
    <xf numFmtId="0" fontId="27" fillId="8" borderId="0" xfId="15" applyFont="1" applyFill="1" applyBorder="1" applyAlignment="1" applyProtection="1">
      <alignment horizontal="left" vertical="center"/>
      <protection hidden="1"/>
    </xf>
    <xf numFmtId="0" fontId="9" fillId="7" borderId="5" xfId="15" applyFont="1" applyFill="1" applyBorder="1" applyAlignment="1" applyProtection="1">
      <alignment horizontal="right"/>
      <protection hidden="1"/>
    </xf>
    <xf numFmtId="0" fontId="11" fillId="5" borderId="0" xfId="7" applyFont="1" applyFill="1" applyBorder="1" applyAlignment="1" applyProtection="1">
      <protection locked="0" hidden="1"/>
    </xf>
    <xf numFmtId="0" fontId="78" fillId="0" borderId="30" xfId="0" applyFont="1" applyBorder="1" applyAlignment="1" applyProtection="1">
      <protection locked="0"/>
    </xf>
    <xf numFmtId="0" fontId="9" fillId="8" borderId="5" xfId="15" applyFont="1" applyFill="1" applyBorder="1" applyAlignment="1" applyProtection="1">
      <alignment horizontal="right"/>
      <protection hidden="1"/>
    </xf>
    <xf numFmtId="0" fontId="10" fillId="5" borderId="0" xfId="16" applyFont="1" applyFill="1" applyBorder="1" applyAlignment="1" applyProtection="1">
      <alignment horizontal="left"/>
      <protection hidden="1"/>
    </xf>
    <xf numFmtId="0" fontId="7" fillId="6" borderId="0" xfId="15" applyFont="1" applyFill="1" applyBorder="1" applyAlignment="1" applyProtection="1">
      <alignment horizontal="left" vertical="center"/>
      <protection hidden="1"/>
    </xf>
    <xf numFmtId="0" fontId="7" fillId="6" borderId="30" xfId="15" applyFont="1" applyFill="1" applyBorder="1" applyAlignment="1" applyProtection="1">
      <alignment horizontal="left" vertical="center"/>
      <protection hidden="1"/>
    </xf>
    <xf numFmtId="0" fontId="10" fillId="6" borderId="0" xfId="1" applyNumberFormat="1" applyFont="1" applyFill="1" applyBorder="1" applyAlignment="1" applyProtection="1">
      <alignment horizontal="center" vertical="center"/>
      <protection locked="0" hidden="1"/>
    </xf>
    <xf numFmtId="0" fontId="7" fillId="6" borderId="6" xfId="15" applyFont="1" applyFill="1" applyBorder="1" applyAlignment="1" applyProtection="1">
      <alignment horizontal="left" vertical="center"/>
      <protection hidden="1"/>
    </xf>
    <xf numFmtId="4" fontId="10" fillId="6" borderId="0" xfId="1" applyNumberFormat="1" applyFont="1" applyFill="1" applyBorder="1" applyAlignment="1" applyProtection="1">
      <alignment horizontal="center" vertical="center"/>
      <protection locked="0" hidden="1"/>
    </xf>
    <xf numFmtId="0" fontId="7" fillId="6" borderId="0" xfId="15" applyFont="1" applyFill="1" applyBorder="1" applyAlignment="1" applyProtection="1">
      <alignment vertical="center"/>
      <protection hidden="1"/>
    </xf>
    <xf numFmtId="0" fontId="7" fillId="6" borderId="30" xfId="15" applyFont="1" applyFill="1" applyBorder="1" applyAlignment="1" applyProtection="1">
      <alignment vertical="center"/>
      <protection hidden="1"/>
    </xf>
    <xf numFmtId="2" fontId="24" fillId="5" borderId="4" xfId="16" applyNumberFormat="1" applyFont="1" applyFill="1" applyBorder="1" applyAlignment="1" applyProtection="1">
      <alignment horizontal="right"/>
      <protection hidden="1"/>
    </xf>
    <xf numFmtId="2" fontId="7" fillId="5" borderId="4" xfId="0" applyNumberFormat="1" applyFont="1" applyFill="1" applyBorder="1" applyAlignment="1" applyProtection="1">
      <alignment horizontal="right"/>
      <protection hidden="1"/>
    </xf>
    <xf numFmtId="0" fontId="11" fillId="6" borderId="0" xfId="15" applyFont="1" applyFill="1" applyBorder="1" applyAlignment="1" applyProtection="1">
      <alignment vertical="center"/>
      <protection locked="0" hidden="1"/>
    </xf>
    <xf numFmtId="0" fontId="11" fillId="6" borderId="30" xfId="15" applyFont="1" applyFill="1" applyBorder="1" applyAlignment="1" applyProtection="1">
      <alignment vertical="center"/>
      <protection locked="0" hidden="1"/>
    </xf>
    <xf numFmtId="0" fontId="0" fillId="8" borderId="42" xfId="0" applyFill="1" applyBorder="1" applyAlignment="1" applyProtection="1">
      <alignment horizontal="center" vertical="center"/>
      <protection locked="0" hidden="1"/>
    </xf>
    <xf numFmtId="0" fontId="0" fillId="8" borderId="43" xfId="0" applyFill="1" applyBorder="1" applyAlignment="1" applyProtection="1">
      <alignment horizontal="center" vertical="center"/>
      <protection locked="0" hidden="1"/>
    </xf>
    <xf numFmtId="0" fontId="79" fillId="12" borderId="37" xfId="0" applyFont="1" applyFill="1" applyBorder="1" applyAlignment="1" applyProtection="1">
      <alignment horizontal="center" vertical="center" wrapText="1"/>
      <protection hidden="1"/>
    </xf>
    <xf numFmtId="0" fontId="79" fillId="0" borderId="4" xfId="0" applyFont="1" applyBorder="1" applyAlignment="1" applyProtection="1">
      <alignment horizontal="center" vertical="center" wrapText="1"/>
      <protection hidden="1"/>
    </xf>
    <xf numFmtId="0" fontId="79" fillId="0" borderId="51" xfId="0" applyFont="1" applyBorder="1" applyAlignment="1" applyProtection="1">
      <alignment horizontal="center" vertical="center" wrapText="1"/>
      <protection hidden="1"/>
    </xf>
    <xf numFmtId="1" fontId="7" fillId="27" borderId="16" xfId="0" applyNumberFormat="1" applyFont="1" applyFill="1" applyBorder="1" applyAlignment="1" applyProtection="1">
      <alignment horizontal="center" vertical="center"/>
      <protection hidden="1"/>
    </xf>
    <xf numFmtId="1" fontId="0" fillId="0" borderId="0" xfId="0" applyNumberFormat="1" applyBorder="1" applyAlignment="1" applyProtection="1">
      <alignment horizontal="center" vertical="center"/>
      <protection hidden="1"/>
    </xf>
    <xf numFmtId="1" fontId="0" fillId="0" borderId="30" xfId="0" applyNumberFormat="1" applyBorder="1" applyAlignment="1" applyProtection="1">
      <alignment horizontal="center" vertical="center"/>
      <protection hidden="1"/>
    </xf>
    <xf numFmtId="1" fontId="7" fillId="25" borderId="16" xfId="0" applyNumberFormat="1" applyFont="1" applyFill="1" applyBorder="1" applyAlignment="1" applyProtection="1">
      <alignment horizontal="center" vertical="center"/>
      <protection hidden="1"/>
    </xf>
    <xf numFmtId="2" fontId="24" fillId="6" borderId="4" xfId="16" applyNumberFormat="1" applyFont="1" applyFill="1" applyBorder="1" applyAlignment="1" applyProtection="1">
      <alignment horizontal="right"/>
      <protection hidden="1"/>
    </xf>
    <xf numFmtId="2" fontId="7" fillId="6" borderId="4" xfId="0" applyNumberFormat="1" applyFont="1" applyFill="1" applyBorder="1" applyAlignment="1" applyProtection="1">
      <alignment horizontal="right"/>
      <protection hidden="1"/>
    </xf>
    <xf numFmtId="2" fontId="14" fillId="7" borderId="0" xfId="0" applyNumberFormat="1" applyFont="1" applyFill="1" applyBorder="1" applyAlignment="1" applyProtection="1">
      <alignment horizontal="center"/>
      <protection hidden="1"/>
    </xf>
    <xf numFmtId="0" fontId="6" fillId="7" borderId="0" xfId="15" applyFont="1" applyFill="1" applyBorder="1" applyAlignment="1" applyProtection="1">
      <alignment horizontal="center" vertical="center"/>
      <protection hidden="1"/>
    </xf>
    <xf numFmtId="0" fontId="9" fillId="8" borderId="4" xfId="15" applyFont="1" applyFill="1" applyBorder="1" applyAlignment="1" applyProtection="1">
      <alignment horizontal="right"/>
      <protection hidden="1"/>
    </xf>
    <xf numFmtId="0" fontId="9" fillId="7" borderId="4" xfId="15" applyFont="1" applyFill="1" applyBorder="1" applyAlignment="1" applyProtection="1">
      <alignment horizontal="right"/>
      <protection hidden="1"/>
    </xf>
    <xf numFmtId="0" fontId="10" fillId="6" borderId="7" xfId="1" applyNumberFormat="1" applyFont="1" applyFill="1" applyBorder="1" applyAlignment="1" applyProtection="1">
      <alignment horizontal="center"/>
      <protection locked="0" hidden="1"/>
    </xf>
    <xf numFmtId="0" fontId="11" fillId="6" borderId="7" xfId="15" applyFont="1" applyFill="1" applyBorder="1" applyAlignment="1" applyProtection="1">
      <alignment vertical="center"/>
      <protection locked="0" hidden="1"/>
    </xf>
    <xf numFmtId="0" fontId="11" fillId="6" borderId="41" xfId="15" applyFont="1" applyFill="1" applyBorder="1" applyAlignment="1" applyProtection="1">
      <alignment vertical="center"/>
      <protection locked="0" hidden="1"/>
    </xf>
    <xf numFmtId="0" fontId="0" fillId="6" borderId="0" xfId="0" applyNumberFormat="1" applyFill="1" applyBorder="1" applyAlignment="1" applyProtection="1">
      <alignment vertical="center"/>
      <protection hidden="1"/>
    </xf>
    <xf numFmtId="0" fontId="0" fillId="0" borderId="0" xfId="0" applyNumberFormat="1" applyAlignment="1">
      <alignment vertical="center"/>
    </xf>
    <xf numFmtId="2" fontId="74" fillId="5" borderId="0" xfId="0" applyNumberFormat="1" applyFont="1" applyFill="1" applyBorder="1" applyAlignment="1" applyProtection="1">
      <alignment horizontal="right"/>
      <protection hidden="1"/>
    </xf>
    <xf numFmtId="0" fontId="13" fillId="0" borderId="0" xfId="0" applyFont="1" applyBorder="1" applyAlignment="1"/>
    <xf numFmtId="0" fontId="9" fillId="6" borderId="5" xfId="15" applyFont="1" applyFill="1" applyBorder="1" applyAlignment="1" applyProtection="1">
      <alignment horizontal="right"/>
      <protection hidden="1"/>
    </xf>
    <xf numFmtId="0" fontId="68" fillId="6" borderId="6" xfId="15" applyFont="1" applyFill="1" applyBorder="1" applyAlignment="1" applyProtection="1">
      <alignment horizontal="left" vertical="center"/>
      <protection hidden="1"/>
    </xf>
    <xf numFmtId="0" fontId="68" fillId="6" borderId="0" xfId="15" applyFont="1" applyFill="1" applyBorder="1" applyAlignment="1" applyProtection="1">
      <alignment horizontal="left" vertical="center"/>
      <protection hidden="1"/>
    </xf>
    <xf numFmtId="0" fontId="24" fillId="6" borderId="0" xfId="1" applyNumberFormat="1" applyFont="1" applyFill="1" applyBorder="1" applyAlignment="1" applyProtection="1">
      <alignment horizontal="center"/>
      <protection hidden="1"/>
    </xf>
    <xf numFmtId="0" fontId="30" fillId="6" borderId="0" xfId="15" applyFont="1" applyFill="1" applyBorder="1" applyAlignment="1" applyProtection="1">
      <alignment vertical="center"/>
      <protection hidden="1"/>
    </xf>
    <xf numFmtId="0" fontId="30" fillId="6" borderId="30" xfId="15" applyFont="1" applyFill="1" applyBorder="1" applyAlignment="1" applyProtection="1">
      <alignment vertical="center"/>
      <protection hidden="1"/>
    </xf>
    <xf numFmtId="0" fontId="7" fillId="7" borderId="16" xfId="15" applyFont="1" applyFill="1" applyBorder="1" applyAlignment="1" applyProtection="1">
      <alignment horizontal="left" vertical="center"/>
      <protection hidden="1"/>
    </xf>
    <xf numFmtId="0" fontId="75" fillId="6" borderId="0" xfId="5" applyFont="1" applyFill="1" applyBorder="1" applyAlignment="1" applyProtection="1">
      <alignment horizontal="left" vertical="center"/>
      <protection hidden="1"/>
    </xf>
    <xf numFmtId="0" fontId="20" fillId="6" borderId="0" xfId="5" applyFont="1" applyFill="1" applyBorder="1" applyAlignment="1" applyProtection="1">
      <alignment horizontal="right" vertical="center"/>
      <protection locked="0" hidden="1"/>
    </xf>
    <xf numFmtId="0" fontId="9" fillId="8" borderId="0" xfId="15" applyFont="1" applyFill="1" applyBorder="1" applyAlignment="1" applyProtection="1">
      <alignment horizontal="right"/>
      <protection hidden="1"/>
    </xf>
    <xf numFmtId="0" fontId="134" fillId="18" borderId="0" xfId="15" applyFont="1" applyFill="1" applyBorder="1" applyAlignment="1" applyProtection="1">
      <alignment horizontal="center" vertical="center"/>
      <protection locked="0" hidden="1"/>
    </xf>
    <xf numFmtId="2" fontId="24" fillId="5" borderId="0" xfId="16" applyNumberFormat="1" applyFont="1" applyFill="1" applyBorder="1" applyAlignment="1" applyProtection="1">
      <alignment horizontal="right"/>
      <protection hidden="1"/>
    </xf>
    <xf numFmtId="2" fontId="7" fillId="5" borderId="0" xfId="0" applyNumberFormat="1" applyFont="1" applyFill="1" applyBorder="1" applyAlignment="1" applyProtection="1">
      <alignment horizontal="right"/>
      <protection hidden="1"/>
    </xf>
    <xf numFmtId="0" fontId="9" fillId="7" borderId="0" xfId="15" applyFont="1" applyFill="1" applyBorder="1" applyAlignment="1" applyProtection="1">
      <alignment horizontal="right"/>
      <protection hidden="1"/>
    </xf>
    <xf numFmtId="0" fontId="70" fillId="6" borderId="0" xfId="15" applyFont="1" applyFill="1" applyBorder="1" applyAlignment="1" applyProtection="1">
      <alignment horizontal="left" vertical="center"/>
      <protection hidden="1"/>
    </xf>
    <xf numFmtId="0" fontId="68" fillId="6" borderId="0" xfId="0" applyFont="1" applyFill="1" applyAlignment="1">
      <alignment horizontal="left" vertical="center"/>
    </xf>
    <xf numFmtId="0" fontId="27" fillId="5" borderId="42" xfId="0" applyFont="1" applyFill="1" applyBorder="1" applyAlignment="1" applyProtection="1">
      <alignment horizontal="center" vertical="center"/>
      <protection locked="0" hidden="1"/>
    </xf>
    <xf numFmtId="0" fontId="27" fillId="5" borderId="43" xfId="0" applyFont="1" applyFill="1" applyBorder="1" applyAlignment="1" applyProtection="1">
      <alignment horizontal="center" vertical="center"/>
      <protection locked="0" hidden="1"/>
    </xf>
    <xf numFmtId="0" fontId="30" fillId="18" borderId="0" xfId="15" applyFont="1" applyFill="1" applyBorder="1" applyAlignment="1" applyProtection="1">
      <alignment horizontal="center" vertical="center"/>
      <protection locked="0" hidden="1"/>
    </xf>
    <xf numFmtId="0" fontId="29" fillId="6" borderId="0" xfId="0" applyFont="1" applyFill="1" applyBorder="1" applyAlignment="1" applyProtection="1">
      <alignment horizontal="left" vertical="center"/>
      <protection hidden="1"/>
    </xf>
    <xf numFmtId="0" fontId="0" fillId="6" borderId="0" xfId="0" applyFill="1" applyAlignment="1"/>
    <xf numFmtId="0" fontId="0" fillId="6" borderId="0" xfId="0" applyFill="1" applyBorder="1" applyAlignment="1"/>
    <xf numFmtId="1" fontId="7" fillId="6" borderId="5" xfId="0" applyNumberFormat="1" applyFont="1" applyFill="1" applyBorder="1" applyAlignment="1" applyProtection="1">
      <alignment shrinkToFit="1"/>
      <protection hidden="1"/>
    </xf>
    <xf numFmtId="0" fontId="17" fillId="6" borderId="0" xfId="5" applyFont="1" applyFill="1" applyBorder="1" applyAlignment="1" applyProtection="1">
      <alignment horizontal="left" vertical="center"/>
      <protection hidden="1"/>
    </xf>
    <xf numFmtId="0" fontId="7" fillId="6" borderId="5" xfId="0" applyFont="1" applyFill="1" applyBorder="1" applyAlignment="1" applyProtection="1">
      <alignment shrinkToFit="1"/>
      <protection hidden="1"/>
    </xf>
    <xf numFmtId="0" fontId="0" fillId="6" borderId="5" xfId="0" applyFill="1" applyBorder="1" applyAlignment="1" applyProtection="1">
      <alignment shrinkToFit="1"/>
      <protection hidden="1"/>
    </xf>
    <xf numFmtId="0" fontId="10" fillId="6" borderId="0" xfId="16" applyFont="1" applyFill="1" applyBorder="1" applyAlignment="1" applyProtection="1">
      <alignment horizontal="left"/>
      <protection hidden="1"/>
    </xf>
    <xf numFmtId="0" fontId="111" fillId="5" borderId="0" xfId="0" applyFont="1" applyFill="1" applyAlignment="1" applyProtection="1">
      <alignment horizontal="left" vertical="top" wrapText="1"/>
      <protection hidden="1"/>
    </xf>
    <xf numFmtId="0" fontId="109" fillId="5" borderId="0" xfId="0" applyFont="1" applyFill="1" applyAlignment="1" applyProtection="1">
      <alignment horizontal="left" vertical="top" wrapText="1"/>
      <protection hidden="1"/>
    </xf>
    <xf numFmtId="0" fontId="11" fillId="8" borderId="40" xfId="0" applyFont="1" applyFill="1" applyBorder="1" applyAlignment="1" applyProtection="1">
      <alignment horizontal="center" vertical="center"/>
      <protection hidden="1"/>
    </xf>
    <xf numFmtId="0" fontId="0" fillId="0" borderId="9" xfId="0" applyBorder="1" applyAlignment="1" applyProtection="1">
      <alignment horizontal="center"/>
      <protection hidden="1"/>
    </xf>
    <xf numFmtId="0" fontId="0" fillId="0" borderId="52" xfId="0" applyBorder="1" applyAlignment="1" applyProtection="1">
      <alignment horizontal="center"/>
      <protection hidden="1"/>
    </xf>
    <xf numFmtId="0" fontId="76" fillId="6" borderId="38" xfId="0" applyFont="1" applyFill="1" applyBorder="1" applyAlignment="1" applyProtection="1">
      <alignment horizontal="center" vertical="center"/>
      <protection hidden="1"/>
    </xf>
    <xf numFmtId="0" fontId="11" fillId="8" borderId="38" xfId="0" applyFont="1" applyFill="1" applyBorder="1" applyAlignment="1" applyProtection="1">
      <alignment horizontal="center" vertical="center"/>
      <protection hidden="1"/>
    </xf>
    <xf numFmtId="0" fontId="0" fillId="0" borderId="5" xfId="0" applyBorder="1" applyAlignment="1" applyProtection="1">
      <alignment horizontal="center"/>
      <protection hidden="1"/>
    </xf>
    <xf numFmtId="0" fontId="0" fillId="0" borderId="15" xfId="0" applyBorder="1" applyAlignment="1" applyProtection="1">
      <alignment horizontal="center"/>
      <protection hidden="1"/>
    </xf>
    <xf numFmtId="0" fontId="11" fillId="8" borderId="16" xfId="0" applyFont="1" applyFill="1" applyBorder="1" applyAlignment="1" applyProtection="1">
      <alignment horizontal="left" vertical="center"/>
      <protection hidden="1"/>
    </xf>
    <xf numFmtId="0" fontId="0" fillId="0" borderId="0" xfId="0" applyBorder="1" applyAlignment="1" applyProtection="1">
      <alignment horizontal="left"/>
      <protection hidden="1"/>
    </xf>
    <xf numFmtId="0" fontId="0" fillId="0" borderId="30" xfId="0" applyBorder="1" applyAlignment="1" applyProtection="1">
      <alignment horizontal="left"/>
      <protection hidden="1"/>
    </xf>
    <xf numFmtId="0" fontId="0" fillId="29" borderId="37" xfId="0" applyFill="1" applyBorder="1" applyAlignment="1"/>
    <xf numFmtId="0" fontId="0" fillId="0" borderId="16" xfId="0" applyBorder="1" applyAlignment="1"/>
    <xf numFmtId="0" fontId="0" fillId="0" borderId="40" xfId="0" applyBorder="1" applyAlignment="1"/>
    <xf numFmtId="0" fontId="50" fillId="5" borderId="0" xfId="11" applyFont="1" applyFill="1" applyAlignment="1" applyProtection="1">
      <alignment vertical="center" wrapText="1"/>
      <protection hidden="1"/>
    </xf>
    <xf numFmtId="0" fontId="40" fillId="5" borderId="0" xfId="11" applyFont="1" applyFill="1" applyAlignment="1" applyProtection="1">
      <alignment vertical="center" wrapText="1"/>
      <protection hidden="1"/>
    </xf>
    <xf numFmtId="0" fontId="48" fillId="6" borderId="6" xfId="11" applyFont="1" applyFill="1" applyBorder="1" applyAlignment="1" applyProtection="1">
      <alignment vertical="center"/>
      <protection hidden="1"/>
    </xf>
    <xf numFmtId="0" fontId="48" fillId="6" borderId="0" xfId="11" applyFont="1" applyFill="1" applyBorder="1" applyAlignment="1" applyProtection="1">
      <alignment vertical="center"/>
      <protection hidden="1"/>
    </xf>
    <xf numFmtId="2" fontId="39" fillId="5" borderId="0" xfId="11" applyNumberFormat="1" applyFont="1" applyFill="1" applyAlignment="1" applyProtection="1">
      <alignment horizontal="center"/>
      <protection hidden="1"/>
    </xf>
    <xf numFmtId="0" fontId="15" fillId="0" borderId="0" xfId="0" applyFont="1" applyAlignment="1" applyProtection="1">
      <protection hidden="1"/>
    </xf>
    <xf numFmtId="0" fontId="36" fillId="5" borderId="44" xfId="11" applyFont="1" applyFill="1" applyBorder="1" applyAlignment="1" applyProtection="1">
      <alignment horizontal="center" vertical="center" wrapText="1"/>
      <protection hidden="1"/>
    </xf>
    <xf numFmtId="0" fontId="0" fillId="5" borderId="35" xfId="0" applyFill="1" applyBorder="1" applyAlignment="1" applyProtection="1">
      <alignment horizontal="center" vertical="center" wrapText="1"/>
      <protection hidden="1"/>
    </xf>
    <xf numFmtId="2" fontId="19" fillId="5" borderId="5" xfId="11" applyNumberFormat="1" applyFont="1" applyFill="1" applyBorder="1" applyAlignment="1" applyProtection="1">
      <alignment horizontal="center"/>
      <protection hidden="1"/>
    </xf>
    <xf numFmtId="0" fontId="15" fillId="0" borderId="0" xfId="0" applyFont="1" applyAlignment="1" applyProtection="1">
      <alignment horizontal="center"/>
      <protection hidden="1"/>
    </xf>
    <xf numFmtId="0" fontId="58" fillId="5" borderId="0" xfId="11" applyFont="1" applyFill="1" applyBorder="1" applyAlignment="1" applyProtection="1">
      <alignment vertical="center"/>
      <protection hidden="1"/>
    </xf>
    <xf numFmtId="0" fontId="48" fillId="0" borderId="6" xfId="11" applyFont="1" applyBorder="1" applyAlignment="1" applyProtection="1">
      <alignment vertical="center"/>
      <protection hidden="1"/>
    </xf>
    <xf numFmtId="0" fontId="48" fillId="0" borderId="0" xfId="11" applyFont="1" applyBorder="1" applyAlignment="1" applyProtection="1">
      <alignment vertical="center"/>
      <protection hidden="1"/>
    </xf>
    <xf numFmtId="0" fontId="58" fillId="5" borderId="0" xfId="11" applyFont="1" applyFill="1" applyAlignment="1" applyProtection="1">
      <alignment vertical="center"/>
      <protection hidden="1"/>
    </xf>
    <xf numFmtId="0" fontId="48" fillId="5" borderId="0" xfId="11" applyFont="1" applyFill="1" applyAlignment="1" applyProtection="1">
      <alignment vertical="center"/>
      <protection hidden="1"/>
    </xf>
    <xf numFmtId="0" fontId="48" fillId="6" borderId="0" xfId="11" applyFont="1" applyFill="1" applyAlignment="1" applyProtection="1">
      <alignment vertical="center"/>
      <protection hidden="1"/>
    </xf>
    <xf numFmtId="0" fontId="58" fillId="5" borderId="0" xfId="18" applyFont="1" applyFill="1" applyBorder="1" applyAlignment="1" applyProtection="1">
      <alignment vertical="center"/>
      <protection hidden="1"/>
    </xf>
    <xf numFmtId="0" fontId="50" fillId="5" borderId="0" xfId="18" applyFont="1" applyFill="1" applyBorder="1" applyAlignment="1" applyProtection="1">
      <alignment vertical="center"/>
      <protection hidden="1"/>
    </xf>
    <xf numFmtId="0" fontId="48" fillId="0" borderId="0" xfId="11" applyFont="1" applyAlignment="1" applyProtection="1">
      <alignment vertical="center"/>
      <protection hidden="1"/>
    </xf>
    <xf numFmtId="0" fontId="50" fillId="6" borderId="0" xfId="18" applyFont="1" applyFill="1" applyBorder="1" applyAlignment="1" applyProtection="1">
      <alignment vertical="center"/>
      <protection hidden="1"/>
    </xf>
    <xf numFmtId="0" fontId="50" fillId="0" borderId="0" xfId="11" applyFont="1" applyAlignment="1" applyProtection="1">
      <alignment vertical="center"/>
      <protection hidden="1"/>
    </xf>
    <xf numFmtId="0" fontId="49" fillId="5" borderId="0" xfId="11" applyFont="1" applyFill="1" applyAlignment="1" applyProtection="1">
      <alignment horizontal="left" vertical="center"/>
      <protection hidden="1"/>
    </xf>
    <xf numFmtId="0" fontId="52" fillId="0" borderId="0" xfId="11" applyFont="1" applyAlignment="1" applyProtection="1">
      <alignment vertical="center"/>
      <protection hidden="1"/>
    </xf>
    <xf numFmtId="0" fontId="40" fillId="0" borderId="0" xfId="11" applyFont="1" applyAlignment="1" applyProtection="1">
      <alignment vertical="center"/>
      <protection hidden="1"/>
    </xf>
    <xf numFmtId="0" fontId="50" fillId="6" borderId="0" xfId="18" applyFont="1" applyFill="1" applyBorder="1" applyAlignment="1" applyProtection="1">
      <alignment horizontal="left" vertical="center"/>
      <protection hidden="1"/>
    </xf>
    <xf numFmtId="169" fontId="50" fillId="6" borderId="0" xfId="11" applyNumberFormat="1" applyFont="1" applyFill="1" applyAlignment="1" applyProtection="1">
      <alignment vertical="center"/>
      <protection hidden="1"/>
    </xf>
    <xf numFmtId="0" fontId="50" fillId="5" borderId="0" xfId="18" applyFont="1" applyFill="1" applyBorder="1" applyAlignment="1" applyProtection="1">
      <alignment horizontal="left" vertical="center"/>
      <protection hidden="1"/>
    </xf>
    <xf numFmtId="0" fontId="48" fillId="5" borderId="0" xfId="11" applyFont="1" applyFill="1" applyBorder="1" applyAlignment="1" applyProtection="1">
      <alignment vertical="center"/>
      <protection hidden="1"/>
    </xf>
    <xf numFmtId="0" fontId="48" fillId="0" borderId="30" xfId="11" applyFont="1" applyBorder="1" applyAlignment="1" applyProtection="1">
      <alignment vertical="center"/>
      <protection hidden="1"/>
    </xf>
    <xf numFmtId="1" fontId="48" fillId="0" borderId="0" xfId="11" applyNumberFormat="1" applyFont="1" applyAlignment="1" applyProtection="1">
      <alignment vertical="center"/>
      <protection hidden="1"/>
    </xf>
    <xf numFmtId="1" fontId="48" fillId="5" borderId="0" xfId="11" applyNumberFormat="1" applyFont="1" applyFill="1" applyAlignment="1" applyProtection="1">
      <alignment vertical="center"/>
      <protection hidden="1"/>
    </xf>
    <xf numFmtId="0" fontId="48" fillId="6" borderId="30" xfId="11" applyFont="1" applyFill="1" applyBorder="1" applyAlignment="1" applyProtection="1">
      <alignment vertical="center"/>
      <protection hidden="1"/>
    </xf>
    <xf numFmtId="0" fontId="36" fillId="5" borderId="0" xfId="11" applyFont="1" applyFill="1" applyAlignment="1" applyProtection="1">
      <alignment horizontal="center"/>
      <protection hidden="1"/>
    </xf>
    <xf numFmtId="0" fontId="0" fillId="5" borderId="0" xfId="0" applyFill="1" applyAlignment="1">
      <alignment horizontal="center"/>
    </xf>
    <xf numFmtId="0" fontId="51" fillId="5" borderId="0" xfId="9" applyFont="1" applyFill="1" applyAlignment="1" applyProtection="1">
      <alignment horizontal="center" vertical="center"/>
      <protection hidden="1"/>
    </xf>
    <xf numFmtId="0" fontId="40" fillId="5" borderId="0" xfId="11" applyFont="1" applyFill="1" applyAlignment="1" applyProtection="1">
      <alignment vertical="center"/>
      <protection hidden="1"/>
    </xf>
    <xf numFmtId="0" fontId="19" fillId="5" borderId="0" xfId="11" applyFont="1" applyFill="1" applyAlignment="1" applyProtection="1">
      <alignment horizontal="center"/>
      <protection hidden="1"/>
    </xf>
    <xf numFmtId="0" fontId="19" fillId="5" borderId="0" xfId="11" applyFont="1" applyFill="1" applyAlignment="1" applyProtection="1">
      <alignment horizontal="right"/>
      <protection hidden="1"/>
    </xf>
    <xf numFmtId="0" fontId="45" fillId="5" borderId="0" xfId="11" applyFont="1" applyFill="1" applyAlignment="1" applyProtection="1">
      <alignment horizontal="left"/>
      <protection hidden="1"/>
    </xf>
    <xf numFmtId="0" fontId="42" fillId="5" borderId="0" xfId="11" applyFont="1" applyFill="1" applyAlignment="1" applyProtection="1">
      <protection hidden="1"/>
    </xf>
    <xf numFmtId="0" fontId="113" fillId="5" borderId="0" xfId="11" applyFont="1" applyFill="1" applyAlignment="1" applyProtection="1">
      <alignment vertical="top" wrapText="1"/>
      <protection hidden="1"/>
    </xf>
    <xf numFmtId="0" fontId="0" fillId="5" borderId="0" xfId="0" applyFill="1" applyAlignment="1">
      <alignment vertical="top" wrapText="1"/>
    </xf>
    <xf numFmtId="0" fontId="35" fillId="5" borderId="0" xfId="11" applyFont="1" applyFill="1" applyAlignment="1" applyProtection="1">
      <alignment horizontal="center" textRotation="90" shrinkToFit="1"/>
      <protection hidden="1"/>
    </xf>
    <xf numFmtId="0" fontId="44" fillId="5" borderId="0" xfId="11" applyFont="1" applyFill="1" applyAlignment="1" applyProtection="1">
      <alignment horizontal="center" textRotation="90" shrinkToFit="1"/>
      <protection hidden="1"/>
    </xf>
    <xf numFmtId="0" fontId="21" fillId="5" borderId="0" xfId="11" applyFill="1" applyAlignment="1" applyProtection="1">
      <alignment horizontal="center" textRotation="90" shrinkToFit="1"/>
      <protection hidden="1"/>
    </xf>
    <xf numFmtId="0" fontId="19" fillId="5" borderId="0" xfId="11" applyFont="1" applyFill="1" applyAlignment="1" applyProtection="1">
      <protection hidden="1"/>
    </xf>
    <xf numFmtId="0" fontId="19" fillId="5" borderId="0" xfId="11" applyFont="1" applyFill="1" applyAlignment="1" applyProtection="1">
      <alignment horizontal="left"/>
      <protection hidden="1"/>
    </xf>
    <xf numFmtId="0" fontId="40" fillId="5" borderId="0" xfId="11" applyFont="1" applyFill="1" applyAlignment="1" applyProtection="1">
      <alignment horizontal="left"/>
      <protection hidden="1"/>
    </xf>
    <xf numFmtId="0" fontId="42" fillId="5" borderId="0" xfId="11" applyFont="1" applyFill="1" applyAlignment="1" applyProtection="1">
      <alignment horizontal="center"/>
      <protection hidden="1"/>
    </xf>
    <xf numFmtId="0" fontId="42" fillId="5" borderId="0" xfId="11" applyFont="1" applyFill="1" applyAlignment="1" applyProtection="1">
      <alignment horizontal="right"/>
      <protection hidden="1"/>
    </xf>
    <xf numFmtId="0" fontId="50" fillId="5" borderId="0" xfId="11" applyFont="1" applyFill="1" applyBorder="1" applyAlignment="1" applyProtection="1">
      <alignment vertical="center"/>
      <protection hidden="1"/>
    </xf>
    <xf numFmtId="0" fontId="72" fillId="0" borderId="0" xfId="0" applyFont="1" applyAlignment="1" applyProtection="1">
      <protection hidden="1"/>
    </xf>
    <xf numFmtId="0" fontId="71" fillId="5" borderId="0" xfId="11" applyFont="1" applyFill="1" applyBorder="1" applyAlignment="1" applyProtection="1">
      <alignment vertical="center"/>
      <protection hidden="1"/>
    </xf>
    <xf numFmtId="0" fontId="8" fillId="0" borderId="0" xfId="0" applyFont="1" applyAlignment="1" applyProtection="1">
      <protection hidden="1"/>
    </xf>
    <xf numFmtId="0" fontId="43" fillId="5" borderId="0" xfId="11" applyFont="1" applyFill="1" applyAlignment="1" applyProtection="1">
      <alignment horizontal="left"/>
      <protection hidden="1"/>
    </xf>
    <xf numFmtId="175" fontId="50" fillId="5" borderId="0" xfId="11" applyNumberFormat="1" applyFont="1" applyFill="1" applyBorder="1" applyAlignment="1" applyProtection="1">
      <alignment horizontal="center" vertical="center"/>
      <protection hidden="1"/>
    </xf>
    <xf numFmtId="175" fontId="0" fillId="0" borderId="0" xfId="0" applyNumberFormat="1" applyAlignment="1" applyProtection="1">
      <alignment horizontal="center" vertical="center"/>
      <protection hidden="1"/>
    </xf>
    <xf numFmtId="0" fontId="42" fillId="5" borderId="0" xfId="11" applyNumberFormat="1" applyFont="1" applyFill="1" applyAlignment="1" applyProtection="1">
      <protection hidden="1"/>
    </xf>
    <xf numFmtId="0" fontId="69" fillId="5" borderId="0" xfId="11" applyFont="1" applyFill="1" applyAlignment="1" applyProtection="1">
      <alignment horizontal="center" vertical="center"/>
      <protection hidden="1"/>
    </xf>
    <xf numFmtId="0" fontId="0" fillId="0" borderId="0" xfId="0" applyAlignment="1" applyProtection="1">
      <protection hidden="1"/>
    </xf>
    <xf numFmtId="0" fontId="49" fillId="5" borderId="0" xfId="9" applyFont="1" applyFill="1" applyAlignment="1" applyProtection="1">
      <alignment horizontal="left" vertical="center"/>
      <protection hidden="1"/>
    </xf>
    <xf numFmtId="0" fontId="50" fillId="6" borderId="0" xfId="11" applyNumberFormat="1" applyFont="1" applyFill="1" applyAlignment="1" applyProtection="1">
      <alignment horizontal="center" vertical="center"/>
      <protection hidden="1"/>
    </xf>
    <xf numFmtId="0" fontId="0" fillId="0" borderId="0" xfId="0" applyNumberFormat="1" applyAlignment="1" applyProtection="1">
      <alignment horizontal="center" vertical="center"/>
      <protection hidden="1"/>
    </xf>
    <xf numFmtId="0" fontId="50" fillId="6" borderId="0" xfId="11" applyFont="1" applyFill="1" applyAlignment="1" applyProtection="1">
      <alignment vertical="center"/>
      <protection hidden="1"/>
    </xf>
    <xf numFmtId="0" fontId="38" fillId="5" borderId="0" xfId="11" applyFont="1" applyFill="1" applyAlignment="1" applyProtection="1">
      <alignment horizontal="center" vertical="center" shrinkToFit="1"/>
      <protection hidden="1"/>
    </xf>
    <xf numFmtId="0" fontId="0" fillId="0" borderId="0" xfId="0" applyAlignment="1" applyProtection="1">
      <alignment shrinkToFit="1"/>
      <protection hidden="1"/>
    </xf>
    <xf numFmtId="0" fontId="50" fillId="6" borderId="0" xfId="11" applyFont="1" applyFill="1" applyBorder="1" applyAlignment="1" applyProtection="1">
      <alignment vertical="center"/>
      <protection hidden="1"/>
    </xf>
    <xf numFmtId="0" fontId="72" fillId="6" borderId="0" xfId="0" applyFont="1" applyFill="1" applyAlignment="1" applyProtection="1">
      <protection hidden="1"/>
    </xf>
    <xf numFmtId="0" fontId="15" fillId="5" borderId="0" xfId="0" applyFont="1" applyFill="1" applyAlignment="1" applyProtection="1">
      <protection hidden="1"/>
    </xf>
    <xf numFmtId="0" fontId="41" fillId="5" borderId="0" xfId="11" applyFont="1" applyFill="1" applyAlignment="1" applyProtection="1">
      <protection hidden="1"/>
    </xf>
    <xf numFmtId="0" fontId="124" fillId="5" borderId="0" xfId="11" applyFont="1" applyFill="1" applyAlignment="1" applyProtection="1">
      <protection hidden="1"/>
    </xf>
    <xf numFmtId="0" fontId="60" fillId="5" borderId="0" xfId="18" applyFont="1" applyFill="1" applyBorder="1" applyAlignment="1" applyProtection="1">
      <alignment horizontal="left" vertical="center" shrinkToFit="1"/>
      <protection hidden="1"/>
    </xf>
    <xf numFmtId="0" fontId="48" fillId="5" borderId="0" xfId="18" applyFont="1" applyFill="1" applyBorder="1" applyAlignment="1" applyProtection="1">
      <alignment horizontal="left" vertical="center" shrinkToFit="1"/>
      <protection hidden="1"/>
    </xf>
    <xf numFmtId="0" fontId="52" fillId="5" borderId="0" xfId="9" applyFont="1" applyFill="1" applyAlignment="1" applyProtection="1">
      <alignment horizontal="center" vertical="center"/>
      <protection hidden="1"/>
    </xf>
    <xf numFmtId="169" fontId="48" fillId="5" borderId="0" xfId="11" applyNumberFormat="1" applyFont="1" applyFill="1" applyAlignment="1" applyProtection="1">
      <alignment vertical="center"/>
      <protection hidden="1"/>
    </xf>
    <xf numFmtId="0" fontId="49" fillId="5" borderId="0" xfId="11" applyFont="1" applyFill="1" applyAlignment="1" applyProtection="1">
      <alignment vertical="center"/>
      <protection hidden="1"/>
    </xf>
    <xf numFmtId="0" fontId="49" fillId="0" borderId="0" xfId="11" applyFont="1" applyAlignment="1" applyProtection="1">
      <alignment vertical="center"/>
      <protection hidden="1"/>
    </xf>
    <xf numFmtId="0" fontId="49" fillId="5" borderId="0" xfId="9" applyFont="1" applyFill="1" applyBorder="1" applyAlignment="1" applyProtection="1">
      <alignment horizontal="center" vertical="center"/>
      <protection hidden="1"/>
    </xf>
    <xf numFmtId="0" fontId="53" fillId="0" borderId="0" xfId="11" applyFont="1" applyAlignment="1" applyProtection="1">
      <alignment vertical="center"/>
      <protection hidden="1"/>
    </xf>
    <xf numFmtId="0" fontId="48" fillId="5" borderId="0" xfId="18" applyFont="1" applyFill="1" applyBorder="1" applyAlignment="1" applyProtection="1">
      <alignment wrapText="1"/>
      <protection hidden="1"/>
    </xf>
    <xf numFmtId="0" fontId="72" fillId="0" borderId="0" xfId="0" applyFont="1" applyAlignment="1">
      <alignment wrapText="1"/>
    </xf>
    <xf numFmtId="0" fontId="48" fillId="5" borderId="0" xfId="18" applyFont="1" applyFill="1" applyBorder="1" applyAlignment="1" applyProtection="1">
      <alignment horizontal="left" vertical="top"/>
      <protection hidden="1"/>
    </xf>
    <xf numFmtId="0" fontId="72" fillId="0" borderId="0" xfId="0" applyFont="1" applyAlignment="1">
      <alignment horizontal="left" vertical="top"/>
    </xf>
    <xf numFmtId="1" fontId="50" fillId="6" borderId="0" xfId="11" applyNumberFormat="1" applyFont="1" applyFill="1" applyAlignment="1" applyProtection="1">
      <alignment vertical="center"/>
      <protection hidden="1"/>
    </xf>
    <xf numFmtId="0" fontId="48" fillId="6" borderId="0" xfId="9" applyFont="1" applyFill="1" applyBorder="1" applyAlignment="1" applyProtection="1">
      <alignment horizontal="left" vertical="center"/>
      <protection hidden="1"/>
    </xf>
    <xf numFmtId="0" fontId="48" fillId="6" borderId="0" xfId="11" applyFont="1" applyFill="1" applyBorder="1" applyAlignment="1" applyProtection="1">
      <alignment horizontal="left" vertical="center"/>
      <protection hidden="1"/>
    </xf>
    <xf numFmtId="0" fontId="57" fillId="0" borderId="0" xfId="11" applyFont="1" applyAlignment="1" applyProtection="1">
      <alignment vertical="center"/>
      <protection hidden="1"/>
    </xf>
    <xf numFmtId="0" fontId="48" fillId="5" borderId="0" xfId="9" applyFont="1" applyFill="1" applyBorder="1" applyAlignment="1" applyProtection="1">
      <alignment horizontal="center" vertical="center"/>
      <protection hidden="1"/>
    </xf>
    <xf numFmtId="0" fontId="48" fillId="6" borderId="0" xfId="9" applyFont="1" applyFill="1" applyBorder="1" applyAlignment="1" applyProtection="1">
      <alignment horizontal="right" vertical="center"/>
      <protection hidden="1"/>
    </xf>
    <xf numFmtId="1" fontId="48" fillId="6" borderId="0" xfId="9" applyNumberFormat="1" applyFont="1" applyFill="1" applyBorder="1" applyAlignment="1" applyProtection="1">
      <alignment vertical="center"/>
      <protection hidden="1"/>
    </xf>
    <xf numFmtId="0" fontId="51" fillId="0" borderId="0" xfId="9" applyFont="1" applyFill="1" applyBorder="1" applyAlignment="1" applyProtection="1">
      <alignment horizontal="center" vertical="center"/>
      <protection hidden="1"/>
    </xf>
    <xf numFmtId="0" fontId="40" fillId="0" borderId="0" xfId="11" applyFont="1" applyBorder="1" applyAlignment="1" applyProtection="1">
      <alignment vertical="center"/>
      <protection hidden="1"/>
    </xf>
    <xf numFmtId="0" fontId="118" fillId="5" borderId="0" xfId="11" applyFont="1" applyFill="1" applyBorder="1" applyAlignment="1" applyProtection="1">
      <alignment vertical="center"/>
      <protection hidden="1"/>
    </xf>
    <xf numFmtId="0" fontId="119" fillId="5" borderId="0" xfId="0" applyFont="1" applyFill="1" applyAlignment="1" applyProtection="1">
      <protection hidden="1"/>
    </xf>
    <xf numFmtId="0" fontId="2" fillId="4" borderId="53" xfId="12" applyFont="1" applyFill="1" applyBorder="1" applyAlignment="1">
      <alignment horizontal="center" vertical="center" textRotation="90"/>
    </xf>
    <xf numFmtId="0" fontId="2" fillId="4" borderId="1" xfId="12" applyFont="1" applyFill="1" applyBorder="1" applyAlignment="1">
      <alignment horizontal="center" vertical="center" textRotation="90"/>
    </xf>
    <xf numFmtId="0" fontId="2" fillId="0" borderId="0" xfId="19" applyFont="1" applyBorder="1" applyAlignment="1">
      <alignment horizontal="center"/>
    </xf>
    <xf numFmtId="0" fontId="2" fillId="2" borderId="53" xfId="12" applyFont="1" applyFill="1" applyBorder="1" applyAlignment="1">
      <alignment horizontal="center" vertical="center" textRotation="90"/>
    </xf>
    <xf numFmtId="0" fontId="2" fillId="2" borderId="54" xfId="12" applyFont="1" applyFill="1" applyBorder="1" applyAlignment="1">
      <alignment horizontal="center" vertical="center" textRotation="90"/>
    </xf>
    <xf numFmtId="0" fontId="0" fillId="0" borderId="54" xfId="0" applyBorder="1" applyAlignment="1"/>
    <xf numFmtId="0" fontId="2" fillId="2" borderId="14" xfId="19" applyFont="1" applyFill="1" applyBorder="1" applyAlignment="1" applyProtection="1">
      <alignment horizontal="left"/>
      <protection hidden="1"/>
    </xf>
    <xf numFmtId="0" fontId="2" fillId="0" borderId="14" xfId="19" applyFont="1" applyFill="1" applyBorder="1" applyAlignment="1" applyProtection="1">
      <alignment horizontal="left"/>
      <protection hidden="1"/>
    </xf>
    <xf numFmtId="0" fontId="93" fillId="5" borderId="37" xfId="0" applyFont="1" applyFill="1" applyBorder="1" applyAlignment="1" applyProtection="1">
      <alignment horizontal="center"/>
      <protection hidden="1"/>
    </xf>
    <xf numFmtId="0" fontId="93" fillId="5" borderId="4" xfId="0" applyFont="1" applyFill="1" applyBorder="1" applyAlignment="1" applyProtection="1">
      <alignment horizontal="center"/>
      <protection hidden="1"/>
    </xf>
    <xf numFmtId="0" fontId="102" fillId="15" borderId="16" xfId="15" applyFont="1" applyFill="1" applyBorder="1" applyAlignment="1" applyProtection="1">
      <alignment horizontal="center" wrapText="1"/>
      <protection hidden="1"/>
    </xf>
    <xf numFmtId="0" fontId="102" fillId="15" borderId="30" xfId="15" applyFont="1" applyFill="1" applyBorder="1" applyAlignment="1" applyProtection="1">
      <alignment horizontal="center" wrapText="1"/>
      <protection hidden="1"/>
    </xf>
    <xf numFmtId="0" fontId="78" fillId="15" borderId="16" xfId="0" applyFont="1" applyFill="1" applyBorder="1" applyAlignment="1" applyProtection="1">
      <alignment horizontal="center"/>
      <protection locked="0"/>
    </xf>
    <xf numFmtId="0" fontId="78" fillId="15" borderId="30" xfId="0" applyFont="1" applyFill="1" applyBorder="1" applyAlignment="1" applyProtection="1">
      <alignment horizontal="center"/>
      <protection locked="0"/>
    </xf>
    <xf numFmtId="2" fontId="94" fillId="5" borderId="39" xfId="15" applyNumberFormat="1" applyFont="1" applyFill="1" applyBorder="1" applyAlignment="1" applyProtection="1">
      <alignment horizontal="center" wrapText="1"/>
      <protection locked="0"/>
    </xf>
    <xf numFmtId="2" fontId="94" fillId="5" borderId="41" xfId="15" applyNumberFormat="1" applyFont="1" applyFill="1" applyBorder="1" applyAlignment="1" applyProtection="1">
      <alignment horizontal="center" wrapText="1"/>
      <protection locked="0"/>
    </xf>
    <xf numFmtId="0" fontId="0" fillId="5" borderId="16" xfId="0" applyFill="1" applyBorder="1" applyAlignment="1" applyProtection="1">
      <alignment horizontal="left" vertical="top" wrapText="1" indent="1"/>
      <protection hidden="1"/>
    </xf>
    <xf numFmtId="0" fontId="0" fillId="0" borderId="0" xfId="0" applyBorder="1" applyAlignment="1">
      <alignment horizontal="left" indent="1"/>
    </xf>
    <xf numFmtId="0" fontId="0" fillId="0" borderId="16" xfId="0" applyBorder="1" applyAlignment="1">
      <alignment horizontal="left" indent="1"/>
    </xf>
    <xf numFmtId="0" fontId="102" fillId="15" borderId="10" xfId="15" applyFont="1" applyFill="1" applyBorder="1" applyAlignment="1" applyProtection="1">
      <alignment horizontal="center" wrapText="1"/>
      <protection hidden="1"/>
    </xf>
    <xf numFmtId="0" fontId="102" fillId="15" borderId="5" xfId="15" applyFont="1" applyFill="1" applyBorder="1" applyAlignment="1" applyProtection="1">
      <alignment horizontal="center" wrapText="1"/>
      <protection hidden="1"/>
    </xf>
    <xf numFmtId="0" fontId="102" fillId="15" borderId="15" xfId="15" applyFont="1" applyFill="1" applyBorder="1" applyAlignment="1" applyProtection="1">
      <alignment horizontal="center" wrapText="1"/>
      <protection hidden="1"/>
    </xf>
    <xf numFmtId="0" fontId="78" fillId="5" borderId="45" xfId="0" applyFont="1" applyFill="1" applyBorder="1" applyAlignment="1" applyProtection="1">
      <alignment horizontal="center" vertical="center"/>
      <protection locked="0"/>
    </xf>
    <xf numFmtId="0" fontId="78" fillId="5" borderId="35" xfId="0" applyFont="1" applyFill="1" applyBorder="1" applyAlignment="1" applyProtection="1">
      <alignment horizontal="center" vertical="center"/>
      <protection locked="0"/>
    </xf>
    <xf numFmtId="0" fontId="0" fillId="5" borderId="16" xfId="0" applyFill="1" applyBorder="1" applyAlignment="1" applyProtection="1">
      <alignment horizontal="center" wrapText="1"/>
      <protection hidden="1"/>
    </xf>
    <xf numFmtId="0" fontId="0" fillId="5" borderId="0" xfId="0" applyFill="1" applyBorder="1" applyAlignment="1" applyProtection="1">
      <alignment horizontal="center" wrapText="1"/>
      <protection hidden="1"/>
    </xf>
    <xf numFmtId="0" fontId="0" fillId="5" borderId="0" xfId="0" applyFill="1" applyBorder="1" applyAlignment="1" applyProtection="1">
      <alignment horizontal="left" vertical="top" wrapText="1" indent="1"/>
      <protection hidden="1"/>
    </xf>
    <xf numFmtId="0" fontId="0" fillId="0" borderId="0" xfId="0" applyBorder="1" applyAlignment="1">
      <alignment horizontal="left" wrapText="1" indent="1"/>
    </xf>
    <xf numFmtId="0" fontId="78" fillId="15" borderId="6" xfId="0" applyFont="1" applyFill="1" applyBorder="1" applyAlignment="1" applyProtection="1">
      <alignment horizontal="center"/>
      <protection locked="0"/>
    </xf>
    <xf numFmtId="0" fontId="78" fillId="15" borderId="0" xfId="0" applyFont="1" applyFill="1" applyBorder="1" applyAlignment="1" applyProtection="1">
      <alignment horizontal="center"/>
      <protection locked="0"/>
    </xf>
    <xf numFmtId="0" fontId="102" fillId="15" borderId="10" xfId="0" applyFont="1" applyFill="1" applyBorder="1" applyAlignment="1" applyProtection="1">
      <alignment horizontal="center"/>
      <protection hidden="1"/>
    </xf>
    <xf numFmtId="0" fontId="102" fillId="15" borderId="5" xfId="0" applyFont="1" applyFill="1" applyBorder="1" applyAlignment="1" applyProtection="1">
      <alignment horizontal="center"/>
      <protection hidden="1"/>
    </xf>
    <xf numFmtId="0" fontId="95" fillId="5" borderId="6" xfId="0" applyFont="1" applyFill="1" applyBorder="1" applyAlignment="1" applyProtection="1">
      <alignment horizontal="center" vertical="center"/>
      <protection locked="0"/>
    </xf>
    <xf numFmtId="0" fontId="95" fillId="5" borderId="0" xfId="0" applyFont="1" applyFill="1" applyBorder="1" applyAlignment="1" applyProtection="1">
      <alignment horizontal="center" vertical="center"/>
      <protection locked="0"/>
    </xf>
    <xf numFmtId="0" fontId="95" fillId="5" borderId="36" xfId="0" applyFont="1" applyFill="1" applyBorder="1" applyAlignment="1" applyProtection="1">
      <alignment horizontal="center" vertical="center"/>
      <protection locked="0"/>
    </xf>
    <xf numFmtId="0" fontId="95" fillId="5" borderId="9" xfId="0" applyFont="1" applyFill="1" applyBorder="1" applyAlignment="1" applyProtection="1">
      <alignment horizontal="center" vertical="center"/>
      <protection locked="0"/>
    </xf>
    <xf numFmtId="2" fontId="94" fillId="5" borderId="36" xfId="15" applyNumberFormat="1" applyFont="1" applyFill="1" applyBorder="1" applyAlignment="1" applyProtection="1">
      <alignment horizontal="center" wrapText="1"/>
      <protection locked="0"/>
    </xf>
    <xf numFmtId="2" fontId="94" fillId="5" borderId="9" xfId="15" applyNumberFormat="1" applyFont="1" applyFill="1" applyBorder="1" applyAlignment="1" applyProtection="1">
      <alignment horizontal="center" wrapText="1"/>
      <protection locked="0"/>
    </xf>
    <xf numFmtId="2" fontId="94" fillId="5" borderId="52" xfId="15" applyNumberFormat="1" applyFont="1" applyFill="1" applyBorder="1" applyAlignment="1" applyProtection="1">
      <alignment horizontal="center" wrapText="1"/>
      <protection locked="0"/>
    </xf>
    <xf numFmtId="2" fontId="94" fillId="5" borderId="8" xfId="15" applyNumberFormat="1" applyFont="1" applyFill="1" applyBorder="1" applyAlignment="1" applyProtection="1">
      <alignment horizontal="center" wrapText="1"/>
      <protection locked="0"/>
    </xf>
    <xf numFmtId="2" fontId="94" fillId="5" borderId="7" xfId="15" applyNumberFormat="1" applyFont="1" applyFill="1" applyBorder="1" applyAlignment="1" applyProtection="1">
      <alignment horizontal="center" wrapText="1"/>
      <protection locked="0"/>
    </xf>
    <xf numFmtId="0" fontId="93" fillId="5" borderId="11" xfId="0" applyFont="1" applyFill="1" applyBorder="1" applyAlignment="1" applyProtection="1">
      <alignment horizontal="center"/>
      <protection hidden="1"/>
    </xf>
    <xf numFmtId="0" fontId="86" fillId="6" borderId="0" xfId="15" applyFont="1" applyFill="1" applyBorder="1" applyAlignment="1" applyProtection="1">
      <alignment horizontal="center" wrapText="1"/>
      <protection hidden="1"/>
    </xf>
    <xf numFmtId="0" fontId="0" fillId="5" borderId="16" xfId="0" applyFill="1" applyBorder="1" applyAlignment="1" applyProtection="1">
      <alignment horizontal="left" vertical="top" wrapText="1"/>
      <protection hidden="1"/>
    </xf>
    <xf numFmtId="0" fontId="0" fillId="5" borderId="30" xfId="0" applyFill="1" applyBorder="1" applyAlignment="1" applyProtection="1">
      <alignment horizontal="left" vertical="top" wrapText="1"/>
      <protection hidden="1"/>
    </xf>
    <xf numFmtId="0" fontId="0" fillId="5" borderId="40" xfId="0" applyFill="1" applyBorder="1" applyAlignment="1" applyProtection="1">
      <alignment horizontal="left" vertical="top" wrapText="1"/>
      <protection hidden="1"/>
    </xf>
    <xf numFmtId="0" fontId="0" fillId="5" borderId="52" xfId="0" applyFill="1" applyBorder="1" applyAlignment="1" applyProtection="1">
      <alignment horizontal="left" vertical="top" wrapText="1"/>
      <protection hidden="1"/>
    </xf>
    <xf numFmtId="0" fontId="102" fillId="15" borderId="10" xfId="0" applyFont="1" applyFill="1" applyBorder="1" applyAlignment="1" applyProtection="1">
      <alignment horizontal="center" wrapText="1"/>
      <protection hidden="1"/>
    </xf>
    <xf numFmtId="0" fontId="102" fillId="15" borderId="5" xfId="0" applyFont="1" applyFill="1" applyBorder="1" applyAlignment="1" applyProtection="1">
      <alignment horizontal="center" wrapText="1"/>
      <protection hidden="1"/>
    </xf>
    <xf numFmtId="0" fontId="102" fillId="15" borderId="15" xfId="0" applyFont="1" applyFill="1" applyBorder="1" applyAlignment="1" applyProtection="1">
      <alignment horizontal="center" wrapText="1"/>
      <protection hidden="1"/>
    </xf>
    <xf numFmtId="0" fontId="86" fillId="6" borderId="16" xfId="15" applyFont="1" applyFill="1" applyBorder="1" applyAlignment="1" applyProtection="1">
      <alignment horizontal="center" wrapText="1"/>
      <protection hidden="1"/>
    </xf>
    <xf numFmtId="0" fontId="102" fillId="15" borderId="38" xfId="15" applyFont="1" applyFill="1" applyBorder="1" applyAlignment="1" applyProtection="1">
      <alignment horizontal="center" wrapText="1"/>
      <protection hidden="1"/>
    </xf>
    <xf numFmtId="2" fontId="94" fillId="5" borderId="40" xfId="15" applyNumberFormat="1" applyFont="1" applyFill="1" applyBorder="1" applyAlignment="1" applyProtection="1">
      <alignment horizontal="center" wrapText="1"/>
      <protection locked="0"/>
    </xf>
    <xf numFmtId="0" fontId="2" fillId="2" borderId="19" xfId="19" applyFont="1" applyFill="1" applyBorder="1" applyAlignment="1" applyProtection="1">
      <alignment horizontal="left"/>
      <protection hidden="1"/>
    </xf>
    <xf numFmtId="0" fontId="136" fillId="6" borderId="0" xfId="23" applyFill="1" applyBorder="1" applyAlignment="1" applyProtection="1">
      <alignment horizontal="left" vertical="center"/>
      <protection locked="0" hidden="1"/>
    </xf>
    <xf numFmtId="14" fontId="136" fillId="6" borderId="0" xfId="23" applyNumberFormat="1" applyFill="1" applyBorder="1" applyAlignment="1" applyProtection="1">
      <alignment horizontal="center" wrapText="1" shrinkToFit="1"/>
      <protection locked="0" hidden="1"/>
    </xf>
    <xf numFmtId="0" fontId="136" fillId="6" borderId="7" xfId="23" applyFill="1" applyBorder="1" applyAlignment="1" applyProtection="1">
      <alignment horizontal="left" vertical="center"/>
      <protection locked="0" hidden="1"/>
    </xf>
    <xf numFmtId="0" fontId="136" fillId="6" borderId="0" xfId="23" applyFill="1" applyBorder="1" applyAlignment="1" applyProtection="1">
      <alignment horizontal="right" vertical="center"/>
      <protection locked="0" hidden="1"/>
    </xf>
    <xf numFmtId="0" fontId="139" fillId="6" borderId="0" xfId="23" applyFont="1" applyFill="1" applyBorder="1" applyProtection="1">
      <protection locked="0" hidden="1"/>
    </xf>
    <xf numFmtId="0" fontId="136" fillId="18" borderId="0" xfId="23" applyFill="1" applyBorder="1" applyAlignment="1" applyProtection="1">
      <protection locked="0" hidden="1"/>
    </xf>
  </cellXfs>
  <cellStyles count="24">
    <cellStyle name="Comma_Basic" xfId="1"/>
    <cellStyle name="Currency" xfId="2" builtinId="4"/>
    <cellStyle name="Currency_Data Sheet" xfId="3"/>
    <cellStyle name="Hyperlink" xfId="23" builtinId="8"/>
    <cellStyle name="Normal" xfId="0" builtinId="0"/>
    <cellStyle name="Normal 2" xfId="4"/>
    <cellStyle name="Normal 3" xfId="22"/>
    <cellStyle name="Normal_Basic" xfId="5"/>
    <cellStyle name="Normal_Basic_NPA LSMART_1.6b" xfId="6"/>
    <cellStyle name="Normal_Basic_Sheet1" xfId="7"/>
    <cellStyle name="Normal_Convert" xfId="8"/>
    <cellStyle name="Normal_Data Sheet" xfId="9"/>
    <cellStyle name="Normal_LSM Price NPA_2009a_Pricing_Rep" xfId="10"/>
    <cellStyle name="Normal_NPA LSMART_1.6b" xfId="11"/>
    <cellStyle name="Normal_NPA LSMART_2.0" xfId="12"/>
    <cellStyle name="Normal_NPA LSMART_2.0_1" xfId="13"/>
    <cellStyle name="Normal_Patern Data" xfId="14"/>
    <cellStyle name="Normal_RCK&amp;PN.XLS" xfId="15"/>
    <cellStyle name="Normal_RCK&amp;PN.XLS_Sheet1" xfId="16"/>
    <cellStyle name="Normal_Shaft Weight" xfId="17"/>
    <cellStyle name="Normal_Sheet1" xfId="18"/>
    <cellStyle name="Normal_Spec　Sheet" xfId="19"/>
    <cellStyle name="Percent" xfId="20" builtinId="5"/>
    <cellStyle name="Percent_Sheet1" xfId="21"/>
  </cellStyles>
  <dxfs count="102">
    <dxf>
      <font>
        <condense val="0"/>
        <extend val="0"/>
        <color indexed="8"/>
      </font>
      <border>
        <left style="thin">
          <color indexed="64"/>
        </left>
        <right style="thin">
          <color indexed="64"/>
        </right>
        <top style="thin">
          <color indexed="64"/>
        </top>
        <bottom style="thin">
          <color indexed="64"/>
        </bottom>
      </border>
    </dxf>
    <dxf>
      <font>
        <condense val="0"/>
        <extend val="0"/>
        <color indexed="8"/>
      </font>
      <border>
        <left style="thin">
          <color indexed="64"/>
        </left>
        <right style="thin">
          <color indexed="64"/>
        </right>
        <top style="thin">
          <color indexed="64"/>
        </top>
        <bottom style="thin">
          <color indexed="64"/>
        </bottom>
      </border>
    </dxf>
    <dxf>
      <font>
        <condense val="0"/>
        <extend val="0"/>
        <color indexed="8"/>
      </font>
      <border>
        <left style="thin">
          <color indexed="64"/>
        </left>
        <right style="thin">
          <color indexed="64"/>
        </right>
        <top style="thin">
          <color indexed="64"/>
        </top>
        <bottom style="thin">
          <color indexed="64"/>
        </bottom>
      </border>
    </dxf>
    <dxf>
      <font>
        <condense val="0"/>
        <extend val="0"/>
        <color indexed="8"/>
      </font>
      <border>
        <left style="thin">
          <color indexed="64"/>
        </left>
        <right style="thin">
          <color indexed="64"/>
        </right>
        <top style="thin">
          <color indexed="64"/>
        </top>
        <bottom style="thin">
          <color indexed="64"/>
        </bottom>
      </border>
    </dxf>
    <dxf>
      <font>
        <condense val="0"/>
        <extend val="0"/>
        <color indexed="8"/>
      </font>
      <border>
        <left style="thin">
          <color indexed="64"/>
        </left>
        <right style="thin">
          <color indexed="64"/>
        </right>
        <top style="thin">
          <color indexed="64"/>
        </top>
        <bottom style="thin">
          <color indexed="64"/>
        </bottom>
      </border>
    </dxf>
    <dxf>
      <font>
        <condense val="0"/>
        <extend val="0"/>
        <color indexed="8"/>
      </font>
      <fill>
        <patternFill>
          <bgColor indexed="9"/>
        </patternFill>
      </fill>
      <border>
        <left style="thin">
          <color indexed="64"/>
        </left>
        <right style="thin">
          <color indexed="64"/>
        </right>
        <top style="thin">
          <color indexed="64"/>
        </top>
        <bottom style="thin">
          <color indexed="64"/>
        </bottom>
      </border>
    </dxf>
    <dxf>
      <fill>
        <patternFill patternType="darkUp"/>
      </fill>
    </dxf>
    <dxf>
      <fill>
        <patternFill>
          <bgColor indexed="13"/>
        </patternFill>
      </fill>
    </dxf>
    <dxf>
      <fill>
        <patternFill>
          <bgColor indexed="11"/>
        </patternFill>
      </fill>
    </dxf>
    <dxf>
      <fill>
        <patternFill>
          <bgColor indexed="40"/>
        </patternFill>
      </fill>
    </dxf>
    <dxf>
      <font>
        <condense val="0"/>
        <extend val="0"/>
        <color indexed="47"/>
      </font>
      <fill>
        <patternFill>
          <bgColor indexed="47"/>
        </patternFill>
      </fill>
      <border>
        <left/>
        <right/>
        <top/>
        <bottom/>
      </border>
    </dxf>
    <dxf>
      <font>
        <condense val="0"/>
        <extend val="0"/>
        <color indexed="8"/>
      </font>
    </dxf>
    <dxf>
      <font>
        <condense val="0"/>
        <extend val="0"/>
        <color indexed="10"/>
      </font>
    </dxf>
    <dxf>
      <font>
        <b/>
        <i val="0"/>
        <condense val="0"/>
        <extend val="0"/>
        <color indexed="50"/>
      </font>
    </dxf>
    <dxf>
      <font>
        <condense val="0"/>
        <extend val="0"/>
        <color indexed="47"/>
      </font>
      <fill>
        <patternFill>
          <bgColor indexed="47"/>
        </patternFill>
      </fill>
      <border>
        <left/>
        <right/>
        <top/>
        <bottom/>
      </border>
    </dxf>
    <dxf>
      <fill>
        <patternFill patternType="darkUp"/>
      </fill>
    </dxf>
    <dxf>
      <fill>
        <patternFill patternType="darkUp"/>
      </fill>
    </dxf>
    <dxf>
      <fill>
        <patternFill patternType="darkUp"/>
      </fill>
    </dxf>
    <dxf>
      <fill>
        <patternFill patternType="darkUp"/>
      </fill>
    </dxf>
    <dxf>
      <fill>
        <patternFill patternType="darkUp"/>
      </fill>
    </dxf>
    <dxf>
      <fill>
        <patternFill patternType="darkUp"/>
      </fill>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ill>
        <patternFill>
          <bgColor indexed="13"/>
        </patternFill>
      </fill>
    </dxf>
    <dxf>
      <font>
        <condense val="0"/>
        <extend val="0"/>
        <color indexed="9"/>
      </font>
      <fill>
        <patternFill>
          <bgColor indexed="9"/>
        </patternFill>
      </fill>
    </dxf>
    <dxf>
      <font>
        <condense val="0"/>
        <extend val="0"/>
        <color indexed="9"/>
      </font>
      <fill>
        <patternFill>
          <bgColor indexed="9"/>
        </patternFill>
      </fill>
    </dxf>
    <dxf>
      <fill>
        <patternFill>
          <bgColor indexed="13"/>
        </patternFill>
      </fill>
    </dxf>
    <dxf>
      <font>
        <b val="0"/>
        <condense val="0"/>
        <extend val="0"/>
        <color indexed="9"/>
      </font>
      <fill>
        <patternFill patternType="solid">
          <fgColor indexed="26"/>
          <bgColor indexed="9"/>
        </patternFill>
      </fill>
    </dxf>
    <dxf>
      <font>
        <b val="0"/>
        <condense val="0"/>
        <extend val="0"/>
        <color indexed="9"/>
      </font>
      <fill>
        <patternFill patternType="solid">
          <fgColor indexed="26"/>
          <bgColor indexed="9"/>
        </patternFill>
      </fill>
    </dxf>
    <dxf>
      <fill>
        <patternFill>
          <bgColor indexed="13"/>
        </patternFill>
      </fill>
    </dxf>
    <dxf>
      <fill>
        <patternFill>
          <bgColor indexed="13"/>
        </patternFill>
      </fill>
    </dxf>
    <dxf>
      <fill>
        <patternFill>
          <bgColor rgb="FFFF0000"/>
        </patternFill>
      </fill>
    </dxf>
    <dxf>
      <fill>
        <patternFill>
          <bgColor indexed="43"/>
        </patternFill>
      </fill>
    </dxf>
    <dxf>
      <font>
        <condense val="0"/>
        <extend val="0"/>
        <color indexed="9"/>
      </font>
      <fill>
        <patternFill>
          <bgColor indexed="9"/>
        </patternFill>
      </fill>
    </dxf>
    <dxf>
      <font>
        <condense val="0"/>
        <extend val="0"/>
        <color indexed="9"/>
      </font>
      <fill>
        <patternFill>
          <bgColor indexed="9"/>
        </patternFill>
      </fill>
    </dxf>
    <dxf>
      <fill>
        <patternFill>
          <bgColor indexed="43"/>
        </patternFill>
      </fill>
    </dxf>
    <dxf>
      <font>
        <condense val="0"/>
        <extend val="0"/>
        <color indexed="9"/>
      </font>
      <fill>
        <patternFill>
          <bgColor indexed="9"/>
        </patternFill>
      </fill>
    </dxf>
    <dxf>
      <font>
        <condense val="0"/>
        <extend val="0"/>
        <color indexed="9"/>
      </font>
      <fill>
        <patternFill>
          <bgColor indexed="9"/>
        </patternFill>
      </fill>
    </dxf>
    <dxf>
      <fill>
        <patternFill>
          <bgColor indexed="43"/>
        </patternFill>
      </fill>
    </dxf>
    <dxf>
      <font>
        <b val="0"/>
        <condense val="0"/>
        <extend val="0"/>
        <color indexed="9"/>
      </font>
      <fill>
        <patternFill patternType="solid">
          <fgColor indexed="26"/>
          <bgColor indexed="9"/>
        </patternFill>
      </fill>
    </dxf>
    <dxf>
      <font>
        <b val="0"/>
        <condense val="0"/>
        <extend val="0"/>
        <color indexed="9"/>
      </font>
      <fill>
        <patternFill patternType="solid">
          <fgColor indexed="26"/>
          <bgColor indexed="9"/>
        </patternFill>
      </fill>
    </dxf>
    <dxf>
      <fill>
        <patternFill>
          <bgColor indexed="43"/>
        </patternFill>
      </fill>
    </dxf>
    <dxf>
      <font>
        <condense val="0"/>
        <extend val="0"/>
        <color indexed="9"/>
      </font>
      <fill>
        <patternFill>
          <bgColor indexed="9"/>
        </patternFill>
      </fill>
    </dxf>
    <dxf>
      <font>
        <condense val="0"/>
        <extend val="0"/>
        <color indexed="9"/>
      </font>
      <fill>
        <patternFill>
          <bgColor indexed="9"/>
        </patternFill>
      </fill>
    </dxf>
    <dxf>
      <fill>
        <patternFill>
          <bgColor indexed="43"/>
        </patternFill>
      </fill>
    </dxf>
    <dxf>
      <font>
        <b val="0"/>
        <condense val="0"/>
        <extend val="0"/>
        <color indexed="9"/>
      </font>
      <fill>
        <patternFill patternType="solid">
          <fgColor indexed="26"/>
          <bgColor indexed="9"/>
        </patternFill>
      </fill>
    </dxf>
    <dxf>
      <font>
        <b val="0"/>
        <condense val="0"/>
        <extend val="0"/>
        <color indexed="9"/>
      </font>
      <fill>
        <patternFill patternType="solid">
          <fgColor indexed="26"/>
          <bgColor indexed="9"/>
        </patternFill>
      </fill>
    </dxf>
    <dxf>
      <fill>
        <patternFill>
          <bgColor indexed="43"/>
        </patternFill>
      </fill>
    </dxf>
    <dxf>
      <font>
        <b val="0"/>
        <condense val="0"/>
        <extend val="0"/>
        <color indexed="9"/>
      </font>
      <fill>
        <patternFill patternType="solid">
          <fgColor indexed="26"/>
          <bgColor indexed="9"/>
        </patternFill>
      </fill>
    </dxf>
    <dxf>
      <font>
        <b val="0"/>
        <condense val="0"/>
        <extend val="0"/>
        <color indexed="9"/>
      </font>
      <fill>
        <patternFill patternType="solid">
          <fgColor indexed="26"/>
          <bgColor indexed="9"/>
        </patternFill>
      </fill>
    </dxf>
    <dxf>
      <font>
        <condense val="0"/>
        <extend val="0"/>
        <color indexed="10"/>
      </font>
      <fill>
        <patternFill>
          <bgColor indexed="43"/>
        </patternFill>
      </fill>
    </dxf>
    <dxf>
      <font>
        <condense val="0"/>
        <extend val="0"/>
        <color indexed="10"/>
      </font>
      <fill>
        <patternFill>
          <bgColor indexed="43"/>
        </patternFill>
      </fill>
    </dxf>
    <dxf>
      <font>
        <b/>
        <i val="0"/>
        <condense val="0"/>
        <extend val="0"/>
        <color indexed="17"/>
      </font>
    </dxf>
    <dxf>
      <font>
        <condense val="0"/>
        <extend val="0"/>
        <color indexed="34"/>
      </font>
      <fill>
        <patternFill>
          <bgColor indexed="10"/>
        </patternFill>
      </fill>
    </dxf>
    <dxf>
      <font>
        <condense val="0"/>
        <extend val="0"/>
        <color indexed="10"/>
      </font>
      <fill>
        <patternFill>
          <bgColor indexed="43"/>
        </patternFill>
      </fill>
    </dxf>
    <dxf>
      <font>
        <condense val="0"/>
        <extend val="0"/>
        <color indexed="10"/>
      </font>
      <fill>
        <patternFill>
          <bgColor indexed="43"/>
        </patternFill>
      </fill>
    </dxf>
    <dxf>
      <font>
        <condense val="0"/>
        <extend val="0"/>
        <color indexed="10"/>
      </font>
      <fill>
        <patternFill>
          <bgColor indexed="43"/>
        </patternFill>
      </fill>
    </dxf>
    <dxf>
      <fill>
        <patternFill>
          <bgColor indexed="10"/>
        </patternFill>
      </fill>
    </dxf>
    <dxf>
      <font>
        <condense val="0"/>
        <extend val="0"/>
        <color auto="1"/>
      </font>
      <fill>
        <patternFill>
          <bgColor indexed="10"/>
        </patternFill>
      </fill>
    </dxf>
    <dxf>
      <font>
        <b val="0"/>
        <condense val="0"/>
        <extend val="0"/>
        <color indexed="9"/>
      </font>
      <fill>
        <patternFill patternType="solid">
          <fgColor indexed="26"/>
          <bgColor indexed="9"/>
        </patternFill>
      </fill>
    </dxf>
    <dxf>
      <font>
        <b val="0"/>
        <condense val="0"/>
        <extend val="0"/>
        <color indexed="9"/>
      </font>
      <fill>
        <patternFill patternType="solid">
          <fgColor indexed="26"/>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condense val="0"/>
        <extend val="0"/>
        <color indexed="9"/>
      </font>
      <fill>
        <patternFill>
          <bgColor indexed="9"/>
        </patternFill>
      </fill>
    </dxf>
    <dxf>
      <font>
        <b val="0"/>
        <condense val="0"/>
        <extend val="0"/>
        <color indexed="13"/>
      </font>
      <fill>
        <patternFill patternType="solid">
          <fgColor indexed="34"/>
          <bgColor indexed="13"/>
        </patternFill>
      </fill>
    </dxf>
    <dxf>
      <font>
        <b val="0"/>
        <condense val="0"/>
        <extend val="0"/>
        <color indexed="11"/>
      </font>
      <fill>
        <patternFill patternType="solid">
          <fgColor indexed="49"/>
          <bgColor indexed="11"/>
        </patternFill>
      </fill>
    </dxf>
    <dxf>
      <font>
        <condense val="0"/>
        <extend val="0"/>
        <color indexed="40"/>
      </font>
      <fill>
        <patternFill patternType="solid">
          <fgColor indexed="39"/>
          <bgColor indexed="40"/>
        </patternFill>
      </fill>
    </dxf>
    <dxf>
      <fill>
        <patternFill>
          <bgColor indexed="13"/>
        </patternFill>
      </fill>
    </dxf>
    <dxf>
      <font>
        <b val="0"/>
        <condense val="0"/>
        <extend val="0"/>
        <color indexed="9"/>
      </font>
      <fill>
        <patternFill patternType="solid">
          <fgColor indexed="26"/>
          <bgColor indexed="9"/>
        </patternFill>
      </fill>
    </dxf>
    <dxf>
      <font>
        <b val="0"/>
        <condense val="0"/>
        <extend val="0"/>
        <color indexed="9"/>
      </font>
      <fill>
        <patternFill patternType="solid">
          <fgColor indexed="26"/>
          <bgColor indexed="9"/>
        </patternFill>
      </fill>
    </dxf>
    <dxf>
      <fill>
        <patternFill>
          <bgColor indexed="43"/>
        </patternFill>
      </fill>
    </dxf>
    <dxf>
      <font>
        <condense val="0"/>
        <extend val="0"/>
        <color indexed="9"/>
      </font>
      <fill>
        <patternFill>
          <bgColor indexed="9"/>
        </patternFill>
      </fill>
    </dxf>
    <dxf>
      <font>
        <condense val="0"/>
        <extend val="0"/>
        <color indexed="9"/>
      </font>
      <fill>
        <patternFill>
          <bgColor indexed="9"/>
        </patternFill>
      </fill>
    </dxf>
    <dxf>
      <fill>
        <patternFill>
          <bgColor indexed="43"/>
        </patternFill>
      </fill>
    </dxf>
    <dxf>
      <font>
        <condense val="0"/>
        <extend val="0"/>
        <color indexed="9"/>
      </font>
      <fill>
        <patternFill>
          <bgColor indexed="9"/>
        </patternFill>
      </fill>
    </dxf>
    <dxf>
      <font>
        <condense val="0"/>
        <extend val="0"/>
        <color indexed="9"/>
      </font>
      <fill>
        <patternFill>
          <bgColor indexed="9"/>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Arial"/>
                <a:ea typeface="Arial"/>
                <a:cs typeface="Arial"/>
              </a:defRPr>
            </a:pPr>
            <a:r>
              <a:rPr lang="en-US"/>
              <a:t>Velocity and Force Profiles</a:t>
            </a:r>
          </a:p>
        </c:rich>
      </c:tx>
      <c:layout>
        <c:manualLayout>
          <c:xMode val="edge"/>
          <c:yMode val="edge"/>
          <c:x val="0.39307550108597822"/>
          <c:y val="3.860994119921056E-2"/>
        </c:manualLayout>
      </c:layout>
      <c:overlay val="0"/>
      <c:spPr>
        <a:noFill/>
        <a:ln w="25400">
          <a:noFill/>
        </a:ln>
      </c:spPr>
    </c:title>
    <c:autoTitleDeleted val="0"/>
    <c:plotArea>
      <c:layout>
        <c:manualLayout>
          <c:layoutTarget val="inner"/>
          <c:xMode val="edge"/>
          <c:yMode val="edge"/>
          <c:x val="9.6107213870993399E-2"/>
          <c:y val="0.2454788500274675"/>
          <c:w val="0.83758979466740746"/>
          <c:h val="0.57752156583683778"/>
        </c:manualLayout>
      </c:layout>
      <c:scatterChart>
        <c:scatterStyle val="lineMarker"/>
        <c:varyColors val="0"/>
        <c:ser>
          <c:idx val="0"/>
          <c:order val="0"/>
          <c:tx>
            <c:v>Velocity</c:v>
          </c:tx>
          <c:spPr>
            <a:ln w="25400">
              <a:solidFill>
                <a:srgbClr val="339933"/>
              </a:solidFill>
              <a:prstDash val="solid"/>
            </a:ln>
          </c:spPr>
          <c:marker>
            <c:symbol val="none"/>
          </c:marker>
          <c:xVal>
            <c:numRef>
              <c:f>Smart!$AX$30:$AX$186</c:f>
              <c:numCache>
                <c:formatCode>General</c:formatCode>
                <c:ptCount val="157"/>
                <c:pt idx="0">
                  <c:v>0</c:v>
                </c:pt>
                <c:pt idx="1">
                  <c:v>0</c:v>
                </c:pt>
                <c:pt idx="2">
                  <c:v>8.0000000000000002E-3</c:v>
                </c:pt>
                <c:pt idx="3">
                  <c:v>1.6E-2</c:v>
                </c:pt>
                <c:pt idx="4">
                  <c:v>2.4E-2</c:v>
                </c:pt>
                <c:pt idx="5">
                  <c:v>3.2000000000000001E-2</c:v>
                </c:pt>
                <c:pt idx="6">
                  <c:v>0.04</c:v>
                </c:pt>
                <c:pt idx="7">
                  <c:v>4.8000000000000001E-2</c:v>
                </c:pt>
                <c:pt idx="8">
                  <c:v>5.6000000000000001E-2</c:v>
                </c:pt>
                <c:pt idx="9">
                  <c:v>6.4000000000000001E-2</c:v>
                </c:pt>
                <c:pt idx="10">
                  <c:v>7.2000000000000008E-2</c:v>
                </c:pt>
                <c:pt idx="11">
                  <c:v>8.0000000000000016E-2</c:v>
                </c:pt>
                <c:pt idx="12">
                  <c:v>0.08</c:v>
                </c:pt>
                <c:pt idx="13">
                  <c:v>0.625</c:v>
                </c:pt>
                <c:pt idx="14">
                  <c:v>0.625</c:v>
                </c:pt>
                <c:pt idx="15">
                  <c:v>0.63300000000000001</c:v>
                </c:pt>
                <c:pt idx="16">
                  <c:v>0.64100000000000001</c:v>
                </c:pt>
                <c:pt idx="17">
                  <c:v>0.64900000000000002</c:v>
                </c:pt>
                <c:pt idx="18">
                  <c:v>0.65700000000000003</c:v>
                </c:pt>
                <c:pt idx="19">
                  <c:v>0.66500000000000004</c:v>
                </c:pt>
                <c:pt idx="20">
                  <c:v>0.67300000000000004</c:v>
                </c:pt>
                <c:pt idx="21">
                  <c:v>0.68100000000000005</c:v>
                </c:pt>
                <c:pt idx="22">
                  <c:v>0.68900000000000006</c:v>
                </c:pt>
                <c:pt idx="23">
                  <c:v>0.69700000000000006</c:v>
                </c:pt>
                <c:pt idx="24">
                  <c:v>0.70500000000000007</c:v>
                </c:pt>
                <c:pt idx="25">
                  <c:v>0.70499999999999996</c:v>
                </c:pt>
                <c:pt idx="26">
                  <c:v>40.704999999999998</c:v>
                </c:pt>
                <c:pt idx="27">
                  <c:v>40.704999999999998</c:v>
                </c:pt>
                <c:pt idx="28">
                  <c:v>40.704999999999998</c:v>
                </c:pt>
                <c:pt idx="29">
                  <c:v>40.704999999999998</c:v>
                </c:pt>
                <c:pt idx="30">
                  <c:v>40.704999999999998</c:v>
                </c:pt>
                <c:pt idx="31">
                  <c:v>40.704999999999998</c:v>
                </c:pt>
                <c:pt idx="32">
                  <c:v>40.704999999999998</c:v>
                </c:pt>
                <c:pt idx="33">
                  <c:v>40.704999999999998</c:v>
                </c:pt>
                <c:pt idx="34">
                  <c:v>40.704999999999998</c:v>
                </c:pt>
                <c:pt idx="35">
                  <c:v>40.704999999999998</c:v>
                </c:pt>
                <c:pt idx="36">
                  <c:v>40.704999999999998</c:v>
                </c:pt>
                <c:pt idx="37">
                  <c:v>40.704999999999998</c:v>
                </c:pt>
                <c:pt idx="38">
                  <c:v>40.704999999999998</c:v>
                </c:pt>
                <c:pt idx="39">
                  <c:v>40.704999999999998</c:v>
                </c:pt>
                <c:pt idx="40">
                  <c:v>40.704999999999998</c:v>
                </c:pt>
                <c:pt idx="41">
                  <c:v>40.704999999999998</c:v>
                </c:pt>
                <c:pt idx="42">
                  <c:v>40.704999999999998</c:v>
                </c:pt>
                <c:pt idx="43">
                  <c:v>40.704999999999998</c:v>
                </c:pt>
                <c:pt idx="44">
                  <c:v>40.704999999999998</c:v>
                </c:pt>
                <c:pt idx="45">
                  <c:v>40.704999999999998</c:v>
                </c:pt>
                <c:pt idx="46">
                  <c:v>40.704999999999998</c:v>
                </c:pt>
                <c:pt idx="47">
                  <c:v>40.704999999999998</c:v>
                </c:pt>
                <c:pt idx="48">
                  <c:v>40.704999999999998</c:v>
                </c:pt>
                <c:pt idx="49">
                  <c:v>40.704999999999998</c:v>
                </c:pt>
                <c:pt idx="50">
                  <c:v>40.704999999999998</c:v>
                </c:pt>
                <c:pt idx="51">
                  <c:v>40.704999999999998</c:v>
                </c:pt>
                <c:pt idx="52">
                  <c:v>40.704999999999998</c:v>
                </c:pt>
                <c:pt idx="53">
                  <c:v>40.704999999999998</c:v>
                </c:pt>
                <c:pt idx="54">
                  <c:v>40.704999999999998</c:v>
                </c:pt>
                <c:pt idx="55">
                  <c:v>40.704999999999998</c:v>
                </c:pt>
                <c:pt idx="56">
                  <c:v>40.704999999999998</c:v>
                </c:pt>
                <c:pt idx="57">
                  <c:v>40.704999999999998</c:v>
                </c:pt>
                <c:pt idx="58">
                  <c:v>40.704999999999998</c:v>
                </c:pt>
                <c:pt idx="59">
                  <c:v>40.704999999999998</c:v>
                </c:pt>
                <c:pt idx="60">
                  <c:v>40.704999999999998</c:v>
                </c:pt>
                <c:pt idx="61">
                  <c:v>40.704999999999998</c:v>
                </c:pt>
                <c:pt idx="62">
                  <c:v>40.704999999999998</c:v>
                </c:pt>
                <c:pt idx="63">
                  <c:v>40.704999999999998</c:v>
                </c:pt>
                <c:pt idx="64">
                  <c:v>40.704999999999998</c:v>
                </c:pt>
                <c:pt idx="65">
                  <c:v>40.704999999999998</c:v>
                </c:pt>
                <c:pt idx="66">
                  <c:v>40.704999999999998</c:v>
                </c:pt>
                <c:pt idx="67">
                  <c:v>40.704999999999998</c:v>
                </c:pt>
                <c:pt idx="68">
                  <c:v>40.704999999999998</c:v>
                </c:pt>
                <c:pt idx="69">
                  <c:v>40.704999999999998</c:v>
                </c:pt>
                <c:pt idx="70">
                  <c:v>40.704999999999998</c:v>
                </c:pt>
                <c:pt idx="71">
                  <c:v>40.704999999999998</c:v>
                </c:pt>
                <c:pt idx="72">
                  <c:v>40.704999999999998</c:v>
                </c:pt>
                <c:pt idx="73">
                  <c:v>40.704999999999998</c:v>
                </c:pt>
                <c:pt idx="74">
                  <c:v>40.704999999999998</c:v>
                </c:pt>
                <c:pt idx="75">
                  <c:v>40.704999999999998</c:v>
                </c:pt>
                <c:pt idx="76">
                  <c:v>40.704999999999998</c:v>
                </c:pt>
                <c:pt idx="77">
                  <c:v>40.704999999999998</c:v>
                </c:pt>
                <c:pt idx="78">
                  <c:v>40.704999999999998</c:v>
                </c:pt>
                <c:pt idx="79">
                  <c:v>40.704999999999998</c:v>
                </c:pt>
                <c:pt idx="80">
                  <c:v>40.704999999999998</c:v>
                </c:pt>
                <c:pt idx="81">
                  <c:v>40.704999999999998</c:v>
                </c:pt>
                <c:pt idx="82">
                  <c:v>40.704999999999998</c:v>
                </c:pt>
                <c:pt idx="83">
                  <c:v>40.704999999999998</c:v>
                </c:pt>
                <c:pt idx="84">
                  <c:v>40.704999999999998</c:v>
                </c:pt>
                <c:pt idx="85">
                  <c:v>40.704999999999998</c:v>
                </c:pt>
                <c:pt idx="86">
                  <c:v>40.704999999999998</c:v>
                </c:pt>
                <c:pt idx="87">
                  <c:v>40.704999999999998</c:v>
                </c:pt>
                <c:pt idx="88">
                  <c:v>40.704999999999998</c:v>
                </c:pt>
                <c:pt idx="89">
                  <c:v>40.704999999999998</c:v>
                </c:pt>
                <c:pt idx="90">
                  <c:v>40.704999999999998</c:v>
                </c:pt>
                <c:pt idx="91">
                  <c:v>40.704999999999998</c:v>
                </c:pt>
                <c:pt idx="92">
                  <c:v>40.704999999999998</c:v>
                </c:pt>
                <c:pt idx="93">
                  <c:v>40.704999999999998</c:v>
                </c:pt>
                <c:pt idx="94">
                  <c:v>40.704999999999998</c:v>
                </c:pt>
                <c:pt idx="95">
                  <c:v>40.704999999999998</c:v>
                </c:pt>
                <c:pt idx="96">
                  <c:v>40.704999999999998</c:v>
                </c:pt>
                <c:pt idx="97">
                  <c:v>40.704999999999998</c:v>
                </c:pt>
                <c:pt idx="98">
                  <c:v>40.704999999999998</c:v>
                </c:pt>
                <c:pt idx="99">
                  <c:v>40.704999999999998</c:v>
                </c:pt>
                <c:pt idx="100">
                  <c:v>40.704999999999998</c:v>
                </c:pt>
                <c:pt idx="101">
                  <c:v>40.704999999999998</c:v>
                </c:pt>
                <c:pt idx="102">
                  <c:v>40.704999999999998</c:v>
                </c:pt>
                <c:pt idx="103">
                  <c:v>40.704999999999998</c:v>
                </c:pt>
                <c:pt idx="104">
                  <c:v>40.704999999999998</c:v>
                </c:pt>
                <c:pt idx="105">
                  <c:v>40.704999999999998</c:v>
                </c:pt>
                <c:pt idx="106">
                  <c:v>40.704999999999998</c:v>
                </c:pt>
                <c:pt idx="107">
                  <c:v>40.704999999999998</c:v>
                </c:pt>
                <c:pt idx="108">
                  <c:v>40.704999999999998</c:v>
                </c:pt>
                <c:pt idx="109">
                  <c:v>40.704999999999998</c:v>
                </c:pt>
                <c:pt idx="110">
                  <c:v>40.704999999999998</c:v>
                </c:pt>
                <c:pt idx="111">
                  <c:v>40.704999999999998</c:v>
                </c:pt>
                <c:pt idx="112">
                  <c:v>40.704999999999998</c:v>
                </c:pt>
                <c:pt idx="113">
                  <c:v>40.704999999999998</c:v>
                </c:pt>
                <c:pt idx="114">
                  <c:v>40.704999999999998</c:v>
                </c:pt>
                <c:pt idx="115">
                  <c:v>40.704999999999998</c:v>
                </c:pt>
                <c:pt idx="116">
                  <c:v>40.704999999999998</c:v>
                </c:pt>
                <c:pt idx="117">
                  <c:v>40.704999999999998</c:v>
                </c:pt>
                <c:pt idx="118">
                  <c:v>40.704999999999998</c:v>
                </c:pt>
                <c:pt idx="119">
                  <c:v>40.704999999999998</c:v>
                </c:pt>
                <c:pt idx="120">
                  <c:v>40.704999999999998</c:v>
                </c:pt>
                <c:pt idx="121">
                  <c:v>40.704999999999998</c:v>
                </c:pt>
                <c:pt idx="122">
                  <c:v>40.704999999999998</c:v>
                </c:pt>
                <c:pt idx="123">
                  <c:v>40.704999999999998</c:v>
                </c:pt>
                <c:pt idx="124">
                  <c:v>40.704999999999998</c:v>
                </c:pt>
                <c:pt idx="125">
                  <c:v>40.704999999999998</c:v>
                </c:pt>
                <c:pt idx="126">
                  <c:v>40.704999999999998</c:v>
                </c:pt>
                <c:pt idx="127">
                  <c:v>40.704999999999998</c:v>
                </c:pt>
                <c:pt idx="128">
                  <c:v>40.704999999999998</c:v>
                </c:pt>
                <c:pt idx="129">
                  <c:v>40.704999999999998</c:v>
                </c:pt>
                <c:pt idx="130">
                  <c:v>40.704999999999998</c:v>
                </c:pt>
                <c:pt idx="131">
                  <c:v>40.704999999999998</c:v>
                </c:pt>
                <c:pt idx="132">
                  <c:v>40.704999999999998</c:v>
                </c:pt>
                <c:pt idx="133">
                  <c:v>40.704999999999998</c:v>
                </c:pt>
                <c:pt idx="134">
                  <c:v>40.704999999999998</c:v>
                </c:pt>
                <c:pt idx="135">
                  <c:v>40.704999999999998</c:v>
                </c:pt>
                <c:pt idx="136">
                  <c:v>40.704999999999998</c:v>
                </c:pt>
                <c:pt idx="137">
                  <c:v>40.704999999999998</c:v>
                </c:pt>
                <c:pt idx="138">
                  <c:v>40.704999999999998</c:v>
                </c:pt>
                <c:pt idx="139">
                  <c:v>40.704999999999998</c:v>
                </c:pt>
                <c:pt idx="140">
                  <c:v>40.704999999999998</c:v>
                </c:pt>
                <c:pt idx="141">
                  <c:v>40.704999999999998</c:v>
                </c:pt>
                <c:pt idx="142">
                  <c:v>40.704999999999998</c:v>
                </c:pt>
                <c:pt idx="143">
                  <c:v>40.704999999999998</c:v>
                </c:pt>
                <c:pt idx="144">
                  <c:v>40.704999999999998</c:v>
                </c:pt>
                <c:pt idx="145">
                  <c:v>40.704999999999998</c:v>
                </c:pt>
                <c:pt idx="146">
                  <c:v>40.704999999999998</c:v>
                </c:pt>
                <c:pt idx="147">
                  <c:v>40.704999999999998</c:v>
                </c:pt>
                <c:pt idx="148">
                  <c:v>40.704999999999998</c:v>
                </c:pt>
                <c:pt idx="149">
                  <c:v>40.704999999999998</c:v>
                </c:pt>
                <c:pt idx="150">
                  <c:v>40.704999999999998</c:v>
                </c:pt>
                <c:pt idx="151">
                  <c:v>40.704999999999998</c:v>
                </c:pt>
                <c:pt idx="152">
                  <c:v>40.704999999999998</c:v>
                </c:pt>
                <c:pt idx="153">
                  <c:v>40.704999999999998</c:v>
                </c:pt>
                <c:pt idx="154">
                  <c:v>40.704999999999998</c:v>
                </c:pt>
                <c:pt idx="155">
                  <c:v>40.704999999999998</c:v>
                </c:pt>
                <c:pt idx="156">
                  <c:v>40.704999999999998</c:v>
                </c:pt>
              </c:numCache>
            </c:numRef>
          </c:xVal>
          <c:yVal>
            <c:numRef>
              <c:f>Smart!$AV$30:$AV$186</c:f>
              <c:numCache>
                <c:formatCode>General</c:formatCode>
                <c:ptCount val="157"/>
                <c:pt idx="0">
                  <c:v>0</c:v>
                </c:pt>
                <c:pt idx="1">
                  <c:v>0</c:v>
                </c:pt>
                <c:pt idx="2">
                  <c:v>0.6399999999999999</c:v>
                </c:pt>
                <c:pt idx="3">
                  <c:v>2.5599999999999996</c:v>
                </c:pt>
                <c:pt idx="4">
                  <c:v>5.6000000000000005</c:v>
                </c:pt>
                <c:pt idx="5">
                  <c:v>8.7999999999999989</c:v>
                </c:pt>
                <c:pt idx="6">
                  <c:v>12</c:v>
                </c:pt>
                <c:pt idx="7">
                  <c:v>15.2</c:v>
                </c:pt>
                <c:pt idx="8">
                  <c:v>18.400000000000002</c:v>
                </c:pt>
                <c:pt idx="9">
                  <c:v>21.44</c:v>
                </c:pt>
                <c:pt idx="10">
                  <c:v>23.36</c:v>
                </c:pt>
                <c:pt idx="11">
                  <c:v>24</c:v>
                </c:pt>
                <c:pt idx="12">
                  <c:v>24</c:v>
                </c:pt>
                <c:pt idx="13">
                  <c:v>24</c:v>
                </c:pt>
                <c:pt idx="14">
                  <c:v>24</c:v>
                </c:pt>
                <c:pt idx="15">
                  <c:v>23.36</c:v>
                </c:pt>
                <c:pt idx="16">
                  <c:v>21.44</c:v>
                </c:pt>
                <c:pt idx="17">
                  <c:v>18.400000000000002</c:v>
                </c:pt>
                <c:pt idx="18">
                  <c:v>15.2</c:v>
                </c:pt>
                <c:pt idx="19">
                  <c:v>12</c:v>
                </c:pt>
                <c:pt idx="20">
                  <c:v>8.7999999999999989</c:v>
                </c:pt>
                <c:pt idx="21">
                  <c:v>5.6000000000000005</c:v>
                </c:pt>
                <c:pt idx="22">
                  <c:v>2.5599999999999996</c:v>
                </c:pt>
                <c:pt idx="23">
                  <c:v>0.6399999999999999</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numCache>
            </c:numRef>
          </c:yVal>
          <c:smooth val="0"/>
          <c:extLst xmlns:c16r2="http://schemas.microsoft.com/office/drawing/2015/06/chart">
            <c:ext xmlns:c16="http://schemas.microsoft.com/office/drawing/2014/chart" uri="{C3380CC4-5D6E-409C-BE32-E72D297353CC}">
              <c16:uniqueId val="{00000000-C01D-439B-BA19-A5DA1AAAAC61}"/>
            </c:ext>
          </c:extLst>
        </c:ser>
        <c:ser>
          <c:idx val="2"/>
          <c:order val="2"/>
          <c:tx>
            <c:v>Max Accl / Velocity</c:v>
          </c:tx>
          <c:spPr>
            <a:ln w="25400">
              <a:solidFill>
                <a:srgbClr val="FF0000"/>
              </a:solidFill>
              <a:prstDash val="solid"/>
            </a:ln>
          </c:spPr>
          <c:marker>
            <c:symbol val="none"/>
          </c:marker>
          <c:xVal>
            <c:numRef>
              <c:f>Smart!$IC$3:$IC$506</c:f>
              <c:numCache>
                <c:formatCode>General</c:formatCode>
                <c:ptCount val="504"/>
                <c:pt idx="0">
                  <c:v>0</c:v>
                </c:pt>
                <c:pt idx="1">
                  <c:v>5.0000000000000001E-4</c:v>
                </c:pt>
                <c:pt idx="2">
                  <c:v>1E-3</c:v>
                </c:pt>
                <c:pt idx="3">
                  <c:v>1E-3</c:v>
                </c:pt>
                <c:pt idx="4">
                  <c:v>1E-3</c:v>
                </c:pt>
                <c:pt idx="5">
                  <c:v>1E-3</c:v>
                </c:pt>
                <c:pt idx="6">
                  <c:v>1E-3</c:v>
                </c:pt>
                <c:pt idx="7">
                  <c:v>1E-3</c:v>
                </c:pt>
                <c:pt idx="8">
                  <c:v>1E-3</c:v>
                </c:pt>
                <c:pt idx="9">
                  <c:v>1E-3</c:v>
                </c:pt>
                <c:pt idx="10">
                  <c:v>1E-3</c:v>
                </c:pt>
                <c:pt idx="11">
                  <c:v>1E-3</c:v>
                </c:pt>
                <c:pt idx="12">
                  <c:v>1E-3</c:v>
                </c:pt>
                <c:pt idx="13">
                  <c:v>1E-3</c:v>
                </c:pt>
                <c:pt idx="14">
                  <c:v>1E-3</c:v>
                </c:pt>
                <c:pt idx="15">
                  <c:v>1E-3</c:v>
                </c:pt>
                <c:pt idx="16">
                  <c:v>1E-3</c:v>
                </c:pt>
                <c:pt idx="17">
                  <c:v>1E-3</c:v>
                </c:pt>
                <c:pt idx="18">
                  <c:v>1E-3</c:v>
                </c:pt>
                <c:pt idx="19">
                  <c:v>1E-3</c:v>
                </c:pt>
                <c:pt idx="20">
                  <c:v>1E-3</c:v>
                </c:pt>
                <c:pt idx="21">
                  <c:v>1E-3</c:v>
                </c:pt>
                <c:pt idx="22">
                  <c:v>1E-3</c:v>
                </c:pt>
                <c:pt idx="23">
                  <c:v>1E-3</c:v>
                </c:pt>
                <c:pt idx="24">
                  <c:v>1E-3</c:v>
                </c:pt>
                <c:pt idx="25">
                  <c:v>1E-3</c:v>
                </c:pt>
                <c:pt idx="26">
                  <c:v>1E-3</c:v>
                </c:pt>
                <c:pt idx="27">
                  <c:v>1E-3</c:v>
                </c:pt>
                <c:pt idx="28">
                  <c:v>1E-3</c:v>
                </c:pt>
                <c:pt idx="29">
                  <c:v>1E-3</c:v>
                </c:pt>
                <c:pt idx="30">
                  <c:v>1E-3</c:v>
                </c:pt>
                <c:pt idx="31">
                  <c:v>1E-3</c:v>
                </c:pt>
                <c:pt idx="32">
                  <c:v>1E-3</c:v>
                </c:pt>
                <c:pt idx="33">
                  <c:v>1E-3</c:v>
                </c:pt>
                <c:pt idx="34">
                  <c:v>1E-3</c:v>
                </c:pt>
                <c:pt idx="35">
                  <c:v>1E-3</c:v>
                </c:pt>
                <c:pt idx="36">
                  <c:v>1E-3</c:v>
                </c:pt>
                <c:pt idx="37">
                  <c:v>1E-3</c:v>
                </c:pt>
                <c:pt idx="38">
                  <c:v>1E-3</c:v>
                </c:pt>
                <c:pt idx="39">
                  <c:v>1E-3</c:v>
                </c:pt>
                <c:pt idx="40">
                  <c:v>1E-3</c:v>
                </c:pt>
                <c:pt idx="41">
                  <c:v>1E-3</c:v>
                </c:pt>
                <c:pt idx="42">
                  <c:v>1E-3</c:v>
                </c:pt>
                <c:pt idx="43">
                  <c:v>1E-3</c:v>
                </c:pt>
                <c:pt idx="44">
                  <c:v>1E-3</c:v>
                </c:pt>
                <c:pt idx="45">
                  <c:v>1E-3</c:v>
                </c:pt>
                <c:pt idx="46">
                  <c:v>1E-3</c:v>
                </c:pt>
                <c:pt idx="47">
                  <c:v>1E-3</c:v>
                </c:pt>
                <c:pt idx="48">
                  <c:v>1E-3</c:v>
                </c:pt>
                <c:pt idx="49">
                  <c:v>1E-3</c:v>
                </c:pt>
                <c:pt idx="50">
                  <c:v>1E-3</c:v>
                </c:pt>
                <c:pt idx="51">
                  <c:v>1E-3</c:v>
                </c:pt>
                <c:pt idx="52">
                  <c:v>1E-3</c:v>
                </c:pt>
                <c:pt idx="53">
                  <c:v>1E-3</c:v>
                </c:pt>
                <c:pt idx="54">
                  <c:v>1E-3</c:v>
                </c:pt>
                <c:pt idx="55">
                  <c:v>1E-3</c:v>
                </c:pt>
                <c:pt idx="56">
                  <c:v>1E-3</c:v>
                </c:pt>
                <c:pt idx="57">
                  <c:v>1E-3</c:v>
                </c:pt>
                <c:pt idx="58">
                  <c:v>1E-3</c:v>
                </c:pt>
                <c:pt idx="59">
                  <c:v>1E-3</c:v>
                </c:pt>
                <c:pt idx="60">
                  <c:v>1E-3</c:v>
                </c:pt>
                <c:pt idx="61">
                  <c:v>1E-3</c:v>
                </c:pt>
                <c:pt idx="62">
                  <c:v>1E-3</c:v>
                </c:pt>
                <c:pt idx="63">
                  <c:v>1E-3</c:v>
                </c:pt>
                <c:pt idx="64">
                  <c:v>1E-3</c:v>
                </c:pt>
                <c:pt idx="65">
                  <c:v>1E-3</c:v>
                </c:pt>
                <c:pt idx="66">
                  <c:v>1E-3</c:v>
                </c:pt>
                <c:pt idx="67">
                  <c:v>1E-3</c:v>
                </c:pt>
                <c:pt idx="68">
                  <c:v>1E-3</c:v>
                </c:pt>
                <c:pt idx="69">
                  <c:v>1E-3</c:v>
                </c:pt>
                <c:pt idx="70">
                  <c:v>1E-3</c:v>
                </c:pt>
                <c:pt idx="71">
                  <c:v>1E-3</c:v>
                </c:pt>
                <c:pt idx="72">
                  <c:v>1E-3</c:v>
                </c:pt>
                <c:pt idx="73">
                  <c:v>1E-3</c:v>
                </c:pt>
                <c:pt idx="74">
                  <c:v>1E-3</c:v>
                </c:pt>
                <c:pt idx="75">
                  <c:v>1E-3</c:v>
                </c:pt>
                <c:pt idx="76">
                  <c:v>1E-3</c:v>
                </c:pt>
                <c:pt idx="77">
                  <c:v>1E-3</c:v>
                </c:pt>
                <c:pt idx="78">
                  <c:v>1E-3</c:v>
                </c:pt>
                <c:pt idx="79">
                  <c:v>1E-3</c:v>
                </c:pt>
                <c:pt idx="80">
                  <c:v>1E-3</c:v>
                </c:pt>
                <c:pt idx="81">
                  <c:v>1E-3</c:v>
                </c:pt>
                <c:pt idx="82">
                  <c:v>1E-3</c:v>
                </c:pt>
                <c:pt idx="83">
                  <c:v>1E-3</c:v>
                </c:pt>
                <c:pt idx="84">
                  <c:v>1E-3</c:v>
                </c:pt>
                <c:pt idx="85">
                  <c:v>1E-3</c:v>
                </c:pt>
                <c:pt idx="86">
                  <c:v>1E-3</c:v>
                </c:pt>
                <c:pt idx="87">
                  <c:v>1E-3</c:v>
                </c:pt>
                <c:pt idx="88">
                  <c:v>1E-3</c:v>
                </c:pt>
                <c:pt idx="89">
                  <c:v>1E-3</c:v>
                </c:pt>
                <c:pt idx="90">
                  <c:v>1E-3</c:v>
                </c:pt>
                <c:pt idx="91">
                  <c:v>1E-3</c:v>
                </c:pt>
                <c:pt idx="92">
                  <c:v>1E-3</c:v>
                </c:pt>
                <c:pt idx="93">
                  <c:v>1E-3</c:v>
                </c:pt>
                <c:pt idx="94">
                  <c:v>1E-3</c:v>
                </c:pt>
                <c:pt idx="95">
                  <c:v>1E-3</c:v>
                </c:pt>
                <c:pt idx="96">
                  <c:v>1E-3</c:v>
                </c:pt>
                <c:pt idx="97">
                  <c:v>1E-3</c:v>
                </c:pt>
                <c:pt idx="98">
                  <c:v>1E-3</c:v>
                </c:pt>
                <c:pt idx="99">
                  <c:v>1E-3</c:v>
                </c:pt>
                <c:pt idx="100">
                  <c:v>1E-3</c:v>
                </c:pt>
                <c:pt idx="101">
                  <c:v>1E-3</c:v>
                </c:pt>
                <c:pt idx="102">
                  <c:v>1E-3</c:v>
                </c:pt>
                <c:pt idx="103">
                  <c:v>1E-3</c:v>
                </c:pt>
                <c:pt idx="104">
                  <c:v>1E-3</c:v>
                </c:pt>
                <c:pt idx="105">
                  <c:v>1E-3</c:v>
                </c:pt>
                <c:pt idx="106">
                  <c:v>1E-3</c:v>
                </c:pt>
                <c:pt idx="107">
                  <c:v>1E-3</c:v>
                </c:pt>
                <c:pt idx="108">
                  <c:v>1E-3</c:v>
                </c:pt>
                <c:pt idx="109">
                  <c:v>1E-3</c:v>
                </c:pt>
                <c:pt idx="110">
                  <c:v>1E-3</c:v>
                </c:pt>
                <c:pt idx="111">
                  <c:v>1E-3</c:v>
                </c:pt>
                <c:pt idx="112">
                  <c:v>1E-3</c:v>
                </c:pt>
                <c:pt idx="113">
                  <c:v>1E-3</c:v>
                </c:pt>
                <c:pt idx="114">
                  <c:v>1E-3</c:v>
                </c:pt>
                <c:pt idx="115">
                  <c:v>1E-3</c:v>
                </c:pt>
                <c:pt idx="116">
                  <c:v>1E-3</c:v>
                </c:pt>
                <c:pt idx="117">
                  <c:v>1E-3</c:v>
                </c:pt>
                <c:pt idx="118">
                  <c:v>1E-3</c:v>
                </c:pt>
                <c:pt idx="119">
                  <c:v>1E-3</c:v>
                </c:pt>
                <c:pt idx="120">
                  <c:v>1E-3</c:v>
                </c:pt>
                <c:pt idx="121">
                  <c:v>1E-3</c:v>
                </c:pt>
                <c:pt idx="122">
                  <c:v>1E-3</c:v>
                </c:pt>
                <c:pt idx="123">
                  <c:v>1E-3</c:v>
                </c:pt>
                <c:pt idx="124">
                  <c:v>1E-3</c:v>
                </c:pt>
                <c:pt idx="125">
                  <c:v>1E-3</c:v>
                </c:pt>
                <c:pt idx="126">
                  <c:v>1E-3</c:v>
                </c:pt>
                <c:pt idx="127">
                  <c:v>1E-3</c:v>
                </c:pt>
                <c:pt idx="128">
                  <c:v>1E-3</c:v>
                </c:pt>
                <c:pt idx="129">
                  <c:v>1E-3</c:v>
                </c:pt>
                <c:pt idx="130">
                  <c:v>1E-3</c:v>
                </c:pt>
                <c:pt idx="131">
                  <c:v>1E-3</c:v>
                </c:pt>
                <c:pt idx="132">
                  <c:v>1E-3</c:v>
                </c:pt>
                <c:pt idx="133">
                  <c:v>1E-3</c:v>
                </c:pt>
                <c:pt idx="134">
                  <c:v>1E-3</c:v>
                </c:pt>
                <c:pt idx="135">
                  <c:v>1E-3</c:v>
                </c:pt>
                <c:pt idx="136">
                  <c:v>1E-3</c:v>
                </c:pt>
                <c:pt idx="137">
                  <c:v>1E-3</c:v>
                </c:pt>
                <c:pt idx="138">
                  <c:v>1E-3</c:v>
                </c:pt>
                <c:pt idx="139">
                  <c:v>1E-3</c:v>
                </c:pt>
                <c:pt idx="140">
                  <c:v>1E-3</c:v>
                </c:pt>
                <c:pt idx="141">
                  <c:v>1E-3</c:v>
                </c:pt>
                <c:pt idx="142">
                  <c:v>1E-3</c:v>
                </c:pt>
                <c:pt idx="143">
                  <c:v>1E-3</c:v>
                </c:pt>
                <c:pt idx="144">
                  <c:v>1E-3</c:v>
                </c:pt>
                <c:pt idx="145">
                  <c:v>1E-3</c:v>
                </c:pt>
                <c:pt idx="146">
                  <c:v>1E-3</c:v>
                </c:pt>
                <c:pt idx="147">
                  <c:v>1E-3</c:v>
                </c:pt>
                <c:pt idx="148">
                  <c:v>1E-3</c:v>
                </c:pt>
                <c:pt idx="149">
                  <c:v>1E-3</c:v>
                </c:pt>
                <c:pt idx="150">
                  <c:v>1E-3</c:v>
                </c:pt>
                <c:pt idx="151">
                  <c:v>1E-3</c:v>
                </c:pt>
                <c:pt idx="152">
                  <c:v>1E-3</c:v>
                </c:pt>
                <c:pt idx="153">
                  <c:v>1E-3</c:v>
                </c:pt>
                <c:pt idx="154">
                  <c:v>1E-3</c:v>
                </c:pt>
                <c:pt idx="155">
                  <c:v>1E-3</c:v>
                </c:pt>
                <c:pt idx="156">
                  <c:v>1E-3</c:v>
                </c:pt>
                <c:pt idx="157">
                  <c:v>1E-3</c:v>
                </c:pt>
                <c:pt idx="158">
                  <c:v>1E-3</c:v>
                </c:pt>
                <c:pt idx="159">
                  <c:v>1E-3</c:v>
                </c:pt>
                <c:pt idx="160">
                  <c:v>1E-3</c:v>
                </c:pt>
                <c:pt idx="161">
                  <c:v>1E-3</c:v>
                </c:pt>
                <c:pt idx="162">
                  <c:v>1E-3</c:v>
                </c:pt>
                <c:pt idx="163">
                  <c:v>1E-3</c:v>
                </c:pt>
                <c:pt idx="164">
                  <c:v>1E-3</c:v>
                </c:pt>
                <c:pt idx="165">
                  <c:v>1E-3</c:v>
                </c:pt>
                <c:pt idx="166">
                  <c:v>1E-3</c:v>
                </c:pt>
                <c:pt idx="167">
                  <c:v>1E-3</c:v>
                </c:pt>
                <c:pt idx="168">
                  <c:v>1E-3</c:v>
                </c:pt>
                <c:pt idx="169">
                  <c:v>1E-3</c:v>
                </c:pt>
                <c:pt idx="170">
                  <c:v>1E-3</c:v>
                </c:pt>
                <c:pt idx="171">
                  <c:v>1E-3</c:v>
                </c:pt>
                <c:pt idx="172">
                  <c:v>1E-3</c:v>
                </c:pt>
                <c:pt idx="173">
                  <c:v>1E-3</c:v>
                </c:pt>
                <c:pt idx="174">
                  <c:v>1E-3</c:v>
                </c:pt>
                <c:pt idx="175">
                  <c:v>1E-3</c:v>
                </c:pt>
                <c:pt idx="176">
                  <c:v>1E-3</c:v>
                </c:pt>
                <c:pt idx="177">
                  <c:v>1E-3</c:v>
                </c:pt>
                <c:pt idx="178">
                  <c:v>1E-3</c:v>
                </c:pt>
                <c:pt idx="179">
                  <c:v>1E-3</c:v>
                </c:pt>
                <c:pt idx="180">
                  <c:v>1E-3</c:v>
                </c:pt>
                <c:pt idx="181">
                  <c:v>1E-3</c:v>
                </c:pt>
                <c:pt idx="182">
                  <c:v>1E-3</c:v>
                </c:pt>
                <c:pt idx="183">
                  <c:v>1E-3</c:v>
                </c:pt>
                <c:pt idx="184">
                  <c:v>1E-3</c:v>
                </c:pt>
                <c:pt idx="185">
                  <c:v>1E-3</c:v>
                </c:pt>
                <c:pt idx="186">
                  <c:v>1E-3</c:v>
                </c:pt>
                <c:pt idx="187">
                  <c:v>1E-3</c:v>
                </c:pt>
                <c:pt idx="188">
                  <c:v>1E-3</c:v>
                </c:pt>
                <c:pt idx="189">
                  <c:v>1E-3</c:v>
                </c:pt>
                <c:pt idx="190">
                  <c:v>1E-3</c:v>
                </c:pt>
                <c:pt idx="191">
                  <c:v>1E-3</c:v>
                </c:pt>
                <c:pt idx="192">
                  <c:v>1E-3</c:v>
                </c:pt>
                <c:pt idx="193">
                  <c:v>1E-3</c:v>
                </c:pt>
                <c:pt idx="194">
                  <c:v>1E-3</c:v>
                </c:pt>
                <c:pt idx="195">
                  <c:v>1E-3</c:v>
                </c:pt>
                <c:pt idx="196">
                  <c:v>1E-3</c:v>
                </c:pt>
                <c:pt idx="197">
                  <c:v>1E-3</c:v>
                </c:pt>
                <c:pt idx="198">
                  <c:v>1E-3</c:v>
                </c:pt>
                <c:pt idx="199">
                  <c:v>1E-3</c:v>
                </c:pt>
                <c:pt idx="200">
                  <c:v>1E-3</c:v>
                </c:pt>
                <c:pt idx="201">
                  <c:v>1E-3</c:v>
                </c:pt>
                <c:pt idx="202">
                  <c:v>1E-3</c:v>
                </c:pt>
                <c:pt idx="203">
                  <c:v>1E-3</c:v>
                </c:pt>
                <c:pt idx="204">
                  <c:v>1E-3</c:v>
                </c:pt>
                <c:pt idx="205">
                  <c:v>1E-3</c:v>
                </c:pt>
                <c:pt idx="206">
                  <c:v>1E-3</c:v>
                </c:pt>
                <c:pt idx="207">
                  <c:v>1E-3</c:v>
                </c:pt>
                <c:pt idx="208">
                  <c:v>1E-3</c:v>
                </c:pt>
                <c:pt idx="209">
                  <c:v>1E-3</c:v>
                </c:pt>
                <c:pt idx="210">
                  <c:v>1E-3</c:v>
                </c:pt>
                <c:pt idx="211">
                  <c:v>1E-3</c:v>
                </c:pt>
                <c:pt idx="212">
                  <c:v>1E-3</c:v>
                </c:pt>
                <c:pt idx="213">
                  <c:v>1E-3</c:v>
                </c:pt>
                <c:pt idx="214">
                  <c:v>1E-3</c:v>
                </c:pt>
                <c:pt idx="215">
                  <c:v>1E-3</c:v>
                </c:pt>
                <c:pt idx="216">
                  <c:v>1E-3</c:v>
                </c:pt>
                <c:pt idx="217">
                  <c:v>1E-3</c:v>
                </c:pt>
                <c:pt idx="218">
                  <c:v>1E-3</c:v>
                </c:pt>
                <c:pt idx="219">
                  <c:v>1E-3</c:v>
                </c:pt>
                <c:pt idx="220">
                  <c:v>1E-3</c:v>
                </c:pt>
                <c:pt idx="221">
                  <c:v>1E-3</c:v>
                </c:pt>
                <c:pt idx="222">
                  <c:v>1E-3</c:v>
                </c:pt>
                <c:pt idx="223">
                  <c:v>1E-3</c:v>
                </c:pt>
                <c:pt idx="224">
                  <c:v>1E-3</c:v>
                </c:pt>
                <c:pt idx="225">
                  <c:v>1E-3</c:v>
                </c:pt>
                <c:pt idx="226">
                  <c:v>1E-3</c:v>
                </c:pt>
                <c:pt idx="227">
                  <c:v>1E-3</c:v>
                </c:pt>
                <c:pt idx="228">
                  <c:v>1E-3</c:v>
                </c:pt>
                <c:pt idx="229">
                  <c:v>1E-3</c:v>
                </c:pt>
                <c:pt idx="230">
                  <c:v>1E-3</c:v>
                </c:pt>
                <c:pt idx="231">
                  <c:v>1E-3</c:v>
                </c:pt>
                <c:pt idx="232">
                  <c:v>1E-3</c:v>
                </c:pt>
                <c:pt idx="233">
                  <c:v>1E-3</c:v>
                </c:pt>
                <c:pt idx="234">
                  <c:v>1E-3</c:v>
                </c:pt>
                <c:pt idx="235">
                  <c:v>1E-3</c:v>
                </c:pt>
                <c:pt idx="236">
                  <c:v>1E-3</c:v>
                </c:pt>
                <c:pt idx="237">
                  <c:v>1E-3</c:v>
                </c:pt>
                <c:pt idx="238">
                  <c:v>1E-3</c:v>
                </c:pt>
                <c:pt idx="239">
                  <c:v>1E-3</c:v>
                </c:pt>
                <c:pt idx="240">
                  <c:v>1E-3</c:v>
                </c:pt>
                <c:pt idx="241">
                  <c:v>1E-3</c:v>
                </c:pt>
                <c:pt idx="242">
                  <c:v>1E-3</c:v>
                </c:pt>
                <c:pt idx="243">
                  <c:v>1E-3</c:v>
                </c:pt>
                <c:pt idx="244">
                  <c:v>1E-3</c:v>
                </c:pt>
                <c:pt idx="245">
                  <c:v>1E-3</c:v>
                </c:pt>
                <c:pt idx="246">
                  <c:v>1E-3</c:v>
                </c:pt>
                <c:pt idx="247">
                  <c:v>1E-3</c:v>
                </c:pt>
                <c:pt idx="248">
                  <c:v>1E-3</c:v>
                </c:pt>
                <c:pt idx="249">
                  <c:v>1E-3</c:v>
                </c:pt>
                <c:pt idx="250">
                  <c:v>1E-3</c:v>
                </c:pt>
                <c:pt idx="251">
                  <c:v>1E-3</c:v>
                </c:pt>
                <c:pt idx="252">
                  <c:v>1E-3</c:v>
                </c:pt>
                <c:pt idx="253">
                  <c:v>1E-3</c:v>
                </c:pt>
                <c:pt idx="254">
                  <c:v>1E-3</c:v>
                </c:pt>
                <c:pt idx="255">
                  <c:v>1E-3</c:v>
                </c:pt>
                <c:pt idx="256">
                  <c:v>1E-3</c:v>
                </c:pt>
                <c:pt idx="257">
                  <c:v>1E-3</c:v>
                </c:pt>
                <c:pt idx="258">
                  <c:v>1E-3</c:v>
                </c:pt>
                <c:pt idx="259">
                  <c:v>1E-3</c:v>
                </c:pt>
                <c:pt idx="260">
                  <c:v>1E-3</c:v>
                </c:pt>
                <c:pt idx="261">
                  <c:v>1E-3</c:v>
                </c:pt>
                <c:pt idx="262">
                  <c:v>1E-3</c:v>
                </c:pt>
                <c:pt idx="263">
                  <c:v>1E-3</c:v>
                </c:pt>
                <c:pt idx="264">
                  <c:v>1E-3</c:v>
                </c:pt>
                <c:pt idx="265">
                  <c:v>1E-3</c:v>
                </c:pt>
                <c:pt idx="266">
                  <c:v>1E-3</c:v>
                </c:pt>
                <c:pt idx="267">
                  <c:v>1E-3</c:v>
                </c:pt>
                <c:pt idx="268">
                  <c:v>1E-3</c:v>
                </c:pt>
                <c:pt idx="269">
                  <c:v>1E-3</c:v>
                </c:pt>
                <c:pt idx="270">
                  <c:v>1E-3</c:v>
                </c:pt>
                <c:pt idx="271">
                  <c:v>1E-3</c:v>
                </c:pt>
                <c:pt idx="272">
                  <c:v>1E-3</c:v>
                </c:pt>
                <c:pt idx="273">
                  <c:v>1E-3</c:v>
                </c:pt>
                <c:pt idx="274">
                  <c:v>1E-3</c:v>
                </c:pt>
                <c:pt idx="275">
                  <c:v>1E-3</c:v>
                </c:pt>
                <c:pt idx="276">
                  <c:v>1E-3</c:v>
                </c:pt>
                <c:pt idx="277">
                  <c:v>1E-3</c:v>
                </c:pt>
                <c:pt idx="278">
                  <c:v>1E-3</c:v>
                </c:pt>
                <c:pt idx="279">
                  <c:v>1E-3</c:v>
                </c:pt>
                <c:pt idx="280">
                  <c:v>1E-3</c:v>
                </c:pt>
                <c:pt idx="281">
                  <c:v>1E-3</c:v>
                </c:pt>
                <c:pt idx="282">
                  <c:v>1E-3</c:v>
                </c:pt>
                <c:pt idx="283">
                  <c:v>1E-3</c:v>
                </c:pt>
                <c:pt idx="284">
                  <c:v>1E-3</c:v>
                </c:pt>
                <c:pt idx="285">
                  <c:v>1E-3</c:v>
                </c:pt>
                <c:pt idx="286">
                  <c:v>1E-3</c:v>
                </c:pt>
                <c:pt idx="287">
                  <c:v>1E-3</c:v>
                </c:pt>
                <c:pt idx="288">
                  <c:v>1E-3</c:v>
                </c:pt>
                <c:pt idx="289">
                  <c:v>1E-3</c:v>
                </c:pt>
                <c:pt idx="290">
                  <c:v>1E-3</c:v>
                </c:pt>
                <c:pt idx="291">
                  <c:v>1E-3</c:v>
                </c:pt>
                <c:pt idx="292">
                  <c:v>1E-3</c:v>
                </c:pt>
                <c:pt idx="293">
                  <c:v>1E-3</c:v>
                </c:pt>
                <c:pt idx="294">
                  <c:v>1E-3</c:v>
                </c:pt>
                <c:pt idx="295">
                  <c:v>1E-3</c:v>
                </c:pt>
                <c:pt idx="296">
                  <c:v>1E-3</c:v>
                </c:pt>
                <c:pt idx="297">
                  <c:v>1E-3</c:v>
                </c:pt>
                <c:pt idx="298">
                  <c:v>1E-3</c:v>
                </c:pt>
                <c:pt idx="299">
                  <c:v>1E-3</c:v>
                </c:pt>
                <c:pt idx="300">
                  <c:v>1E-3</c:v>
                </c:pt>
                <c:pt idx="301">
                  <c:v>1E-3</c:v>
                </c:pt>
                <c:pt idx="302">
                  <c:v>1E-3</c:v>
                </c:pt>
                <c:pt idx="303">
                  <c:v>1E-3</c:v>
                </c:pt>
                <c:pt idx="304">
                  <c:v>1E-3</c:v>
                </c:pt>
                <c:pt idx="305">
                  <c:v>1E-3</c:v>
                </c:pt>
                <c:pt idx="306">
                  <c:v>1E-3</c:v>
                </c:pt>
                <c:pt idx="307">
                  <c:v>1E-3</c:v>
                </c:pt>
                <c:pt idx="308">
                  <c:v>1E-3</c:v>
                </c:pt>
                <c:pt idx="309">
                  <c:v>1E-3</c:v>
                </c:pt>
                <c:pt idx="310">
                  <c:v>1E-3</c:v>
                </c:pt>
                <c:pt idx="311">
                  <c:v>1E-3</c:v>
                </c:pt>
                <c:pt idx="312">
                  <c:v>1E-3</c:v>
                </c:pt>
                <c:pt idx="313">
                  <c:v>1E-3</c:v>
                </c:pt>
                <c:pt idx="314">
                  <c:v>1E-3</c:v>
                </c:pt>
                <c:pt idx="315">
                  <c:v>1E-3</c:v>
                </c:pt>
                <c:pt idx="316">
                  <c:v>1E-3</c:v>
                </c:pt>
                <c:pt idx="317">
                  <c:v>1E-3</c:v>
                </c:pt>
                <c:pt idx="318">
                  <c:v>1E-3</c:v>
                </c:pt>
                <c:pt idx="319">
                  <c:v>1E-3</c:v>
                </c:pt>
                <c:pt idx="320">
                  <c:v>1E-3</c:v>
                </c:pt>
                <c:pt idx="321">
                  <c:v>1E-3</c:v>
                </c:pt>
                <c:pt idx="322">
                  <c:v>1E-3</c:v>
                </c:pt>
                <c:pt idx="323">
                  <c:v>1E-3</c:v>
                </c:pt>
                <c:pt idx="324">
                  <c:v>1E-3</c:v>
                </c:pt>
                <c:pt idx="325">
                  <c:v>1E-3</c:v>
                </c:pt>
                <c:pt idx="326">
                  <c:v>1E-3</c:v>
                </c:pt>
                <c:pt idx="327">
                  <c:v>1E-3</c:v>
                </c:pt>
                <c:pt idx="328">
                  <c:v>1E-3</c:v>
                </c:pt>
                <c:pt idx="329">
                  <c:v>1E-3</c:v>
                </c:pt>
                <c:pt idx="330">
                  <c:v>1E-3</c:v>
                </c:pt>
                <c:pt idx="331">
                  <c:v>1E-3</c:v>
                </c:pt>
                <c:pt idx="332">
                  <c:v>1E-3</c:v>
                </c:pt>
                <c:pt idx="333">
                  <c:v>1E-3</c:v>
                </c:pt>
                <c:pt idx="334">
                  <c:v>1E-3</c:v>
                </c:pt>
                <c:pt idx="335">
                  <c:v>1E-3</c:v>
                </c:pt>
                <c:pt idx="336">
                  <c:v>1E-3</c:v>
                </c:pt>
                <c:pt idx="337">
                  <c:v>1E-3</c:v>
                </c:pt>
                <c:pt idx="338">
                  <c:v>1E-3</c:v>
                </c:pt>
                <c:pt idx="339">
                  <c:v>1E-3</c:v>
                </c:pt>
                <c:pt idx="340">
                  <c:v>1E-3</c:v>
                </c:pt>
                <c:pt idx="341">
                  <c:v>1E-3</c:v>
                </c:pt>
                <c:pt idx="342">
                  <c:v>1E-3</c:v>
                </c:pt>
                <c:pt idx="343">
                  <c:v>1E-3</c:v>
                </c:pt>
                <c:pt idx="344">
                  <c:v>1E-3</c:v>
                </c:pt>
                <c:pt idx="345">
                  <c:v>1E-3</c:v>
                </c:pt>
                <c:pt idx="346">
                  <c:v>1E-3</c:v>
                </c:pt>
                <c:pt idx="347">
                  <c:v>1E-3</c:v>
                </c:pt>
                <c:pt idx="348">
                  <c:v>1E-3</c:v>
                </c:pt>
                <c:pt idx="349">
                  <c:v>1E-3</c:v>
                </c:pt>
                <c:pt idx="350">
                  <c:v>1E-3</c:v>
                </c:pt>
                <c:pt idx="351">
                  <c:v>1E-3</c:v>
                </c:pt>
                <c:pt idx="352">
                  <c:v>1E-3</c:v>
                </c:pt>
                <c:pt idx="353">
                  <c:v>1E-3</c:v>
                </c:pt>
                <c:pt idx="354">
                  <c:v>1E-3</c:v>
                </c:pt>
                <c:pt idx="355">
                  <c:v>1E-3</c:v>
                </c:pt>
                <c:pt idx="356">
                  <c:v>1E-3</c:v>
                </c:pt>
                <c:pt idx="357">
                  <c:v>1E-3</c:v>
                </c:pt>
                <c:pt idx="358">
                  <c:v>1E-3</c:v>
                </c:pt>
                <c:pt idx="359">
                  <c:v>1E-3</c:v>
                </c:pt>
                <c:pt idx="360">
                  <c:v>1E-3</c:v>
                </c:pt>
                <c:pt idx="361">
                  <c:v>1E-3</c:v>
                </c:pt>
                <c:pt idx="362">
                  <c:v>1E-3</c:v>
                </c:pt>
                <c:pt idx="363">
                  <c:v>1E-3</c:v>
                </c:pt>
                <c:pt idx="364">
                  <c:v>1E-3</c:v>
                </c:pt>
                <c:pt idx="365">
                  <c:v>1E-3</c:v>
                </c:pt>
                <c:pt idx="366">
                  <c:v>1E-3</c:v>
                </c:pt>
                <c:pt idx="367">
                  <c:v>1E-3</c:v>
                </c:pt>
                <c:pt idx="368">
                  <c:v>1E-3</c:v>
                </c:pt>
                <c:pt idx="369">
                  <c:v>1E-3</c:v>
                </c:pt>
                <c:pt idx="370">
                  <c:v>1E-3</c:v>
                </c:pt>
                <c:pt idx="371">
                  <c:v>1E-3</c:v>
                </c:pt>
                <c:pt idx="372">
                  <c:v>1E-3</c:v>
                </c:pt>
                <c:pt idx="373">
                  <c:v>1E-3</c:v>
                </c:pt>
                <c:pt idx="374">
                  <c:v>1E-3</c:v>
                </c:pt>
                <c:pt idx="375">
                  <c:v>1E-3</c:v>
                </c:pt>
                <c:pt idx="376">
                  <c:v>1E-3</c:v>
                </c:pt>
                <c:pt idx="377">
                  <c:v>1E-3</c:v>
                </c:pt>
                <c:pt idx="378">
                  <c:v>1E-3</c:v>
                </c:pt>
                <c:pt idx="379">
                  <c:v>1E-3</c:v>
                </c:pt>
                <c:pt idx="380">
                  <c:v>1E-3</c:v>
                </c:pt>
                <c:pt idx="381">
                  <c:v>1E-3</c:v>
                </c:pt>
                <c:pt idx="382">
                  <c:v>1E-3</c:v>
                </c:pt>
                <c:pt idx="383">
                  <c:v>1E-3</c:v>
                </c:pt>
                <c:pt idx="384">
                  <c:v>1E-3</c:v>
                </c:pt>
                <c:pt idx="385">
                  <c:v>1E-3</c:v>
                </c:pt>
                <c:pt idx="386">
                  <c:v>1E-3</c:v>
                </c:pt>
                <c:pt idx="387">
                  <c:v>1E-3</c:v>
                </c:pt>
                <c:pt idx="388">
                  <c:v>1E-3</c:v>
                </c:pt>
                <c:pt idx="389">
                  <c:v>1E-3</c:v>
                </c:pt>
                <c:pt idx="390">
                  <c:v>1E-3</c:v>
                </c:pt>
                <c:pt idx="391">
                  <c:v>1E-3</c:v>
                </c:pt>
                <c:pt idx="392">
                  <c:v>1E-3</c:v>
                </c:pt>
                <c:pt idx="393">
                  <c:v>1E-3</c:v>
                </c:pt>
                <c:pt idx="394">
                  <c:v>1E-3</c:v>
                </c:pt>
                <c:pt idx="395">
                  <c:v>1E-3</c:v>
                </c:pt>
                <c:pt idx="396">
                  <c:v>1E-3</c:v>
                </c:pt>
                <c:pt idx="397">
                  <c:v>1E-3</c:v>
                </c:pt>
                <c:pt idx="398">
                  <c:v>1E-3</c:v>
                </c:pt>
                <c:pt idx="399">
                  <c:v>1E-3</c:v>
                </c:pt>
                <c:pt idx="400">
                  <c:v>1E-3</c:v>
                </c:pt>
                <c:pt idx="401">
                  <c:v>1E-3</c:v>
                </c:pt>
                <c:pt idx="402">
                  <c:v>1E-3</c:v>
                </c:pt>
                <c:pt idx="403">
                  <c:v>1E-3</c:v>
                </c:pt>
                <c:pt idx="404">
                  <c:v>1E-3</c:v>
                </c:pt>
                <c:pt idx="405">
                  <c:v>1E-3</c:v>
                </c:pt>
                <c:pt idx="406">
                  <c:v>1E-3</c:v>
                </c:pt>
                <c:pt idx="407">
                  <c:v>1E-3</c:v>
                </c:pt>
                <c:pt idx="408">
                  <c:v>1E-3</c:v>
                </c:pt>
                <c:pt idx="409">
                  <c:v>1E-3</c:v>
                </c:pt>
                <c:pt idx="410">
                  <c:v>1E-3</c:v>
                </c:pt>
                <c:pt idx="411">
                  <c:v>1E-3</c:v>
                </c:pt>
                <c:pt idx="412">
                  <c:v>1E-3</c:v>
                </c:pt>
                <c:pt idx="413">
                  <c:v>1E-3</c:v>
                </c:pt>
                <c:pt idx="414">
                  <c:v>1E-3</c:v>
                </c:pt>
                <c:pt idx="415">
                  <c:v>1E-3</c:v>
                </c:pt>
                <c:pt idx="416">
                  <c:v>1E-3</c:v>
                </c:pt>
                <c:pt idx="417">
                  <c:v>1E-3</c:v>
                </c:pt>
                <c:pt idx="418">
                  <c:v>1E-3</c:v>
                </c:pt>
                <c:pt idx="419">
                  <c:v>1E-3</c:v>
                </c:pt>
                <c:pt idx="420">
                  <c:v>1E-3</c:v>
                </c:pt>
                <c:pt idx="421">
                  <c:v>1E-3</c:v>
                </c:pt>
                <c:pt idx="422">
                  <c:v>1E-3</c:v>
                </c:pt>
                <c:pt idx="423">
                  <c:v>1E-3</c:v>
                </c:pt>
                <c:pt idx="424">
                  <c:v>1E-3</c:v>
                </c:pt>
                <c:pt idx="425">
                  <c:v>1E-3</c:v>
                </c:pt>
                <c:pt idx="426">
                  <c:v>1E-3</c:v>
                </c:pt>
                <c:pt idx="427">
                  <c:v>1E-3</c:v>
                </c:pt>
                <c:pt idx="428">
                  <c:v>1E-3</c:v>
                </c:pt>
                <c:pt idx="429">
                  <c:v>1E-3</c:v>
                </c:pt>
                <c:pt idx="430">
                  <c:v>1E-3</c:v>
                </c:pt>
                <c:pt idx="431">
                  <c:v>1E-3</c:v>
                </c:pt>
                <c:pt idx="432">
                  <c:v>1E-3</c:v>
                </c:pt>
                <c:pt idx="433">
                  <c:v>1E-3</c:v>
                </c:pt>
                <c:pt idx="434">
                  <c:v>1E-3</c:v>
                </c:pt>
                <c:pt idx="435">
                  <c:v>1E-3</c:v>
                </c:pt>
                <c:pt idx="436">
                  <c:v>1E-3</c:v>
                </c:pt>
                <c:pt idx="437">
                  <c:v>1E-3</c:v>
                </c:pt>
                <c:pt idx="438">
                  <c:v>1E-3</c:v>
                </c:pt>
                <c:pt idx="439">
                  <c:v>1E-3</c:v>
                </c:pt>
                <c:pt idx="440">
                  <c:v>1E-3</c:v>
                </c:pt>
                <c:pt idx="441">
                  <c:v>1E-3</c:v>
                </c:pt>
                <c:pt idx="442">
                  <c:v>1E-3</c:v>
                </c:pt>
                <c:pt idx="443">
                  <c:v>1E-3</c:v>
                </c:pt>
                <c:pt idx="444">
                  <c:v>1E-3</c:v>
                </c:pt>
                <c:pt idx="445">
                  <c:v>1E-3</c:v>
                </c:pt>
                <c:pt idx="446">
                  <c:v>1E-3</c:v>
                </c:pt>
                <c:pt idx="447">
                  <c:v>1E-3</c:v>
                </c:pt>
                <c:pt idx="448">
                  <c:v>1E-3</c:v>
                </c:pt>
                <c:pt idx="449">
                  <c:v>1E-3</c:v>
                </c:pt>
                <c:pt idx="450">
                  <c:v>1E-3</c:v>
                </c:pt>
                <c:pt idx="451">
                  <c:v>1E-3</c:v>
                </c:pt>
                <c:pt idx="452">
                  <c:v>1E-3</c:v>
                </c:pt>
                <c:pt idx="453">
                  <c:v>1E-3</c:v>
                </c:pt>
                <c:pt idx="454">
                  <c:v>1E-3</c:v>
                </c:pt>
                <c:pt idx="455">
                  <c:v>1E-3</c:v>
                </c:pt>
                <c:pt idx="456">
                  <c:v>1E-3</c:v>
                </c:pt>
                <c:pt idx="457">
                  <c:v>1E-3</c:v>
                </c:pt>
                <c:pt idx="458">
                  <c:v>1E-3</c:v>
                </c:pt>
                <c:pt idx="459">
                  <c:v>1E-3</c:v>
                </c:pt>
                <c:pt idx="460">
                  <c:v>1E-3</c:v>
                </c:pt>
                <c:pt idx="461">
                  <c:v>1E-3</c:v>
                </c:pt>
                <c:pt idx="462">
                  <c:v>1E-3</c:v>
                </c:pt>
                <c:pt idx="463">
                  <c:v>1E-3</c:v>
                </c:pt>
                <c:pt idx="464">
                  <c:v>1E-3</c:v>
                </c:pt>
                <c:pt idx="465">
                  <c:v>1E-3</c:v>
                </c:pt>
                <c:pt idx="466">
                  <c:v>1E-3</c:v>
                </c:pt>
                <c:pt idx="467">
                  <c:v>1E-3</c:v>
                </c:pt>
                <c:pt idx="468">
                  <c:v>1E-3</c:v>
                </c:pt>
                <c:pt idx="469">
                  <c:v>1E-3</c:v>
                </c:pt>
                <c:pt idx="470">
                  <c:v>1E-3</c:v>
                </c:pt>
                <c:pt idx="471">
                  <c:v>1E-3</c:v>
                </c:pt>
                <c:pt idx="472">
                  <c:v>1E-3</c:v>
                </c:pt>
                <c:pt idx="473">
                  <c:v>1E-3</c:v>
                </c:pt>
                <c:pt idx="474">
                  <c:v>1E-3</c:v>
                </c:pt>
                <c:pt idx="475">
                  <c:v>1E-3</c:v>
                </c:pt>
                <c:pt idx="476">
                  <c:v>1E-3</c:v>
                </c:pt>
                <c:pt idx="477">
                  <c:v>1E-3</c:v>
                </c:pt>
                <c:pt idx="478">
                  <c:v>1E-3</c:v>
                </c:pt>
                <c:pt idx="479">
                  <c:v>1E-3</c:v>
                </c:pt>
                <c:pt idx="480">
                  <c:v>1E-3</c:v>
                </c:pt>
                <c:pt idx="481">
                  <c:v>1E-3</c:v>
                </c:pt>
                <c:pt idx="482">
                  <c:v>1E-3</c:v>
                </c:pt>
                <c:pt idx="483">
                  <c:v>1E-3</c:v>
                </c:pt>
                <c:pt idx="484">
                  <c:v>1E-3</c:v>
                </c:pt>
                <c:pt idx="485">
                  <c:v>1E-3</c:v>
                </c:pt>
                <c:pt idx="486">
                  <c:v>1E-3</c:v>
                </c:pt>
                <c:pt idx="487">
                  <c:v>1E-3</c:v>
                </c:pt>
                <c:pt idx="488">
                  <c:v>1E-3</c:v>
                </c:pt>
                <c:pt idx="489">
                  <c:v>1E-3</c:v>
                </c:pt>
                <c:pt idx="490">
                  <c:v>1E-3</c:v>
                </c:pt>
                <c:pt idx="491">
                  <c:v>1E-3</c:v>
                </c:pt>
                <c:pt idx="492">
                  <c:v>1E-3</c:v>
                </c:pt>
                <c:pt idx="493">
                  <c:v>1E-3</c:v>
                </c:pt>
                <c:pt idx="494">
                  <c:v>1E-3</c:v>
                </c:pt>
                <c:pt idx="495">
                  <c:v>1E-3</c:v>
                </c:pt>
                <c:pt idx="496">
                  <c:v>1E-3</c:v>
                </c:pt>
                <c:pt idx="497">
                  <c:v>1E-3</c:v>
                </c:pt>
                <c:pt idx="498">
                  <c:v>1E-3</c:v>
                </c:pt>
                <c:pt idx="499">
                  <c:v>1E-3</c:v>
                </c:pt>
                <c:pt idx="500">
                  <c:v>1E-3</c:v>
                </c:pt>
                <c:pt idx="501">
                  <c:v>1E-3</c:v>
                </c:pt>
                <c:pt idx="502">
                  <c:v>1E-3</c:v>
                </c:pt>
                <c:pt idx="503">
                  <c:v>1E-3</c:v>
                </c:pt>
              </c:numCache>
            </c:numRef>
          </c:xVal>
          <c:yVal>
            <c:numRef>
              <c:f>Smart!$IB$3:$IB$506</c:f>
              <c:numCache>
                <c:formatCode>General</c:formatCode>
                <c:ptCount val="504"/>
                <c:pt idx="0">
                  <c:v>0</c:v>
                </c:pt>
                <c:pt idx="1">
                  <c:v>12.28932093143297</c:v>
                </c:pt>
                <c:pt idx="2">
                  <c:v>25.000350341399081</c:v>
                </c:pt>
                <c:pt idx="3">
                  <c:v>25.000350341399081</c:v>
                </c:pt>
                <c:pt idx="4">
                  <c:v>25.000350341399081</c:v>
                </c:pt>
                <c:pt idx="5">
                  <c:v>25.000350341399081</c:v>
                </c:pt>
                <c:pt idx="6">
                  <c:v>25.000350341399081</c:v>
                </c:pt>
                <c:pt idx="7">
                  <c:v>25.000350341399081</c:v>
                </c:pt>
                <c:pt idx="8">
                  <c:v>25.000350341399081</c:v>
                </c:pt>
                <c:pt idx="9">
                  <c:v>25.000350341399081</c:v>
                </c:pt>
                <c:pt idx="10">
                  <c:v>25.000350341399081</c:v>
                </c:pt>
                <c:pt idx="11">
                  <c:v>25.000350341399081</c:v>
                </c:pt>
                <c:pt idx="12">
                  <c:v>25.000350341399081</c:v>
                </c:pt>
                <c:pt idx="13">
                  <c:v>25.000350341399081</c:v>
                </c:pt>
                <c:pt idx="14">
                  <c:v>25.000350341399081</c:v>
                </c:pt>
                <c:pt idx="15">
                  <c:v>25.000350341399081</c:v>
                </c:pt>
                <c:pt idx="16">
                  <c:v>25.000350341399081</c:v>
                </c:pt>
                <c:pt idx="17">
                  <c:v>25.000350341399081</c:v>
                </c:pt>
                <c:pt idx="18">
                  <c:v>25.000350341399081</c:v>
                </c:pt>
                <c:pt idx="19">
                  <c:v>25.000350341399081</c:v>
                </c:pt>
                <c:pt idx="20">
                  <c:v>25.000350341399081</c:v>
                </c:pt>
                <c:pt idx="21">
                  <c:v>25.000350341399081</c:v>
                </c:pt>
                <c:pt idx="22">
                  <c:v>25.000350341399081</c:v>
                </c:pt>
                <c:pt idx="23">
                  <c:v>25.000350341399081</c:v>
                </c:pt>
                <c:pt idx="24">
                  <c:v>25.000350341399081</c:v>
                </c:pt>
                <c:pt idx="25">
                  <c:v>25.000350341399081</c:v>
                </c:pt>
                <c:pt idx="26">
                  <c:v>25.000350341399081</c:v>
                </c:pt>
                <c:pt idx="27">
                  <c:v>25.000350341399081</c:v>
                </c:pt>
                <c:pt idx="28">
                  <c:v>25.000350341399081</c:v>
                </c:pt>
                <c:pt idx="29">
                  <c:v>25.000350341399081</c:v>
                </c:pt>
                <c:pt idx="30">
                  <c:v>25.000350341399081</c:v>
                </c:pt>
                <c:pt idx="31">
                  <c:v>25.000350341399081</c:v>
                </c:pt>
                <c:pt idx="32">
                  <c:v>25.000350341399081</c:v>
                </c:pt>
                <c:pt idx="33">
                  <c:v>25.000350341399081</c:v>
                </c:pt>
                <c:pt idx="34">
                  <c:v>25.000350341399081</c:v>
                </c:pt>
                <c:pt idx="35">
                  <c:v>25.000350341399081</c:v>
                </c:pt>
                <c:pt idx="36">
                  <c:v>25.000350341399081</c:v>
                </c:pt>
                <c:pt idx="37">
                  <c:v>25.000350341399081</c:v>
                </c:pt>
                <c:pt idx="38">
                  <c:v>25.000350341399081</c:v>
                </c:pt>
                <c:pt idx="39">
                  <c:v>25.000350341399081</c:v>
                </c:pt>
                <c:pt idx="40">
                  <c:v>25.000350341399081</c:v>
                </c:pt>
                <c:pt idx="41">
                  <c:v>25.000350341399081</c:v>
                </c:pt>
                <c:pt idx="42">
                  <c:v>25.000350341399081</c:v>
                </c:pt>
                <c:pt idx="43">
                  <c:v>25.000350341399081</c:v>
                </c:pt>
                <c:pt idx="44">
                  <c:v>25.000350341399081</c:v>
                </c:pt>
                <c:pt idx="45">
                  <c:v>25.000350341399081</c:v>
                </c:pt>
                <c:pt idx="46">
                  <c:v>25.000350341399081</c:v>
                </c:pt>
                <c:pt idx="47">
                  <c:v>25.000350341399081</c:v>
                </c:pt>
                <c:pt idx="48">
                  <c:v>25.000350341399081</c:v>
                </c:pt>
                <c:pt idx="49">
                  <c:v>25.000350341399081</c:v>
                </c:pt>
                <c:pt idx="50">
                  <c:v>25.000350341399081</c:v>
                </c:pt>
                <c:pt idx="51">
                  <c:v>25.000350341399081</c:v>
                </c:pt>
                <c:pt idx="52">
                  <c:v>25.000350341399081</c:v>
                </c:pt>
                <c:pt idx="53">
                  <c:v>25.000350341399081</c:v>
                </c:pt>
                <c:pt idx="54">
                  <c:v>25.000350341399081</c:v>
                </c:pt>
                <c:pt idx="55">
                  <c:v>25.000350341399081</c:v>
                </c:pt>
                <c:pt idx="56">
                  <c:v>25.000350341399081</c:v>
                </c:pt>
                <c:pt idx="57">
                  <c:v>25.000350341399081</c:v>
                </c:pt>
                <c:pt idx="58">
                  <c:v>25.000350341399081</c:v>
                </c:pt>
                <c:pt idx="59">
                  <c:v>25.000350341399081</c:v>
                </c:pt>
                <c:pt idx="60">
                  <c:v>25.000350341399081</c:v>
                </c:pt>
                <c:pt idx="61">
                  <c:v>25.000350341399081</c:v>
                </c:pt>
                <c:pt idx="62">
                  <c:v>25.000350341399081</c:v>
                </c:pt>
                <c:pt idx="63">
                  <c:v>25.000350341399081</c:v>
                </c:pt>
                <c:pt idx="64">
                  <c:v>25.000350341399081</c:v>
                </c:pt>
                <c:pt idx="65">
                  <c:v>25.000350341399081</c:v>
                </c:pt>
                <c:pt idx="66">
                  <c:v>25.000350341399081</c:v>
                </c:pt>
                <c:pt idx="67">
                  <c:v>25.000350341399081</c:v>
                </c:pt>
                <c:pt idx="68">
                  <c:v>25.000350341399081</c:v>
                </c:pt>
                <c:pt idx="69">
                  <c:v>25.000350341399081</c:v>
                </c:pt>
                <c:pt idx="70">
                  <c:v>25.000350341399081</c:v>
                </c:pt>
                <c:pt idx="71">
                  <c:v>25.000350341399081</c:v>
                </c:pt>
                <c:pt idx="72">
                  <c:v>25.000350341399081</c:v>
                </c:pt>
                <c:pt idx="73">
                  <c:v>25.000350341399081</c:v>
                </c:pt>
                <c:pt idx="74">
                  <c:v>25.000350341399081</c:v>
                </c:pt>
                <c:pt idx="75">
                  <c:v>25.000350341399081</c:v>
                </c:pt>
                <c:pt idx="76">
                  <c:v>25.000350341399081</c:v>
                </c:pt>
                <c:pt idx="77">
                  <c:v>25.000350341399081</c:v>
                </c:pt>
                <c:pt idx="78">
                  <c:v>25.000350341399081</c:v>
                </c:pt>
                <c:pt idx="79">
                  <c:v>25.000350341399081</c:v>
                </c:pt>
                <c:pt idx="80">
                  <c:v>25.000350341399081</c:v>
                </c:pt>
                <c:pt idx="81">
                  <c:v>25.000350341399081</c:v>
                </c:pt>
                <c:pt idx="82">
                  <c:v>25.000350341399081</c:v>
                </c:pt>
                <c:pt idx="83">
                  <c:v>25.000350341399081</c:v>
                </c:pt>
                <c:pt idx="84">
                  <c:v>25.000350341399081</c:v>
                </c:pt>
                <c:pt idx="85">
                  <c:v>25.000350341399081</c:v>
                </c:pt>
                <c:pt idx="86">
                  <c:v>25.000350341399081</c:v>
                </c:pt>
                <c:pt idx="87">
                  <c:v>25.000350341399081</c:v>
                </c:pt>
                <c:pt idx="88">
                  <c:v>25.000350341399081</c:v>
                </c:pt>
                <c:pt idx="89">
                  <c:v>25.000350341399081</c:v>
                </c:pt>
                <c:pt idx="90">
                  <c:v>25.000350341399081</c:v>
                </c:pt>
                <c:pt idx="91">
                  <c:v>25.000350341399081</c:v>
                </c:pt>
                <c:pt idx="92">
                  <c:v>25.000350341399081</c:v>
                </c:pt>
                <c:pt idx="93">
                  <c:v>25.000350341399081</c:v>
                </c:pt>
                <c:pt idx="94">
                  <c:v>25.000350341399081</c:v>
                </c:pt>
                <c:pt idx="95">
                  <c:v>25.000350341399081</c:v>
                </c:pt>
                <c:pt idx="96">
                  <c:v>25.000350341399081</c:v>
                </c:pt>
                <c:pt idx="97">
                  <c:v>25.000350341399081</c:v>
                </c:pt>
                <c:pt idx="98">
                  <c:v>25.000350341399081</c:v>
                </c:pt>
                <c:pt idx="99">
                  <c:v>25.000350341399081</c:v>
                </c:pt>
                <c:pt idx="100">
                  <c:v>25.000350341399081</c:v>
                </c:pt>
                <c:pt idx="101">
                  <c:v>25.000350341399081</c:v>
                </c:pt>
                <c:pt idx="102">
                  <c:v>25.000350341399081</c:v>
                </c:pt>
                <c:pt idx="103">
                  <c:v>25.000350341399081</c:v>
                </c:pt>
                <c:pt idx="104">
                  <c:v>25.000350341399081</c:v>
                </c:pt>
                <c:pt idx="105">
                  <c:v>25.000350341399081</c:v>
                </c:pt>
                <c:pt idx="106">
                  <c:v>25.000350341399081</c:v>
                </c:pt>
                <c:pt idx="107">
                  <c:v>25.000350341399081</c:v>
                </c:pt>
                <c:pt idx="108">
                  <c:v>25.000350341399081</c:v>
                </c:pt>
                <c:pt idx="109">
                  <c:v>25.000350341399081</c:v>
                </c:pt>
                <c:pt idx="110">
                  <c:v>25.000350341399081</c:v>
                </c:pt>
                <c:pt idx="111">
                  <c:v>25.000350341399081</c:v>
                </c:pt>
                <c:pt idx="112">
                  <c:v>25.000350341399081</c:v>
                </c:pt>
                <c:pt idx="113">
                  <c:v>25.000350341399081</c:v>
                </c:pt>
                <c:pt idx="114">
                  <c:v>25.000350341399081</c:v>
                </c:pt>
                <c:pt idx="115">
                  <c:v>25.000350341399081</c:v>
                </c:pt>
                <c:pt idx="116">
                  <c:v>25.000350341399081</c:v>
                </c:pt>
                <c:pt idx="117">
                  <c:v>25.000350341399081</c:v>
                </c:pt>
                <c:pt idx="118">
                  <c:v>25.000350341399081</c:v>
                </c:pt>
                <c:pt idx="119">
                  <c:v>25.000350341399081</c:v>
                </c:pt>
                <c:pt idx="120">
                  <c:v>25.000350341399081</c:v>
                </c:pt>
                <c:pt idx="121">
                  <c:v>25.000350341399081</c:v>
                </c:pt>
                <c:pt idx="122">
                  <c:v>25.000350341399081</c:v>
                </c:pt>
                <c:pt idx="123">
                  <c:v>25.000350341399081</c:v>
                </c:pt>
                <c:pt idx="124">
                  <c:v>25.000350341399081</c:v>
                </c:pt>
                <c:pt idx="125">
                  <c:v>25.000350341399081</c:v>
                </c:pt>
                <c:pt idx="126">
                  <c:v>25.000350341399081</c:v>
                </c:pt>
                <c:pt idx="127">
                  <c:v>25.000350341399081</c:v>
                </c:pt>
                <c:pt idx="128">
                  <c:v>25.000350341399081</c:v>
                </c:pt>
                <c:pt idx="129">
                  <c:v>25.000350341399081</c:v>
                </c:pt>
                <c:pt idx="130">
                  <c:v>25.000350341399081</c:v>
                </c:pt>
                <c:pt idx="131">
                  <c:v>25.000350341399081</c:v>
                </c:pt>
                <c:pt idx="132">
                  <c:v>25.000350341399081</c:v>
                </c:pt>
                <c:pt idx="133">
                  <c:v>25.000350341399081</c:v>
                </c:pt>
                <c:pt idx="134">
                  <c:v>25.000350341399081</c:v>
                </c:pt>
                <c:pt idx="135">
                  <c:v>25.000350341399081</c:v>
                </c:pt>
                <c:pt idx="136">
                  <c:v>25.000350341399081</c:v>
                </c:pt>
                <c:pt idx="137">
                  <c:v>25.000350341399081</c:v>
                </c:pt>
                <c:pt idx="138">
                  <c:v>25.000350341399081</c:v>
                </c:pt>
                <c:pt idx="139">
                  <c:v>25.000350341399081</c:v>
                </c:pt>
                <c:pt idx="140">
                  <c:v>25.000350341399081</c:v>
                </c:pt>
                <c:pt idx="141">
                  <c:v>25.000350341399081</c:v>
                </c:pt>
                <c:pt idx="142">
                  <c:v>25.000350341399081</c:v>
                </c:pt>
                <c:pt idx="143">
                  <c:v>25.000350341399081</c:v>
                </c:pt>
                <c:pt idx="144">
                  <c:v>25.000350341399081</c:v>
                </c:pt>
                <c:pt idx="145">
                  <c:v>25.000350341399081</c:v>
                </c:pt>
                <c:pt idx="146">
                  <c:v>25.000350341399081</c:v>
                </c:pt>
                <c:pt idx="147">
                  <c:v>25.000350341399081</c:v>
                </c:pt>
                <c:pt idx="148">
                  <c:v>25.000350341399081</c:v>
                </c:pt>
                <c:pt idx="149">
                  <c:v>25.000350341399081</c:v>
                </c:pt>
                <c:pt idx="150">
                  <c:v>25.000350341399081</c:v>
                </c:pt>
                <c:pt idx="151">
                  <c:v>25.000350341399081</c:v>
                </c:pt>
                <c:pt idx="152">
                  <c:v>25.000350341399081</c:v>
                </c:pt>
                <c:pt idx="153">
                  <c:v>25.000350341399081</c:v>
                </c:pt>
                <c:pt idx="154">
                  <c:v>25.000350341399081</c:v>
                </c:pt>
                <c:pt idx="155">
                  <c:v>25.000350341399081</c:v>
                </c:pt>
                <c:pt idx="156">
                  <c:v>25.000350341399081</c:v>
                </c:pt>
                <c:pt idx="157">
                  <c:v>25.000350341399081</c:v>
                </c:pt>
                <c:pt idx="158">
                  <c:v>25.000350341399081</c:v>
                </c:pt>
                <c:pt idx="159">
                  <c:v>25.000350341399081</c:v>
                </c:pt>
                <c:pt idx="160">
                  <c:v>25.000350341399081</c:v>
                </c:pt>
                <c:pt idx="161">
                  <c:v>25.000350341399081</c:v>
                </c:pt>
                <c:pt idx="162">
                  <c:v>25.000350341399081</c:v>
                </c:pt>
                <c:pt idx="163">
                  <c:v>25.000350341399081</c:v>
                </c:pt>
                <c:pt idx="164">
                  <c:v>25.000350341399081</c:v>
                </c:pt>
                <c:pt idx="165">
                  <c:v>25.000350341399081</c:v>
                </c:pt>
                <c:pt idx="166">
                  <c:v>25.000350341399081</c:v>
                </c:pt>
                <c:pt idx="167">
                  <c:v>25.000350341399081</c:v>
                </c:pt>
                <c:pt idx="168">
                  <c:v>25.000350341399081</c:v>
                </c:pt>
                <c:pt idx="169">
                  <c:v>25.000350341399081</c:v>
                </c:pt>
                <c:pt idx="170">
                  <c:v>25.000350341399081</c:v>
                </c:pt>
                <c:pt idx="171">
                  <c:v>25.000350341399081</c:v>
                </c:pt>
                <c:pt idx="172">
                  <c:v>25.000350341399081</c:v>
                </c:pt>
                <c:pt idx="173">
                  <c:v>25.000350341399081</c:v>
                </c:pt>
                <c:pt idx="174">
                  <c:v>25.000350341399081</c:v>
                </c:pt>
                <c:pt idx="175">
                  <c:v>25.000350341399081</c:v>
                </c:pt>
                <c:pt idx="176">
                  <c:v>25.000350341399081</c:v>
                </c:pt>
                <c:pt idx="177">
                  <c:v>25.000350341399081</c:v>
                </c:pt>
                <c:pt idx="178">
                  <c:v>25.000350341399081</c:v>
                </c:pt>
                <c:pt idx="179">
                  <c:v>25.000350341399081</c:v>
                </c:pt>
                <c:pt idx="180">
                  <c:v>25.000350341399081</c:v>
                </c:pt>
                <c:pt idx="181">
                  <c:v>25.000350341399081</c:v>
                </c:pt>
                <c:pt idx="182">
                  <c:v>25.000350341399081</c:v>
                </c:pt>
                <c:pt idx="183">
                  <c:v>25.000350341399081</c:v>
                </c:pt>
                <c:pt idx="184">
                  <c:v>25.000350341399081</c:v>
                </c:pt>
                <c:pt idx="185">
                  <c:v>25.000350341399081</c:v>
                </c:pt>
                <c:pt idx="186">
                  <c:v>25.000350341399081</c:v>
                </c:pt>
                <c:pt idx="187">
                  <c:v>25.000350341399081</c:v>
                </c:pt>
                <c:pt idx="188">
                  <c:v>25.000350341399081</c:v>
                </c:pt>
                <c:pt idx="189">
                  <c:v>25.000350341399081</c:v>
                </c:pt>
                <c:pt idx="190">
                  <c:v>25.000350341399081</c:v>
                </c:pt>
                <c:pt idx="191">
                  <c:v>25.000350341399081</c:v>
                </c:pt>
                <c:pt idx="192">
                  <c:v>25.000350341399081</c:v>
                </c:pt>
                <c:pt idx="193">
                  <c:v>25.000350341399081</c:v>
                </c:pt>
                <c:pt idx="194">
                  <c:v>25.000350341399081</c:v>
                </c:pt>
                <c:pt idx="195">
                  <c:v>25.000350341399081</c:v>
                </c:pt>
                <c:pt idx="196">
                  <c:v>25.000350341399081</c:v>
                </c:pt>
                <c:pt idx="197">
                  <c:v>25.000350341399081</c:v>
                </c:pt>
                <c:pt idx="198">
                  <c:v>25.000350341399081</c:v>
                </c:pt>
                <c:pt idx="199">
                  <c:v>25.000350341399081</c:v>
                </c:pt>
                <c:pt idx="200">
                  <c:v>25.000350341399081</c:v>
                </c:pt>
                <c:pt idx="201">
                  <c:v>25.000350341399081</c:v>
                </c:pt>
                <c:pt idx="202">
                  <c:v>25.000350341399081</c:v>
                </c:pt>
                <c:pt idx="203">
                  <c:v>25.000350341399081</c:v>
                </c:pt>
                <c:pt idx="204">
                  <c:v>25.000350341399081</c:v>
                </c:pt>
                <c:pt idx="205">
                  <c:v>25.000350341399081</c:v>
                </c:pt>
                <c:pt idx="206">
                  <c:v>25.000350341399081</c:v>
                </c:pt>
                <c:pt idx="207">
                  <c:v>25.000350341399081</c:v>
                </c:pt>
                <c:pt idx="208">
                  <c:v>25.000350341399081</c:v>
                </c:pt>
                <c:pt idx="209">
                  <c:v>25.000350341399081</c:v>
                </c:pt>
                <c:pt idx="210">
                  <c:v>25.000350341399081</c:v>
                </c:pt>
                <c:pt idx="211">
                  <c:v>25.000350341399081</c:v>
                </c:pt>
                <c:pt idx="212">
                  <c:v>25.000350341399081</c:v>
                </c:pt>
                <c:pt idx="213">
                  <c:v>25.000350341399081</c:v>
                </c:pt>
                <c:pt idx="214">
                  <c:v>25.000350341399081</c:v>
                </c:pt>
                <c:pt idx="215">
                  <c:v>25.000350341399081</c:v>
                </c:pt>
                <c:pt idx="216">
                  <c:v>25.000350341399081</c:v>
                </c:pt>
                <c:pt idx="217">
                  <c:v>25.000350341399081</c:v>
                </c:pt>
                <c:pt idx="218">
                  <c:v>25.000350341399081</c:v>
                </c:pt>
                <c:pt idx="219">
                  <c:v>25.000350341399081</c:v>
                </c:pt>
                <c:pt idx="220">
                  <c:v>25.000350341399081</c:v>
                </c:pt>
                <c:pt idx="221">
                  <c:v>25.000350341399081</c:v>
                </c:pt>
                <c:pt idx="222">
                  <c:v>25.000350341399081</c:v>
                </c:pt>
                <c:pt idx="223">
                  <c:v>25.000350341399081</c:v>
                </c:pt>
                <c:pt idx="224">
                  <c:v>25.000350341399081</c:v>
                </c:pt>
                <c:pt idx="225">
                  <c:v>25.000350341399081</c:v>
                </c:pt>
                <c:pt idx="226">
                  <c:v>25.000350341399081</c:v>
                </c:pt>
                <c:pt idx="227">
                  <c:v>25.000350341399081</c:v>
                </c:pt>
                <c:pt idx="228">
                  <c:v>25.000350341399081</c:v>
                </c:pt>
                <c:pt idx="229">
                  <c:v>25.000350341399081</c:v>
                </c:pt>
                <c:pt idx="230">
                  <c:v>25.000350341399081</c:v>
                </c:pt>
                <c:pt idx="231">
                  <c:v>25.000350341399081</c:v>
                </c:pt>
                <c:pt idx="232">
                  <c:v>25.000350341399081</c:v>
                </c:pt>
                <c:pt idx="233">
                  <c:v>25.000350341399081</c:v>
                </c:pt>
                <c:pt idx="234">
                  <c:v>25.000350341399081</c:v>
                </c:pt>
                <c:pt idx="235">
                  <c:v>25.000350341399081</c:v>
                </c:pt>
                <c:pt idx="236">
                  <c:v>25.000350341399081</c:v>
                </c:pt>
                <c:pt idx="237">
                  <c:v>25.000350341399081</c:v>
                </c:pt>
                <c:pt idx="238">
                  <c:v>25.000350341399081</c:v>
                </c:pt>
                <c:pt idx="239">
                  <c:v>25.000350341399081</c:v>
                </c:pt>
                <c:pt idx="240">
                  <c:v>25.000350341399081</c:v>
                </c:pt>
                <c:pt idx="241">
                  <c:v>25.000350341399081</c:v>
                </c:pt>
                <c:pt idx="242">
                  <c:v>25.000350341399081</c:v>
                </c:pt>
                <c:pt idx="243">
                  <c:v>25.000350341399081</c:v>
                </c:pt>
                <c:pt idx="244">
                  <c:v>25.000350341399081</c:v>
                </c:pt>
                <c:pt idx="245">
                  <c:v>25.000350341399081</c:v>
                </c:pt>
                <c:pt idx="246">
                  <c:v>25.000350341399081</c:v>
                </c:pt>
                <c:pt idx="247">
                  <c:v>25.000350341399081</c:v>
                </c:pt>
                <c:pt idx="248">
                  <c:v>25.000350341399081</c:v>
                </c:pt>
                <c:pt idx="249">
                  <c:v>25.000350341399081</c:v>
                </c:pt>
                <c:pt idx="250">
                  <c:v>25.000350341399081</c:v>
                </c:pt>
                <c:pt idx="251">
                  <c:v>25.000350341399081</c:v>
                </c:pt>
                <c:pt idx="252">
                  <c:v>25.000350341399081</c:v>
                </c:pt>
                <c:pt idx="253">
                  <c:v>25.000350341399081</c:v>
                </c:pt>
                <c:pt idx="254">
                  <c:v>25.000350341399081</c:v>
                </c:pt>
                <c:pt idx="255">
                  <c:v>25.000350341399081</c:v>
                </c:pt>
                <c:pt idx="256">
                  <c:v>25.000350341399081</c:v>
                </c:pt>
                <c:pt idx="257">
                  <c:v>25.000350341399081</c:v>
                </c:pt>
                <c:pt idx="258">
                  <c:v>25.000350341399081</c:v>
                </c:pt>
                <c:pt idx="259">
                  <c:v>25.000350341399081</c:v>
                </c:pt>
                <c:pt idx="260">
                  <c:v>25.000350341399081</c:v>
                </c:pt>
                <c:pt idx="261">
                  <c:v>25.000350341399081</c:v>
                </c:pt>
                <c:pt idx="262">
                  <c:v>25.000350341399081</c:v>
                </c:pt>
                <c:pt idx="263">
                  <c:v>25.000350341399081</c:v>
                </c:pt>
                <c:pt idx="264">
                  <c:v>25.000350341399081</c:v>
                </c:pt>
                <c:pt idx="265">
                  <c:v>25.000350341399081</c:v>
                </c:pt>
                <c:pt idx="266">
                  <c:v>25.000350341399081</c:v>
                </c:pt>
                <c:pt idx="267">
                  <c:v>25.000350341399081</c:v>
                </c:pt>
                <c:pt idx="268">
                  <c:v>25.000350341399081</c:v>
                </c:pt>
                <c:pt idx="269">
                  <c:v>25.000350341399081</c:v>
                </c:pt>
                <c:pt idx="270">
                  <c:v>25.000350341399081</c:v>
                </c:pt>
                <c:pt idx="271">
                  <c:v>25.000350341399081</c:v>
                </c:pt>
                <c:pt idx="272">
                  <c:v>25.000350341399081</c:v>
                </c:pt>
                <c:pt idx="273">
                  <c:v>25.000350341399081</c:v>
                </c:pt>
                <c:pt idx="274">
                  <c:v>25.000350341399081</c:v>
                </c:pt>
                <c:pt idx="275">
                  <c:v>25.000350341399081</c:v>
                </c:pt>
                <c:pt idx="276">
                  <c:v>25.000350341399081</c:v>
                </c:pt>
                <c:pt idx="277">
                  <c:v>25.000350341399081</c:v>
                </c:pt>
                <c:pt idx="278">
                  <c:v>25.000350341399081</c:v>
                </c:pt>
                <c:pt idx="279">
                  <c:v>25.000350341399081</c:v>
                </c:pt>
                <c:pt idx="280">
                  <c:v>25.000350341399081</c:v>
                </c:pt>
                <c:pt idx="281">
                  <c:v>25.000350341399081</c:v>
                </c:pt>
                <c:pt idx="282">
                  <c:v>25.000350341399081</c:v>
                </c:pt>
                <c:pt idx="283">
                  <c:v>25.000350341399081</c:v>
                </c:pt>
                <c:pt idx="284">
                  <c:v>25.000350341399081</c:v>
                </c:pt>
                <c:pt idx="285">
                  <c:v>25.000350341399081</c:v>
                </c:pt>
                <c:pt idx="286">
                  <c:v>25.000350341399081</c:v>
                </c:pt>
                <c:pt idx="287">
                  <c:v>25.000350341399081</c:v>
                </c:pt>
                <c:pt idx="288">
                  <c:v>25.000350341399081</c:v>
                </c:pt>
                <c:pt idx="289">
                  <c:v>25.000350341399081</c:v>
                </c:pt>
                <c:pt idx="290">
                  <c:v>25.000350341399081</c:v>
                </c:pt>
                <c:pt idx="291">
                  <c:v>25.000350341399081</c:v>
                </c:pt>
                <c:pt idx="292">
                  <c:v>25.000350341399081</c:v>
                </c:pt>
                <c:pt idx="293">
                  <c:v>25.000350341399081</c:v>
                </c:pt>
                <c:pt idx="294">
                  <c:v>25.000350341399081</c:v>
                </c:pt>
                <c:pt idx="295">
                  <c:v>25.000350341399081</c:v>
                </c:pt>
                <c:pt idx="296">
                  <c:v>25.000350341399081</c:v>
                </c:pt>
                <c:pt idx="297">
                  <c:v>25.000350341399081</c:v>
                </c:pt>
                <c:pt idx="298">
                  <c:v>25.000350341399081</c:v>
                </c:pt>
                <c:pt idx="299">
                  <c:v>25.000350341399081</c:v>
                </c:pt>
                <c:pt idx="300">
                  <c:v>25.000350341399081</c:v>
                </c:pt>
                <c:pt idx="301">
                  <c:v>25.000350341399081</c:v>
                </c:pt>
                <c:pt idx="302">
                  <c:v>25.000350341399081</c:v>
                </c:pt>
                <c:pt idx="303">
                  <c:v>25.000350341399081</c:v>
                </c:pt>
                <c:pt idx="304">
                  <c:v>25.000350341399081</c:v>
                </c:pt>
                <c:pt idx="305">
                  <c:v>25.000350341399081</c:v>
                </c:pt>
                <c:pt idx="306">
                  <c:v>25.000350341399081</c:v>
                </c:pt>
                <c:pt idx="307">
                  <c:v>25.000350341399081</c:v>
                </c:pt>
                <c:pt idx="308">
                  <c:v>25.000350341399081</c:v>
                </c:pt>
                <c:pt idx="309">
                  <c:v>25.000350341399081</c:v>
                </c:pt>
                <c:pt idx="310">
                  <c:v>25.000350341399081</c:v>
                </c:pt>
                <c:pt idx="311">
                  <c:v>25.000350341399081</c:v>
                </c:pt>
                <c:pt idx="312">
                  <c:v>25.000350341399081</c:v>
                </c:pt>
                <c:pt idx="313">
                  <c:v>25.000350341399081</c:v>
                </c:pt>
                <c:pt idx="314">
                  <c:v>25.000350341399081</c:v>
                </c:pt>
                <c:pt idx="315">
                  <c:v>25.000350341399081</c:v>
                </c:pt>
                <c:pt idx="316">
                  <c:v>25.000350341399081</c:v>
                </c:pt>
                <c:pt idx="317">
                  <c:v>25.000350341399081</c:v>
                </c:pt>
                <c:pt idx="318">
                  <c:v>25.000350341399081</c:v>
                </c:pt>
                <c:pt idx="319">
                  <c:v>25.000350341399081</c:v>
                </c:pt>
                <c:pt idx="320">
                  <c:v>25.000350341399081</c:v>
                </c:pt>
                <c:pt idx="321">
                  <c:v>25.000350341399081</c:v>
                </c:pt>
                <c:pt idx="322">
                  <c:v>25.000350341399081</c:v>
                </c:pt>
                <c:pt idx="323">
                  <c:v>25.000350341399081</c:v>
                </c:pt>
                <c:pt idx="324">
                  <c:v>25.000350341399081</c:v>
                </c:pt>
                <c:pt idx="325">
                  <c:v>25.000350341399081</c:v>
                </c:pt>
                <c:pt idx="326">
                  <c:v>25.000350341399081</c:v>
                </c:pt>
                <c:pt idx="327">
                  <c:v>25.000350341399081</c:v>
                </c:pt>
                <c:pt idx="328">
                  <c:v>25.000350341399081</c:v>
                </c:pt>
                <c:pt idx="329">
                  <c:v>25.000350341399081</c:v>
                </c:pt>
                <c:pt idx="330">
                  <c:v>25.000350341399081</c:v>
                </c:pt>
                <c:pt idx="331">
                  <c:v>25.000350341399081</c:v>
                </c:pt>
                <c:pt idx="332">
                  <c:v>25.000350341399081</c:v>
                </c:pt>
                <c:pt idx="333">
                  <c:v>25.000350341399081</c:v>
                </c:pt>
                <c:pt idx="334">
                  <c:v>25.000350341399081</c:v>
                </c:pt>
                <c:pt idx="335">
                  <c:v>25.000350341399081</c:v>
                </c:pt>
                <c:pt idx="336">
                  <c:v>25.000350341399081</c:v>
                </c:pt>
                <c:pt idx="337">
                  <c:v>25.000350341399081</c:v>
                </c:pt>
                <c:pt idx="338">
                  <c:v>25.000350341399081</c:v>
                </c:pt>
                <c:pt idx="339">
                  <c:v>25.000350341399081</c:v>
                </c:pt>
                <c:pt idx="340">
                  <c:v>25.000350341399081</c:v>
                </c:pt>
                <c:pt idx="341">
                  <c:v>25.000350341399081</c:v>
                </c:pt>
                <c:pt idx="342">
                  <c:v>25.000350341399081</c:v>
                </c:pt>
                <c:pt idx="343">
                  <c:v>25.000350341399081</c:v>
                </c:pt>
                <c:pt idx="344">
                  <c:v>25.000350341399081</c:v>
                </c:pt>
                <c:pt idx="345">
                  <c:v>25.000350341399081</c:v>
                </c:pt>
                <c:pt idx="346">
                  <c:v>25.000350341399081</c:v>
                </c:pt>
                <c:pt idx="347">
                  <c:v>25.000350341399081</c:v>
                </c:pt>
                <c:pt idx="348">
                  <c:v>25.000350341399081</c:v>
                </c:pt>
                <c:pt idx="349">
                  <c:v>25.000350341399081</c:v>
                </c:pt>
                <c:pt idx="350">
                  <c:v>25.000350341399081</c:v>
                </c:pt>
                <c:pt idx="351">
                  <c:v>25.000350341399081</c:v>
                </c:pt>
                <c:pt idx="352">
                  <c:v>25.000350341399081</c:v>
                </c:pt>
                <c:pt idx="353">
                  <c:v>25.000350341399081</c:v>
                </c:pt>
                <c:pt idx="354">
                  <c:v>25.000350341399081</c:v>
                </c:pt>
                <c:pt idx="355">
                  <c:v>25.000350341399081</c:v>
                </c:pt>
                <c:pt idx="356">
                  <c:v>25.000350341399081</c:v>
                </c:pt>
                <c:pt idx="357">
                  <c:v>25.000350341399081</c:v>
                </c:pt>
                <c:pt idx="358">
                  <c:v>25.000350341399081</c:v>
                </c:pt>
                <c:pt idx="359">
                  <c:v>25.000350341399081</c:v>
                </c:pt>
                <c:pt idx="360">
                  <c:v>25.000350341399081</c:v>
                </c:pt>
                <c:pt idx="361">
                  <c:v>25.000350341399081</c:v>
                </c:pt>
                <c:pt idx="362">
                  <c:v>25.000350341399081</c:v>
                </c:pt>
                <c:pt idx="363">
                  <c:v>25.000350341399081</c:v>
                </c:pt>
                <c:pt idx="364">
                  <c:v>25.000350341399081</c:v>
                </c:pt>
                <c:pt idx="365">
                  <c:v>25.000350341399081</c:v>
                </c:pt>
                <c:pt idx="366">
                  <c:v>25.000350341399081</c:v>
                </c:pt>
                <c:pt idx="367">
                  <c:v>25.000350341399081</c:v>
                </c:pt>
                <c:pt idx="368">
                  <c:v>25.000350341399081</c:v>
                </c:pt>
                <c:pt idx="369">
                  <c:v>25.000350341399081</c:v>
                </c:pt>
                <c:pt idx="370">
                  <c:v>25.000350341399081</c:v>
                </c:pt>
                <c:pt idx="371">
                  <c:v>25.000350341399081</c:v>
                </c:pt>
                <c:pt idx="372">
                  <c:v>25.000350341399081</c:v>
                </c:pt>
                <c:pt idx="373">
                  <c:v>25.000350341399081</c:v>
                </c:pt>
                <c:pt idx="374">
                  <c:v>25.000350341399081</c:v>
                </c:pt>
                <c:pt idx="375">
                  <c:v>25.000350341399081</c:v>
                </c:pt>
                <c:pt idx="376">
                  <c:v>25.000350341399081</c:v>
                </c:pt>
                <c:pt idx="377">
                  <c:v>25.000350341399081</c:v>
                </c:pt>
                <c:pt idx="378">
                  <c:v>25.000350341399081</c:v>
                </c:pt>
                <c:pt idx="379">
                  <c:v>25.000350341399081</c:v>
                </c:pt>
                <c:pt idx="380">
                  <c:v>25.000350341399081</c:v>
                </c:pt>
                <c:pt idx="381">
                  <c:v>25.000350341399081</c:v>
                </c:pt>
                <c:pt idx="382">
                  <c:v>25.000350341399081</c:v>
                </c:pt>
                <c:pt idx="383">
                  <c:v>25.000350341399081</c:v>
                </c:pt>
                <c:pt idx="384">
                  <c:v>25.000350341399081</c:v>
                </c:pt>
                <c:pt idx="385">
                  <c:v>25.000350341399081</c:v>
                </c:pt>
                <c:pt idx="386">
                  <c:v>25.000350341399081</c:v>
                </c:pt>
                <c:pt idx="387">
                  <c:v>25.000350341399081</c:v>
                </c:pt>
                <c:pt idx="388">
                  <c:v>25.000350341399081</c:v>
                </c:pt>
                <c:pt idx="389">
                  <c:v>25.000350341399081</c:v>
                </c:pt>
                <c:pt idx="390">
                  <c:v>25.000350341399081</c:v>
                </c:pt>
                <c:pt idx="391">
                  <c:v>25.000350341399081</c:v>
                </c:pt>
                <c:pt idx="392">
                  <c:v>25.000350341399081</c:v>
                </c:pt>
                <c:pt idx="393">
                  <c:v>25.000350341399081</c:v>
                </c:pt>
                <c:pt idx="394">
                  <c:v>25.000350341399081</c:v>
                </c:pt>
                <c:pt idx="395">
                  <c:v>25.000350341399081</c:v>
                </c:pt>
                <c:pt idx="396">
                  <c:v>25.000350341399081</c:v>
                </c:pt>
                <c:pt idx="397">
                  <c:v>25.000350341399081</c:v>
                </c:pt>
                <c:pt idx="398">
                  <c:v>25.000350341399081</c:v>
                </c:pt>
                <c:pt idx="399">
                  <c:v>25.000350341399081</c:v>
                </c:pt>
                <c:pt idx="400">
                  <c:v>25.000350341399081</c:v>
                </c:pt>
                <c:pt idx="401">
                  <c:v>25.000350341399081</c:v>
                </c:pt>
                <c:pt idx="402">
                  <c:v>25.000350341399081</c:v>
                </c:pt>
                <c:pt idx="403">
                  <c:v>25.000350341399081</c:v>
                </c:pt>
                <c:pt idx="404">
                  <c:v>25.000350341399081</c:v>
                </c:pt>
                <c:pt idx="405">
                  <c:v>25.000350341399081</c:v>
                </c:pt>
                <c:pt idx="406">
                  <c:v>25.000350341399081</c:v>
                </c:pt>
                <c:pt idx="407">
                  <c:v>25.000350341399081</c:v>
                </c:pt>
                <c:pt idx="408">
                  <c:v>25.000350341399081</c:v>
                </c:pt>
                <c:pt idx="409">
                  <c:v>25.000350341399081</c:v>
                </c:pt>
                <c:pt idx="410">
                  <c:v>25.000350341399081</c:v>
                </c:pt>
                <c:pt idx="411">
                  <c:v>25.000350341399081</c:v>
                </c:pt>
                <c:pt idx="412">
                  <c:v>25.000350341399081</c:v>
                </c:pt>
                <c:pt idx="413">
                  <c:v>25.000350341399081</c:v>
                </c:pt>
                <c:pt idx="414">
                  <c:v>25.000350341399081</c:v>
                </c:pt>
                <c:pt idx="415">
                  <c:v>25.000350341399081</c:v>
                </c:pt>
                <c:pt idx="416">
                  <c:v>25.000350341399081</c:v>
                </c:pt>
                <c:pt idx="417">
                  <c:v>25.000350341399081</c:v>
                </c:pt>
                <c:pt idx="418">
                  <c:v>25.000350341399081</c:v>
                </c:pt>
                <c:pt idx="419">
                  <c:v>25.000350341399081</c:v>
                </c:pt>
                <c:pt idx="420">
                  <c:v>25.000350341399081</c:v>
                </c:pt>
                <c:pt idx="421">
                  <c:v>25.000350341399081</c:v>
                </c:pt>
                <c:pt idx="422">
                  <c:v>25.000350341399081</c:v>
                </c:pt>
                <c:pt idx="423">
                  <c:v>25.000350341399081</c:v>
                </c:pt>
                <c:pt idx="424">
                  <c:v>25.000350341399081</c:v>
                </c:pt>
                <c:pt idx="425">
                  <c:v>25.000350341399081</c:v>
                </c:pt>
                <c:pt idx="426">
                  <c:v>25.000350341399081</c:v>
                </c:pt>
                <c:pt idx="427">
                  <c:v>25.000350341399081</c:v>
                </c:pt>
                <c:pt idx="428">
                  <c:v>25.000350341399081</c:v>
                </c:pt>
                <c:pt idx="429">
                  <c:v>25.000350341399081</c:v>
                </c:pt>
                <c:pt idx="430">
                  <c:v>25.000350341399081</c:v>
                </c:pt>
                <c:pt idx="431">
                  <c:v>25.000350341399081</c:v>
                </c:pt>
                <c:pt idx="432">
                  <c:v>25.000350341399081</c:v>
                </c:pt>
                <c:pt idx="433">
                  <c:v>25.000350341399081</c:v>
                </c:pt>
                <c:pt idx="434">
                  <c:v>25.000350341399081</c:v>
                </c:pt>
                <c:pt idx="435">
                  <c:v>25.000350341399081</c:v>
                </c:pt>
                <c:pt idx="436">
                  <c:v>25.000350341399081</c:v>
                </c:pt>
                <c:pt idx="437">
                  <c:v>25.000350341399081</c:v>
                </c:pt>
                <c:pt idx="438">
                  <c:v>25.000350341399081</c:v>
                </c:pt>
                <c:pt idx="439">
                  <c:v>25.000350341399081</c:v>
                </c:pt>
                <c:pt idx="440">
                  <c:v>25.000350341399081</c:v>
                </c:pt>
                <c:pt idx="441">
                  <c:v>25.000350341399081</c:v>
                </c:pt>
                <c:pt idx="442">
                  <c:v>25.000350341399081</c:v>
                </c:pt>
                <c:pt idx="443">
                  <c:v>25.000350341399081</c:v>
                </c:pt>
                <c:pt idx="444">
                  <c:v>25.000350341399081</c:v>
                </c:pt>
                <c:pt idx="445">
                  <c:v>25.000350341399081</c:v>
                </c:pt>
                <c:pt idx="446">
                  <c:v>25.000350341399081</c:v>
                </c:pt>
                <c:pt idx="447">
                  <c:v>25.000350341399081</c:v>
                </c:pt>
                <c:pt idx="448">
                  <c:v>25.000350341399081</c:v>
                </c:pt>
                <c:pt idx="449">
                  <c:v>25.000350341399081</c:v>
                </c:pt>
                <c:pt idx="450">
                  <c:v>25.000350341399081</c:v>
                </c:pt>
                <c:pt idx="451">
                  <c:v>25.000350341399081</c:v>
                </c:pt>
                <c:pt idx="452">
                  <c:v>25.000350341399081</c:v>
                </c:pt>
                <c:pt idx="453">
                  <c:v>25.000350341399081</c:v>
                </c:pt>
                <c:pt idx="454">
                  <c:v>25.000350341399081</c:v>
                </c:pt>
                <c:pt idx="455">
                  <c:v>25.000350341399081</c:v>
                </c:pt>
                <c:pt idx="456">
                  <c:v>25.000350341399081</c:v>
                </c:pt>
                <c:pt idx="457">
                  <c:v>25.000350341399081</c:v>
                </c:pt>
                <c:pt idx="458">
                  <c:v>25.000350341399081</c:v>
                </c:pt>
                <c:pt idx="459">
                  <c:v>25.000350341399081</c:v>
                </c:pt>
                <c:pt idx="460">
                  <c:v>25.000350341399081</c:v>
                </c:pt>
                <c:pt idx="461">
                  <c:v>25.000350341399081</c:v>
                </c:pt>
                <c:pt idx="462">
                  <c:v>25.000350341399081</c:v>
                </c:pt>
                <c:pt idx="463">
                  <c:v>25.000350341399081</c:v>
                </c:pt>
                <c:pt idx="464">
                  <c:v>25.000350341399081</c:v>
                </c:pt>
                <c:pt idx="465">
                  <c:v>25.000350341399081</c:v>
                </c:pt>
                <c:pt idx="466">
                  <c:v>25.000350341399081</c:v>
                </c:pt>
                <c:pt idx="467">
                  <c:v>25.000350341399081</c:v>
                </c:pt>
                <c:pt idx="468">
                  <c:v>25.000350341399081</c:v>
                </c:pt>
                <c:pt idx="469">
                  <c:v>25.000350341399081</c:v>
                </c:pt>
                <c:pt idx="470">
                  <c:v>25.000350341399081</c:v>
                </c:pt>
                <c:pt idx="471">
                  <c:v>25.000350341399081</c:v>
                </c:pt>
                <c:pt idx="472">
                  <c:v>25.000350341399081</c:v>
                </c:pt>
                <c:pt idx="473">
                  <c:v>25.000350341399081</c:v>
                </c:pt>
                <c:pt idx="474">
                  <c:v>25.000350341399081</c:v>
                </c:pt>
                <c:pt idx="475">
                  <c:v>25.000350341399081</c:v>
                </c:pt>
                <c:pt idx="476">
                  <c:v>25.000350341399081</c:v>
                </c:pt>
                <c:pt idx="477">
                  <c:v>25.000350341399081</c:v>
                </c:pt>
                <c:pt idx="478">
                  <c:v>25.000350341399081</c:v>
                </c:pt>
                <c:pt idx="479">
                  <c:v>25.000350341399081</c:v>
                </c:pt>
                <c:pt idx="480">
                  <c:v>25.000350341399081</c:v>
                </c:pt>
                <c:pt idx="481">
                  <c:v>25.000350341399081</c:v>
                </c:pt>
                <c:pt idx="482">
                  <c:v>25.000350341399081</c:v>
                </c:pt>
                <c:pt idx="483">
                  <c:v>25.000350341399081</c:v>
                </c:pt>
                <c:pt idx="484">
                  <c:v>25.000350341399081</c:v>
                </c:pt>
                <c:pt idx="485">
                  <c:v>25.000350341399081</c:v>
                </c:pt>
                <c:pt idx="486">
                  <c:v>25.000350341399081</c:v>
                </c:pt>
                <c:pt idx="487">
                  <c:v>25.000350341399081</c:v>
                </c:pt>
                <c:pt idx="488">
                  <c:v>25.000350341399081</c:v>
                </c:pt>
                <c:pt idx="489">
                  <c:v>25.000350341399081</c:v>
                </c:pt>
                <c:pt idx="490">
                  <c:v>25.000350341399081</c:v>
                </c:pt>
                <c:pt idx="491">
                  <c:v>25.000350341399081</c:v>
                </c:pt>
                <c:pt idx="492">
                  <c:v>25.000350341399081</c:v>
                </c:pt>
                <c:pt idx="493">
                  <c:v>25.000350341399081</c:v>
                </c:pt>
                <c:pt idx="494">
                  <c:v>25.000350341399081</c:v>
                </c:pt>
                <c:pt idx="495">
                  <c:v>25.000350341399081</c:v>
                </c:pt>
                <c:pt idx="496">
                  <c:v>25.000350341399081</c:v>
                </c:pt>
                <c:pt idx="497">
                  <c:v>25.000350341399081</c:v>
                </c:pt>
                <c:pt idx="498">
                  <c:v>25.000350341399081</c:v>
                </c:pt>
                <c:pt idx="499">
                  <c:v>25.000350341399081</c:v>
                </c:pt>
                <c:pt idx="500">
                  <c:v>25.000350341399081</c:v>
                </c:pt>
                <c:pt idx="501">
                  <c:v>25.000350341399081</c:v>
                </c:pt>
                <c:pt idx="502">
                  <c:v>25.000350341399081</c:v>
                </c:pt>
                <c:pt idx="503">
                  <c:v>25.000350341399081</c:v>
                </c:pt>
              </c:numCache>
            </c:numRef>
          </c:yVal>
          <c:smooth val="0"/>
          <c:extLst xmlns:c16r2="http://schemas.microsoft.com/office/drawing/2015/06/chart">
            <c:ext xmlns:c16="http://schemas.microsoft.com/office/drawing/2014/chart" uri="{C3380CC4-5D6E-409C-BE32-E72D297353CC}">
              <c16:uniqueId val="{00000001-C01D-439B-BA19-A5DA1AAAAC61}"/>
            </c:ext>
          </c:extLst>
        </c:ser>
        <c:ser>
          <c:idx val="3"/>
          <c:order val="3"/>
          <c:tx>
            <c:v>seg2</c:v>
          </c:tx>
          <c:spPr>
            <a:ln w="25400">
              <a:solidFill>
                <a:srgbClr val="FF0000"/>
              </a:solidFill>
              <a:prstDash val="solid"/>
            </a:ln>
          </c:spPr>
          <c:marker>
            <c:symbol val="none"/>
          </c:marker>
          <c:xVal>
            <c:numRef>
              <c:f>Smart!$IF$3:$IF$506</c:f>
              <c:numCache>
                <c:formatCode>General</c:formatCode>
                <c:ptCount val="504"/>
                <c:pt idx="0">
                  <c:v>40.704999999999998</c:v>
                </c:pt>
                <c:pt idx="1">
                  <c:v>40.704999999999998</c:v>
                </c:pt>
                <c:pt idx="2">
                  <c:v>40.704999999999998</c:v>
                </c:pt>
                <c:pt idx="3">
                  <c:v>40.704999999999998</c:v>
                </c:pt>
                <c:pt idx="4">
                  <c:v>40.704999999999998</c:v>
                </c:pt>
                <c:pt idx="5">
                  <c:v>40.704999999999998</c:v>
                </c:pt>
                <c:pt idx="6">
                  <c:v>40.704999999999998</c:v>
                </c:pt>
                <c:pt idx="7">
                  <c:v>40.704999999999998</c:v>
                </c:pt>
                <c:pt idx="8">
                  <c:v>40.704999999999998</c:v>
                </c:pt>
                <c:pt idx="9">
                  <c:v>40.704999999999998</c:v>
                </c:pt>
                <c:pt idx="10">
                  <c:v>40.704999999999998</c:v>
                </c:pt>
                <c:pt idx="11">
                  <c:v>40.704999999999998</c:v>
                </c:pt>
                <c:pt idx="12">
                  <c:v>40.704999999999998</c:v>
                </c:pt>
                <c:pt idx="13">
                  <c:v>40.704999999999998</c:v>
                </c:pt>
                <c:pt idx="14">
                  <c:v>40.704999999999998</c:v>
                </c:pt>
                <c:pt idx="15">
                  <c:v>40.704999999999998</c:v>
                </c:pt>
                <c:pt idx="16">
                  <c:v>40.704999999999998</c:v>
                </c:pt>
                <c:pt idx="17">
                  <c:v>40.704999999999998</c:v>
                </c:pt>
                <c:pt idx="18">
                  <c:v>40.704999999999998</c:v>
                </c:pt>
                <c:pt idx="19">
                  <c:v>40.704999999999998</c:v>
                </c:pt>
                <c:pt idx="20">
                  <c:v>40.704999999999998</c:v>
                </c:pt>
                <c:pt idx="21">
                  <c:v>40.704999999999998</c:v>
                </c:pt>
                <c:pt idx="22">
                  <c:v>40.704999999999998</c:v>
                </c:pt>
                <c:pt idx="23">
                  <c:v>40.704999999999998</c:v>
                </c:pt>
                <c:pt idx="24">
                  <c:v>40.704999999999998</c:v>
                </c:pt>
                <c:pt idx="25">
                  <c:v>40.704999999999998</c:v>
                </c:pt>
                <c:pt idx="26">
                  <c:v>40.704999999999998</c:v>
                </c:pt>
                <c:pt idx="27">
                  <c:v>40.704999999999998</c:v>
                </c:pt>
                <c:pt idx="28">
                  <c:v>40.704999999999998</c:v>
                </c:pt>
                <c:pt idx="29">
                  <c:v>40.704999999999998</c:v>
                </c:pt>
                <c:pt idx="30">
                  <c:v>40.704999999999998</c:v>
                </c:pt>
                <c:pt idx="31">
                  <c:v>40.704999999999998</c:v>
                </c:pt>
                <c:pt idx="32">
                  <c:v>40.704999999999998</c:v>
                </c:pt>
                <c:pt idx="33">
                  <c:v>40.704999999999998</c:v>
                </c:pt>
                <c:pt idx="34">
                  <c:v>40.704999999999998</c:v>
                </c:pt>
                <c:pt idx="35">
                  <c:v>40.704999999999998</c:v>
                </c:pt>
                <c:pt idx="36">
                  <c:v>40.704999999999998</c:v>
                </c:pt>
                <c:pt idx="37">
                  <c:v>40.704999999999998</c:v>
                </c:pt>
                <c:pt idx="38">
                  <c:v>40.704999999999998</c:v>
                </c:pt>
                <c:pt idx="39">
                  <c:v>40.704999999999998</c:v>
                </c:pt>
                <c:pt idx="40">
                  <c:v>40.704999999999998</c:v>
                </c:pt>
                <c:pt idx="41">
                  <c:v>40.704999999999998</c:v>
                </c:pt>
                <c:pt idx="42">
                  <c:v>40.704999999999998</c:v>
                </c:pt>
                <c:pt idx="43">
                  <c:v>40.704999999999998</c:v>
                </c:pt>
                <c:pt idx="44">
                  <c:v>40.704999999999998</c:v>
                </c:pt>
                <c:pt idx="45">
                  <c:v>40.704999999999998</c:v>
                </c:pt>
                <c:pt idx="46">
                  <c:v>40.704999999999998</c:v>
                </c:pt>
                <c:pt idx="47">
                  <c:v>40.704999999999998</c:v>
                </c:pt>
                <c:pt idx="48">
                  <c:v>40.704999999999998</c:v>
                </c:pt>
                <c:pt idx="49">
                  <c:v>40.704999999999998</c:v>
                </c:pt>
                <c:pt idx="50">
                  <c:v>40.704999999999998</c:v>
                </c:pt>
                <c:pt idx="51">
                  <c:v>40.704999999999998</c:v>
                </c:pt>
                <c:pt idx="52">
                  <c:v>40.704999999999998</c:v>
                </c:pt>
                <c:pt idx="53">
                  <c:v>40.704999999999998</c:v>
                </c:pt>
                <c:pt idx="54">
                  <c:v>40.704999999999998</c:v>
                </c:pt>
                <c:pt idx="55">
                  <c:v>40.704999999999998</c:v>
                </c:pt>
                <c:pt idx="56">
                  <c:v>40.704999999999998</c:v>
                </c:pt>
                <c:pt idx="57">
                  <c:v>40.704999999999998</c:v>
                </c:pt>
                <c:pt idx="58">
                  <c:v>40.704999999999998</c:v>
                </c:pt>
                <c:pt idx="59">
                  <c:v>40.704999999999998</c:v>
                </c:pt>
                <c:pt idx="60">
                  <c:v>40.704999999999998</c:v>
                </c:pt>
                <c:pt idx="61">
                  <c:v>40.704999999999998</c:v>
                </c:pt>
                <c:pt idx="62">
                  <c:v>40.704999999999998</c:v>
                </c:pt>
                <c:pt idx="63">
                  <c:v>40.704999999999998</c:v>
                </c:pt>
                <c:pt idx="64">
                  <c:v>40.704999999999998</c:v>
                </c:pt>
                <c:pt idx="65">
                  <c:v>40.704999999999998</c:v>
                </c:pt>
                <c:pt idx="66">
                  <c:v>40.704999999999998</c:v>
                </c:pt>
                <c:pt idx="67">
                  <c:v>40.704999999999998</c:v>
                </c:pt>
                <c:pt idx="68">
                  <c:v>40.704999999999998</c:v>
                </c:pt>
                <c:pt idx="69">
                  <c:v>40.704999999999998</c:v>
                </c:pt>
                <c:pt idx="70">
                  <c:v>40.704999999999998</c:v>
                </c:pt>
                <c:pt idx="71">
                  <c:v>40.704999999999998</c:v>
                </c:pt>
                <c:pt idx="72">
                  <c:v>40.704999999999998</c:v>
                </c:pt>
                <c:pt idx="73">
                  <c:v>40.704999999999998</c:v>
                </c:pt>
                <c:pt idx="74">
                  <c:v>40.704999999999998</c:v>
                </c:pt>
                <c:pt idx="75">
                  <c:v>40.704999999999998</c:v>
                </c:pt>
                <c:pt idx="76">
                  <c:v>40.704999999999998</c:v>
                </c:pt>
                <c:pt idx="77">
                  <c:v>40.704999999999998</c:v>
                </c:pt>
                <c:pt idx="78">
                  <c:v>40.704999999999998</c:v>
                </c:pt>
                <c:pt idx="79">
                  <c:v>40.704999999999998</c:v>
                </c:pt>
                <c:pt idx="80">
                  <c:v>40.704999999999998</c:v>
                </c:pt>
                <c:pt idx="81">
                  <c:v>40.704999999999998</c:v>
                </c:pt>
                <c:pt idx="82">
                  <c:v>40.704999999999998</c:v>
                </c:pt>
                <c:pt idx="83">
                  <c:v>40.704999999999998</c:v>
                </c:pt>
                <c:pt idx="84">
                  <c:v>40.704999999999998</c:v>
                </c:pt>
                <c:pt idx="85">
                  <c:v>40.704999999999998</c:v>
                </c:pt>
                <c:pt idx="86">
                  <c:v>40.704999999999998</c:v>
                </c:pt>
                <c:pt idx="87">
                  <c:v>40.704999999999998</c:v>
                </c:pt>
                <c:pt idx="88">
                  <c:v>40.704999999999998</c:v>
                </c:pt>
                <c:pt idx="89">
                  <c:v>40.704999999999998</c:v>
                </c:pt>
                <c:pt idx="90">
                  <c:v>40.704999999999998</c:v>
                </c:pt>
                <c:pt idx="91">
                  <c:v>40.704999999999998</c:v>
                </c:pt>
                <c:pt idx="92">
                  <c:v>40.704999999999998</c:v>
                </c:pt>
                <c:pt idx="93">
                  <c:v>40.704999999999998</c:v>
                </c:pt>
                <c:pt idx="94">
                  <c:v>40.704999999999998</c:v>
                </c:pt>
                <c:pt idx="95">
                  <c:v>40.704999999999998</c:v>
                </c:pt>
                <c:pt idx="96">
                  <c:v>40.704999999999998</c:v>
                </c:pt>
                <c:pt idx="97">
                  <c:v>40.704999999999998</c:v>
                </c:pt>
                <c:pt idx="98">
                  <c:v>40.704999999999998</c:v>
                </c:pt>
                <c:pt idx="99">
                  <c:v>40.704999999999998</c:v>
                </c:pt>
                <c:pt idx="100">
                  <c:v>40.704999999999998</c:v>
                </c:pt>
                <c:pt idx="101">
                  <c:v>40.704999999999998</c:v>
                </c:pt>
                <c:pt idx="102">
                  <c:v>40.704999999999998</c:v>
                </c:pt>
                <c:pt idx="103">
                  <c:v>40.704999999999998</c:v>
                </c:pt>
                <c:pt idx="104">
                  <c:v>40.704999999999998</c:v>
                </c:pt>
                <c:pt idx="105">
                  <c:v>40.704999999999998</c:v>
                </c:pt>
                <c:pt idx="106">
                  <c:v>40.704999999999998</c:v>
                </c:pt>
                <c:pt idx="107">
                  <c:v>40.704999999999998</c:v>
                </c:pt>
                <c:pt idx="108">
                  <c:v>40.704999999999998</c:v>
                </c:pt>
                <c:pt idx="109">
                  <c:v>40.704999999999998</c:v>
                </c:pt>
                <c:pt idx="110">
                  <c:v>40.704999999999998</c:v>
                </c:pt>
                <c:pt idx="111">
                  <c:v>40.704999999999998</c:v>
                </c:pt>
                <c:pt idx="112">
                  <c:v>40.704999999999998</c:v>
                </c:pt>
                <c:pt idx="113">
                  <c:v>40.704999999999998</c:v>
                </c:pt>
                <c:pt idx="114">
                  <c:v>40.704999999999998</c:v>
                </c:pt>
                <c:pt idx="115">
                  <c:v>40.704999999999998</c:v>
                </c:pt>
                <c:pt idx="116">
                  <c:v>40.704999999999998</c:v>
                </c:pt>
                <c:pt idx="117">
                  <c:v>40.704999999999998</c:v>
                </c:pt>
                <c:pt idx="118">
                  <c:v>40.704999999999998</c:v>
                </c:pt>
                <c:pt idx="119">
                  <c:v>40.704999999999998</c:v>
                </c:pt>
                <c:pt idx="120">
                  <c:v>40.704999999999998</c:v>
                </c:pt>
                <c:pt idx="121">
                  <c:v>40.704999999999998</c:v>
                </c:pt>
                <c:pt idx="122">
                  <c:v>40.704999999999998</c:v>
                </c:pt>
                <c:pt idx="123">
                  <c:v>40.704999999999998</c:v>
                </c:pt>
                <c:pt idx="124">
                  <c:v>40.704999999999998</c:v>
                </c:pt>
                <c:pt idx="125">
                  <c:v>40.704999999999998</c:v>
                </c:pt>
                <c:pt idx="126">
                  <c:v>40.704999999999998</c:v>
                </c:pt>
                <c:pt idx="127">
                  <c:v>40.704999999999998</c:v>
                </c:pt>
                <c:pt idx="128">
                  <c:v>40.704999999999998</c:v>
                </c:pt>
                <c:pt idx="129">
                  <c:v>40.704999999999998</c:v>
                </c:pt>
                <c:pt idx="130">
                  <c:v>40.704999999999998</c:v>
                </c:pt>
                <c:pt idx="131">
                  <c:v>40.704999999999998</c:v>
                </c:pt>
                <c:pt idx="132">
                  <c:v>40.704999999999998</c:v>
                </c:pt>
                <c:pt idx="133">
                  <c:v>40.704999999999998</c:v>
                </c:pt>
                <c:pt idx="134">
                  <c:v>40.704999999999998</c:v>
                </c:pt>
                <c:pt idx="135">
                  <c:v>40.704999999999998</c:v>
                </c:pt>
                <c:pt idx="136">
                  <c:v>40.704999999999998</c:v>
                </c:pt>
                <c:pt idx="137">
                  <c:v>40.704999999999998</c:v>
                </c:pt>
                <c:pt idx="138">
                  <c:v>40.704999999999998</c:v>
                </c:pt>
                <c:pt idx="139">
                  <c:v>40.704999999999998</c:v>
                </c:pt>
                <c:pt idx="140">
                  <c:v>40.704999999999998</c:v>
                </c:pt>
                <c:pt idx="141">
                  <c:v>40.704999999999998</c:v>
                </c:pt>
                <c:pt idx="142">
                  <c:v>40.704999999999998</c:v>
                </c:pt>
                <c:pt idx="143">
                  <c:v>40.704999999999998</c:v>
                </c:pt>
                <c:pt idx="144">
                  <c:v>40.704999999999998</c:v>
                </c:pt>
                <c:pt idx="145">
                  <c:v>40.704999999999998</c:v>
                </c:pt>
                <c:pt idx="146">
                  <c:v>40.704999999999998</c:v>
                </c:pt>
                <c:pt idx="147">
                  <c:v>40.704999999999998</c:v>
                </c:pt>
                <c:pt idx="148">
                  <c:v>40.704999999999998</c:v>
                </c:pt>
                <c:pt idx="149">
                  <c:v>40.704999999999998</c:v>
                </c:pt>
                <c:pt idx="150">
                  <c:v>40.704999999999998</c:v>
                </c:pt>
                <c:pt idx="151">
                  <c:v>40.704999999999998</c:v>
                </c:pt>
                <c:pt idx="152">
                  <c:v>40.704999999999998</c:v>
                </c:pt>
                <c:pt idx="153">
                  <c:v>40.704999999999998</c:v>
                </c:pt>
                <c:pt idx="154">
                  <c:v>40.704999999999998</c:v>
                </c:pt>
                <c:pt idx="155">
                  <c:v>40.704999999999998</c:v>
                </c:pt>
                <c:pt idx="156">
                  <c:v>40.704999999999998</c:v>
                </c:pt>
                <c:pt idx="157">
                  <c:v>40.704999999999998</c:v>
                </c:pt>
                <c:pt idx="158">
                  <c:v>40.704999999999998</c:v>
                </c:pt>
                <c:pt idx="159">
                  <c:v>40.704999999999998</c:v>
                </c:pt>
                <c:pt idx="160">
                  <c:v>40.704999999999998</c:v>
                </c:pt>
                <c:pt idx="161">
                  <c:v>40.704999999999998</c:v>
                </c:pt>
                <c:pt idx="162">
                  <c:v>40.704999999999998</c:v>
                </c:pt>
                <c:pt idx="163">
                  <c:v>40.704999999999998</c:v>
                </c:pt>
                <c:pt idx="164">
                  <c:v>40.704999999999998</c:v>
                </c:pt>
                <c:pt idx="165">
                  <c:v>40.704999999999998</c:v>
                </c:pt>
                <c:pt idx="166">
                  <c:v>40.704999999999998</c:v>
                </c:pt>
                <c:pt idx="167">
                  <c:v>40.704999999999998</c:v>
                </c:pt>
                <c:pt idx="168">
                  <c:v>40.704999999999998</c:v>
                </c:pt>
                <c:pt idx="169">
                  <c:v>40.704999999999998</c:v>
                </c:pt>
                <c:pt idx="170">
                  <c:v>40.704999999999998</c:v>
                </c:pt>
                <c:pt idx="171">
                  <c:v>40.704999999999998</c:v>
                </c:pt>
                <c:pt idx="172">
                  <c:v>40.704999999999998</c:v>
                </c:pt>
                <c:pt idx="173">
                  <c:v>40.704999999999998</c:v>
                </c:pt>
                <c:pt idx="174">
                  <c:v>40.704999999999998</c:v>
                </c:pt>
                <c:pt idx="175">
                  <c:v>40.704999999999998</c:v>
                </c:pt>
                <c:pt idx="176">
                  <c:v>40.704999999999998</c:v>
                </c:pt>
                <c:pt idx="177">
                  <c:v>40.704999999999998</c:v>
                </c:pt>
                <c:pt idx="178">
                  <c:v>40.704999999999998</c:v>
                </c:pt>
                <c:pt idx="179">
                  <c:v>40.704999999999998</c:v>
                </c:pt>
                <c:pt idx="180">
                  <c:v>40.704999999999998</c:v>
                </c:pt>
                <c:pt idx="181">
                  <c:v>40.704999999999998</c:v>
                </c:pt>
                <c:pt idx="182">
                  <c:v>40.704999999999998</c:v>
                </c:pt>
                <c:pt idx="183">
                  <c:v>40.704999999999998</c:v>
                </c:pt>
                <c:pt idx="184">
                  <c:v>40.704999999999998</c:v>
                </c:pt>
                <c:pt idx="185">
                  <c:v>40.704999999999998</c:v>
                </c:pt>
                <c:pt idx="186">
                  <c:v>40.704999999999998</c:v>
                </c:pt>
                <c:pt idx="187">
                  <c:v>40.704999999999998</c:v>
                </c:pt>
                <c:pt idx="188">
                  <c:v>40.704999999999998</c:v>
                </c:pt>
                <c:pt idx="189">
                  <c:v>40.704999999999998</c:v>
                </c:pt>
                <c:pt idx="190">
                  <c:v>40.704999999999998</c:v>
                </c:pt>
                <c:pt idx="191">
                  <c:v>40.704999999999998</c:v>
                </c:pt>
                <c:pt idx="192">
                  <c:v>40.704999999999998</c:v>
                </c:pt>
                <c:pt idx="193">
                  <c:v>40.704999999999998</c:v>
                </c:pt>
                <c:pt idx="194">
                  <c:v>40.704999999999998</c:v>
                </c:pt>
                <c:pt idx="195">
                  <c:v>40.704999999999998</c:v>
                </c:pt>
                <c:pt idx="196">
                  <c:v>40.704999999999998</c:v>
                </c:pt>
                <c:pt idx="197">
                  <c:v>40.704999999999998</c:v>
                </c:pt>
                <c:pt idx="198">
                  <c:v>40.704999999999998</c:v>
                </c:pt>
                <c:pt idx="199">
                  <c:v>40.704999999999998</c:v>
                </c:pt>
                <c:pt idx="200">
                  <c:v>40.704999999999998</c:v>
                </c:pt>
                <c:pt idx="201">
                  <c:v>40.704999999999998</c:v>
                </c:pt>
                <c:pt idx="202">
                  <c:v>40.704999999999998</c:v>
                </c:pt>
                <c:pt idx="203">
                  <c:v>40.704999999999998</c:v>
                </c:pt>
                <c:pt idx="204">
                  <c:v>40.704999999999998</c:v>
                </c:pt>
                <c:pt idx="205">
                  <c:v>40.704999999999998</c:v>
                </c:pt>
                <c:pt idx="206">
                  <c:v>40.704999999999998</c:v>
                </c:pt>
                <c:pt idx="207">
                  <c:v>40.704999999999998</c:v>
                </c:pt>
                <c:pt idx="208">
                  <c:v>40.704999999999998</c:v>
                </c:pt>
                <c:pt idx="209">
                  <c:v>40.704999999999998</c:v>
                </c:pt>
                <c:pt idx="210">
                  <c:v>40.704999999999998</c:v>
                </c:pt>
                <c:pt idx="211">
                  <c:v>40.704999999999998</c:v>
                </c:pt>
                <c:pt idx="212">
                  <c:v>40.704999999999998</c:v>
                </c:pt>
                <c:pt idx="213">
                  <c:v>40.704999999999998</c:v>
                </c:pt>
                <c:pt idx="214">
                  <c:v>40.704999999999998</c:v>
                </c:pt>
                <c:pt idx="215">
                  <c:v>40.704999999999998</c:v>
                </c:pt>
                <c:pt idx="216">
                  <c:v>40.704999999999998</c:v>
                </c:pt>
                <c:pt idx="217">
                  <c:v>40.704999999999998</c:v>
                </c:pt>
                <c:pt idx="218">
                  <c:v>40.704999999999998</c:v>
                </c:pt>
                <c:pt idx="219">
                  <c:v>40.704999999999998</c:v>
                </c:pt>
                <c:pt idx="220">
                  <c:v>40.704999999999998</c:v>
                </c:pt>
                <c:pt idx="221">
                  <c:v>40.704999999999998</c:v>
                </c:pt>
                <c:pt idx="222">
                  <c:v>40.704999999999998</c:v>
                </c:pt>
                <c:pt idx="223">
                  <c:v>40.704999999999998</c:v>
                </c:pt>
                <c:pt idx="224">
                  <c:v>40.704999999999998</c:v>
                </c:pt>
                <c:pt idx="225">
                  <c:v>40.704999999999998</c:v>
                </c:pt>
                <c:pt idx="226">
                  <c:v>40.704999999999998</c:v>
                </c:pt>
                <c:pt idx="227">
                  <c:v>40.704999999999998</c:v>
                </c:pt>
                <c:pt idx="228">
                  <c:v>40.704999999999998</c:v>
                </c:pt>
                <c:pt idx="229">
                  <c:v>40.704999999999998</c:v>
                </c:pt>
                <c:pt idx="230">
                  <c:v>40.704999999999998</c:v>
                </c:pt>
                <c:pt idx="231">
                  <c:v>40.704999999999998</c:v>
                </c:pt>
                <c:pt idx="232">
                  <c:v>40.704999999999998</c:v>
                </c:pt>
                <c:pt idx="233">
                  <c:v>40.704999999999998</c:v>
                </c:pt>
                <c:pt idx="234">
                  <c:v>40.704999999999998</c:v>
                </c:pt>
                <c:pt idx="235">
                  <c:v>40.704999999999998</c:v>
                </c:pt>
                <c:pt idx="236">
                  <c:v>40.704999999999998</c:v>
                </c:pt>
                <c:pt idx="237">
                  <c:v>40.704999999999998</c:v>
                </c:pt>
                <c:pt idx="238">
                  <c:v>40.704999999999998</c:v>
                </c:pt>
                <c:pt idx="239">
                  <c:v>40.704999999999998</c:v>
                </c:pt>
                <c:pt idx="240">
                  <c:v>40.704999999999998</c:v>
                </c:pt>
                <c:pt idx="241">
                  <c:v>40.704999999999998</c:v>
                </c:pt>
                <c:pt idx="242">
                  <c:v>40.704999999999998</c:v>
                </c:pt>
                <c:pt idx="243">
                  <c:v>40.704999999999998</c:v>
                </c:pt>
                <c:pt idx="244">
                  <c:v>40.704999999999998</c:v>
                </c:pt>
                <c:pt idx="245">
                  <c:v>40.704999999999998</c:v>
                </c:pt>
                <c:pt idx="246">
                  <c:v>40.704999999999998</c:v>
                </c:pt>
                <c:pt idx="247">
                  <c:v>40.704999999999998</c:v>
                </c:pt>
                <c:pt idx="248">
                  <c:v>40.704999999999998</c:v>
                </c:pt>
                <c:pt idx="249">
                  <c:v>40.704999999999998</c:v>
                </c:pt>
                <c:pt idx="250">
                  <c:v>40.704999999999998</c:v>
                </c:pt>
                <c:pt idx="251">
                  <c:v>40.704999999999998</c:v>
                </c:pt>
                <c:pt idx="252">
                  <c:v>40.704999999999998</c:v>
                </c:pt>
                <c:pt idx="253">
                  <c:v>40.704999999999998</c:v>
                </c:pt>
                <c:pt idx="254">
                  <c:v>40.704999999999998</c:v>
                </c:pt>
                <c:pt idx="255">
                  <c:v>40.704999999999998</c:v>
                </c:pt>
                <c:pt idx="256">
                  <c:v>40.704999999999998</c:v>
                </c:pt>
                <c:pt idx="257">
                  <c:v>40.704999999999998</c:v>
                </c:pt>
                <c:pt idx="258">
                  <c:v>40.704999999999998</c:v>
                </c:pt>
                <c:pt idx="259">
                  <c:v>40.704999999999998</c:v>
                </c:pt>
                <c:pt idx="260">
                  <c:v>40.704999999999998</c:v>
                </c:pt>
                <c:pt idx="261">
                  <c:v>40.704999999999998</c:v>
                </c:pt>
                <c:pt idx="262">
                  <c:v>40.704999999999998</c:v>
                </c:pt>
                <c:pt idx="263">
                  <c:v>40.704999999999998</c:v>
                </c:pt>
                <c:pt idx="264">
                  <c:v>40.704999999999998</c:v>
                </c:pt>
                <c:pt idx="265">
                  <c:v>40.704999999999998</c:v>
                </c:pt>
                <c:pt idx="266">
                  <c:v>40.704999999999998</c:v>
                </c:pt>
                <c:pt idx="267">
                  <c:v>40.704999999999998</c:v>
                </c:pt>
                <c:pt idx="268">
                  <c:v>40.704999999999998</c:v>
                </c:pt>
                <c:pt idx="269">
                  <c:v>40.704999999999998</c:v>
                </c:pt>
                <c:pt idx="270">
                  <c:v>40.704999999999998</c:v>
                </c:pt>
                <c:pt idx="271">
                  <c:v>40.704999999999998</c:v>
                </c:pt>
                <c:pt idx="272">
                  <c:v>40.704999999999998</c:v>
                </c:pt>
                <c:pt idx="273">
                  <c:v>40.704999999999998</c:v>
                </c:pt>
                <c:pt idx="274">
                  <c:v>40.704999999999998</c:v>
                </c:pt>
                <c:pt idx="275">
                  <c:v>40.704999999999998</c:v>
                </c:pt>
                <c:pt idx="276">
                  <c:v>40.704999999999998</c:v>
                </c:pt>
                <c:pt idx="277">
                  <c:v>40.704999999999998</c:v>
                </c:pt>
                <c:pt idx="278">
                  <c:v>40.704999999999998</c:v>
                </c:pt>
                <c:pt idx="279">
                  <c:v>40.704999999999998</c:v>
                </c:pt>
                <c:pt idx="280">
                  <c:v>40.704999999999998</c:v>
                </c:pt>
                <c:pt idx="281">
                  <c:v>40.704999999999998</c:v>
                </c:pt>
                <c:pt idx="282">
                  <c:v>40.704999999999998</c:v>
                </c:pt>
                <c:pt idx="283">
                  <c:v>40.704999999999998</c:v>
                </c:pt>
                <c:pt idx="284">
                  <c:v>40.704999999999998</c:v>
                </c:pt>
                <c:pt idx="285">
                  <c:v>40.704999999999998</c:v>
                </c:pt>
                <c:pt idx="286">
                  <c:v>40.704999999999998</c:v>
                </c:pt>
                <c:pt idx="287">
                  <c:v>40.704999999999998</c:v>
                </c:pt>
                <c:pt idx="288">
                  <c:v>40.704999999999998</c:v>
                </c:pt>
                <c:pt idx="289">
                  <c:v>40.704999999999998</c:v>
                </c:pt>
                <c:pt idx="290">
                  <c:v>40.704999999999998</c:v>
                </c:pt>
                <c:pt idx="291">
                  <c:v>40.704999999999998</c:v>
                </c:pt>
                <c:pt idx="292">
                  <c:v>40.704999999999998</c:v>
                </c:pt>
                <c:pt idx="293">
                  <c:v>40.704999999999998</c:v>
                </c:pt>
                <c:pt idx="294">
                  <c:v>40.704999999999998</c:v>
                </c:pt>
                <c:pt idx="295">
                  <c:v>40.704999999999998</c:v>
                </c:pt>
                <c:pt idx="296">
                  <c:v>40.704999999999998</c:v>
                </c:pt>
                <c:pt idx="297">
                  <c:v>40.704999999999998</c:v>
                </c:pt>
                <c:pt idx="298">
                  <c:v>40.704999999999998</c:v>
                </c:pt>
                <c:pt idx="299">
                  <c:v>40.704999999999998</c:v>
                </c:pt>
                <c:pt idx="300">
                  <c:v>40.704999999999998</c:v>
                </c:pt>
                <c:pt idx="301">
                  <c:v>40.704999999999998</c:v>
                </c:pt>
                <c:pt idx="302">
                  <c:v>40.704999999999998</c:v>
                </c:pt>
                <c:pt idx="303">
                  <c:v>40.704999999999998</c:v>
                </c:pt>
                <c:pt idx="304">
                  <c:v>40.704999999999998</c:v>
                </c:pt>
                <c:pt idx="305">
                  <c:v>40.704999999999998</c:v>
                </c:pt>
                <c:pt idx="306">
                  <c:v>40.704999999999998</c:v>
                </c:pt>
                <c:pt idx="307">
                  <c:v>40.704999999999998</c:v>
                </c:pt>
                <c:pt idx="308">
                  <c:v>40.704999999999998</c:v>
                </c:pt>
                <c:pt idx="309">
                  <c:v>40.704999999999998</c:v>
                </c:pt>
                <c:pt idx="310">
                  <c:v>40.704999999999998</c:v>
                </c:pt>
                <c:pt idx="311">
                  <c:v>40.704999999999998</c:v>
                </c:pt>
                <c:pt idx="312">
                  <c:v>40.704999999999998</c:v>
                </c:pt>
                <c:pt idx="313">
                  <c:v>40.704999999999998</c:v>
                </c:pt>
                <c:pt idx="314">
                  <c:v>40.704999999999998</c:v>
                </c:pt>
                <c:pt idx="315">
                  <c:v>40.704999999999998</c:v>
                </c:pt>
                <c:pt idx="316">
                  <c:v>40.704999999999998</c:v>
                </c:pt>
                <c:pt idx="317">
                  <c:v>40.704999999999998</c:v>
                </c:pt>
                <c:pt idx="318">
                  <c:v>40.704999999999998</c:v>
                </c:pt>
                <c:pt idx="319">
                  <c:v>40.704999999999998</c:v>
                </c:pt>
                <c:pt idx="320">
                  <c:v>40.704999999999998</c:v>
                </c:pt>
                <c:pt idx="321">
                  <c:v>40.704999999999998</c:v>
                </c:pt>
                <c:pt idx="322">
                  <c:v>40.704999999999998</c:v>
                </c:pt>
                <c:pt idx="323">
                  <c:v>40.704999999999998</c:v>
                </c:pt>
                <c:pt idx="324">
                  <c:v>40.704999999999998</c:v>
                </c:pt>
                <c:pt idx="325">
                  <c:v>40.704999999999998</c:v>
                </c:pt>
                <c:pt idx="326">
                  <c:v>40.704999999999998</c:v>
                </c:pt>
                <c:pt idx="327">
                  <c:v>40.704999999999998</c:v>
                </c:pt>
                <c:pt idx="328">
                  <c:v>40.704999999999998</c:v>
                </c:pt>
                <c:pt idx="329">
                  <c:v>40.704999999999998</c:v>
                </c:pt>
                <c:pt idx="330">
                  <c:v>40.704999999999998</c:v>
                </c:pt>
                <c:pt idx="331">
                  <c:v>40.704999999999998</c:v>
                </c:pt>
                <c:pt idx="332">
                  <c:v>40.704999999999998</c:v>
                </c:pt>
                <c:pt idx="333">
                  <c:v>40.704999999999998</c:v>
                </c:pt>
                <c:pt idx="334">
                  <c:v>40.704999999999998</c:v>
                </c:pt>
                <c:pt idx="335">
                  <c:v>40.704999999999998</c:v>
                </c:pt>
                <c:pt idx="336">
                  <c:v>40.704999999999998</c:v>
                </c:pt>
                <c:pt idx="337">
                  <c:v>40.704999999999998</c:v>
                </c:pt>
                <c:pt idx="338">
                  <c:v>40.704999999999998</c:v>
                </c:pt>
                <c:pt idx="339">
                  <c:v>40.704999999999998</c:v>
                </c:pt>
                <c:pt idx="340">
                  <c:v>40.704999999999998</c:v>
                </c:pt>
                <c:pt idx="341">
                  <c:v>40.704999999999998</c:v>
                </c:pt>
                <c:pt idx="342">
                  <c:v>40.704999999999998</c:v>
                </c:pt>
                <c:pt idx="343">
                  <c:v>40.704999999999998</c:v>
                </c:pt>
                <c:pt idx="344">
                  <c:v>40.704999999999998</c:v>
                </c:pt>
                <c:pt idx="345">
                  <c:v>40.704999999999998</c:v>
                </c:pt>
                <c:pt idx="346">
                  <c:v>40.704999999999998</c:v>
                </c:pt>
                <c:pt idx="347">
                  <c:v>40.704999999999998</c:v>
                </c:pt>
                <c:pt idx="348">
                  <c:v>40.704999999999998</c:v>
                </c:pt>
                <c:pt idx="349">
                  <c:v>40.704999999999998</c:v>
                </c:pt>
                <c:pt idx="350">
                  <c:v>40.704999999999998</c:v>
                </c:pt>
                <c:pt idx="351">
                  <c:v>40.704999999999998</c:v>
                </c:pt>
                <c:pt idx="352">
                  <c:v>40.704999999999998</c:v>
                </c:pt>
                <c:pt idx="353">
                  <c:v>40.704999999999998</c:v>
                </c:pt>
                <c:pt idx="354">
                  <c:v>40.704999999999998</c:v>
                </c:pt>
                <c:pt idx="355">
                  <c:v>40.704999999999998</c:v>
                </c:pt>
                <c:pt idx="356">
                  <c:v>40.704999999999998</c:v>
                </c:pt>
                <c:pt idx="357">
                  <c:v>40.704999999999998</c:v>
                </c:pt>
                <c:pt idx="358">
                  <c:v>40.704999999999998</c:v>
                </c:pt>
                <c:pt idx="359">
                  <c:v>40.704999999999998</c:v>
                </c:pt>
                <c:pt idx="360">
                  <c:v>40.704999999999998</c:v>
                </c:pt>
                <c:pt idx="361">
                  <c:v>40.704999999999998</c:v>
                </c:pt>
                <c:pt idx="362">
                  <c:v>40.704999999999998</c:v>
                </c:pt>
                <c:pt idx="363">
                  <c:v>40.704999999999998</c:v>
                </c:pt>
                <c:pt idx="364">
                  <c:v>40.704999999999998</c:v>
                </c:pt>
                <c:pt idx="365">
                  <c:v>40.704999999999998</c:v>
                </c:pt>
                <c:pt idx="366">
                  <c:v>40.704999999999998</c:v>
                </c:pt>
                <c:pt idx="367">
                  <c:v>40.704999999999998</c:v>
                </c:pt>
                <c:pt idx="368">
                  <c:v>40.704999999999998</c:v>
                </c:pt>
                <c:pt idx="369">
                  <c:v>40.704999999999998</c:v>
                </c:pt>
                <c:pt idx="370">
                  <c:v>40.704999999999998</c:v>
                </c:pt>
                <c:pt idx="371">
                  <c:v>40.704999999999998</c:v>
                </c:pt>
                <c:pt idx="372">
                  <c:v>40.704999999999998</c:v>
                </c:pt>
                <c:pt idx="373">
                  <c:v>40.704999999999998</c:v>
                </c:pt>
                <c:pt idx="374">
                  <c:v>40.704999999999998</c:v>
                </c:pt>
                <c:pt idx="375">
                  <c:v>40.704999999999998</c:v>
                </c:pt>
                <c:pt idx="376">
                  <c:v>40.704999999999998</c:v>
                </c:pt>
                <c:pt idx="377">
                  <c:v>40.704999999999998</c:v>
                </c:pt>
                <c:pt idx="378">
                  <c:v>40.704999999999998</c:v>
                </c:pt>
                <c:pt idx="379">
                  <c:v>40.704999999999998</c:v>
                </c:pt>
                <c:pt idx="380">
                  <c:v>40.704999999999998</c:v>
                </c:pt>
                <c:pt idx="381">
                  <c:v>40.704999999999998</c:v>
                </c:pt>
                <c:pt idx="382">
                  <c:v>40.704999999999998</c:v>
                </c:pt>
                <c:pt idx="383">
                  <c:v>40.704999999999998</c:v>
                </c:pt>
                <c:pt idx="384">
                  <c:v>40.704999999999998</c:v>
                </c:pt>
                <c:pt idx="385">
                  <c:v>40.704999999999998</c:v>
                </c:pt>
                <c:pt idx="386">
                  <c:v>40.704999999999998</c:v>
                </c:pt>
                <c:pt idx="387">
                  <c:v>40.704999999999998</c:v>
                </c:pt>
                <c:pt idx="388">
                  <c:v>40.704999999999998</c:v>
                </c:pt>
                <c:pt idx="389">
                  <c:v>40.704999999999998</c:v>
                </c:pt>
                <c:pt idx="390">
                  <c:v>40.704999999999998</c:v>
                </c:pt>
                <c:pt idx="391">
                  <c:v>40.704999999999998</c:v>
                </c:pt>
                <c:pt idx="392">
                  <c:v>40.704999999999998</c:v>
                </c:pt>
                <c:pt idx="393">
                  <c:v>40.704999999999998</c:v>
                </c:pt>
                <c:pt idx="394">
                  <c:v>40.704999999999998</c:v>
                </c:pt>
                <c:pt idx="395">
                  <c:v>40.704999999999998</c:v>
                </c:pt>
                <c:pt idx="396">
                  <c:v>40.704999999999998</c:v>
                </c:pt>
                <c:pt idx="397">
                  <c:v>40.704999999999998</c:v>
                </c:pt>
                <c:pt idx="398">
                  <c:v>40.704999999999998</c:v>
                </c:pt>
                <c:pt idx="399">
                  <c:v>40.704999999999998</c:v>
                </c:pt>
                <c:pt idx="400">
                  <c:v>40.704999999999998</c:v>
                </c:pt>
                <c:pt idx="401">
                  <c:v>40.704999999999998</c:v>
                </c:pt>
                <c:pt idx="402">
                  <c:v>40.704999999999998</c:v>
                </c:pt>
                <c:pt idx="403">
                  <c:v>40.704999999999998</c:v>
                </c:pt>
                <c:pt idx="404">
                  <c:v>40.704999999999998</c:v>
                </c:pt>
                <c:pt idx="405">
                  <c:v>40.704999999999998</c:v>
                </c:pt>
                <c:pt idx="406">
                  <c:v>40.704999999999998</c:v>
                </c:pt>
                <c:pt idx="407">
                  <c:v>40.704999999999998</c:v>
                </c:pt>
                <c:pt idx="408">
                  <c:v>40.704999999999998</c:v>
                </c:pt>
                <c:pt idx="409">
                  <c:v>40.704999999999998</c:v>
                </c:pt>
                <c:pt idx="410">
                  <c:v>40.704999999999998</c:v>
                </c:pt>
                <c:pt idx="411">
                  <c:v>40.704999999999998</c:v>
                </c:pt>
                <c:pt idx="412">
                  <c:v>40.704999999999998</c:v>
                </c:pt>
                <c:pt idx="413">
                  <c:v>40.704999999999998</c:v>
                </c:pt>
                <c:pt idx="414">
                  <c:v>40.704999999999998</c:v>
                </c:pt>
                <c:pt idx="415">
                  <c:v>40.704999999999998</c:v>
                </c:pt>
                <c:pt idx="416">
                  <c:v>40.704999999999998</c:v>
                </c:pt>
                <c:pt idx="417">
                  <c:v>40.704999999999998</c:v>
                </c:pt>
                <c:pt idx="418">
                  <c:v>40.704999999999998</c:v>
                </c:pt>
                <c:pt idx="419">
                  <c:v>40.704999999999998</c:v>
                </c:pt>
                <c:pt idx="420">
                  <c:v>40.704999999999998</c:v>
                </c:pt>
                <c:pt idx="421">
                  <c:v>40.704999999999998</c:v>
                </c:pt>
                <c:pt idx="422">
                  <c:v>40.704999999999998</c:v>
                </c:pt>
                <c:pt idx="423">
                  <c:v>40.704999999999998</c:v>
                </c:pt>
                <c:pt idx="424">
                  <c:v>40.704999999999998</c:v>
                </c:pt>
                <c:pt idx="425">
                  <c:v>40.704999999999998</c:v>
                </c:pt>
                <c:pt idx="426">
                  <c:v>40.704999999999998</c:v>
                </c:pt>
                <c:pt idx="427">
                  <c:v>40.704999999999998</c:v>
                </c:pt>
                <c:pt idx="428">
                  <c:v>40.704999999999998</c:v>
                </c:pt>
                <c:pt idx="429">
                  <c:v>40.704999999999998</c:v>
                </c:pt>
                <c:pt idx="430">
                  <c:v>40.704999999999998</c:v>
                </c:pt>
                <c:pt idx="431">
                  <c:v>40.704999999999998</c:v>
                </c:pt>
                <c:pt idx="432">
                  <c:v>40.704999999999998</c:v>
                </c:pt>
                <c:pt idx="433">
                  <c:v>40.704999999999998</c:v>
                </c:pt>
                <c:pt idx="434">
                  <c:v>40.704999999999998</c:v>
                </c:pt>
                <c:pt idx="435">
                  <c:v>40.704999999999998</c:v>
                </c:pt>
                <c:pt idx="436">
                  <c:v>40.704999999999998</c:v>
                </c:pt>
                <c:pt idx="437">
                  <c:v>40.704999999999998</c:v>
                </c:pt>
                <c:pt idx="438">
                  <c:v>40.704999999999998</c:v>
                </c:pt>
                <c:pt idx="439">
                  <c:v>40.704999999999998</c:v>
                </c:pt>
                <c:pt idx="440">
                  <c:v>40.704999999999998</c:v>
                </c:pt>
                <c:pt idx="441">
                  <c:v>40.704999999999998</c:v>
                </c:pt>
                <c:pt idx="442">
                  <c:v>40.704999999999998</c:v>
                </c:pt>
                <c:pt idx="443">
                  <c:v>40.704999999999998</c:v>
                </c:pt>
                <c:pt idx="444">
                  <c:v>40.704999999999998</c:v>
                </c:pt>
                <c:pt idx="445">
                  <c:v>40.704999999999998</c:v>
                </c:pt>
                <c:pt idx="446">
                  <c:v>40.704999999999998</c:v>
                </c:pt>
                <c:pt idx="447">
                  <c:v>40.704999999999998</c:v>
                </c:pt>
                <c:pt idx="448">
                  <c:v>40.704999999999998</c:v>
                </c:pt>
                <c:pt idx="449">
                  <c:v>40.704999999999998</c:v>
                </c:pt>
                <c:pt idx="450">
                  <c:v>40.704999999999998</c:v>
                </c:pt>
                <c:pt idx="451">
                  <c:v>40.704999999999998</c:v>
                </c:pt>
                <c:pt idx="452">
                  <c:v>40.704999999999998</c:v>
                </c:pt>
                <c:pt idx="453">
                  <c:v>40.704999999999998</c:v>
                </c:pt>
                <c:pt idx="454">
                  <c:v>40.704999999999998</c:v>
                </c:pt>
                <c:pt idx="455">
                  <c:v>40.704999999999998</c:v>
                </c:pt>
                <c:pt idx="456">
                  <c:v>40.704999999999998</c:v>
                </c:pt>
                <c:pt idx="457">
                  <c:v>40.704999999999998</c:v>
                </c:pt>
                <c:pt idx="458">
                  <c:v>40.704999999999998</c:v>
                </c:pt>
                <c:pt idx="459">
                  <c:v>40.704999999999998</c:v>
                </c:pt>
                <c:pt idx="460">
                  <c:v>40.704999999999998</c:v>
                </c:pt>
                <c:pt idx="461">
                  <c:v>40.704999999999998</c:v>
                </c:pt>
                <c:pt idx="462">
                  <c:v>40.704999999999998</c:v>
                </c:pt>
                <c:pt idx="463">
                  <c:v>40.704999999999998</c:v>
                </c:pt>
                <c:pt idx="464">
                  <c:v>40.704999999999998</c:v>
                </c:pt>
                <c:pt idx="465">
                  <c:v>40.704999999999998</c:v>
                </c:pt>
                <c:pt idx="466">
                  <c:v>40.704999999999998</c:v>
                </c:pt>
                <c:pt idx="467">
                  <c:v>40.704999999999998</c:v>
                </c:pt>
                <c:pt idx="468">
                  <c:v>40.704999999999998</c:v>
                </c:pt>
                <c:pt idx="469">
                  <c:v>40.704999999999998</c:v>
                </c:pt>
                <c:pt idx="470">
                  <c:v>40.704999999999998</c:v>
                </c:pt>
                <c:pt idx="471">
                  <c:v>40.704999999999998</c:v>
                </c:pt>
                <c:pt idx="472">
                  <c:v>40.704999999999998</c:v>
                </c:pt>
                <c:pt idx="473">
                  <c:v>40.704999999999998</c:v>
                </c:pt>
                <c:pt idx="474">
                  <c:v>40.704999999999998</c:v>
                </c:pt>
                <c:pt idx="475">
                  <c:v>40.704999999999998</c:v>
                </c:pt>
                <c:pt idx="476">
                  <c:v>40.704999999999998</c:v>
                </c:pt>
                <c:pt idx="477">
                  <c:v>40.704999999999998</c:v>
                </c:pt>
                <c:pt idx="478">
                  <c:v>40.704999999999998</c:v>
                </c:pt>
                <c:pt idx="479">
                  <c:v>40.704999999999998</c:v>
                </c:pt>
                <c:pt idx="480">
                  <c:v>40.704999999999998</c:v>
                </c:pt>
                <c:pt idx="481">
                  <c:v>40.704999999999998</c:v>
                </c:pt>
                <c:pt idx="482">
                  <c:v>40.704999999999998</c:v>
                </c:pt>
                <c:pt idx="483">
                  <c:v>40.704999999999998</c:v>
                </c:pt>
                <c:pt idx="484">
                  <c:v>40.704999999999998</c:v>
                </c:pt>
                <c:pt idx="485">
                  <c:v>40.704999999999998</c:v>
                </c:pt>
                <c:pt idx="486">
                  <c:v>40.704999999999998</c:v>
                </c:pt>
                <c:pt idx="487">
                  <c:v>40.704999999999998</c:v>
                </c:pt>
                <c:pt idx="488">
                  <c:v>40.704999999999998</c:v>
                </c:pt>
                <c:pt idx="489">
                  <c:v>40.704999999999998</c:v>
                </c:pt>
                <c:pt idx="490">
                  <c:v>40.704999999999998</c:v>
                </c:pt>
                <c:pt idx="491">
                  <c:v>40.704999999999998</c:v>
                </c:pt>
                <c:pt idx="492">
                  <c:v>40.704999999999998</c:v>
                </c:pt>
                <c:pt idx="493">
                  <c:v>40.704999999999998</c:v>
                </c:pt>
                <c:pt idx="494">
                  <c:v>40.704999999999998</c:v>
                </c:pt>
                <c:pt idx="495">
                  <c:v>40.704999999999998</c:v>
                </c:pt>
                <c:pt idx="496">
                  <c:v>40.704999999999998</c:v>
                </c:pt>
                <c:pt idx="497">
                  <c:v>40.704999999999998</c:v>
                </c:pt>
                <c:pt idx="498">
                  <c:v>40.704999999999998</c:v>
                </c:pt>
                <c:pt idx="499">
                  <c:v>40.704999999999998</c:v>
                </c:pt>
                <c:pt idx="500">
                  <c:v>40.704999999999998</c:v>
                </c:pt>
                <c:pt idx="501">
                  <c:v>40.704999999999998</c:v>
                </c:pt>
                <c:pt idx="502">
                  <c:v>40.704999999999998</c:v>
                </c:pt>
                <c:pt idx="503">
                  <c:v>40.704999999999998</c:v>
                </c:pt>
              </c:numCache>
            </c:numRef>
          </c:xVal>
          <c:yVal>
            <c:numRef>
              <c:f>Smart!$IE$3:$IE$506</c:f>
              <c:numCache>
                <c:formatCode>General</c:formatCode>
                <c:ptCount val="5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numCache>
            </c:numRef>
          </c:yVal>
          <c:smooth val="0"/>
          <c:extLst xmlns:c16r2="http://schemas.microsoft.com/office/drawing/2015/06/chart">
            <c:ext xmlns:c16="http://schemas.microsoft.com/office/drawing/2014/chart" uri="{C3380CC4-5D6E-409C-BE32-E72D297353CC}">
              <c16:uniqueId val="{00000002-C01D-439B-BA19-A5DA1AAAAC61}"/>
            </c:ext>
          </c:extLst>
        </c:ser>
        <c:ser>
          <c:idx val="4"/>
          <c:order val="4"/>
          <c:tx>
            <c:v>seg3</c:v>
          </c:tx>
          <c:spPr>
            <a:ln w="25400">
              <a:solidFill>
                <a:srgbClr val="FF0000"/>
              </a:solidFill>
              <a:prstDash val="solid"/>
            </a:ln>
          </c:spPr>
          <c:marker>
            <c:symbol val="none"/>
          </c:marker>
          <c:xVal>
            <c:numRef>
              <c:f>Smart!$II$3:$II$506</c:f>
              <c:numCache>
                <c:formatCode>General</c:formatCode>
                <c:ptCount val="504"/>
                <c:pt idx="0">
                  <c:v>40.704999999999998</c:v>
                </c:pt>
                <c:pt idx="1">
                  <c:v>40.704999999999998</c:v>
                </c:pt>
                <c:pt idx="2">
                  <c:v>40.704999999999998</c:v>
                </c:pt>
                <c:pt idx="3">
                  <c:v>40.704999999999998</c:v>
                </c:pt>
                <c:pt idx="4">
                  <c:v>40.704999999999998</c:v>
                </c:pt>
                <c:pt idx="5">
                  <c:v>40.704999999999998</c:v>
                </c:pt>
                <c:pt idx="6">
                  <c:v>40.704999999999998</c:v>
                </c:pt>
                <c:pt idx="7">
                  <c:v>40.704999999999998</c:v>
                </c:pt>
                <c:pt idx="8">
                  <c:v>40.704999999999998</c:v>
                </c:pt>
                <c:pt idx="9">
                  <c:v>40.704999999999998</c:v>
                </c:pt>
                <c:pt idx="10">
                  <c:v>40.704999999999998</c:v>
                </c:pt>
                <c:pt idx="11">
                  <c:v>40.704999999999998</c:v>
                </c:pt>
                <c:pt idx="12">
                  <c:v>40.704999999999998</c:v>
                </c:pt>
                <c:pt idx="13">
                  <c:v>40.704999999999998</c:v>
                </c:pt>
                <c:pt idx="14">
                  <c:v>40.704999999999998</c:v>
                </c:pt>
                <c:pt idx="15">
                  <c:v>40.704999999999998</c:v>
                </c:pt>
                <c:pt idx="16">
                  <c:v>40.704999999999998</c:v>
                </c:pt>
                <c:pt idx="17">
                  <c:v>40.704999999999998</c:v>
                </c:pt>
                <c:pt idx="18">
                  <c:v>40.704999999999998</c:v>
                </c:pt>
                <c:pt idx="19">
                  <c:v>40.704999999999998</c:v>
                </c:pt>
                <c:pt idx="20">
                  <c:v>40.704999999999998</c:v>
                </c:pt>
                <c:pt idx="21">
                  <c:v>40.704999999999998</c:v>
                </c:pt>
                <c:pt idx="22">
                  <c:v>40.704999999999998</c:v>
                </c:pt>
                <c:pt idx="23">
                  <c:v>40.704999999999998</c:v>
                </c:pt>
                <c:pt idx="24">
                  <c:v>40.704999999999998</c:v>
                </c:pt>
                <c:pt idx="25">
                  <c:v>40.704999999999998</c:v>
                </c:pt>
                <c:pt idx="26">
                  <c:v>40.704999999999998</c:v>
                </c:pt>
                <c:pt idx="27">
                  <c:v>40.704999999999998</c:v>
                </c:pt>
                <c:pt idx="28">
                  <c:v>40.704999999999998</c:v>
                </c:pt>
                <c:pt idx="29">
                  <c:v>40.704999999999998</c:v>
                </c:pt>
                <c:pt idx="30">
                  <c:v>40.704999999999998</c:v>
                </c:pt>
                <c:pt idx="31">
                  <c:v>40.704999999999998</c:v>
                </c:pt>
                <c:pt idx="32">
                  <c:v>40.704999999999998</c:v>
                </c:pt>
                <c:pt idx="33">
                  <c:v>40.704999999999998</c:v>
                </c:pt>
                <c:pt idx="34">
                  <c:v>40.704999999999998</c:v>
                </c:pt>
                <c:pt idx="35">
                  <c:v>40.704999999999998</c:v>
                </c:pt>
                <c:pt idx="36">
                  <c:v>40.704999999999998</c:v>
                </c:pt>
                <c:pt idx="37">
                  <c:v>40.704999999999998</c:v>
                </c:pt>
                <c:pt idx="38">
                  <c:v>40.704999999999998</c:v>
                </c:pt>
                <c:pt idx="39">
                  <c:v>40.704999999999998</c:v>
                </c:pt>
                <c:pt idx="40">
                  <c:v>40.704999999999998</c:v>
                </c:pt>
                <c:pt idx="41">
                  <c:v>40.704999999999998</c:v>
                </c:pt>
                <c:pt idx="42">
                  <c:v>40.704999999999998</c:v>
                </c:pt>
                <c:pt idx="43">
                  <c:v>40.704999999999998</c:v>
                </c:pt>
                <c:pt idx="44">
                  <c:v>40.704999999999998</c:v>
                </c:pt>
                <c:pt idx="45">
                  <c:v>40.704999999999998</c:v>
                </c:pt>
                <c:pt idx="46">
                  <c:v>40.704999999999998</c:v>
                </c:pt>
                <c:pt idx="47">
                  <c:v>40.704999999999998</c:v>
                </c:pt>
                <c:pt idx="48">
                  <c:v>40.704999999999998</c:v>
                </c:pt>
                <c:pt idx="49">
                  <c:v>40.704999999999998</c:v>
                </c:pt>
                <c:pt idx="50">
                  <c:v>40.704999999999998</c:v>
                </c:pt>
                <c:pt idx="51">
                  <c:v>40.704999999999998</c:v>
                </c:pt>
                <c:pt idx="52">
                  <c:v>40.704999999999998</c:v>
                </c:pt>
                <c:pt idx="53">
                  <c:v>40.704999999999998</c:v>
                </c:pt>
                <c:pt idx="54">
                  <c:v>40.704999999999998</c:v>
                </c:pt>
                <c:pt idx="55">
                  <c:v>40.704999999999998</c:v>
                </c:pt>
                <c:pt idx="56">
                  <c:v>40.704999999999998</c:v>
                </c:pt>
                <c:pt idx="57">
                  <c:v>40.704999999999998</c:v>
                </c:pt>
                <c:pt idx="58">
                  <c:v>40.704999999999998</c:v>
                </c:pt>
                <c:pt idx="59">
                  <c:v>40.704999999999998</c:v>
                </c:pt>
                <c:pt idx="60">
                  <c:v>40.704999999999998</c:v>
                </c:pt>
                <c:pt idx="61">
                  <c:v>40.704999999999998</c:v>
                </c:pt>
                <c:pt idx="62">
                  <c:v>40.704999999999998</c:v>
                </c:pt>
                <c:pt idx="63">
                  <c:v>40.704999999999998</c:v>
                </c:pt>
                <c:pt idx="64">
                  <c:v>40.704999999999998</c:v>
                </c:pt>
                <c:pt idx="65">
                  <c:v>40.704999999999998</c:v>
                </c:pt>
                <c:pt idx="66">
                  <c:v>40.704999999999998</c:v>
                </c:pt>
                <c:pt idx="67">
                  <c:v>40.704999999999998</c:v>
                </c:pt>
                <c:pt idx="68">
                  <c:v>40.704999999999998</c:v>
                </c:pt>
                <c:pt idx="69">
                  <c:v>40.704999999999998</c:v>
                </c:pt>
                <c:pt idx="70">
                  <c:v>40.704999999999998</c:v>
                </c:pt>
                <c:pt idx="71">
                  <c:v>40.704999999999998</c:v>
                </c:pt>
                <c:pt idx="72">
                  <c:v>40.704999999999998</c:v>
                </c:pt>
                <c:pt idx="73">
                  <c:v>40.704999999999998</c:v>
                </c:pt>
                <c:pt idx="74">
                  <c:v>40.704999999999998</c:v>
                </c:pt>
                <c:pt idx="75">
                  <c:v>40.704999999999998</c:v>
                </c:pt>
                <c:pt idx="76">
                  <c:v>40.704999999999998</c:v>
                </c:pt>
                <c:pt idx="77">
                  <c:v>40.704999999999998</c:v>
                </c:pt>
                <c:pt idx="78">
                  <c:v>40.704999999999998</c:v>
                </c:pt>
                <c:pt idx="79">
                  <c:v>40.704999999999998</c:v>
                </c:pt>
                <c:pt idx="80">
                  <c:v>40.704999999999998</c:v>
                </c:pt>
                <c:pt idx="81">
                  <c:v>40.704999999999998</c:v>
                </c:pt>
                <c:pt idx="82">
                  <c:v>40.704999999999998</c:v>
                </c:pt>
                <c:pt idx="83">
                  <c:v>40.704999999999998</c:v>
                </c:pt>
                <c:pt idx="84">
                  <c:v>40.704999999999998</c:v>
                </c:pt>
                <c:pt idx="85">
                  <c:v>40.704999999999998</c:v>
                </c:pt>
                <c:pt idx="86">
                  <c:v>40.704999999999998</c:v>
                </c:pt>
                <c:pt idx="87">
                  <c:v>40.704999999999998</c:v>
                </c:pt>
                <c:pt idx="88">
                  <c:v>40.704999999999998</c:v>
                </c:pt>
                <c:pt idx="89">
                  <c:v>40.704999999999998</c:v>
                </c:pt>
                <c:pt idx="90">
                  <c:v>40.704999999999998</c:v>
                </c:pt>
                <c:pt idx="91">
                  <c:v>40.704999999999998</c:v>
                </c:pt>
                <c:pt idx="92">
                  <c:v>40.704999999999998</c:v>
                </c:pt>
                <c:pt idx="93">
                  <c:v>40.704999999999998</c:v>
                </c:pt>
                <c:pt idx="94">
                  <c:v>40.704999999999998</c:v>
                </c:pt>
                <c:pt idx="95">
                  <c:v>40.704999999999998</c:v>
                </c:pt>
                <c:pt idx="96">
                  <c:v>40.704999999999998</c:v>
                </c:pt>
                <c:pt idx="97">
                  <c:v>40.704999999999998</c:v>
                </c:pt>
                <c:pt idx="98">
                  <c:v>40.704999999999998</c:v>
                </c:pt>
                <c:pt idx="99">
                  <c:v>40.704999999999998</c:v>
                </c:pt>
                <c:pt idx="100">
                  <c:v>40.704999999999998</c:v>
                </c:pt>
                <c:pt idx="101">
                  <c:v>40.704999999999998</c:v>
                </c:pt>
                <c:pt idx="102">
                  <c:v>40.704999999999998</c:v>
                </c:pt>
                <c:pt idx="103">
                  <c:v>40.704999999999998</c:v>
                </c:pt>
                <c:pt idx="104">
                  <c:v>40.704999999999998</c:v>
                </c:pt>
                <c:pt idx="105">
                  <c:v>40.704999999999998</c:v>
                </c:pt>
                <c:pt idx="106">
                  <c:v>40.704999999999998</c:v>
                </c:pt>
                <c:pt idx="107">
                  <c:v>40.704999999999998</c:v>
                </c:pt>
                <c:pt idx="108">
                  <c:v>40.704999999999998</c:v>
                </c:pt>
                <c:pt idx="109">
                  <c:v>40.704999999999998</c:v>
                </c:pt>
                <c:pt idx="110">
                  <c:v>40.704999999999998</c:v>
                </c:pt>
                <c:pt idx="111">
                  <c:v>40.704999999999998</c:v>
                </c:pt>
                <c:pt idx="112">
                  <c:v>40.704999999999998</c:v>
                </c:pt>
                <c:pt idx="113">
                  <c:v>40.704999999999998</c:v>
                </c:pt>
                <c:pt idx="114">
                  <c:v>40.704999999999998</c:v>
                </c:pt>
                <c:pt idx="115">
                  <c:v>40.704999999999998</c:v>
                </c:pt>
                <c:pt idx="116">
                  <c:v>40.704999999999998</c:v>
                </c:pt>
                <c:pt idx="117">
                  <c:v>40.704999999999998</c:v>
                </c:pt>
                <c:pt idx="118">
                  <c:v>40.704999999999998</c:v>
                </c:pt>
                <c:pt idx="119">
                  <c:v>40.704999999999998</c:v>
                </c:pt>
                <c:pt idx="120">
                  <c:v>40.704999999999998</c:v>
                </c:pt>
                <c:pt idx="121">
                  <c:v>40.704999999999998</c:v>
                </c:pt>
                <c:pt idx="122">
                  <c:v>40.704999999999998</c:v>
                </c:pt>
                <c:pt idx="123">
                  <c:v>40.704999999999998</c:v>
                </c:pt>
                <c:pt idx="124">
                  <c:v>40.704999999999998</c:v>
                </c:pt>
                <c:pt idx="125">
                  <c:v>40.704999999999998</c:v>
                </c:pt>
                <c:pt idx="126">
                  <c:v>40.704999999999998</c:v>
                </c:pt>
                <c:pt idx="127">
                  <c:v>40.704999999999998</c:v>
                </c:pt>
                <c:pt idx="128">
                  <c:v>40.704999999999998</c:v>
                </c:pt>
                <c:pt idx="129">
                  <c:v>40.704999999999998</c:v>
                </c:pt>
                <c:pt idx="130">
                  <c:v>40.704999999999998</c:v>
                </c:pt>
                <c:pt idx="131">
                  <c:v>40.704999999999998</c:v>
                </c:pt>
                <c:pt idx="132">
                  <c:v>40.704999999999998</c:v>
                </c:pt>
                <c:pt idx="133">
                  <c:v>40.704999999999998</c:v>
                </c:pt>
                <c:pt idx="134">
                  <c:v>40.704999999999998</c:v>
                </c:pt>
                <c:pt idx="135">
                  <c:v>40.704999999999998</c:v>
                </c:pt>
                <c:pt idx="136">
                  <c:v>40.704999999999998</c:v>
                </c:pt>
                <c:pt idx="137">
                  <c:v>40.704999999999998</c:v>
                </c:pt>
                <c:pt idx="138">
                  <c:v>40.704999999999998</c:v>
                </c:pt>
                <c:pt idx="139">
                  <c:v>40.704999999999998</c:v>
                </c:pt>
                <c:pt idx="140">
                  <c:v>40.704999999999998</c:v>
                </c:pt>
                <c:pt idx="141">
                  <c:v>40.704999999999998</c:v>
                </c:pt>
                <c:pt idx="142">
                  <c:v>40.704999999999998</c:v>
                </c:pt>
                <c:pt idx="143">
                  <c:v>40.704999999999998</c:v>
                </c:pt>
                <c:pt idx="144">
                  <c:v>40.704999999999998</c:v>
                </c:pt>
                <c:pt idx="145">
                  <c:v>40.704999999999998</c:v>
                </c:pt>
                <c:pt idx="146">
                  <c:v>40.704999999999998</c:v>
                </c:pt>
                <c:pt idx="147">
                  <c:v>40.704999999999998</c:v>
                </c:pt>
                <c:pt idx="148">
                  <c:v>40.704999999999998</c:v>
                </c:pt>
                <c:pt idx="149">
                  <c:v>40.704999999999998</c:v>
                </c:pt>
                <c:pt idx="150">
                  <c:v>40.704999999999998</c:v>
                </c:pt>
                <c:pt idx="151">
                  <c:v>40.704999999999998</c:v>
                </c:pt>
                <c:pt idx="152">
                  <c:v>40.704999999999998</c:v>
                </c:pt>
                <c:pt idx="153">
                  <c:v>40.704999999999998</c:v>
                </c:pt>
                <c:pt idx="154">
                  <c:v>40.704999999999998</c:v>
                </c:pt>
                <c:pt idx="155">
                  <c:v>40.704999999999998</c:v>
                </c:pt>
                <c:pt idx="156">
                  <c:v>40.704999999999998</c:v>
                </c:pt>
                <c:pt idx="157">
                  <c:v>40.704999999999998</c:v>
                </c:pt>
                <c:pt idx="158">
                  <c:v>40.704999999999998</c:v>
                </c:pt>
                <c:pt idx="159">
                  <c:v>40.704999999999998</c:v>
                </c:pt>
                <c:pt idx="160">
                  <c:v>40.704999999999998</c:v>
                </c:pt>
                <c:pt idx="161">
                  <c:v>40.704999999999998</c:v>
                </c:pt>
                <c:pt idx="162">
                  <c:v>40.704999999999998</c:v>
                </c:pt>
                <c:pt idx="163">
                  <c:v>40.704999999999998</c:v>
                </c:pt>
                <c:pt idx="164">
                  <c:v>40.704999999999998</c:v>
                </c:pt>
                <c:pt idx="165">
                  <c:v>40.704999999999998</c:v>
                </c:pt>
                <c:pt idx="166">
                  <c:v>40.704999999999998</c:v>
                </c:pt>
                <c:pt idx="167">
                  <c:v>40.704999999999998</c:v>
                </c:pt>
                <c:pt idx="168">
                  <c:v>40.704999999999998</c:v>
                </c:pt>
                <c:pt idx="169">
                  <c:v>40.704999999999998</c:v>
                </c:pt>
                <c:pt idx="170">
                  <c:v>40.704999999999998</c:v>
                </c:pt>
                <c:pt idx="171">
                  <c:v>40.704999999999998</c:v>
                </c:pt>
                <c:pt idx="172">
                  <c:v>40.704999999999998</c:v>
                </c:pt>
                <c:pt idx="173">
                  <c:v>40.704999999999998</c:v>
                </c:pt>
                <c:pt idx="174">
                  <c:v>40.704999999999998</c:v>
                </c:pt>
                <c:pt idx="175">
                  <c:v>40.704999999999998</c:v>
                </c:pt>
                <c:pt idx="176">
                  <c:v>40.704999999999998</c:v>
                </c:pt>
                <c:pt idx="177">
                  <c:v>40.704999999999998</c:v>
                </c:pt>
                <c:pt idx="178">
                  <c:v>40.704999999999998</c:v>
                </c:pt>
                <c:pt idx="179">
                  <c:v>40.704999999999998</c:v>
                </c:pt>
                <c:pt idx="180">
                  <c:v>40.704999999999998</c:v>
                </c:pt>
                <c:pt idx="181">
                  <c:v>40.704999999999998</c:v>
                </c:pt>
                <c:pt idx="182">
                  <c:v>40.704999999999998</c:v>
                </c:pt>
                <c:pt idx="183">
                  <c:v>40.704999999999998</c:v>
                </c:pt>
                <c:pt idx="184">
                  <c:v>40.704999999999998</c:v>
                </c:pt>
                <c:pt idx="185">
                  <c:v>40.704999999999998</c:v>
                </c:pt>
                <c:pt idx="186">
                  <c:v>40.704999999999998</c:v>
                </c:pt>
                <c:pt idx="187">
                  <c:v>40.704999999999998</c:v>
                </c:pt>
                <c:pt idx="188">
                  <c:v>40.704999999999998</c:v>
                </c:pt>
                <c:pt idx="189">
                  <c:v>40.704999999999998</c:v>
                </c:pt>
                <c:pt idx="190">
                  <c:v>40.704999999999998</c:v>
                </c:pt>
                <c:pt idx="191">
                  <c:v>40.704999999999998</c:v>
                </c:pt>
                <c:pt idx="192">
                  <c:v>40.704999999999998</c:v>
                </c:pt>
                <c:pt idx="193">
                  <c:v>40.704999999999998</c:v>
                </c:pt>
                <c:pt idx="194">
                  <c:v>40.704999999999998</c:v>
                </c:pt>
                <c:pt idx="195">
                  <c:v>40.704999999999998</c:v>
                </c:pt>
                <c:pt idx="196">
                  <c:v>40.704999999999998</c:v>
                </c:pt>
                <c:pt idx="197">
                  <c:v>40.704999999999998</c:v>
                </c:pt>
                <c:pt idx="198">
                  <c:v>40.704999999999998</c:v>
                </c:pt>
                <c:pt idx="199">
                  <c:v>40.704999999999998</c:v>
                </c:pt>
                <c:pt idx="200">
                  <c:v>40.704999999999998</c:v>
                </c:pt>
                <c:pt idx="201">
                  <c:v>40.704999999999998</c:v>
                </c:pt>
                <c:pt idx="202">
                  <c:v>40.704999999999998</c:v>
                </c:pt>
                <c:pt idx="203">
                  <c:v>40.704999999999998</c:v>
                </c:pt>
                <c:pt idx="204">
                  <c:v>40.704999999999998</c:v>
                </c:pt>
                <c:pt idx="205">
                  <c:v>40.704999999999998</c:v>
                </c:pt>
                <c:pt idx="206">
                  <c:v>40.704999999999998</c:v>
                </c:pt>
                <c:pt idx="207">
                  <c:v>40.704999999999998</c:v>
                </c:pt>
                <c:pt idx="208">
                  <c:v>40.704999999999998</c:v>
                </c:pt>
                <c:pt idx="209">
                  <c:v>40.704999999999998</c:v>
                </c:pt>
                <c:pt idx="210">
                  <c:v>40.704999999999998</c:v>
                </c:pt>
                <c:pt idx="211">
                  <c:v>40.704999999999998</c:v>
                </c:pt>
                <c:pt idx="212">
                  <c:v>40.704999999999998</c:v>
                </c:pt>
                <c:pt idx="213">
                  <c:v>40.704999999999998</c:v>
                </c:pt>
                <c:pt idx="214">
                  <c:v>40.704999999999998</c:v>
                </c:pt>
                <c:pt idx="215">
                  <c:v>40.704999999999998</c:v>
                </c:pt>
                <c:pt idx="216">
                  <c:v>40.704999999999998</c:v>
                </c:pt>
                <c:pt idx="217">
                  <c:v>40.704999999999998</c:v>
                </c:pt>
                <c:pt idx="218">
                  <c:v>40.704999999999998</c:v>
                </c:pt>
                <c:pt idx="219">
                  <c:v>40.704999999999998</c:v>
                </c:pt>
                <c:pt idx="220">
                  <c:v>40.704999999999998</c:v>
                </c:pt>
                <c:pt idx="221">
                  <c:v>40.704999999999998</c:v>
                </c:pt>
                <c:pt idx="222">
                  <c:v>40.704999999999998</c:v>
                </c:pt>
                <c:pt idx="223">
                  <c:v>40.704999999999998</c:v>
                </c:pt>
                <c:pt idx="224">
                  <c:v>40.704999999999998</c:v>
                </c:pt>
                <c:pt idx="225">
                  <c:v>40.704999999999998</c:v>
                </c:pt>
                <c:pt idx="226">
                  <c:v>40.704999999999998</c:v>
                </c:pt>
                <c:pt idx="227">
                  <c:v>40.704999999999998</c:v>
                </c:pt>
                <c:pt idx="228">
                  <c:v>40.704999999999998</c:v>
                </c:pt>
                <c:pt idx="229">
                  <c:v>40.704999999999998</c:v>
                </c:pt>
                <c:pt idx="230">
                  <c:v>40.704999999999998</c:v>
                </c:pt>
                <c:pt idx="231">
                  <c:v>40.704999999999998</c:v>
                </c:pt>
                <c:pt idx="232">
                  <c:v>40.704999999999998</c:v>
                </c:pt>
                <c:pt idx="233">
                  <c:v>40.704999999999998</c:v>
                </c:pt>
                <c:pt idx="234">
                  <c:v>40.704999999999998</c:v>
                </c:pt>
                <c:pt idx="235">
                  <c:v>40.704999999999998</c:v>
                </c:pt>
                <c:pt idx="236">
                  <c:v>40.704999999999998</c:v>
                </c:pt>
                <c:pt idx="237">
                  <c:v>40.704999999999998</c:v>
                </c:pt>
                <c:pt idx="238">
                  <c:v>40.704999999999998</c:v>
                </c:pt>
                <c:pt idx="239">
                  <c:v>40.704999999999998</c:v>
                </c:pt>
                <c:pt idx="240">
                  <c:v>40.704999999999998</c:v>
                </c:pt>
                <c:pt idx="241">
                  <c:v>40.704999999999998</c:v>
                </c:pt>
                <c:pt idx="242">
                  <c:v>40.704999999999998</c:v>
                </c:pt>
                <c:pt idx="243">
                  <c:v>40.704999999999998</c:v>
                </c:pt>
                <c:pt idx="244">
                  <c:v>40.704999999999998</c:v>
                </c:pt>
                <c:pt idx="245">
                  <c:v>40.704999999999998</c:v>
                </c:pt>
                <c:pt idx="246">
                  <c:v>40.704999999999998</c:v>
                </c:pt>
                <c:pt idx="247">
                  <c:v>40.704999999999998</c:v>
                </c:pt>
                <c:pt idx="248">
                  <c:v>40.704999999999998</c:v>
                </c:pt>
                <c:pt idx="249">
                  <c:v>40.704999999999998</c:v>
                </c:pt>
                <c:pt idx="250">
                  <c:v>40.704999999999998</c:v>
                </c:pt>
                <c:pt idx="251">
                  <c:v>40.704999999999998</c:v>
                </c:pt>
                <c:pt idx="252">
                  <c:v>40.704999999999998</c:v>
                </c:pt>
                <c:pt idx="253">
                  <c:v>40.704999999999998</c:v>
                </c:pt>
                <c:pt idx="254">
                  <c:v>40.704999999999998</c:v>
                </c:pt>
                <c:pt idx="255">
                  <c:v>40.704999999999998</c:v>
                </c:pt>
                <c:pt idx="256">
                  <c:v>40.704999999999998</c:v>
                </c:pt>
                <c:pt idx="257">
                  <c:v>40.704999999999998</c:v>
                </c:pt>
                <c:pt idx="258">
                  <c:v>40.704999999999998</c:v>
                </c:pt>
                <c:pt idx="259">
                  <c:v>40.704999999999998</c:v>
                </c:pt>
                <c:pt idx="260">
                  <c:v>40.704999999999998</c:v>
                </c:pt>
                <c:pt idx="261">
                  <c:v>40.704999999999998</c:v>
                </c:pt>
                <c:pt idx="262">
                  <c:v>40.704999999999998</c:v>
                </c:pt>
                <c:pt idx="263">
                  <c:v>40.704999999999998</c:v>
                </c:pt>
                <c:pt idx="264">
                  <c:v>40.704999999999998</c:v>
                </c:pt>
                <c:pt idx="265">
                  <c:v>40.704999999999998</c:v>
                </c:pt>
                <c:pt idx="266">
                  <c:v>40.704999999999998</c:v>
                </c:pt>
                <c:pt idx="267">
                  <c:v>40.704999999999998</c:v>
                </c:pt>
                <c:pt idx="268">
                  <c:v>40.704999999999998</c:v>
                </c:pt>
                <c:pt idx="269">
                  <c:v>40.704999999999998</c:v>
                </c:pt>
                <c:pt idx="270">
                  <c:v>40.704999999999998</c:v>
                </c:pt>
                <c:pt idx="271">
                  <c:v>40.704999999999998</c:v>
                </c:pt>
                <c:pt idx="272">
                  <c:v>40.704999999999998</c:v>
                </c:pt>
                <c:pt idx="273">
                  <c:v>40.704999999999998</c:v>
                </c:pt>
                <c:pt idx="274">
                  <c:v>40.704999999999998</c:v>
                </c:pt>
                <c:pt idx="275">
                  <c:v>40.704999999999998</c:v>
                </c:pt>
                <c:pt idx="276">
                  <c:v>40.704999999999998</c:v>
                </c:pt>
                <c:pt idx="277">
                  <c:v>40.704999999999998</c:v>
                </c:pt>
                <c:pt idx="278">
                  <c:v>40.704999999999998</c:v>
                </c:pt>
                <c:pt idx="279">
                  <c:v>40.704999999999998</c:v>
                </c:pt>
                <c:pt idx="280">
                  <c:v>40.704999999999998</c:v>
                </c:pt>
                <c:pt idx="281">
                  <c:v>40.704999999999998</c:v>
                </c:pt>
                <c:pt idx="282">
                  <c:v>40.704999999999998</c:v>
                </c:pt>
                <c:pt idx="283">
                  <c:v>40.704999999999998</c:v>
                </c:pt>
                <c:pt idx="284">
                  <c:v>40.704999999999998</c:v>
                </c:pt>
                <c:pt idx="285">
                  <c:v>40.704999999999998</c:v>
                </c:pt>
                <c:pt idx="286">
                  <c:v>40.704999999999998</c:v>
                </c:pt>
                <c:pt idx="287">
                  <c:v>40.704999999999998</c:v>
                </c:pt>
                <c:pt idx="288">
                  <c:v>40.704999999999998</c:v>
                </c:pt>
                <c:pt idx="289">
                  <c:v>40.704999999999998</c:v>
                </c:pt>
                <c:pt idx="290">
                  <c:v>40.704999999999998</c:v>
                </c:pt>
                <c:pt idx="291">
                  <c:v>40.704999999999998</c:v>
                </c:pt>
                <c:pt idx="292">
                  <c:v>40.704999999999998</c:v>
                </c:pt>
                <c:pt idx="293">
                  <c:v>40.704999999999998</c:v>
                </c:pt>
                <c:pt idx="294">
                  <c:v>40.704999999999998</c:v>
                </c:pt>
                <c:pt idx="295">
                  <c:v>40.704999999999998</c:v>
                </c:pt>
                <c:pt idx="296">
                  <c:v>40.704999999999998</c:v>
                </c:pt>
                <c:pt idx="297">
                  <c:v>40.704999999999998</c:v>
                </c:pt>
                <c:pt idx="298">
                  <c:v>40.704999999999998</c:v>
                </c:pt>
                <c:pt idx="299">
                  <c:v>40.704999999999998</c:v>
                </c:pt>
                <c:pt idx="300">
                  <c:v>40.704999999999998</c:v>
                </c:pt>
                <c:pt idx="301">
                  <c:v>40.704999999999998</c:v>
                </c:pt>
                <c:pt idx="302">
                  <c:v>40.704999999999998</c:v>
                </c:pt>
                <c:pt idx="303">
                  <c:v>40.704999999999998</c:v>
                </c:pt>
                <c:pt idx="304">
                  <c:v>40.704999999999998</c:v>
                </c:pt>
                <c:pt idx="305">
                  <c:v>40.704999999999998</c:v>
                </c:pt>
                <c:pt idx="306">
                  <c:v>40.704999999999998</c:v>
                </c:pt>
                <c:pt idx="307">
                  <c:v>40.704999999999998</c:v>
                </c:pt>
                <c:pt idx="308">
                  <c:v>40.704999999999998</c:v>
                </c:pt>
                <c:pt idx="309">
                  <c:v>40.704999999999998</c:v>
                </c:pt>
                <c:pt idx="310">
                  <c:v>40.704999999999998</c:v>
                </c:pt>
                <c:pt idx="311">
                  <c:v>40.704999999999998</c:v>
                </c:pt>
                <c:pt idx="312">
                  <c:v>40.704999999999998</c:v>
                </c:pt>
                <c:pt idx="313">
                  <c:v>40.704999999999998</c:v>
                </c:pt>
                <c:pt idx="314">
                  <c:v>40.704999999999998</c:v>
                </c:pt>
                <c:pt idx="315">
                  <c:v>40.704999999999998</c:v>
                </c:pt>
                <c:pt idx="316">
                  <c:v>40.704999999999998</c:v>
                </c:pt>
                <c:pt idx="317">
                  <c:v>40.704999999999998</c:v>
                </c:pt>
                <c:pt idx="318">
                  <c:v>40.704999999999998</c:v>
                </c:pt>
                <c:pt idx="319">
                  <c:v>40.704999999999998</c:v>
                </c:pt>
                <c:pt idx="320">
                  <c:v>40.704999999999998</c:v>
                </c:pt>
                <c:pt idx="321">
                  <c:v>40.704999999999998</c:v>
                </c:pt>
                <c:pt idx="322">
                  <c:v>40.704999999999998</c:v>
                </c:pt>
                <c:pt idx="323">
                  <c:v>40.704999999999998</c:v>
                </c:pt>
                <c:pt idx="324">
                  <c:v>40.704999999999998</c:v>
                </c:pt>
                <c:pt idx="325">
                  <c:v>40.704999999999998</c:v>
                </c:pt>
                <c:pt idx="326">
                  <c:v>40.704999999999998</c:v>
                </c:pt>
                <c:pt idx="327">
                  <c:v>40.704999999999998</c:v>
                </c:pt>
                <c:pt idx="328">
                  <c:v>40.704999999999998</c:v>
                </c:pt>
                <c:pt idx="329">
                  <c:v>40.704999999999998</c:v>
                </c:pt>
                <c:pt idx="330">
                  <c:v>40.704999999999998</c:v>
                </c:pt>
                <c:pt idx="331">
                  <c:v>40.704999999999998</c:v>
                </c:pt>
                <c:pt idx="332">
                  <c:v>40.704999999999998</c:v>
                </c:pt>
                <c:pt idx="333">
                  <c:v>40.704999999999998</c:v>
                </c:pt>
                <c:pt idx="334">
                  <c:v>40.704999999999998</c:v>
                </c:pt>
                <c:pt idx="335">
                  <c:v>40.704999999999998</c:v>
                </c:pt>
                <c:pt idx="336">
                  <c:v>40.704999999999998</c:v>
                </c:pt>
                <c:pt idx="337">
                  <c:v>40.704999999999998</c:v>
                </c:pt>
                <c:pt idx="338">
                  <c:v>40.704999999999998</c:v>
                </c:pt>
                <c:pt idx="339">
                  <c:v>40.704999999999998</c:v>
                </c:pt>
                <c:pt idx="340">
                  <c:v>40.704999999999998</c:v>
                </c:pt>
                <c:pt idx="341">
                  <c:v>40.704999999999998</c:v>
                </c:pt>
                <c:pt idx="342">
                  <c:v>40.704999999999998</c:v>
                </c:pt>
                <c:pt idx="343">
                  <c:v>40.704999999999998</c:v>
                </c:pt>
                <c:pt idx="344">
                  <c:v>40.704999999999998</c:v>
                </c:pt>
                <c:pt idx="345">
                  <c:v>40.704999999999998</c:v>
                </c:pt>
                <c:pt idx="346">
                  <c:v>40.704999999999998</c:v>
                </c:pt>
                <c:pt idx="347">
                  <c:v>40.704999999999998</c:v>
                </c:pt>
                <c:pt idx="348">
                  <c:v>40.704999999999998</c:v>
                </c:pt>
                <c:pt idx="349">
                  <c:v>40.704999999999998</c:v>
                </c:pt>
                <c:pt idx="350">
                  <c:v>40.704999999999998</c:v>
                </c:pt>
                <c:pt idx="351">
                  <c:v>40.704999999999998</c:v>
                </c:pt>
                <c:pt idx="352">
                  <c:v>40.704999999999998</c:v>
                </c:pt>
                <c:pt idx="353">
                  <c:v>40.704999999999998</c:v>
                </c:pt>
                <c:pt idx="354">
                  <c:v>40.704999999999998</c:v>
                </c:pt>
                <c:pt idx="355">
                  <c:v>40.704999999999998</c:v>
                </c:pt>
                <c:pt idx="356">
                  <c:v>40.704999999999998</c:v>
                </c:pt>
                <c:pt idx="357">
                  <c:v>40.704999999999998</c:v>
                </c:pt>
                <c:pt idx="358">
                  <c:v>40.704999999999998</c:v>
                </c:pt>
                <c:pt idx="359">
                  <c:v>40.704999999999998</c:v>
                </c:pt>
                <c:pt idx="360">
                  <c:v>40.704999999999998</c:v>
                </c:pt>
                <c:pt idx="361">
                  <c:v>40.704999999999998</c:v>
                </c:pt>
                <c:pt idx="362">
                  <c:v>40.704999999999998</c:v>
                </c:pt>
                <c:pt idx="363">
                  <c:v>40.704999999999998</c:v>
                </c:pt>
                <c:pt idx="364">
                  <c:v>40.704999999999998</c:v>
                </c:pt>
                <c:pt idx="365">
                  <c:v>40.704999999999998</c:v>
                </c:pt>
                <c:pt idx="366">
                  <c:v>40.704999999999998</c:v>
                </c:pt>
                <c:pt idx="367">
                  <c:v>40.704999999999998</c:v>
                </c:pt>
                <c:pt idx="368">
                  <c:v>40.704999999999998</c:v>
                </c:pt>
                <c:pt idx="369">
                  <c:v>40.704999999999998</c:v>
                </c:pt>
                <c:pt idx="370">
                  <c:v>40.704999999999998</c:v>
                </c:pt>
                <c:pt idx="371">
                  <c:v>40.704999999999998</c:v>
                </c:pt>
                <c:pt idx="372">
                  <c:v>40.704999999999998</c:v>
                </c:pt>
                <c:pt idx="373">
                  <c:v>40.704999999999998</c:v>
                </c:pt>
                <c:pt idx="374">
                  <c:v>40.704999999999998</c:v>
                </c:pt>
                <c:pt idx="375">
                  <c:v>40.704999999999998</c:v>
                </c:pt>
                <c:pt idx="376">
                  <c:v>40.704999999999998</c:v>
                </c:pt>
                <c:pt idx="377">
                  <c:v>40.704999999999998</c:v>
                </c:pt>
                <c:pt idx="378">
                  <c:v>40.704999999999998</c:v>
                </c:pt>
                <c:pt idx="379">
                  <c:v>40.704999999999998</c:v>
                </c:pt>
                <c:pt idx="380">
                  <c:v>40.704999999999998</c:v>
                </c:pt>
                <c:pt idx="381">
                  <c:v>40.704999999999998</c:v>
                </c:pt>
                <c:pt idx="382">
                  <c:v>40.704999999999998</c:v>
                </c:pt>
                <c:pt idx="383">
                  <c:v>40.704999999999998</c:v>
                </c:pt>
                <c:pt idx="384">
                  <c:v>40.704999999999998</c:v>
                </c:pt>
                <c:pt idx="385">
                  <c:v>40.704999999999998</c:v>
                </c:pt>
                <c:pt idx="386">
                  <c:v>40.704999999999998</c:v>
                </c:pt>
                <c:pt idx="387">
                  <c:v>40.704999999999998</c:v>
                </c:pt>
                <c:pt idx="388">
                  <c:v>40.704999999999998</c:v>
                </c:pt>
                <c:pt idx="389">
                  <c:v>40.704999999999998</c:v>
                </c:pt>
                <c:pt idx="390">
                  <c:v>40.704999999999998</c:v>
                </c:pt>
                <c:pt idx="391">
                  <c:v>40.704999999999998</c:v>
                </c:pt>
                <c:pt idx="392">
                  <c:v>40.704999999999998</c:v>
                </c:pt>
                <c:pt idx="393">
                  <c:v>40.704999999999998</c:v>
                </c:pt>
                <c:pt idx="394">
                  <c:v>40.704999999999998</c:v>
                </c:pt>
                <c:pt idx="395">
                  <c:v>40.704999999999998</c:v>
                </c:pt>
                <c:pt idx="396">
                  <c:v>40.704999999999998</c:v>
                </c:pt>
                <c:pt idx="397">
                  <c:v>40.704999999999998</c:v>
                </c:pt>
                <c:pt idx="398">
                  <c:v>40.704999999999998</c:v>
                </c:pt>
                <c:pt idx="399">
                  <c:v>40.704999999999998</c:v>
                </c:pt>
                <c:pt idx="400">
                  <c:v>40.704999999999998</c:v>
                </c:pt>
                <c:pt idx="401">
                  <c:v>40.704999999999998</c:v>
                </c:pt>
                <c:pt idx="402">
                  <c:v>40.704999999999998</c:v>
                </c:pt>
                <c:pt idx="403">
                  <c:v>40.704999999999998</c:v>
                </c:pt>
                <c:pt idx="404">
                  <c:v>40.704999999999998</c:v>
                </c:pt>
                <c:pt idx="405">
                  <c:v>40.704999999999998</c:v>
                </c:pt>
                <c:pt idx="406">
                  <c:v>40.704999999999998</c:v>
                </c:pt>
                <c:pt idx="407">
                  <c:v>40.704999999999998</c:v>
                </c:pt>
                <c:pt idx="408">
                  <c:v>40.704999999999998</c:v>
                </c:pt>
                <c:pt idx="409">
                  <c:v>40.704999999999998</c:v>
                </c:pt>
                <c:pt idx="410">
                  <c:v>40.704999999999998</c:v>
                </c:pt>
                <c:pt idx="411">
                  <c:v>40.704999999999998</c:v>
                </c:pt>
                <c:pt idx="412">
                  <c:v>40.704999999999998</c:v>
                </c:pt>
                <c:pt idx="413">
                  <c:v>40.704999999999998</c:v>
                </c:pt>
                <c:pt idx="414">
                  <c:v>40.704999999999998</c:v>
                </c:pt>
                <c:pt idx="415">
                  <c:v>40.704999999999998</c:v>
                </c:pt>
                <c:pt idx="416">
                  <c:v>40.704999999999998</c:v>
                </c:pt>
                <c:pt idx="417">
                  <c:v>40.704999999999998</c:v>
                </c:pt>
                <c:pt idx="418">
                  <c:v>40.704999999999998</c:v>
                </c:pt>
                <c:pt idx="419">
                  <c:v>40.704999999999998</c:v>
                </c:pt>
                <c:pt idx="420">
                  <c:v>40.704999999999998</c:v>
                </c:pt>
                <c:pt idx="421">
                  <c:v>40.704999999999998</c:v>
                </c:pt>
                <c:pt idx="422">
                  <c:v>40.704999999999998</c:v>
                </c:pt>
                <c:pt idx="423">
                  <c:v>40.704999999999998</c:v>
                </c:pt>
                <c:pt idx="424">
                  <c:v>40.704999999999998</c:v>
                </c:pt>
                <c:pt idx="425">
                  <c:v>40.704999999999998</c:v>
                </c:pt>
                <c:pt idx="426">
                  <c:v>40.704999999999998</c:v>
                </c:pt>
                <c:pt idx="427">
                  <c:v>40.704999999999998</c:v>
                </c:pt>
                <c:pt idx="428">
                  <c:v>40.704999999999998</c:v>
                </c:pt>
                <c:pt idx="429">
                  <c:v>40.704999999999998</c:v>
                </c:pt>
                <c:pt idx="430">
                  <c:v>40.704999999999998</c:v>
                </c:pt>
                <c:pt idx="431">
                  <c:v>40.704999999999998</c:v>
                </c:pt>
                <c:pt idx="432">
                  <c:v>40.704999999999998</c:v>
                </c:pt>
                <c:pt idx="433">
                  <c:v>40.704999999999998</c:v>
                </c:pt>
                <c:pt idx="434">
                  <c:v>40.704999999999998</c:v>
                </c:pt>
                <c:pt idx="435">
                  <c:v>40.704999999999998</c:v>
                </c:pt>
                <c:pt idx="436">
                  <c:v>40.704999999999998</c:v>
                </c:pt>
                <c:pt idx="437">
                  <c:v>40.704999999999998</c:v>
                </c:pt>
                <c:pt idx="438">
                  <c:v>40.704999999999998</c:v>
                </c:pt>
                <c:pt idx="439">
                  <c:v>40.704999999999998</c:v>
                </c:pt>
                <c:pt idx="440">
                  <c:v>40.704999999999998</c:v>
                </c:pt>
                <c:pt idx="441">
                  <c:v>40.704999999999998</c:v>
                </c:pt>
                <c:pt idx="442">
                  <c:v>40.704999999999998</c:v>
                </c:pt>
                <c:pt idx="443">
                  <c:v>40.704999999999998</c:v>
                </c:pt>
                <c:pt idx="444">
                  <c:v>40.704999999999998</c:v>
                </c:pt>
                <c:pt idx="445">
                  <c:v>40.704999999999998</c:v>
                </c:pt>
                <c:pt idx="446">
                  <c:v>40.704999999999998</c:v>
                </c:pt>
                <c:pt idx="447">
                  <c:v>40.704999999999998</c:v>
                </c:pt>
                <c:pt idx="448">
                  <c:v>40.704999999999998</c:v>
                </c:pt>
                <c:pt idx="449">
                  <c:v>40.704999999999998</c:v>
                </c:pt>
                <c:pt idx="450">
                  <c:v>40.704999999999998</c:v>
                </c:pt>
                <c:pt idx="451">
                  <c:v>40.704999999999998</c:v>
                </c:pt>
                <c:pt idx="452">
                  <c:v>40.704999999999998</c:v>
                </c:pt>
                <c:pt idx="453">
                  <c:v>40.704999999999998</c:v>
                </c:pt>
                <c:pt idx="454">
                  <c:v>40.704999999999998</c:v>
                </c:pt>
                <c:pt idx="455">
                  <c:v>40.704999999999998</c:v>
                </c:pt>
                <c:pt idx="456">
                  <c:v>40.704999999999998</c:v>
                </c:pt>
                <c:pt idx="457">
                  <c:v>40.704999999999998</c:v>
                </c:pt>
                <c:pt idx="458">
                  <c:v>40.704999999999998</c:v>
                </c:pt>
                <c:pt idx="459">
                  <c:v>40.704999999999998</c:v>
                </c:pt>
                <c:pt idx="460">
                  <c:v>40.704999999999998</c:v>
                </c:pt>
                <c:pt idx="461">
                  <c:v>40.704999999999998</c:v>
                </c:pt>
                <c:pt idx="462">
                  <c:v>40.704999999999998</c:v>
                </c:pt>
                <c:pt idx="463">
                  <c:v>40.704999999999998</c:v>
                </c:pt>
                <c:pt idx="464">
                  <c:v>40.704999999999998</c:v>
                </c:pt>
                <c:pt idx="465">
                  <c:v>40.704999999999998</c:v>
                </c:pt>
                <c:pt idx="466">
                  <c:v>40.704999999999998</c:v>
                </c:pt>
                <c:pt idx="467">
                  <c:v>40.704999999999998</c:v>
                </c:pt>
                <c:pt idx="468">
                  <c:v>40.704999999999998</c:v>
                </c:pt>
                <c:pt idx="469">
                  <c:v>40.704999999999998</c:v>
                </c:pt>
                <c:pt idx="470">
                  <c:v>40.704999999999998</c:v>
                </c:pt>
                <c:pt idx="471">
                  <c:v>40.704999999999998</c:v>
                </c:pt>
                <c:pt idx="472">
                  <c:v>40.704999999999998</c:v>
                </c:pt>
                <c:pt idx="473">
                  <c:v>40.704999999999998</c:v>
                </c:pt>
                <c:pt idx="474">
                  <c:v>40.704999999999998</c:v>
                </c:pt>
                <c:pt idx="475">
                  <c:v>40.704999999999998</c:v>
                </c:pt>
                <c:pt idx="476">
                  <c:v>40.704999999999998</c:v>
                </c:pt>
                <c:pt idx="477">
                  <c:v>40.704999999999998</c:v>
                </c:pt>
                <c:pt idx="478">
                  <c:v>40.704999999999998</c:v>
                </c:pt>
                <c:pt idx="479">
                  <c:v>40.704999999999998</c:v>
                </c:pt>
                <c:pt idx="480">
                  <c:v>40.704999999999998</c:v>
                </c:pt>
                <c:pt idx="481">
                  <c:v>40.704999999999998</c:v>
                </c:pt>
                <c:pt idx="482">
                  <c:v>40.704999999999998</c:v>
                </c:pt>
                <c:pt idx="483">
                  <c:v>40.704999999999998</c:v>
                </c:pt>
                <c:pt idx="484">
                  <c:v>40.704999999999998</c:v>
                </c:pt>
                <c:pt idx="485">
                  <c:v>40.704999999999998</c:v>
                </c:pt>
                <c:pt idx="486">
                  <c:v>40.704999999999998</c:v>
                </c:pt>
                <c:pt idx="487">
                  <c:v>40.704999999999998</c:v>
                </c:pt>
                <c:pt idx="488">
                  <c:v>40.704999999999998</c:v>
                </c:pt>
                <c:pt idx="489">
                  <c:v>40.704999999999998</c:v>
                </c:pt>
                <c:pt idx="490">
                  <c:v>40.704999999999998</c:v>
                </c:pt>
                <c:pt idx="491">
                  <c:v>40.704999999999998</c:v>
                </c:pt>
                <c:pt idx="492">
                  <c:v>40.704999999999998</c:v>
                </c:pt>
                <c:pt idx="493">
                  <c:v>40.704999999999998</c:v>
                </c:pt>
                <c:pt idx="494">
                  <c:v>40.704999999999998</c:v>
                </c:pt>
                <c:pt idx="495">
                  <c:v>40.704999999999998</c:v>
                </c:pt>
                <c:pt idx="496">
                  <c:v>40.704999999999998</c:v>
                </c:pt>
                <c:pt idx="497">
                  <c:v>40.704999999999998</c:v>
                </c:pt>
                <c:pt idx="498">
                  <c:v>40.704999999999998</c:v>
                </c:pt>
                <c:pt idx="499">
                  <c:v>40.704999999999998</c:v>
                </c:pt>
                <c:pt idx="500">
                  <c:v>40.704999999999998</c:v>
                </c:pt>
                <c:pt idx="501">
                  <c:v>40.704999999999998</c:v>
                </c:pt>
                <c:pt idx="502">
                  <c:v>40.704999999999998</c:v>
                </c:pt>
                <c:pt idx="503">
                  <c:v>40.704999999999998</c:v>
                </c:pt>
              </c:numCache>
            </c:numRef>
          </c:xVal>
          <c:yVal>
            <c:numRef>
              <c:f>Smart!$IH$3:$IH$506</c:f>
              <c:numCache>
                <c:formatCode>General</c:formatCode>
                <c:ptCount val="5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numCache>
            </c:numRef>
          </c:yVal>
          <c:smooth val="0"/>
          <c:extLst xmlns:c16r2="http://schemas.microsoft.com/office/drawing/2015/06/chart">
            <c:ext xmlns:c16="http://schemas.microsoft.com/office/drawing/2014/chart" uri="{C3380CC4-5D6E-409C-BE32-E72D297353CC}">
              <c16:uniqueId val="{00000003-C01D-439B-BA19-A5DA1AAAAC61}"/>
            </c:ext>
          </c:extLst>
        </c:ser>
        <c:ser>
          <c:idx val="5"/>
          <c:order val="5"/>
          <c:tx>
            <c:v>Seg4</c:v>
          </c:tx>
          <c:spPr>
            <a:ln w="25400">
              <a:solidFill>
                <a:srgbClr val="FF0000"/>
              </a:solidFill>
              <a:prstDash val="solid"/>
            </a:ln>
          </c:spPr>
          <c:marker>
            <c:symbol val="none"/>
          </c:marker>
          <c:xVal>
            <c:numRef>
              <c:f>Smart!$IL$3:$IL$506</c:f>
              <c:numCache>
                <c:formatCode>General</c:formatCode>
                <c:ptCount val="504"/>
                <c:pt idx="0">
                  <c:v>40.704999999999998</c:v>
                </c:pt>
                <c:pt idx="1">
                  <c:v>40.704999999999998</c:v>
                </c:pt>
                <c:pt idx="2">
                  <c:v>40.704999999999998</c:v>
                </c:pt>
                <c:pt idx="3">
                  <c:v>40.704999999999998</c:v>
                </c:pt>
                <c:pt idx="4">
                  <c:v>40.704999999999998</c:v>
                </c:pt>
                <c:pt idx="5">
                  <c:v>40.704999999999998</c:v>
                </c:pt>
                <c:pt idx="6">
                  <c:v>40.704999999999998</c:v>
                </c:pt>
                <c:pt idx="7">
                  <c:v>40.704999999999998</c:v>
                </c:pt>
                <c:pt idx="8">
                  <c:v>40.704999999999998</c:v>
                </c:pt>
                <c:pt idx="9">
                  <c:v>40.704999999999998</c:v>
                </c:pt>
                <c:pt idx="10">
                  <c:v>40.704999999999998</c:v>
                </c:pt>
                <c:pt idx="11">
                  <c:v>40.704999999999998</c:v>
                </c:pt>
                <c:pt idx="12">
                  <c:v>40.704999999999998</c:v>
                </c:pt>
                <c:pt idx="13">
                  <c:v>40.704999999999998</c:v>
                </c:pt>
                <c:pt idx="14">
                  <c:v>40.704999999999998</c:v>
                </c:pt>
                <c:pt idx="15">
                  <c:v>40.704999999999998</c:v>
                </c:pt>
                <c:pt idx="16">
                  <c:v>40.704999999999998</c:v>
                </c:pt>
                <c:pt idx="17">
                  <c:v>40.704999999999998</c:v>
                </c:pt>
                <c:pt idx="18">
                  <c:v>40.704999999999998</c:v>
                </c:pt>
                <c:pt idx="19">
                  <c:v>40.704999999999998</c:v>
                </c:pt>
                <c:pt idx="20">
                  <c:v>40.704999999999998</c:v>
                </c:pt>
                <c:pt idx="21">
                  <c:v>40.704999999999998</c:v>
                </c:pt>
                <c:pt idx="22">
                  <c:v>40.704999999999998</c:v>
                </c:pt>
                <c:pt idx="23">
                  <c:v>40.704999999999998</c:v>
                </c:pt>
                <c:pt idx="24">
                  <c:v>40.704999999999998</c:v>
                </c:pt>
                <c:pt idx="25">
                  <c:v>40.704999999999998</c:v>
                </c:pt>
                <c:pt idx="26">
                  <c:v>40.704999999999998</c:v>
                </c:pt>
                <c:pt idx="27">
                  <c:v>40.704999999999998</c:v>
                </c:pt>
                <c:pt idx="28">
                  <c:v>40.704999999999998</c:v>
                </c:pt>
                <c:pt idx="29">
                  <c:v>40.704999999999998</c:v>
                </c:pt>
                <c:pt idx="30">
                  <c:v>40.704999999999998</c:v>
                </c:pt>
                <c:pt idx="31">
                  <c:v>40.704999999999998</c:v>
                </c:pt>
                <c:pt idx="32">
                  <c:v>40.704999999999998</c:v>
                </c:pt>
                <c:pt idx="33">
                  <c:v>40.704999999999998</c:v>
                </c:pt>
                <c:pt idx="34">
                  <c:v>40.704999999999998</c:v>
                </c:pt>
                <c:pt idx="35">
                  <c:v>40.704999999999998</c:v>
                </c:pt>
                <c:pt idx="36">
                  <c:v>40.704999999999998</c:v>
                </c:pt>
                <c:pt idx="37">
                  <c:v>40.704999999999998</c:v>
                </c:pt>
                <c:pt idx="38">
                  <c:v>40.704999999999998</c:v>
                </c:pt>
                <c:pt idx="39">
                  <c:v>40.704999999999998</c:v>
                </c:pt>
                <c:pt idx="40">
                  <c:v>40.704999999999998</c:v>
                </c:pt>
                <c:pt idx="41">
                  <c:v>40.704999999999998</c:v>
                </c:pt>
                <c:pt idx="42">
                  <c:v>40.704999999999998</c:v>
                </c:pt>
                <c:pt idx="43">
                  <c:v>40.704999999999998</c:v>
                </c:pt>
                <c:pt idx="44">
                  <c:v>40.704999999999998</c:v>
                </c:pt>
                <c:pt idx="45">
                  <c:v>40.704999999999998</c:v>
                </c:pt>
                <c:pt idx="46">
                  <c:v>40.704999999999998</c:v>
                </c:pt>
                <c:pt idx="47">
                  <c:v>40.704999999999998</c:v>
                </c:pt>
                <c:pt idx="48">
                  <c:v>40.704999999999998</c:v>
                </c:pt>
                <c:pt idx="49">
                  <c:v>40.704999999999998</c:v>
                </c:pt>
                <c:pt idx="50">
                  <c:v>40.704999999999998</c:v>
                </c:pt>
                <c:pt idx="51">
                  <c:v>40.704999999999998</c:v>
                </c:pt>
                <c:pt idx="52">
                  <c:v>40.704999999999998</c:v>
                </c:pt>
                <c:pt idx="53">
                  <c:v>40.704999999999998</c:v>
                </c:pt>
                <c:pt idx="54">
                  <c:v>40.704999999999998</c:v>
                </c:pt>
                <c:pt idx="55">
                  <c:v>40.704999999999998</c:v>
                </c:pt>
                <c:pt idx="56">
                  <c:v>40.704999999999998</c:v>
                </c:pt>
                <c:pt idx="57">
                  <c:v>40.704999999999998</c:v>
                </c:pt>
                <c:pt idx="58">
                  <c:v>40.704999999999998</c:v>
                </c:pt>
                <c:pt idx="59">
                  <c:v>40.704999999999998</c:v>
                </c:pt>
                <c:pt idx="60">
                  <c:v>40.704999999999998</c:v>
                </c:pt>
                <c:pt idx="61">
                  <c:v>40.704999999999998</c:v>
                </c:pt>
                <c:pt idx="62">
                  <c:v>40.704999999999998</c:v>
                </c:pt>
                <c:pt idx="63">
                  <c:v>40.704999999999998</c:v>
                </c:pt>
                <c:pt idx="64">
                  <c:v>40.704999999999998</c:v>
                </c:pt>
                <c:pt idx="65">
                  <c:v>40.704999999999998</c:v>
                </c:pt>
                <c:pt idx="66">
                  <c:v>40.704999999999998</c:v>
                </c:pt>
                <c:pt idx="67">
                  <c:v>40.704999999999998</c:v>
                </c:pt>
                <c:pt idx="68">
                  <c:v>40.704999999999998</c:v>
                </c:pt>
                <c:pt idx="69">
                  <c:v>40.704999999999998</c:v>
                </c:pt>
                <c:pt idx="70">
                  <c:v>40.704999999999998</c:v>
                </c:pt>
                <c:pt idx="71">
                  <c:v>40.704999999999998</c:v>
                </c:pt>
                <c:pt idx="72">
                  <c:v>40.704999999999998</c:v>
                </c:pt>
                <c:pt idx="73">
                  <c:v>40.704999999999998</c:v>
                </c:pt>
                <c:pt idx="74">
                  <c:v>40.704999999999998</c:v>
                </c:pt>
                <c:pt idx="75">
                  <c:v>40.704999999999998</c:v>
                </c:pt>
                <c:pt idx="76">
                  <c:v>40.704999999999998</c:v>
                </c:pt>
                <c:pt idx="77">
                  <c:v>40.704999999999998</c:v>
                </c:pt>
                <c:pt idx="78">
                  <c:v>40.704999999999998</c:v>
                </c:pt>
                <c:pt idx="79">
                  <c:v>40.704999999999998</c:v>
                </c:pt>
                <c:pt idx="80">
                  <c:v>40.704999999999998</c:v>
                </c:pt>
                <c:pt idx="81">
                  <c:v>40.704999999999998</c:v>
                </c:pt>
                <c:pt idx="82">
                  <c:v>40.704999999999998</c:v>
                </c:pt>
                <c:pt idx="83">
                  <c:v>40.704999999999998</c:v>
                </c:pt>
                <c:pt idx="84">
                  <c:v>40.704999999999998</c:v>
                </c:pt>
                <c:pt idx="85">
                  <c:v>40.704999999999998</c:v>
                </c:pt>
                <c:pt idx="86">
                  <c:v>40.704999999999998</c:v>
                </c:pt>
                <c:pt idx="87">
                  <c:v>40.704999999999998</c:v>
                </c:pt>
                <c:pt idx="88">
                  <c:v>40.704999999999998</c:v>
                </c:pt>
                <c:pt idx="89">
                  <c:v>40.704999999999998</c:v>
                </c:pt>
                <c:pt idx="90">
                  <c:v>40.704999999999998</c:v>
                </c:pt>
                <c:pt idx="91">
                  <c:v>40.704999999999998</c:v>
                </c:pt>
                <c:pt idx="92">
                  <c:v>40.704999999999998</c:v>
                </c:pt>
                <c:pt idx="93">
                  <c:v>40.704999999999998</c:v>
                </c:pt>
                <c:pt idx="94">
                  <c:v>40.704999999999998</c:v>
                </c:pt>
                <c:pt idx="95">
                  <c:v>40.704999999999998</c:v>
                </c:pt>
                <c:pt idx="96">
                  <c:v>40.704999999999998</c:v>
                </c:pt>
                <c:pt idx="97">
                  <c:v>40.704999999999998</c:v>
                </c:pt>
                <c:pt idx="98">
                  <c:v>40.704999999999998</c:v>
                </c:pt>
                <c:pt idx="99">
                  <c:v>40.704999999999998</c:v>
                </c:pt>
                <c:pt idx="100">
                  <c:v>40.704999999999998</c:v>
                </c:pt>
                <c:pt idx="101">
                  <c:v>40.704999999999998</c:v>
                </c:pt>
                <c:pt idx="102">
                  <c:v>40.704999999999998</c:v>
                </c:pt>
                <c:pt idx="103">
                  <c:v>40.704999999999998</c:v>
                </c:pt>
                <c:pt idx="104">
                  <c:v>40.704999999999998</c:v>
                </c:pt>
                <c:pt idx="105">
                  <c:v>40.704999999999998</c:v>
                </c:pt>
                <c:pt idx="106">
                  <c:v>40.704999999999998</c:v>
                </c:pt>
                <c:pt idx="107">
                  <c:v>40.704999999999998</c:v>
                </c:pt>
                <c:pt idx="108">
                  <c:v>40.704999999999998</c:v>
                </c:pt>
                <c:pt idx="109">
                  <c:v>40.704999999999998</c:v>
                </c:pt>
                <c:pt idx="110">
                  <c:v>40.704999999999998</c:v>
                </c:pt>
                <c:pt idx="111">
                  <c:v>40.704999999999998</c:v>
                </c:pt>
                <c:pt idx="112">
                  <c:v>40.704999999999998</c:v>
                </c:pt>
                <c:pt idx="113">
                  <c:v>40.704999999999998</c:v>
                </c:pt>
                <c:pt idx="114">
                  <c:v>40.704999999999998</c:v>
                </c:pt>
                <c:pt idx="115">
                  <c:v>40.704999999999998</c:v>
                </c:pt>
                <c:pt idx="116">
                  <c:v>40.704999999999998</c:v>
                </c:pt>
                <c:pt idx="117">
                  <c:v>40.704999999999998</c:v>
                </c:pt>
                <c:pt idx="118">
                  <c:v>40.704999999999998</c:v>
                </c:pt>
                <c:pt idx="119">
                  <c:v>40.704999999999998</c:v>
                </c:pt>
                <c:pt idx="120">
                  <c:v>40.704999999999998</c:v>
                </c:pt>
                <c:pt idx="121">
                  <c:v>40.704999999999998</c:v>
                </c:pt>
                <c:pt idx="122">
                  <c:v>40.704999999999998</c:v>
                </c:pt>
                <c:pt idx="123">
                  <c:v>40.704999999999998</c:v>
                </c:pt>
                <c:pt idx="124">
                  <c:v>40.704999999999998</c:v>
                </c:pt>
                <c:pt idx="125">
                  <c:v>40.704999999999998</c:v>
                </c:pt>
                <c:pt idx="126">
                  <c:v>40.704999999999998</c:v>
                </c:pt>
                <c:pt idx="127">
                  <c:v>40.704999999999998</c:v>
                </c:pt>
                <c:pt idx="128">
                  <c:v>40.704999999999998</c:v>
                </c:pt>
                <c:pt idx="129">
                  <c:v>40.704999999999998</c:v>
                </c:pt>
                <c:pt idx="130">
                  <c:v>40.704999999999998</c:v>
                </c:pt>
                <c:pt idx="131">
                  <c:v>40.704999999999998</c:v>
                </c:pt>
                <c:pt idx="132">
                  <c:v>40.704999999999998</c:v>
                </c:pt>
                <c:pt idx="133">
                  <c:v>40.704999999999998</c:v>
                </c:pt>
                <c:pt idx="134">
                  <c:v>40.704999999999998</c:v>
                </c:pt>
                <c:pt idx="135">
                  <c:v>40.704999999999998</c:v>
                </c:pt>
                <c:pt idx="136">
                  <c:v>40.704999999999998</c:v>
                </c:pt>
                <c:pt idx="137">
                  <c:v>40.704999999999998</c:v>
                </c:pt>
                <c:pt idx="138">
                  <c:v>40.704999999999998</c:v>
                </c:pt>
                <c:pt idx="139">
                  <c:v>40.704999999999998</c:v>
                </c:pt>
                <c:pt idx="140">
                  <c:v>40.704999999999998</c:v>
                </c:pt>
                <c:pt idx="141">
                  <c:v>40.704999999999998</c:v>
                </c:pt>
                <c:pt idx="142">
                  <c:v>40.704999999999998</c:v>
                </c:pt>
                <c:pt idx="143">
                  <c:v>40.704999999999998</c:v>
                </c:pt>
                <c:pt idx="144">
                  <c:v>40.704999999999998</c:v>
                </c:pt>
                <c:pt idx="145">
                  <c:v>40.704999999999998</c:v>
                </c:pt>
                <c:pt idx="146">
                  <c:v>40.704999999999998</c:v>
                </c:pt>
                <c:pt idx="147">
                  <c:v>40.704999999999998</c:v>
                </c:pt>
                <c:pt idx="148">
                  <c:v>40.704999999999998</c:v>
                </c:pt>
                <c:pt idx="149">
                  <c:v>40.704999999999998</c:v>
                </c:pt>
                <c:pt idx="150">
                  <c:v>40.704999999999998</c:v>
                </c:pt>
                <c:pt idx="151">
                  <c:v>40.704999999999998</c:v>
                </c:pt>
                <c:pt idx="152">
                  <c:v>40.704999999999998</c:v>
                </c:pt>
                <c:pt idx="153">
                  <c:v>40.704999999999998</c:v>
                </c:pt>
                <c:pt idx="154">
                  <c:v>40.704999999999998</c:v>
                </c:pt>
                <c:pt idx="155">
                  <c:v>40.704999999999998</c:v>
                </c:pt>
                <c:pt idx="156">
                  <c:v>40.704999999999998</c:v>
                </c:pt>
                <c:pt idx="157">
                  <c:v>40.704999999999998</c:v>
                </c:pt>
                <c:pt idx="158">
                  <c:v>40.704999999999998</c:v>
                </c:pt>
                <c:pt idx="159">
                  <c:v>40.704999999999998</c:v>
                </c:pt>
                <c:pt idx="160">
                  <c:v>40.704999999999998</c:v>
                </c:pt>
                <c:pt idx="161">
                  <c:v>40.704999999999998</c:v>
                </c:pt>
                <c:pt idx="162">
                  <c:v>40.704999999999998</c:v>
                </c:pt>
                <c:pt idx="163">
                  <c:v>40.704999999999998</c:v>
                </c:pt>
                <c:pt idx="164">
                  <c:v>40.704999999999998</c:v>
                </c:pt>
                <c:pt idx="165">
                  <c:v>40.704999999999998</c:v>
                </c:pt>
                <c:pt idx="166">
                  <c:v>40.704999999999998</c:v>
                </c:pt>
                <c:pt idx="167">
                  <c:v>40.704999999999998</c:v>
                </c:pt>
                <c:pt idx="168">
                  <c:v>40.704999999999998</c:v>
                </c:pt>
                <c:pt idx="169">
                  <c:v>40.704999999999998</c:v>
                </c:pt>
                <c:pt idx="170">
                  <c:v>40.704999999999998</c:v>
                </c:pt>
                <c:pt idx="171">
                  <c:v>40.704999999999998</c:v>
                </c:pt>
                <c:pt idx="172">
                  <c:v>40.704999999999998</c:v>
                </c:pt>
                <c:pt idx="173">
                  <c:v>40.704999999999998</c:v>
                </c:pt>
                <c:pt idx="174">
                  <c:v>40.704999999999998</c:v>
                </c:pt>
                <c:pt idx="175">
                  <c:v>40.704999999999998</c:v>
                </c:pt>
                <c:pt idx="176">
                  <c:v>40.704999999999998</c:v>
                </c:pt>
                <c:pt idx="177">
                  <c:v>40.704999999999998</c:v>
                </c:pt>
                <c:pt idx="178">
                  <c:v>40.704999999999998</c:v>
                </c:pt>
                <c:pt idx="179">
                  <c:v>40.704999999999998</c:v>
                </c:pt>
                <c:pt idx="180">
                  <c:v>40.704999999999998</c:v>
                </c:pt>
                <c:pt idx="181">
                  <c:v>40.704999999999998</c:v>
                </c:pt>
                <c:pt idx="182">
                  <c:v>40.704999999999998</c:v>
                </c:pt>
                <c:pt idx="183">
                  <c:v>40.704999999999998</c:v>
                </c:pt>
                <c:pt idx="184">
                  <c:v>40.704999999999998</c:v>
                </c:pt>
                <c:pt idx="185">
                  <c:v>40.704999999999998</c:v>
                </c:pt>
                <c:pt idx="186">
                  <c:v>40.704999999999998</c:v>
                </c:pt>
                <c:pt idx="187">
                  <c:v>40.704999999999998</c:v>
                </c:pt>
                <c:pt idx="188">
                  <c:v>40.704999999999998</c:v>
                </c:pt>
                <c:pt idx="189">
                  <c:v>40.704999999999998</c:v>
                </c:pt>
                <c:pt idx="190">
                  <c:v>40.704999999999998</c:v>
                </c:pt>
                <c:pt idx="191">
                  <c:v>40.704999999999998</c:v>
                </c:pt>
                <c:pt idx="192">
                  <c:v>40.704999999999998</c:v>
                </c:pt>
                <c:pt idx="193">
                  <c:v>40.704999999999998</c:v>
                </c:pt>
                <c:pt idx="194">
                  <c:v>40.704999999999998</c:v>
                </c:pt>
                <c:pt idx="195">
                  <c:v>40.704999999999998</c:v>
                </c:pt>
                <c:pt idx="196">
                  <c:v>40.704999999999998</c:v>
                </c:pt>
                <c:pt idx="197">
                  <c:v>40.704999999999998</c:v>
                </c:pt>
                <c:pt idx="198">
                  <c:v>40.704999999999998</c:v>
                </c:pt>
                <c:pt idx="199">
                  <c:v>40.704999999999998</c:v>
                </c:pt>
                <c:pt idx="200">
                  <c:v>40.704999999999998</c:v>
                </c:pt>
                <c:pt idx="201">
                  <c:v>40.704999999999998</c:v>
                </c:pt>
                <c:pt idx="202">
                  <c:v>40.704999999999998</c:v>
                </c:pt>
                <c:pt idx="203">
                  <c:v>40.704999999999998</c:v>
                </c:pt>
                <c:pt idx="204">
                  <c:v>40.704999999999998</c:v>
                </c:pt>
                <c:pt idx="205">
                  <c:v>40.704999999999998</c:v>
                </c:pt>
                <c:pt idx="206">
                  <c:v>40.704999999999998</c:v>
                </c:pt>
                <c:pt idx="207">
                  <c:v>40.704999999999998</c:v>
                </c:pt>
                <c:pt idx="208">
                  <c:v>40.704999999999998</c:v>
                </c:pt>
                <c:pt idx="209">
                  <c:v>40.704999999999998</c:v>
                </c:pt>
                <c:pt idx="210">
                  <c:v>40.704999999999998</c:v>
                </c:pt>
                <c:pt idx="211">
                  <c:v>40.704999999999998</c:v>
                </c:pt>
                <c:pt idx="212">
                  <c:v>40.704999999999998</c:v>
                </c:pt>
                <c:pt idx="213">
                  <c:v>40.704999999999998</c:v>
                </c:pt>
                <c:pt idx="214">
                  <c:v>40.704999999999998</c:v>
                </c:pt>
                <c:pt idx="215">
                  <c:v>40.704999999999998</c:v>
                </c:pt>
                <c:pt idx="216">
                  <c:v>40.704999999999998</c:v>
                </c:pt>
                <c:pt idx="217">
                  <c:v>40.704999999999998</c:v>
                </c:pt>
                <c:pt idx="218">
                  <c:v>40.704999999999998</c:v>
                </c:pt>
                <c:pt idx="219">
                  <c:v>40.704999999999998</c:v>
                </c:pt>
                <c:pt idx="220">
                  <c:v>40.704999999999998</c:v>
                </c:pt>
                <c:pt idx="221">
                  <c:v>40.704999999999998</c:v>
                </c:pt>
                <c:pt idx="222">
                  <c:v>40.704999999999998</c:v>
                </c:pt>
                <c:pt idx="223">
                  <c:v>40.704999999999998</c:v>
                </c:pt>
                <c:pt idx="224">
                  <c:v>40.704999999999998</c:v>
                </c:pt>
                <c:pt idx="225">
                  <c:v>40.704999999999998</c:v>
                </c:pt>
                <c:pt idx="226">
                  <c:v>40.704999999999998</c:v>
                </c:pt>
                <c:pt idx="227">
                  <c:v>40.704999999999998</c:v>
                </c:pt>
                <c:pt idx="228">
                  <c:v>40.704999999999998</c:v>
                </c:pt>
                <c:pt idx="229">
                  <c:v>40.704999999999998</c:v>
                </c:pt>
                <c:pt idx="230">
                  <c:v>40.704999999999998</c:v>
                </c:pt>
                <c:pt idx="231">
                  <c:v>40.704999999999998</c:v>
                </c:pt>
                <c:pt idx="232">
                  <c:v>40.704999999999998</c:v>
                </c:pt>
                <c:pt idx="233">
                  <c:v>40.704999999999998</c:v>
                </c:pt>
                <c:pt idx="234">
                  <c:v>40.704999999999998</c:v>
                </c:pt>
                <c:pt idx="235">
                  <c:v>40.704999999999998</c:v>
                </c:pt>
                <c:pt idx="236">
                  <c:v>40.704999999999998</c:v>
                </c:pt>
                <c:pt idx="237">
                  <c:v>40.704999999999998</c:v>
                </c:pt>
                <c:pt idx="238">
                  <c:v>40.704999999999998</c:v>
                </c:pt>
                <c:pt idx="239">
                  <c:v>40.704999999999998</c:v>
                </c:pt>
                <c:pt idx="240">
                  <c:v>40.704999999999998</c:v>
                </c:pt>
                <c:pt idx="241">
                  <c:v>40.704999999999998</c:v>
                </c:pt>
                <c:pt idx="242">
                  <c:v>40.704999999999998</c:v>
                </c:pt>
                <c:pt idx="243">
                  <c:v>40.704999999999998</c:v>
                </c:pt>
                <c:pt idx="244">
                  <c:v>40.704999999999998</c:v>
                </c:pt>
                <c:pt idx="245">
                  <c:v>40.704999999999998</c:v>
                </c:pt>
                <c:pt idx="246">
                  <c:v>40.704999999999998</c:v>
                </c:pt>
                <c:pt idx="247">
                  <c:v>40.704999999999998</c:v>
                </c:pt>
                <c:pt idx="248">
                  <c:v>40.704999999999998</c:v>
                </c:pt>
                <c:pt idx="249">
                  <c:v>40.704999999999998</c:v>
                </c:pt>
                <c:pt idx="250">
                  <c:v>40.704999999999998</c:v>
                </c:pt>
                <c:pt idx="251">
                  <c:v>40.704999999999998</c:v>
                </c:pt>
                <c:pt idx="252">
                  <c:v>40.704999999999998</c:v>
                </c:pt>
                <c:pt idx="253">
                  <c:v>40.704999999999998</c:v>
                </c:pt>
                <c:pt idx="254">
                  <c:v>40.704999999999998</c:v>
                </c:pt>
                <c:pt idx="255">
                  <c:v>40.704999999999998</c:v>
                </c:pt>
                <c:pt idx="256">
                  <c:v>40.704999999999998</c:v>
                </c:pt>
                <c:pt idx="257">
                  <c:v>40.704999999999998</c:v>
                </c:pt>
                <c:pt idx="258">
                  <c:v>40.704999999999998</c:v>
                </c:pt>
                <c:pt idx="259">
                  <c:v>40.704999999999998</c:v>
                </c:pt>
                <c:pt idx="260">
                  <c:v>40.704999999999998</c:v>
                </c:pt>
                <c:pt idx="261">
                  <c:v>40.704999999999998</c:v>
                </c:pt>
                <c:pt idx="262">
                  <c:v>40.704999999999998</c:v>
                </c:pt>
                <c:pt idx="263">
                  <c:v>40.704999999999998</c:v>
                </c:pt>
                <c:pt idx="264">
                  <c:v>40.704999999999998</c:v>
                </c:pt>
                <c:pt idx="265">
                  <c:v>40.704999999999998</c:v>
                </c:pt>
                <c:pt idx="266">
                  <c:v>40.704999999999998</c:v>
                </c:pt>
                <c:pt idx="267">
                  <c:v>40.704999999999998</c:v>
                </c:pt>
                <c:pt idx="268">
                  <c:v>40.704999999999998</c:v>
                </c:pt>
                <c:pt idx="269">
                  <c:v>40.704999999999998</c:v>
                </c:pt>
                <c:pt idx="270">
                  <c:v>40.704999999999998</c:v>
                </c:pt>
                <c:pt idx="271">
                  <c:v>40.704999999999998</c:v>
                </c:pt>
                <c:pt idx="272">
                  <c:v>40.704999999999998</c:v>
                </c:pt>
                <c:pt idx="273">
                  <c:v>40.704999999999998</c:v>
                </c:pt>
                <c:pt idx="274">
                  <c:v>40.704999999999998</c:v>
                </c:pt>
                <c:pt idx="275">
                  <c:v>40.704999999999998</c:v>
                </c:pt>
                <c:pt idx="276">
                  <c:v>40.704999999999998</c:v>
                </c:pt>
                <c:pt idx="277">
                  <c:v>40.704999999999998</c:v>
                </c:pt>
                <c:pt idx="278">
                  <c:v>40.704999999999998</c:v>
                </c:pt>
                <c:pt idx="279">
                  <c:v>40.704999999999998</c:v>
                </c:pt>
                <c:pt idx="280">
                  <c:v>40.704999999999998</c:v>
                </c:pt>
                <c:pt idx="281">
                  <c:v>40.704999999999998</c:v>
                </c:pt>
                <c:pt idx="282">
                  <c:v>40.704999999999998</c:v>
                </c:pt>
                <c:pt idx="283">
                  <c:v>40.704999999999998</c:v>
                </c:pt>
                <c:pt idx="284">
                  <c:v>40.704999999999998</c:v>
                </c:pt>
                <c:pt idx="285">
                  <c:v>40.704999999999998</c:v>
                </c:pt>
                <c:pt idx="286">
                  <c:v>40.704999999999998</c:v>
                </c:pt>
                <c:pt idx="287">
                  <c:v>40.704999999999998</c:v>
                </c:pt>
                <c:pt idx="288">
                  <c:v>40.704999999999998</c:v>
                </c:pt>
                <c:pt idx="289">
                  <c:v>40.704999999999998</c:v>
                </c:pt>
                <c:pt idx="290">
                  <c:v>40.704999999999998</c:v>
                </c:pt>
                <c:pt idx="291">
                  <c:v>40.704999999999998</c:v>
                </c:pt>
                <c:pt idx="292">
                  <c:v>40.704999999999998</c:v>
                </c:pt>
                <c:pt idx="293">
                  <c:v>40.704999999999998</c:v>
                </c:pt>
                <c:pt idx="294">
                  <c:v>40.704999999999998</c:v>
                </c:pt>
                <c:pt idx="295">
                  <c:v>40.704999999999998</c:v>
                </c:pt>
                <c:pt idx="296">
                  <c:v>40.704999999999998</c:v>
                </c:pt>
                <c:pt idx="297">
                  <c:v>40.704999999999998</c:v>
                </c:pt>
                <c:pt idx="298">
                  <c:v>40.704999999999998</c:v>
                </c:pt>
                <c:pt idx="299">
                  <c:v>40.704999999999998</c:v>
                </c:pt>
                <c:pt idx="300">
                  <c:v>40.704999999999998</c:v>
                </c:pt>
                <c:pt idx="301">
                  <c:v>40.704999999999998</c:v>
                </c:pt>
                <c:pt idx="302">
                  <c:v>40.704999999999998</c:v>
                </c:pt>
                <c:pt idx="303">
                  <c:v>40.704999999999998</c:v>
                </c:pt>
                <c:pt idx="304">
                  <c:v>40.704999999999998</c:v>
                </c:pt>
                <c:pt idx="305">
                  <c:v>40.704999999999998</c:v>
                </c:pt>
                <c:pt idx="306">
                  <c:v>40.704999999999998</c:v>
                </c:pt>
                <c:pt idx="307">
                  <c:v>40.704999999999998</c:v>
                </c:pt>
                <c:pt idx="308">
                  <c:v>40.704999999999998</c:v>
                </c:pt>
                <c:pt idx="309">
                  <c:v>40.704999999999998</c:v>
                </c:pt>
                <c:pt idx="310">
                  <c:v>40.704999999999998</c:v>
                </c:pt>
                <c:pt idx="311">
                  <c:v>40.704999999999998</c:v>
                </c:pt>
                <c:pt idx="312">
                  <c:v>40.704999999999998</c:v>
                </c:pt>
                <c:pt idx="313">
                  <c:v>40.704999999999998</c:v>
                </c:pt>
                <c:pt idx="314">
                  <c:v>40.704999999999998</c:v>
                </c:pt>
                <c:pt idx="315">
                  <c:v>40.704999999999998</c:v>
                </c:pt>
                <c:pt idx="316">
                  <c:v>40.704999999999998</c:v>
                </c:pt>
                <c:pt idx="317">
                  <c:v>40.704999999999998</c:v>
                </c:pt>
                <c:pt idx="318">
                  <c:v>40.704999999999998</c:v>
                </c:pt>
                <c:pt idx="319">
                  <c:v>40.704999999999998</c:v>
                </c:pt>
                <c:pt idx="320">
                  <c:v>40.704999999999998</c:v>
                </c:pt>
                <c:pt idx="321">
                  <c:v>40.704999999999998</c:v>
                </c:pt>
                <c:pt idx="322">
                  <c:v>40.704999999999998</c:v>
                </c:pt>
                <c:pt idx="323">
                  <c:v>40.704999999999998</c:v>
                </c:pt>
                <c:pt idx="324">
                  <c:v>40.704999999999998</c:v>
                </c:pt>
                <c:pt idx="325">
                  <c:v>40.704999999999998</c:v>
                </c:pt>
                <c:pt idx="326">
                  <c:v>40.704999999999998</c:v>
                </c:pt>
                <c:pt idx="327">
                  <c:v>40.704999999999998</c:v>
                </c:pt>
                <c:pt idx="328">
                  <c:v>40.704999999999998</c:v>
                </c:pt>
                <c:pt idx="329">
                  <c:v>40.704999999999998</c:v>
                </c:pt>
                <c:pt idx="330">
                  <c:v>40.704999999999998</c:v>
                </c:pt>
                <c:pt idx="331">
                  <c:v>40.704999999999998</c:v>
                </c:pt>
                <c:pt idx="332">
                  <c:v>40.704999999999998</c:v>
                </c:pt>
                <c:pt idx="333">
                  <c:v>40.704999999999998</c:v>
                </c:pt>
                <c:pt idx="334">
                  <c:v>40.704999999999998</c:v>
                </c:pt>
                <c:pt idx="335">
                  <c:v>40.704999999999998</c:v>
                </c:pt>
                <c:pt idx="336">
                  <c:v>40.704999999999998</c:v>
                </c:pt>
                <c:pt idx="337">
                  <c:v>40.704999999999998</c:v>
                </c:pt>
                <c:pt idx="338">
                  <c:v>40.704999999999998</c:v>
                </c:pt>
                <c:pt idx="339">
                  <c:v>40.704999999999998</c:v>
                </c:pt>
                <c:pt idx="340">
                  <c:v>40.704999999999998</c:v>
                </c:pt>
                <c:pt idx="341">
                  <c:v>40.704999999999998</c:v>
                </c:pt>
                <c:pt idx="342">
                  <c:v>40.704999999999998</c:v>
                </c:pt>
                <c:pt idx="343">
                  <c:v>40.704999999999998</c:v>
                </c:pt>
                <c:pt idx="344">
                  <c:v>40.704999999999998</c:v>
                </c:pt>
                <c:pt idx="345">
                  <c:v>40.704999999999998</c:v>
                </c:pt>
                <c:pt idx="346">
                  <c:v>40.704999999999998</c:v>
                </c:pt>
                <c:pt idx="347">
                  <c:v>40.704999999999998</c:v>
                </c:pt>
                <c:pt idx="348">
                  <c:v>40.704999999999998</c:v>
                </c:pt>
                <c:pt idx="349">
                  <c:v>40.704999999999998</c:v>
                </c:pt>
                <c:pt idx="350">
                  <c:v>40.704999999999998</c:v>
                </c:pt>
                <c:pt idx="351">
                  <c:v>40.704999999999998</c:v>
                </c:pt>
                <c:pt idx="352">
                  <c:v>40.704999999999998</c:v>
                </c:pt>
                <c:pt idx="353">
                  <c:v>40.704999999999998</c:v>
                </c:pt>
                <c:pt idx="354">
                  <c:v>40.704999999999998</c:v>
                </c:pt>
                <c:pt idx="355">
                  <c:v>40.704999999999998</c:v>
                </c:pt>
                <c:pt idx="356">
                  <c:v>40.704999999999998</c:v>
                </c:pt>
                <c:pt idx="357">
                  <c:v>40.704999999999998</c:v>
                </c:pt>
                <c:pt idx="358">
                  <c:v>40.704999999999998</c:v>
                </c:pt>
                <c:pt idx="359">
                  <c:v>40.704999999999998</c:v>
                </c:pt>
                <c:pt idx="360">
                  <c:v>40.704999999999998</c:v>
                </c:pt>
                <c:pt idx="361">
                  <c:v>40.704999999999998</c:v>
                </c:pt>
                <c:pt idx="362">
                  <c:v>40.704999999999998</c:v>
                </c:pt>
                <c:pt idx="363">
                  <c:v>40.704999999999998</c:v>
                </c:pt>
                <c:pt idx="364">
                  <c:v>40.704999999999998</c:v>
                </c:pt>
                <c:pt idx="365">
                  <c:v>40.704999999999998</c:v>
                </c:pt>
                <c:pt idx="366">
                  <c:v>40.704999999999998</c:v>
                </c:pt>
                <c:pt idx="367">
                  <c:v>40.704999999999998</c:v>
                </c:pt>
                <c:pt idx="368">
                  <c:v>40.704999999999998</c:v>
                </c:pt>
                <c:pt idx="369">
                  <c:v>40.704999999999998</c:v>
                </c:pt>
                <c:pt idx="370">
                  <c:v>40.704999999999998</c:v>
                </c:pt>
                <c:pt idx="371">
                  <c:v>40.704999999999998</c:v>
                </c:pt>
                <c:pt idx="372">
                  <c:v>40.704999999999998</c:v>
                </c:pt>
                <c:pt idx="373">
                  <c:v>40.704999999999998</c:v>
                </c:pt>
                <c:pt idx="374">
                  <c:v>40.704999999999998</c:v>
                </c:pt>
                <c:pt idx="375">
                  <c:v>40.704999999999998</c:v>
                </c:pt>
                <c:pt idx="376">
                  <c:v>40.704999999999998</c:v>
                </c:pt>
                <c:pt idx="377">
                  <c:v>40.704999999999998</c:v>
                </c:pt>
                <c:pt idx="378">
                  <c:v>40.704999999999998</c:v>
                </c:pt>
                <c:pt idx="379">
                  <c:v>40.704999999999998</c:v>
                </c:pt>
                <c:pt idx="380">
                  <c:v>40.704999999999998</c:v>
                </c:pt>
                <c:pt idx="381">
                  <c:v>40.704999999999998</c:v>
                </c:pt>
                <c:pt idx="382">
                  <c:v>40.704999999999998</c:v>
                </c:pt>
                <c:pt idx="383">
                  <c:v>40.704999999999998</c:v>
                </c:pt>
                <c:pt idx="384">
                  <c:v>40.704999999999998</c:v>
                </c:pt>
                <c:pt idx="385">
                  <c:v>40.704999999999998</c:v>
                </c:pt>
                <c:pt idx="386">
                  <c:v>40.704999999999998</c:v>
                </c:pt>
                <c:pt idx="387">
                  <c:v>40.704999999999998</c:v>
                </c:pt>
                <c:pt idx="388">
                  <c:v>40.704999999999998</c:v>
                </c:pt>
                <c:pt idx="389">
                  <c:v>40.704999999999998</c:v>
                </c:pt>
                <c:pt idx="390">
                  <c:v>40.704999999999998</c:v>
                </c:pt>
                <c:pt idx="391">
                  <c:v>40.704999999999998</c:v>
                </c:pt>
                <c:pt idx="392">
                  <c:v>40.704999999999998</c:v>
                </c:pt>
                <c:pt idx="393">
                  <c:v>40.704999999999998</c:v>
                </c:pt>
                <c:pt idx="394">
                  <c:v>40.704999999999998</c:v>
                </c:pt>
                <c:pt idx="395">
                  <c:v>40.704999999999998</c:v>
                </c:pt>
                <c:pt idx="396">
                  <c:v>40.704999999999998</c:v>
                </c:pt>
                <c:pt idx="397">
                  <c:v>40.704999999999998</c:v>
                </c:pt>
                <c:pt idx="398">
                  <c:v>40.704999999999998</c:v>
                </c:pt>
                <c:pt idx="399">
                  <c:v>40.704999999999998</c:v>
                </c:pt>
                <c:pt idx="400">
                  <c:v>40.704999999999998</c:v>
                </c:pt>
                <c:pt idx="401">
                  <c:v>40.704999999999998</c:v>
                </c:pt>
                <c:pt idx="402">
                  <c:v>40.704999999999998</c:v>
                </c:pt>
                <c:pt idx="403">
                  <c:v>40.704999999999998</c:v>
                </c:pt>
                <c:pt idx="404">
                  <c:v>40.704999999999998</c:v>
                </c:pt>
                <c:pt idx="405">
                  <c:v>40.704999999999998</c:v>
                </c:pt>
                <c:pt idx="406">
                  <c:v>40.704999999999998</c:v>
                </c:pt>
                <c:pt idx="407">
                  <c:v>40.704999999999998</c:v>
                </c:pt>
                <c:pt idx="408">
                  <c:v>40.704999999999998</c:v>
                </c:pt>
                <c:pt idx="409">
                  <c:v>40.704999999999998</c:v>
                </c:pt>
                <c:pt idx="410">
                  <c:v>40.704999999999998</c:v>
                </c:pt>
                <c:pt idx="411">
                  <c:v>40.704999999999998</c:v>
                </c:pt>
                <c:pt idx="412">
                  <c:v>40.704999999999998</c:v>
                </c:pt>
                <c:pt idx="413">
                  <c:v>40.704999999999998</c:v>
                </c:pt>
                <c:pt idx="414">
                  <c:v>40.704999999999998</c:v>
                </c:pt>
                <c:pt idx="415">
                  <c:v>40.704999999999998</c:v>
                </c:pt>
                <c:pt idx="416">
                  <c:v>40.704999999999998</c:v>
                </c:pt>
                <c:pt idx="417">
                  <c:v>40.704999999999998</c:v>
                </c:pt>
                <c:pt idx="418">
                  <c:v>40.704999999999998</c:v>
                </c:pt>
                <c:pt idx="419">
                  <c:v>40.704999999999998</c:v>
                </c:pt>
                <c:pt idx="420">
                  <c:v>40.704999999999998</c:v>
                </c:pt>
                <c:pt idx="421">
                  <c:v>40.704999999999998</c:v>
                </c:pt>
                <c:pt idx="422">
                  <c:v>40.704999999999998</c:v>
                </c:pt>
                <c:pt idx="423">
                  <c:v>40.704999999999998</c:v>
                </c:pt>
                <c:pt idx="424">
                  <c:v>40.704999999999998</c:v>
                </c:pt>
                <c:pt idx="425">
                  <c:v>40.704999999999998</c:v>
                </c:pt>
                <c:pt idx="426">
                  <c:v>40.704999999999998</c:v>
                </c:pt>
                <c:pt idx="427">
                  <c:v>40.704999999999998</c:v>
                </c:pt>
                <c:pt idx="428">
                  <c:v>40.704999999999998</c:v>
                </c:pt>
                <c:pt idx="429">
                  <c:v>40.704999999999998</c:v>
                </c:pt>
                <c:pt idx="430">
                  <c:v>40.704999999999998</c:v>
                </c:pt>
                <c:pt idx="431">
                  <c:v>40.704999999999998</c:v>
                </c:pt>
                <c:pt idx="432">
                  <c:v>40.704999999999998</c:v>
                </c:pt>
                <c:pt idx="433">
                  <c:v>40.704999999999998</c:v>
                </c:pt>
                <c:pt idx="434">
                  <c:v>40.704999999999998</c:v>
                </c:pt>
                <c:pt idx="435">
                  <c:v>40.704999999999998</c:v>
                </c:pt>
                <c:pt idx="436">
                  <c:v>40.704999999999998</c:v>
                </c:pt>
                <c:pt idx="437">
                  <c:v>40.704999999999998</c:v>
                </c:pt>
                <c:pt idx="438">
                  <c:v>40.704999999999998</c:v>
                </c:pt>
                <c:pt idx="439">
                  <c:v>40.704999999999998</c:v>
                </c:pt>
                <c:pt idx="440">
                  <c:v>40.704999999999998</c:v>
                </c:pt>
                <c:pt idx="441">
                  <c:v>40.704999999999998</c:v>
                </c:pt>
                <c:pt idx="442">
                  <c:v>40.704999999999998</c:v>
                </c:pt>
                <c:pt idx="443">
                  <c:v>40.704999999999998</c:v>
                </c:pt>
                <c:pt idx="444">
                  <c:v>40.704999999999998</c:v>
                </c:pt>
                <c:pt idx="445">
                  <c:v>40.704999999999998</c:v>
                </c:pt>
                <c:pt idx="446">
                  <c:v>40.704999999999998</c:v>
                </c:pt>
                <c:pt idx="447">
                  <c:v>40.704999999999998</c:v>
                </c:pt>
                <c:pt idx="448">
                  <c:v>40.704999999999998</c:v>
                </c:pt>
                <c:pt idx="449">
                  <c:v>40.704999999999998</c:v>
                </c:pt>
                <c:pt idx="450">
                  <c:v>40.704999999999998</c:v>
                </c:pt>
                <c:pt idx="451">
                  <c:v>40.704999999999998</c:v>
                </c:pt>
                <c:pt idx="452">
                  <c:v>40.704999999999998</c:v>
                </c:pt>
                <c:pt idx="453">
                  <c:v>40.704999999999998</c:v>
                </c:pt>
                <c:pt idx="454">
                  <c:v>40.704999999999998</c:v>
                </c:pt>
                <c:pt idx="455">
                  <c:v>40.704999999999998</c:v>
                </c:pt>
                <c:pt idx="456">
                  <c:v>40.704999999999998</c:v>
                </c:pt>
                <c:pt idx="457">
                  <c:v>40.704999999999998</c:v>
                </c:pt>
                <c:pt idx="458">
                  <c:v>40.704999999999998</c:v>
                </c:pt>
                <c:pt idx="459">
                  <c:v>40.704999999999998</c:v>
                </c:pt>
                <c:pt idx="460">
                  <c:v>40.704999999999998</c:v>
                </c:pt>
                <c:pt idx="461">
                  <c:v>40.704999999999998</c:v>
                </c:pt>
                <c:pt idx="462">
                  <c:v>40.704999999999998</c:v>
                </c:pt>
                <c:pt idx="463">
                  <c:v>40.704999999999998</c:v>
                </c:pt>
                <c:pt idx="464">
                  <c:v>40.704999999999998</c:v>
                </c:pt>
                <c:pt idx="465">
                  <c:v>40.704999999999998</c:v>
                </c:pt>
                <c:pt idx="466">
                  <c:v>40.704999999999998</c:v>
                </c:pt>
                <c:pt idx="467">
                  <c:v>40.704999999999998</c:v>
                </c:pt>
                <c:pt idx="468">
                  <c:v>40.704999999999998</c:v>
                </c:pt>
                <c:pt idx="469">
                  <c:v>40.704999999999998</c:v>
                </c:pt>
                <c:pt idx="470">
                  <c:v>40.704999999999998</c:v>
                </c:pt>
                <c:pt idx="471">
                  <c:v>40.704999999999998</c:v>
                </c:pt>
                <c:pt idx="472">
                  <c:v>40.704999999999998</c:v>
                </c:pt>
                <c:pt idx="473">
                  <c:v>40.704999999999998</c:v>
                </c:pt>
                <c:pt idx="474">
                  <c:v>40.704999999999998</c:v>
                </c:pt>
                <c:pt idx="475">
                  <c:v>40.704999999999998</c:v>
                </c:pt>
                <c:pt idx="476">
                  <c:v>40.704999999999998</c:v>
                </c:pt>
                <c:pt idx="477">
                  <c:v>40.704999999999998</c:v>
                </c:pt>
                <c:pt idx="478">
                  <c:v>40.704999999999998</c:v>
                </c:pt>
                <c:pt idx="479">
                  <c:v>40.704999999999998</c:v>
                </c:pt>
                <c:pt idx="480">
                  <c:v>40.704999999999998</c:v>
                </c:pt>
                <c:pt idx="481">
                  <c:v>40.704999999999998</c:v>
                </c:pt>
                <c:pt idx="482">
                  <c:v>40.704999999999998</c:v>
                </c:pt>
                <c:pt idx="483">
                  <c:v>40.704999999999998</c:v>
                </c:pt>
                <c:pt idx="484">
                  <c:v>40.704999999999998</c:v>
                </c:pt>
                <c:pt idx="485">
                  <c:v>40.704999999999998</c:v>
                </c:pt>
                <c:pt idx="486">
                  <c:v>40.704999999999998</c:v>
                </c:pt>
                <c:pt idx="487">
                  <c:v>40.704999999999998</c:v>
                </c:pt>
                <c:pt idx="488">
                  <c:v>40.704999999999998</c:v>
                </c:pt>
                <c:pt idx="489">
                  <c:v>40.704999999999998</c:v>
                </c:pt>
                <c:pt idx="490">
                  <c:v>40.704999999999998</c:v>
                </c:pt>
                <c:pt idx="491">
                  <c:v>40.704999999999998</c:v>
                </c:pt>
                <c:pt idx="492">
                  <c:v>40.704999999999998</c:v>
                </c:pt>
                <c:pt idx="493">
                  <c:v>40.704999999999998</c:v>
                </c:pt>
                <c:pt idx="494">
                  <c:v>40.704999999999998</c:v>
                </c:pt>
                <c:pt idx="495">
                  <c:v>40.704999999999998</c:v>
                </c:pt>
                <c:pt idx="496">
                  <c:v>40.704999999999998</c:v>
                </c:pt>
                <c:pt idx="497">
                  <c:v>40.704999999999998</c:v>
                </c:pt>
                <c:pt idx="498">
                  <c:v>40.704999999999998</c:v>
                </c:pt>
                <c:pt idx="499">
                  <c:v>40.704999999999998</c:v>
                </c:pt>
                <c:pt idx="500">
                  <c:v>40.704999999999998</c:v>
                </c:pt>
                <c:pt idx="501">
                  <c:v>40.704999999999998</c:v>
                </c:pt>
                <c:pt idx="502">
                  <c:v>40.704999999999998</c:v>
                </c:pt>
                <c:pt idx="503">
                  <c:v>40.704999999999998</c:v>
                </c:pt>
              </c:numCache>
            </c:numRef>
          </c:xVal>
          <c:yVal>
            <c:numRef>
              <c:f>Smart!$IK$3:$IK$506</c:f>
              <c:numCache>
                <c:formatCode>General</c:formatCode>
                <c:ptCount val="5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numCache>
            </c:numRef>
          </c:yVal>
          <c:smooth val="0"/>
          <c:extLst xmlns:c16r2="http://schemas.microsoft.com/office/drawing/2015/06/chart">
            <c:ext xmlns:c16="http://schemas.microsoft.com/office/drawing/2014/chart" uri="{C3380CC4-5D6E-409C-BE32-E72D297353CC}">
              <c16:uniqueId val="{00000004-C01D-439B-BA19-A5DA1AAAAC61}"/>
            </c:ext>
          </c:extLst>
        </c:ser>
        <c:ser>
          <c:idx val="6"/>
          <c:order val="6"/>
          <c:tx>
            <c:v>seg5</c:v>
          </c:tx>
          <c:spPr>
            <a:ln w="25400">
              <a:solidFill>
                <a:srgbClr val="FF0000"/>
              </a:solidFill>
              <a:prstDash val="solid"/>
            </a:ln>
          </c:spPr>
          <c:marker>
            <c:symbol val="none"/>
          </c:marker>
          <c:xVal>
            <c:numRef>
              <c:f>Smart!$IO$3:$IO$506</c:f>
              <c:numCache>
                <c:formatCode>General</c:formatCode>
                <c:ptCount val="504"/>
                <c:pt idx="0">
                  <c:v>40.704999999999998</c:v>
                </c:pt>
                <c:pt idx="1">
                  <c:v>40.704999999999998</c:v>
                </c:pt>
                <c:pt idx="2">
                  <c:v>40.704999999999998</c:v>
                </c:pt>
                <c:pt idx="3">
                  <c:v>40.704999999999998</c:v>
                </c:pt>
                <c:pt idx="4">
                  <c:v>40.704999999999998</c:v>
                </c:pt>
                <c:pt idx="5">
                  <c:v>40.704999999999998</c:v>
                </c:pt>
                <c:pt idx="6">
                  <c:v>40.704999999999998</c:v>
                </c:pt>
                <c:pt idx="7">
                  <c:v>40.704999999999998</c:v>
                </c:pt>
                <c:pt idx="8">
                  <c:v>40.704999999999998</c:v>
                </c:pt>
                <c:pt idx="9">
                  <c:v>40.704999999999998</c:v>
                </c:pt>
                <c:pt idx="10">
                  <c:v>40.704999999999998</c:v>
                </c:pt>
                <c:pt idx="11">
                  <c:v>40.704999999999998</c:v>
                </c:pt>
                <c:pt idx="12">
                  <c:v>40.704999999999998</c:v>
                </c:pt>
                <c:pt idx="13">
                  <c:v>40.704999999999998</c:v>
                </c:pt>
                <c:pt idx="14">
                  <c:v>40.704999999999998</c:v>
                </c:pt>
                <c:pt idx="15">
                  <c:v>40.704999999999998</c:v>
                </c:pt>
                <c:pt idx="16">
                  <c:v>40.704999999999998</c:v>
                </c:pt>
                <c:pt idx="17">
                  <c:v>40.704999999999998</c:v>
                </c:pt>
                <c:pt idx="18">
                  <c:v>40.704999999999998</c:v>
                </c:pt>
                <c:pt idx="19">
                  <c:v>40.704999999999998</c:v>
                </c:pt>
                <c:pt idx="20">
                  <c:v>40.704999999999998</c:v>
                </c:pt>
                <c:pt idx="21">
                  <c:v>40.704999999999998</c:v>
                </c:pt>
                <c:pt idx="22">
                  <c:v>40.704999999999998</c:v>
                </c:pt>
                <c:pt idx="23">
                  <c:v>40.704999999999998</c:v>
                </c:pt>
                <c:pt idx="24">
                  <c:v>40.704999999999998</c:v>
                </c:pt>
                <c:pt idx="25">
                  <c:v>40.704999999999998</c:v>
                </c:pt>
                <c:pt idx="26">
                  <c:v>40.704999999999998</c:v>
                </c:pt>
                <c:pt idx="27">
                  <c:v>40.704999999999998</c:v>
                </c:pt>
                <c:pt idx="28">
                  <c:v>40.704999999999998</c:v>
                </c:pt>
                <c:pt idx="29">
                  <c:v>40.704999999999998</c:v>
                </c:pt>
                <c:pt idx="30">
                  <c:v>40.704999999999998</c:v>
                </c:pt>
                <c:pt idx="31">
                  <c:v>40.704999999999998</c:v>
                </c:pt>
                <c:pt idx="32">
                  <c:v>40.704999999999998</c:v>
                </c:pt>
                <c:pt idx="33">
                  <c:v>40.704999999999998</c:v>
                </c:pt>
                <c:pt idx="34">
                  <c:v>40.704999999999998</c:v>
                </c:pt>
                <c:pt idx="35">
                  <c:v>40.704999999999998</c:v>
                </c:pt>
                <c:pt idx="36">
                  <c:v>40.704999999999998</c:v>
                </c:pt>
                <c:pt idx="37">
                  <c:v>40.704999999999998</c:v>
                </c:pt>
                <c:pt idx="38">
                  <c:v>40.704999999999998</c:v>
                </c:pt>
                <c:pt idx="39">
                  <c:v>40.704999999999998</c:v>
                </c:pt>
                <c:pt idx="40">
                  <c:v>40.704999999999998</c:v>
                </c:pt>
                <c:pt idx="41">
                  <c:v>40.704999999999998</c:v>
                </c:pt>
                <c:pt idx="42">
                  <c:v>40.704999999999998</c:v>
                </c:pt>
                <c:pt idx="43">
                  <c:v>40.704999999999998</c:v>
                </c:pt>
                <c:pt idx="44">
                  <c:v>40.704999999999998</c:v>
                </c:pt>
                <c:pt idx="45">
                  <c:v>40.704999999999998</c:v>
                </c:pt>
                <c:pt idx="46">
                  <c:v>40.704999999999998</c:v>
                </c:pt>
                <c:pt idx="47">
                  <c:v>40.704999999999998</c:v>
                </c:pt>
                <c:pt idx="48">
                  <c:v>40.704999999999998</c:v>
                </c:pt>
                <c:pt idx="49">
                  <c:v>40.704999999999998</c:v>
                </c:pt>
                <c:pt idx="50">
                  <c:v>40.704999999999998</c:v>
                </c:pt>
                <c:pt idx="51">
                  <c:v>40.704999999999998</c:v>
                </c:pt>
                <c:pt idx="52">
                  <c:v>40.704999999999998</c:v>
                </c:pt>
                <c:pt idx="53">
                  <c:v>40.704999999999998</c:v>
                </c:pt>
                <c:pt idx="54">
                  <c:v>40.704999999999998</c:v>
                </c:pt>
                <c:pt idx="55">
                  <c:v>40.704999999999998</c:v>
                </c:pt>
                <c:pt idx="56">
                  <c:v>40.704999999999998</c:v>
                </c:pt>
                <c:pt idx="57">
                  <c:v>40.704999999999998</c:v>
                </c:pt>
                <c:pt idx="58">
                  <c:v>40.704999999999998</c:v>
                </c:pt>
                <c:pt idx="59">
                  <c:v>40.704999999999998</c:v>
                </c:pt>
                <c:pt idx="60">
                  <c:v>40.704999999999998</c:v>
                </c:pt>
                <c:pt idx="61">
                  <c:v>40.704999999999998</c:v>
                </c:pt>
                <c:pt idx="62">
                  <c:v>40.704999999999998</c:v>
                </c:pt>
                <c:pt idx="63">
                  <c:v>40.704999999999998</c:v>
                </c:pt>
                <c:pt idx="64">
                  <c:v>40.704999999999998</c:v>
                </c:pt>
                <c:pt idx="65">
                  <c:v>40.704999999999998</c:v>
                </c:pt>
                <c:pt idx="66">
                  <c:v>40.704999999999998</c:v>
                </c:pt>
                <c:pt idx="67">
                  <c:v>40.704999999999998</c:v>
                </c:pt>
                <c:pt idx="68">
                  <c:v>40.704999999999998</c:v>
                </c:pt>
                <c:pt idx="69">
                  <c:v>40.704999999999998</c:v>
                </c:pt>
                <c:pt idx="70">
                  <c:v>40.704999999999998</c:v>
                </c:pt>
                <c:pt idx="71">
                  <c:v>40.704999999999998</c:v>
                </c:pt>
                <c:pt idx="72">
                  <c:v>40.704999999999998</c:v>
                </c:pt>
                <c:pt idx="73">
                  <c:v>40.704999999999998</c:v>
                </c:pt>
                <c:pt idx="74">
                  <c:v>40.704999999999998</c:v>
                </c:pt>
                <c:pt idx="75">
                  <c:v>40.704999999999998</c:v>
                </c:pt>
                <c:pt idx="76">
                  <c:v>40.704999999999998</c:v>
                </c:pt>
                <c:pt idx="77">
                  <c:v>40.704999999999998</c:v>
                </c:pt>
                <c:pt idx="78">
                  <c:v>40.704999999999998</c:v>
                </c:pt>
                <c:pt idx="79">
                  <c:v>40.704999999999998</c:v>
                </c:pt>
                <c:pt idx="80">
                  <c:v>40.704999999999998</c:v>
                </c:pt>
                <c:pt idx="81">
                  <c:v>40.704999999999998</c:v>
                </c:pt>
                <c:pt idx="82">
                  <c:v>40.704999999999998</c:v>
                </c:pt>
                <c:pt idx="83">
                  <c:v>40.704999999999998</c:v>
                </c:pt>
                <c:pt idx="84">
                  <c:v>40.704999999999998</c:v>
                </c:pt>
                <c:pt idx="85">
                  <c:v>40.704999999999998</c:v>
                </c:pt>
                <c:pt idx="86">
                  <c:v>40.704999999999998</c:v>
                </c:pt>
                <c:pt idx="87">
                  <c:v>40.704999999999998</c:v>
                </c:pt>
                <c:pt idx="88">
                  <c:v>40.704999999999998</c:v>
                </c:pt>
                <c:pt idx="89">
                  <c:v>40.704999999999998</c:v>
                </c:pt>
                <c:pt idx="90">
                  <c:v>40.704999999999998</c:v>
                </c:pt>
                <c:pt idx="91">
                  <c:v>40.704999999999998</c:v>
                </c:pt>
                <c:pt idx="92">
                  <c:v>40.704999999999998</c:v>
                </c:pt>
                <c:pt idx="93">
                  <c:v>40.704999999999998</c:v>
                </c:pt>
                <c:pt idx="94">
                  <c:v>40.704999999999998</c:v>
                </c:pt>
                <c:pt idx="95">
                  <c:v>40.704999999999998</c:v>
                </c:pt>
                <c:pt idx="96">
                  <c:v>40.704999999999998</c:v>
                </c:pt>
                <c:pt idx="97">
                  <c:v>40.704999999999998</c:v>
                </c:pt>
                <c:pt idx="98">
                  <c:v>40.704999999999998</c:v>
                </c:pt>
                <c:pt idx="99">
                  <c:v>40.704999999999998</c:v>
                </c:pt>
                <c:pt idx="100">
                  <c:v>40.704999999999998</c:v>
                </c:pt>
                <c:pt idx="101">
                  <c:v>40.704999999999998</c:v>
                </c:pt>
                <c:pt idx="102">
                  <c:v>40.704999999999998</c:v>
                </c:pt>
                <c:pt idx="103">
                  <c:v>40.704999999999998</c:v>
                </c:pt>
                <c:pt idx="104">
                  <c:v>40.704999999999998</c:v>
                </c:pt>
                <c:pt idx="105">
                  <c:v>40.704999999999998</c:v>
                </c:pt>
                <c:pt idx="106">
                  <c:v>40.704999999999998</c:v>
                </c:pt>
                <c:pt idx="107">
                  <c:v>40.704999999999998</c:v>
                </c:pt>
                <c:pt idx="108">
                  <c:v>40.704999999999998</c:v>
                </c:pt>
                <c:pt idx="109">
                  <c:v>40.704999999999998</c:v>
                </c:pt>
                <c:pt idx="110">
                  <c:v>40.704999999999998</c:v>
                </c:pt>
                <c:pt idx="111">
                  <c:v>40.704999999999998</c:v>
                </c:pt>
                <c:pt idx="112">
                  <c:v>40.704999999999998</c:v>
                </c:pt>
                <c:pt idx="113">
                  <c:v>40.704999999999998</c:v>
                </c:pt>
                <c:pt idx="114">
                  <c:v>40.704999999999998</c:v>
                </c:pt>
                <c:pt idx="115">
                  <c:v>40.704999999999998</c:v>
                </c:pt>
                <c:pt idx="116">
                  <c:v>40.704999999999998</c:v>
                </c:pt>
                <c:pt idx="117">
                  <c:v>40.704999999999998</c:v>
                </c:pt>
                <c:pt idx="118">
                  <c:v>40.704999999999998</c:v>
                </c:pt>
                <c:pt idx="119">
                  <c:v>40.704999999999998</c:v>
                </c:pt>
                <c:pt idx="120">
                  <c:v>40.704999999999998</c:v>
                </c:pt>
                <c:pt idx="121">
                  <c:v>40.704999999999998</c:v>
                </c:pt>
                <c:pt idx="122">
                  <c:v>40.704999999999998</c:v>
                </c:pt>
                <c:pt idx="123">
                  <c:v>40.704999999999998</c:v>
                </c:pt>
                <c:pt idx="124">
                  <c:v>40.704999999999998</c:v>
                </c:pt>
                <c:pt idx="125">
                  <c:v>40.704999999999998</c:v>
                </c:pt>
                <c:pt idx="126">
                  <c:v>40.704999999999998</c:v>
                </c:pt>
                <c:pt idx="127">
                  <c:v>40.704999999999998</c:v>
                </c:pt>
                <c:pt idx="128">
                  <c:v>40.704999999999998</c:v>
                </c:pt>
                <c:pt idx="129">
                  <c:v>40.704999999999998</c:v>
                </c:pt>
                <c:pt idx="130">
                  <c:v>40.704999999999998</c:v>
                </c:pt>
                <c:pt idx="131">
                  <c:v>40.704999999999998</c:v>
                </c:pt>
                <c:pt idx="132">
                  <c:v>40.704999999999998</c:v>
                </c:pt>
                <c:pt idx="133">
                  <c:v>40.704999999999998</c:v>
                </c:pt>
                <c:pt idx="134">
                  <c:v>40.704999999999998</c:v>
                </c:pt>
                <c:pt idx="135">
                  <c:v>40.704999999999998</c:v>
                </c:pt>
                <c:pt idx="136">
                  <c:v>40.704999999999998</c:v>
                </c:pt>
                <c:pt idx="137">
                  <c:v>40.704999999999998</c:v>
                </c:pt>
                <c:pt idx="138">
                  <c:v>40.704999999999998</c:v>
                </c:pt>
                <c:pt idx="139">
                  <c:v>40.704999999999998</c:v>
                </c:pt>
                <c:pt idx="140">
                  <c:v>40.704999999999998</c:v>
                </c:pt>
                <c:pt idx="141">
                  <c:v>40.704999999999998</c:v>
                </c:pt>
                <c:pt idx="142">
                  <c:v>40.704999999999998</c:v>
                </c:pt>
                <c:pt idx="143">
                  <c:v>40.704999999999998</c:v>
                </c:pt>
                <c:pt idx="144">
                  <c:v>40.704999999999998</c:v>
                </c:pt>
                <c:pt idx="145">
                  <c:v>40.704999999999998</c:v>
                </c:pt>
                <c:pt idx="146">
                  <c:v>40.704999999999998</c:v>
                </c:pt>
                <c:pt idx="147">
                  <c:v>40.704999999999998</c:v>
                </c:pt>
                <c:pt idx="148">
                  <c:v>40.704999999999998</c:v>
                </c:pt>
                <c:pt idx="149">
                  <c:v>40.704999999999998</c:v>
                </c:pt>
                <c:pt idx="150">
                  <c:v>40.704999999999998</c:v>
                </c:pt>
                <c:pt idx="151">
                  <c:v>40.704999999999998</c:v>
                </c:pt>
                <c:pt idx="152">
                  <c:v>40.704999999999998</c:v>
                </c:pt>
                <c:pt idx="153">
                  <c:v>40.704999999999998</c:v>
                </c:pt>
                <c:pt idx="154">
                  <c:v>40.704999999999998</c:v>
                </c:pt>
                <c:pt idx="155">
                  <c:v>40.704999999999998</c:v>
                </c:pt>
                <c:pt idx="156">
                  <c:v>40.704999999999998</c:v>
                </c:pt>
                <c:pt idx="157">
                  <c:v>40.704999999999998</c:v>
                </c:pt>
                <c:pt idx="158">
                  <c:v>40.704999999999998</c:v>
                </c:pt>
                <c:pt idx="159">
                  <c:v>40.704999999999998</c:v>
                </c:pt>
                <c:pt idx="160">
                  <c:v>40.704999999999998</c:v>
                </c:pt>
                <c:pt idx="161">
                  <c:v>40.704999999999998</c:v>
                </c:pt>
                <c:pt idx="162">
                  <c:v>40.704999999999998</c:v>
                </c:pt>
                <c:pt idx="163">
                  <c:v>40.704999999999998</c:v>
                </c:pt>
                <c:pt idx="164">
                  <c:v>40.704999999999998</c:v>
                </c:pt>
                <c:pt idx="165">
                  <c:v>40.704999999999998</c:v>
                </c:pt>
                <c:pt idx="166">
                  <c:v>40.704999999999998</c:v>
                </c:pt>
                <c:pt idx="167">
                  <c:v>40.704999999999998</c:v>
                </c:pt>
                <c:pt idx="168">
                  <c:v>40.704999999999998</c:v>
                </c:pt>
                <c:pt idx="169">
                  <c:v>40.704999999999998</c:v>
                </c:pt>
                <c:pt idx="170">
                  <c:v>40.704999999999998</c:v>
                </c:pt>
                <c:pt idx="171">
                  <c:v>40.704999999999998</c:v>
                </c:pt>
                <c:pt idx="172">
                  <c:v>40.704999999999998</c:v>
                </c:pt>
                <c:pt idx="173">
                  <c:v>40.704999999999998</c:v>
                </c:pt>
                <c:pt idx="174">
                  <c:v>40.704999999999998</c:v>
                </c:pt>
                <c:pt idx="175">
                  <c:v>40.704999999999998</c:v>
                </c:pt>
                <c:pt idx="176">
                  <c:v>40.704999999999998</c:v>
                </c:pt>
                <c:pt idx="177">
                  <c:v>40.704999999999998</c:v>
                </c:pt>
                <c:pt idx="178">
                  <c:v>40.704999999999998</c:v>
                </c:pt>
                <c:pt idx="179">
                  <c:v>40.704999999999998</c:v>
                </c:pt>
                <c:pt idx="180">
                  <c:v>40.704999999999998</c:v>
                </c:pt>
                <c:pt idx="181">
                  <c:v>40.704999999999998</c:v>
                </c:pt>
                <c:pt idx="182">
                  <c:v>40.704999999999998</c:v>
                </c:pt>
                <c:pt idx="183">
                  <c:v>40.704999999999998</c:v>
                </c:pt>
                <c:pt idx="184">
                  <c:v>40.704999999999998</c:v>
                </c:pt>
                <c:pt idx="185">
                  <c:v>40.704999999999998</c:v>
                </c:pt>
                <c:pt idx="186">
                  <c:v>40.704999999999998</c:v>
                </c:pt>
                <c:pt idx="187">
                  <c:v>40.704999999999998</c:v>
                </c:pt>
                <c:pt idx="188">
                  <c:v>40.704999999999998</c:v>
                </c:pt>
                <c:pt idx="189">
                  <c:v>40.704999999999998</c:v>
                </c:pt>
                <c:pt idx="190">
                  <c:v>40.704999999999998</c:v>
                </c:pt>
                <c:pt idx="191">
                  <c:v>40.704999999999998</c:v>
                </c:pt>
                <c:pt idx="192">
                  <c:v>40.704999999999998</c:v>
                </c:pt>
                <c:pt idx="193">
                  <c:v>40.704999999999998</c:v>
                </c:pt>
                <c:pt idx="194">
                  <c:v>40.704999999999998</c:v>
                </c:pt>
                <c:pt idx="195">
                  <c:v>40.704999999999998</c:v>
                </c:pt>
                <c:pt idx="196">
                  <c:v>40.704999999999998</c:v>
                </c:pt>
                <c:pt idx="197">
                  <c:v>40.704999999999998</c:v>
                </c:pt>
                <c:pt idx="198">
                  <c:v>40.704999999999998</c:v>
                </c:pt>
                <c:pt idx="199">
                  <c:v>40.704999999999998</c:v>
                </c:pt>
                <c:pt idx="200">
                  <c:v>40.704999999999998</c:v>
                </c:pt>
                <c:pt idx="201">
                  <c:v>40.704999999999998</c:v>
                </c:pt>
                <c:pt idx="202">
                  <c:v>40.704999999999998</c:v>
                </c:pt>
                <c:pt idx="203">
                  <c:v>40.704999999999998</c:v>
                </c:pt>
                <c:pt idx="204">
                  <c:v>40.704999999999998</c:v>
                </c:pt>
                <c:pt idx="205">
                  <c:v>40.704999999999998</c:v>
                </c:pt>
                <c:pt idx="206">
                  <c:v>40.704999999999998</c:v>
                </c:pt>
                <c:pt idx="207">
                  <c:v>40.704999999999998</c:v>
                </c:pt>
                <c:pt idx="208">
                  <c:v>40.704999999999998</c:v>
                </c:pt>
                <c:pt idx="209">
                  <c:v>40.704999999999998</c:v>
                </c:pt>
                <c:pt idx="210">
                  <c:v>40.704999999999998</c:v>
                </c:pt>
                <c:pt idx="211">
                  <c:v>40.704999999999998</c:v>
                </c:pt>
                <c:pt idx="212">
                  <c:v>40.704999999999998</c:v>
                </c:pt>
                <c:pt idx="213">
                  <c:v>40.704999999999998</c:v>
                </c:pt>
                <c:pt idx="214">
                  <c:v>40.704999999999998</c:v>
                </c:pt>
                <c:pt idx="215">
                  <c:v>40.704999999999998</c:v>
                </c:pt>
                <c:pt idx="216">
                  <c:v>40.704999999999998</c:v>
                </c:pt>
                <c:pt idx="217">
                  <c:v>40.704999999999998</c:v>
                </c:pt>
                <c:pt idx="218">
                  <c:v>40.704999999999998</c:v>
                </c:pt>
                <c:pt idx="219">
                  <c:v>40.704999999999998</c:v>
                </c:pt>
                <c:pt idx="220">
                  <c:v>40.704999999999998</c:v>
                </c:pt>
                <c:pt idx="221">
                  <c:v>40.704999999999998</c:v>
                </c:pt>
                <c:pt idx="222">
                  <c:v>40.704999999999998</c:v>
                </c:pt>
                <c:pt idx="223">
                  <c:v>40.704999999999998</c:v>
                </c:pt>
                <c:pt idx="224">
                  <c:v>40.704999999999998</c:v>
                </c:pt>
                <c:pt idx="225">
                  <c:v>40.704999999999998</c:v>
                </c:pt>
                <c:pt idx="226">
                  <c:v>40.704999999999998</c:v>
                </c:pt>
                <c:pt idx="227">
                  <c:v>40.704999999999998</c:v>
                </c:pt>
                <c:pt idx="228">
                  <c:v>40.704999999999998</c:v>
                </c:pt>
                <c:pt idx="229">
                  <c:v>40.704999999999998</c:v>
                </c:pt>
                <c:pt idx="230">
                  <c:v>40.704999999999998</c:v>
                </c:pt>
                <c:pt idx="231">
                  <c:v>40.704999999999998</c:v>
                </c:pt>
                <c:pt idx="232">
                  <c:v>40.704999999999998</c:v>
                </c:pt>
                <c:pt idx="233">
                  <c:v>40.704999999999998</c:v>
                </c:pt>
                <c:pt idx="234">
                  <c:v>40.704999999999998</c:v>
                </c:pt>
                <c:pt idx="235">
                  <c:v>40.704999999999998</c:v>
                </c:pt>
                <c:pt idx="236">
                  <c:v>40.704999999999998</c:v>
                </c:pt>
                <c:pt idx="237">
                  <c:v>40.704999999999998</c:v>
                </c:pt>
                <c:pt idx="238">
                  <c:v>40.704999999999998</c:v>
                </c:pt>
                <c:pt idx="239">
                  <c:v>40.704999999999998</c:v>
                </c:pt>
                <c:pt idx="240">
                  <c:v>40.704999999999998</c:v>
                </c:pt>
                <c:pt idx="241">
                  <c:v>40.704999999999998</c:v>
                </c:pt>
                <c:pt idx="242">
                  <c:v>40.704999999999998</c:v>
                </c:pt>
                <c:pt idx="243">
                  <c:v>40.704999999999998</c:v>
                </c:pt>
                <c:pt idx="244">
                  <c:v>40.704999999999998</c:v>
                </c:pt>
                <c:pt idx="245">
                  <c:v>40.704999999999998</c:v>
                </c:pt>
                <c:pt idx="246">
                  <c:v>40.704999999999998</c:v>
                </c:pt>
                <c:pt idx="247">
                  <c:v>40.704999999999998</c:v>
                </c:pt>
                <c:pt idx="248">
                  <c:v>40.704999999999998</c:v>
                </c:pt>
                <c:pt idx="249">
                  <c:v>40.704999999999998</c:v>
                </c:pt>
                <c:pt idx="250">
                  <c:v>40.704999999999998</c:v>
                </c:pt>
                <c:pt idx="251">
                  <c:v>40.704999999999998</c:v>
                </c:pt>
                <c:pt idx="252">
                  <c:v>40.704999999999998</c:v>
                </c:pt>
                <c:pt idx="253">
                  <c:v>40.704999999999998</c:v>
                </c:pt>
                <c:pt idx="254">
                  <c:v>40.704999999999998</c:v>
                </c:pt>
                <c:pt idx="255">
                  <c:v>40.704999999999998</c:v>
                </c:pt>
                <c:pt idx="256">
                  <c:v>40.704999999999998</c:v>
                </c:pt>
                <c:pt idx="257">
                  <c:v>40.704999999999998</c:v>
                </c:pt>
                <c:pt idx="258">
                  <c:v>40.704999999999998</c:v>
                </c:pt>
                <c:pt idx="259">
                  <c:v>40.704999999999998</c:v>
                </c:pt>
                <c:pt idx="260">
                  <c:v>40.704999999999998</c:v>
                </c:pt>
                <c:pt idx="261">
                  <c:v>40.704999999999998</c:v>
                </c:pt>
                <c:pt idx="262">
                  <c:v>40.704999999999998</c:v>
                </c:pt>
                <c:pt idx="263">
                  <c:v>40.704999999999998</c:v>
                </c:pt>
                <c:pt idx="264">
                  <c:v>40.704999999999998</c:v>
                </c:pt>
                <c:pt idx="265">
                  <c:v>40.704999999999998</c:v>
                </c:pt>
                <c:pt idx="266">
                  <c:v>40.704999999999998</c:v>
                </c:pt>
                <c:pt idx="267">
                  <c:v>40.704999999999998</c:v>
                </c:pt>
                <c:pt idx="268">
                  <c:v>40.704999999999998</c:v>
                </c:pt>
                <c:pt idx="269">
                  <c:v>40.704999999999998</c:v>
                </c:pt>
                <c:pt idx="270">
                  <c:v>40.704999999999998</c:v>
                </c:pt>
                <c:pt idx="271">
                  <c:v>40.704999999999998</c:v>
                </c:pt>
                <c:pt idx="272">
                  <c:v>40.704999999999998</c:v>
                </c:pt>
                <c:pt idx="273">
                  <c:v>40.704999999999998</c:v>
                </c:pt>
                <c:pt idx="274">
                  <c:v>40.704999999999998</c:v>
                </c:pt>
                <c:pt idx="275">
                  <c:v>40.704999999999998</c:v>
                </c:pt>
                <c:pt idx="276">
                  <c:v>40.704999999999998</c:v>
                </c:pt>
                <c:pt idx="277">
                  <c:v>40.704999999999998</c:v>
                </c:pt>
                <c:pt idx="278">
                  <c:v>40.704999999999998</c:v>
                </c:pt>
                <c:pt idx="279">
                  <c:v>40.704999999999998</c:v>
                </c:pt>
                <c:pt idx="280">
                  <c:v>40.704999999999998</c:v>
                </c:pt>
                <c:pt idx="281">
                  <c:v>40.704999999999998</c:v>
                </c:pt>
                <c:pt idx="282">
                  <c:v>40.704999999999998</c:v>
                </c:pt>
                <c:pt idx="283">
                  <c:v>40.704999999999998</c:v>
                </c:pt>
                <c:pt idx="284">
                  <c:v>40.704999999999998</c:v>
                </c:pt>
                <c:pt idx="285">
                  <c:v>40.704999999999998</c:v>
                </c:pt>
                <c:pt idx="286">
                  <c:v>40.704999999999998</c:v>
                </c:pt>
                <c:pt idx="287">
                  <c:v>40.704999999999998</c:v>
                </c:pt>
                <c:pt idx="288">
                  <c:v>40.704999999999998</c:v>
                </c:pt>
                <c:pt idx="289">
                  <c:v>40.704999999999998</c:v>
                </c:pt>
                <c:pt idx="290">
                  <c:v>40.704999999999998</c:v>
                </c:pt>
                <c:pt idx="291">
                  <c:v>40.704999999999998</c:v>
                </c:pt>
                <c:pt idx="292">
                  <c:v>40.704999999999998</c:v>
                </c:pt>
                <c:pt idx="293">
                  <c:v>40.704999999999998</c:v>
                </c:pt>
                <c:pt idx="294">
                  <c:v>40.704999999999998</c:v>
                </c:pt>
                <c:pt idx="295">
                  <c:v>40.704999999999998</c:v>
                </c:pt>
                <c:pt idx="296">
                  <c:v>40.704999999999998</c:v>
                </c:pt>
                <c:pt idx="297">
                  <c:v>40.704999999999998</c:v>
                </c:pt>
                <c:pt idx="298">
                  <c:v>40.704999999999998</c:v>
                </c:pt>
                <c:pt idx="299">
                  <c:v>40.704999999999998</c:v>
                </c:pt>
                <c:pt idx="300">
                  <c:v>40.704999999999998</c:v>
                </c:pt>
                <c:pt idx="301">
                  <c:v>40.704999999999998</c:v>
                </c:pt>
                <c:pt idx="302">
                  <c:v>40.704999999999998</c:v>
                </c:pt>
                <c:pt idx="303">
                  <c:v>40.704999999999998</c:v>
                </c:pt>
                <c:pt idx="304">
                  <c:v>40.704999999999998</c:v>
                </c:pt>
                <c:pt idx="305">
                  <c:v>40.704999999999998</c:v>
                </c:pt>
                <c:pt idx="306">
                  <c:v>40.704999999999998</c:v>
                </c:pt>
                <c:pt idx="307">
                  <c:v>40.704999999999998</c:v>
                </c:pt>
                <c:pt idx="308">
                  <c:v>40.704999999999998</c:v>
                </c:pt>
                <c:pt idx="309">
                  <c:v>40.704999999999998</c:v>
                </c:pt>
                <c:pt idx="310">
                  <c:v>40.704999999999998</c:v>
                </c:pt>
                <c:pt idx="311">
                  <c:v>40.704999999999998</c:v>
                </c:pt>
                <c:pt idx="312">
                  <c:v>40.704999999999998</c:v>
                </c:pt>
                <c:pt idx="313">
                  <c:v>40.704999999999998</c:v>
                </c:pt>
                <c:pt idx="314">
                  <c:v>40.704999999999998</c:v>
                </c:pt>
                <c:pt idx="315">
                  <c:v>40.704999999999998</c:v>
                </c:pt>
                <c:pt idx="316">
                  <c:v>40.704999999999998</c:v>
                </c:pt>
                <c:pt idx="317">
                  <c:v>40.704999999999998</c:v>
                </c:pt>
                <c:pt idx="318">
                  <c:v>40.704999999999998</c:v>
                </c:pt>
                <c:pt idx="319">
                  <c:v>40.704999999999998</c:v>
                </c:pt>
                <c:pt idx="320">
                  <c:v>40.704999999999998</c:v>
                </c:pt>
                <c:pt idx="321">
                  <c:v>40.704999999999998</c:v>
                </c:pt>
                <c:pt idx="322">
                  <c:v>40.704999999999998</c:v>
                </c:pt>
                <c:pt idx="323">
                  <c:v>40.704999999999998</c:v>
                </c:pt>
                <c:pt idx="324">
                  <c:v>40.704999999999998</c:v>
                </c:pt>
                <c:pt idx="325">
                  <c:v>40.704999999999998</c:v>
                </c:pt>
                <c:pt idx="326">
                  <c:v>40.704999999999998</c:v>
                </c:pt>
                <c:pt idx="327">
                  <c:v>40.704999999999998</c:v>
                </c:pt>
                <c:pt idx="328">
                  <c:v>40.704999999999998</c:v>
                </c:pt>
                <c:pt idx="329">
                  <c:v>40.704999999999998</c:v>
                </c:pt>
                <c:pt idx="330">
                  <c:v>40.704999999999998</c:v>
                </c:pt>
                <c:pt idx="331">
                  <c:v>40.704999999999998</c:v>
                </c:pt>
                <c:pt idx="332">
                  <c:v>40.704999999999998</c:v>
                </c:pt>
                <c:pt idx="333">
                  <c:v>40.704999999999998</c:v>
                </c:pt>
                <c:pt idx="334">
                  <c:v>40.704999999999998</c:v>
                </c:pt>
                <c:pt idx="335">
                  <c:v>40.704999999999998</c:v>
                </c:pt>
                <c:pt idx="336">
                  <c:v>40.704999999999998</c:v>
                </c:pt>
                <c:pt idx="337">
                  <c:v>40.704999999999998</c:v>
                </c:pt>
                <c:pt idx="338">
                  <c:v>40.704999999999998</c:v>
                </c:pt>
                <c:pt idx="339">
                  <c:v>40.704999999999998</c:v>
                </c:pt>
                <c:pt idx="340">
                  <c:v>40.704999999999998</c:v>
                </c:pt>
                <c:pt idx="341">
                  <c:v>40.704999999999998</c:v>
                </c:pt>
                <c:pt idx="342">
                  <c:v>40.704999999999998</c:v>
                </c:pt>
                <c:pt idx="343">
                  <c:v>40.704999999999998</c:v>
                </c:pt>
                <c:pt idx="344">
                  <c:v>40.704999999999998</c:v>
                </c:pt>
                <c:pt idx="345">
                  <c:v>40.704999999999998</c:v>
                </c:pt>
                <c:pt idx="346">
                  <c:v>40.704999999999998</c:v>
                </c:pt>
                <c:pt idx="347">
                  <c:v>40.704999999999998</c:v>
                </c:pt>
                <c:pt idx="348">
                  <c:v>40.704999999999998</c:v>
                </c:pt>
                <c:pt idx="349">
                  <c:v>40.704999999999998</c:v>
                </c:pt>
                <c:pt idx="350">
                  <c:v>40.704999999999998</c:v>
                </c:pt>
                <c:pt idx="351">
                  <c:v>40.704999999999998</c:v>
                </c:pt>
                <c:pt idx="352">
                  <c:v>40.704999999999998</c:v>
                </c:pt>
                <c:pt idx="353">
                  <c:v>40.704999999999998</c:v>
                </c:pt>
                <c:pt idx="354">
                  <c:v>40.704999999999998</c:v>
                </c:pt>
                <c:pt idx="355">
                  <c:v>40.704999999999998</c:v>
                </c:pt>
                <c:pt idx="356">
                  <c:v>40.704999999999998</c:v>
                </c:pt>
                <c:pt idx="357">
                  <c:v>40.704999999999998</c:v>
                </c:pt>
                <c:pt idx="358">
                  <c:v>40.704999999999998</c:v>
                </c:pt>
                <c:pt idx="359">
                  <c:v>40.704999999999998</c:v>
                </c:pt>
                <c:pt idx="360">
                  <c:v>40.704999999999998</c:v>
                </c:pt>
                <c:pt idx="361">
                  <c:v>40.704999999999998</c:v>
                </c:pt>
                <c:pt idx="362">
                  <c:v>40.704999999999998</c:v>
                </c:pt>
                <c:pt idx="363">
                  <c:v>40.704999999999998</c:v>
                </c:pt>
                <c:pt idx="364">
                  <c:v>40.704999999999998</c:v>
                </c:pt>
                <c:pt idx="365">
                  <c:v>40.704999999999998</c:v>
                </c:pt>
                <c:pt idx="366">
                  <c:v>40.704999999999998</c:v>
                </c:pt>
                <c:pt idx="367">
                  <c:v>40.704999999999998</c:v>
                </c:pt>
                <c:pt idx="368">
                  <c:v>40.704999999999998</c:v>
                </c:pt>
                <c:pt idx="369">
                  <c:v>40.704999999999998</c:v>
                </c:pt>
                <c:pt idx="370">
                  <c:v>40.704999999999998</c:v>
                </c:pt>
                <c:pt idx="371">
                  <c:v>40.704999999999998</c:v>
                </c:pt>
                <c:pt idx="372">
                  <c:v>40.704999999999998</c:v>
                </c:pt>
                <c:pt idx="373">
                  <c:v>40.704999999999998</c:v>
                </c:pt>
                <c:pt idx="374">
                  <c:v>40.704999999999998</c:v>
                </c:pt>
                <c:pt idx="375">
                  <c:v>40.704999999999998</c:v>
                </c:pt>
                <c:pt idx="376">
                  <c:v>40.704999999999998</c:v>
                </c:pt>
                <c:pt idx="377">
                  <c:v>40.704999999999998</c:v>
                </c:pt>
                <c:pt idx="378">
                  <c:v>40.704999999999998</c:v>
                </c:pt>
                <c:pt idx="379">
                  <c:v>40.704999999999998</c:v>
                </c:pt>
                <c:pt idx="380">
                  <c:v>40.704999999999998</c:v>
                </c:pt>
                <c:pt idx="381">
                  <c:v>40.704999999999998</c:v>
                </c:pt>
                <c:pt idx="382">
                  <c:v>40.704999999999998</c:v>
                </c:pt>
                <c:pt idx="383">
                  <c:v>40.704999999999998</c:v>
                </c:pt>
                <c:pt idx="384">
                  <c:v>40.704999999999998</c:v>
                </c:pt>
                <c:pt idx="385">
                  <c:v>40.704999999999998</c:v>
                </c:pt>
                <c:pt idx="386">
                  <c:v>40.704999999999998</c:v>
                </c:pt>
                <c:pt idx="387">
                  <c:v>40.704999999999998</c:v>
                </c:pt>
                <c:pt idx="388">
                  <c:v>40.704999999999998</c:v>
                </c:pt>
                <c:pt idx="389">
                  <c:v>40.704999999999998</c:v>
                </c:pt>
                <c:pt idx="390">
                  <c:v>40.704999999999998</c:v>
                </c:pt>
                <c:pt idx="391">
                  <c:v>40.704999999999998</c:v>
                </c:pt>
                <c:pt idx="392">
                  <c:v>40.704999999999998</c:v>
                </c:pt>
                <c:pt idx="393">
                  <c:v>40.704999999999998</c:v>
                </c:pt>
                <c:pt idx="394">
                  <c:v>40.704999999999998</c:v>
                </c:pt>
                <c:pt idx="395">
                  <c:v>40.704999999999998</c:v>
                </c:pt>
                <c:pt idx="396">
                  <c:v>40.704999999999998</c:v>
                </c:pt>
                <c:pt idx="397">
                  <c:v>40.704999999999998</c:v>
                </c:pt>
                <c:pt idx="398">
                  <c:v>40.704999999999998</c:v>
                </c:pt>
                <c:pt idx="399">
                  <c:v>40.704999999999998</c:v>
                </c:pt>
                <c:pt idx="400">
                  <c:v>40.704999999999998</c:v>
                </c:pt>
                <c:pt idx="401">
                  <c:v>40.704999999999998</c:v>
                </c:pt>
                <c:pt idx="402">
                  <c:v>40.704999999999998</c:v>
                </c:pt>
                <c:pt idx="403">
                  <c:v>40.704999999999998</c:v>
                </c:pt>
                <c:pt idx="404">
                  <c:v>40.704999999999998</c:v>
                </c:pt>
                <c:pt idx="405">
                  <c:v>40.704999999999998</c:v>
                </c:pt>
                <c:pt idx="406">
                  <c:v>40.704999999999998</c:v>
                </c:pt>
                <c:pt idx="407">
                  <c:v>40.704999999999998</c:v>
                </c:pt>
                <c:pt idx="408">
                  <c:v>40.704999999999998</c:v>
                </c:pt>
                <c:pt idx="409">
                  <c:v>40.704999999999998</c:v>
                </c:pt>
                <c:pt idx="410">
                  <c:v>40.704999999999998</c:v>
                </c:pt>
                <c:pt idx="411">
                  <c:v>40.704999999999998</c:v>
                </c:pt>
                <c:pt idx="412">
                  <c:v>40.704999999999998</c:v>
                </c:pt>
                <c:pt idx="413">
                  <c:v>40.704999999999998</c:v>
                </c:pt>
                <c:pt idx="414">
                  <c:v>40.704999999999998</c:v>
                </c:pt>
                <c:pt idx="415">
                  <c:v>40.704999999999998</c:v>
                </c:pt>
                <c:pt idx="416">
                  <c:v>40.704999999999998</c:v>
                </c:pt>
                <c:pt idx="417">
                  <c:v>40.704999999999998</c:v>
                </c:pt>
                <c:pt idx="418">
                  <c:v>40.704999999999998</c:v>
                </c:pt>
                <c:pt idx="419">
                  <c:v>40.704999999999998</c:v>
                </c:pt>
                <c:pt idx="420">
                  <c:v>40.704999999999998</c:v>
                </c:pt>
                <c:pt idx="421">
                  <c:v>40.704999999999998</c:v>
                </c:pt>
                <c:pt idx="422">
                  <c:v>40.704999999999998</c:v>
                </c:pt>
                <c:pt idx="423">
                  <c:v>40.704999999999998</c:v>
                </c:pt>
                <c:pt idx="424">
                  <c:v>40.704999999999998</c:v>
                </c:pt>
                <c:pt idx="425">
                  <c:v>40.704999999999998</c:v>
                </c:pt>
                <c:pt idx="426">
                  <c:v>40.704999999999998</c:v>
                </c:pt>
                <c:pt idx="427">
                  <c:v>40.704999999999998</c:v>
                </c:pt>
                <c:pt idx="428">
                  <c:v>40.704999999999998</c:v>
                </c:pt>
                <c:pt idx="429">
                  <c:v>40.704999999999998</c:v>
                </c:pt>
                <c:pt idx="430">
                  <c:v>40.704999999999998</c:v>
                </c:pt>
                <c:pt idx="431">
                  <c:v>40.704999999999998</c:v>
                </c:pt>
                <c:pt idx="432">
                  <c:v>40.704999999999998</c:v>
                </c:pt>
                <c:pt idx="433">
                  <c:v>40.704999999999998</c:v>
                </c:pt>
                <c:pt idx="434">
                  <c:v>40.704999999999998</c:v>
                </c:pt>
                <c:pt idx="435">
                  <c:v>40.704999999999998</c:v>
                </c:pt>
                <c:pt idx="436">
                  <c:v>40.704999999999998</c:v>
                </c:pt>
                <c:pt idx="437">
                  <c:v>40.704999999999998</c:v>
                </c:pt>
                <c:pt idx="438">
                  <c:v>40.704999999999998</c:v>
                </c:pt>
                <c:pt idx="439">
                  <c:v>40.704999999999998</c:v>
                </c:pt>
                <c:pt idx="440">
                  <c:v>40.704999999999998</c:v>
                </c:pt>
                <c:pt idx="441">
                  <c:v>40.704999999999998</c:v>
                </c:pt>
                <c:pt idx="442">
                  <c:v>40.704999999999998</c:v>
                </c:pt>
                <c:pt idx="443">
                  <c:v>40.704999999999998</c:v>
                </c:pt>
                <c:pt idx="444">
                  <c:v>40.704999999999998</c:v>
                </c:pt>
                <c:pt idx="445">
                  <c:v>40.704999999999998</c:v>
                </c:pt>
                <c:pt idx="446">
                  <c:v>40.704999999999998</c:v>
                </c:pt>
                <c:pt idx="447">
                  <c:v>40.704999999999998</c:v>
                </c:pt>
                <c:pt idx="448">
                  <c:v>40.704999999999998</c:v>
                </c:pt>
                <c:pt idx="449">
                  <c:v>40.704999999999998</c:v>
                </c:pt>
                <c:pt idx="450">
                  <c:v>40.704999999999998</c:v>
                </c:pt>
                <c:pt idx="451">
                  <c:v>40.704999999999998</c:v>
                </c:pt>
                <c:pt idx="452">
                  <c:v>40.704999999999998</c:v>
                </c:pt>
                <c:pt idx="453">
                  <c:v>40.704999999999998</c:v>
                </c:pt>
                <c:pt idx="454">
                  <c:v>40.704999999999998</c:v>
                </c:pt>
                <c:pt idx="455">
                  <c:v>40.704999999999998</c:v>
                </c:pt>
                <c:pt idx="456">
                  <c:v>40.704999999999998</c:v>
                </c:pt>
                <c:pt idx="457">
                  <c:v>40.704999999999998</c:v>
                </c:pt>
                <c:pt idx="458">
                  <c:v>40.704999999999998</c:v>
                </c:pt>
                <c:pt idx="459">
                  <c:v>40.704999999999998</c:v>
                </c:pt>
                <c:pt idx="460">
                  <c:v>40.704999999999998</c:v>
                </c:pt>
                <c:pt idx="461">
                  <c:v>40.704999999999998</c:v>
                </c:pt>
                <c:pt idx="462">
                  <c:v>40.704999999999998</c:v>
                </c:pt>
                <c:pt idx="463">
                  <c:v>40.704999999999998</c:v>
                </c:pt>
                <c:pt idx="464">
                  <c:v>40.704999999999998</c:v>
                </c:pt>
                <c:pt idx="465">
                  <c:v>40.704999999999998</c:v>
                </c:pt>
                <c:pt idx="466">
                  <c:v>40.704999999999998</c:v>
                </c:pt>
                <c:pt idx="467">
                  <c:v>40.704999999999998</c:v>
                </c:pt>
                <c:pt idx="468">
                  <c:v>40.704999999999998</c:v>
                </c:pt>
                <c:pt idx="469">
                  <c:v>40.704999999999998</c:v>
                </c:pt>
                <c:pt idx="470">
                  <c:v>40.704999999999998</c:v>
                </c:pt>
                <c:pt idx="471">
                  <c:v>40.704999999999998</c:v>
                </c:pt>
                <c:pt idx="472">
                  <c:v>40.704999999999998</c:v>
                </c:pt>
                <c:pt idx="473">
                  <c:v>40.704999999999998</c:v>
                </c:pt>
                <c:pt idx="474">
                  <c:v>40.704999999999998</c:v>
                </c:pt>
                <c:pt idx="475">
                  <c:v>40.704999999999998</c:v>
                </c:pt>
                <c:pt idx="476">
                  <c:v>40.704999999999998</c:v>
                </c:pt>
                <c:pt idx="477">
                  <c:v>40.704999999999998</c:v>
                </c:pt>
                <c:pt idx="478">
                  <c:v>40.704999999999998</c:v>
                </c:pt>
                <c:pt idx="479">
                  <c:v>40.704999999999998</c:v>
                </c:pt>
                <c:pt idx="480">
                  <c:v>40.704999999999998</c:v>
                </c:pt>
                <c:pt idx="481">
                  <c:v>40.704999999999998</c:v>
                </c:pt>
                <c:pt idx="482">
                  <c:v>40.704999999999998</c:v>
                </c:pt>
                <c:pt idx="483">
                  <c:v>40.704999999999998</c:v>
                </c:pt>
                <c:pt idx="484">
                  <c:v>40.704999999999998</c:v>
                </c:pt>
                <c:pt idx="485">
                  <c:v>40.704999999999998</c:v>
                </c:pt>
                <c:pt idx="486">
                  <c:v>40.704999999999998</c:v>
                </c:pt>
                <c:pt idx="487">
                  <c:v>40.704999999999998</c:v>
                </c:pt>
                <c:pt idx="488">
                  <c:v>40.704999999999998</c:v>
                </c:pt>
                <c:pt idx="489">
                  <c:v>40.704999999999998</c:v>
                </c:pt>
                <c:pt idx="490">
                  <c:v>40.704999999999998</c:v>
                </c:pt>
                <c:pt idx="491">
                  <c:v>40.704999999999998</c:v>
                </c:pt>
                <c:pt idx="492">
                  <c:v>40.704999999999998</c:v>
                </c:pt>
                <c:pt idx="493">
                  <c:v>40.704999999999998</c:v>
                </c:pt>
                <c:pt idx="494">
                  <c:v>40.704999999999998</c:v>
                </c:pt>
                <c:pt idx="495">
                  <c:v>40.704999999999998</c:v>
                </c:pt>
                <c:pt idx="496">
                  <c:v>40.704999999999998</c:v>
                </c:pt>
                <c:pt idx="497">
                  <c:v>40.704999999999998</c:v>
                </c:pt>
                <c:pt idx="498">
                  <c:v>40.704999999999998</c:v>
                </c:pt>
                <c:pt idx="499">
                  <c:v>40.704999999999998</c:v>
                </c:pt>
                <c:pt idx="500">
                  <c:v>40.704999999999998</c:v>
                </c:pt>
                <c:pt idx="501">
                  <c:v>40.704999999999998</c:v>
                </c:pt>
                <c:pt idx="502">
                  <c:v>40.704999999999998</c:v>
                </c:pt>
                <c:pt idx="503">
                  <c:v>40.704999999999998</c:v>
                </c:pt>
              </c:numCache>
            </c:numRef>
          </c:xVal>
          <c:yVal>
            <c:numRef>
              <c:f>Smart!$IN$3:$IN$506</c:f>
              <c:numCache>
                <c:formatCode>General</c:formatCode>
                <c:ptCount val="5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numCache>
            </c:numRef>
          </c:yVal>
          <c:smooth val="0"/>
          <c:extLst xmlns:c16r2="http://schemas.microsoft.com/office/drawing/2015/06/chart">
            <c:ext xmlns:c16="http://schemas.microsoft.com/office/drawing/2014/chart" uri="{C3380CC4-5D6E-409C-BE32-E72D297353CC}">
              <c16:uniqueId val="{00000005-C01D-439B-BA19-A5DA1AAAAC61}"/>
            </c:ext>
          </c:extLst>
        </c:ser>
        <c:ser>
          <c:idx val="7"/>
          <c:order val="7"/>
          <c:tx>
            <c:v>Seg6</c:v>
          </c:tx>
          <c:spPr>
            <a:ln w="25400">
              <a:solidFill>
                <a:srgbClr val="FF0000"/>
              </a:solidFill>
              <a:prstDash val="solid"/>
            </a:ln>
          </c:spPr>
          <c:marker>
            <c:symbol val="none"/>
          </c:marker>
          <c:xVal>
            <c:numRef>
              <c:f>Smart!$IR$3:$IR$506</c:f>
              <c:numCache>
                <c:formatCode>General</c:formatCode>
                <c:ptCount val="504"/>
                <c:pt idx="0">
                  <c:v>40.704999999999998</c:v>
                </c:pt>
                <c:pt idx="1">
                  <c:v>40.704999999999998</c:v>
                </c:pt>
                <c:pt idx="2">
                  <c:v>40.704999999999998</c:v>
                </c:pt>
                <c:pt idx="3">
                  <c:v>40.704999999999998</c:v>
                </c:pt>
                <c:pt idx="4">
                  <c:v>40.704999999999998</c:v>
                </c:pt>
                <c:pt idx="5">
                  <c:v>40.704999999999998</c:v>
                </c:pt>
                <c:pt idx="6">
                  <c:v>40.704999999999998</c:v>
                </c:pt>
                <c:pt idx="7">
                  <c:v>40.704999999999998</c:v>
                </c:pt>
                <c:pt idx="8">
                  <c:v>40.704999999999998</c:v>
                </c:pt>
                <c:pt idx="9">
                  <c:v>40.704999999999998</c:v>
                </c:pt>
                <c:pt idx="10">
                  <c:v>40.704999999999998</c:v>
                </c:pt>
                <c:pt idx="11">
                  <c:v>40.704999999999998</c:v>
                </c:pt>
                <c:pt idx="12">
                  <c:v>40.704999999999998</c:v>
                </c:pt>
                <c:pt idx="13">
                  <c:v>40.704999999999998</c:v>
                </c:pt>
                <c:pt idx="14">
                  <c:v>40.704999999999998</c:v>
                </c:pt>
                <c:pt idx="15">
                  <c:v>40.704999999999998</c:v>
                </c:pt>
                <c:pt idx="16">
                  <c:v>40.704999999999998</c:v>
                </c:pt>
                <c:pt idx="17">
                  <c:v>40.704999999999998</c:v>
                </c:pt>
                <c:pt idx="18">
                  <c:v>40.704999999999998</c:v>
                </c:pt>
                <c:pt idx="19">
                  <c:v>40.704999999999998</c:v>
                </c:pt>
                <c:pt idx="20">
                  <c:v>40.704999999999998</c:v>
                </c:pt>
                <c:pt idx="21">
                  <c:v>40.704999999999998</c:v>
                </c:pt>
                <c:pt idx="22">
                  <c:v>40.704999999999998</c:v>
                </c:pt>
                <c:pt idx="23">
                  <c:v>40.704999999999998</c:v>
                </c:pt>
                <c:pt idx="24">
                  <c:v>40.704999999999998</c:v>
                </c:pt>
                <c:pt idx="25">
                  <c:v>40.704999999999998</c:v>
                </c:pt>
                <c:pt idx="26">
                  <c:v>40.704999999999998</c:v>
                </c:pt>
                <c:pt idx="27">
                  <c:v>40.704999999999998</c:v>
                </c:pt>
                <c:pt idx="28">
                  <c:v>40.704999999999998</c:v>
                </c:pt>
                <c:pt idx="29">
                  <c:v>40.704999999999998</c:v>
                </c:pt>
                <c:pt idx="30">
                  <c:v>40.704999999999998</c:v>
                </c:pt>
                <c:pt idx="31">
                  <c:v>40.704999999999998</c:v>
                </c:pt>
                <c:pt idx="32">
                  <c:v>40.704999999999998</c:v>
                </c:pt>
                <c:pt idx="33">
                  <c:v>40.704999999999998</c:v>
                </c:pt>
                <c:pt idx="34">
                  <c:v>40.704999999999998</c:v>
                </c:pt>
                <c:pt idx="35">
                  <c:v>40.704999999999998</c:v>
                </c:pt>
                <c:pt idx="36">
                  <c:v>40.704999999999998</c:v>
                </c:pt>
                <c:pt idx="37">
                  <c:v>40.704999999999998</c:v>
                </c:pt>
                <c:pt idx="38">
                  <c:v>40.704999999999998</c:v>
                </c:pt>
                <c:pt idx="39">
                  <c:v>40.704999999999998</c:v>
                </c:pt>
                <c:pt idx="40">
                  <c:v>40.704999999999998</c:v>
                </c:pt>
                <c:pt idx="41">
                  <c:v>40.704999999999998</c:v>
                </c:pt>
                <c:pt idx="42">
                  <c:v>40.704999999999998</c:v>
                </c:pt>
                <c:pt idx="43">
                  <c:v>40.704999999999998</c:v>
                </c:pt>
                <c:pt idx="44">
                  <c:v>40.704999999999998</c:v>
                </c:pt>
                <c:pt idx="45">
                  <c:v>40.704999999999998</c:v>
                </c:pt>
                <c:pt idx="46">
                  <c:v>40.704999999999998</c:v>
                </c:pt>
                <c:pt idx="47">
                  <c:v>40.704999999999998</c:v>
                </c:pt>
                <c:pt idx="48">
                  <c:v>40.704999999999998</c:v>
                </c:pt>
                <c:pt idx="49">
                  <c:v>40.704999999999998</c:v>
                </c:pt>
                <c:pt idx="50">
                  <c:v>40.704999999999998</c:v>
                </c:pt>
                <c:pt idx="51">
                  <c:v>40.704999999999998</c:v>
                </c:pt>
                <c:pt idx="52">
                  <c:v>40.704999999999998</c:v>
                </c:pt>
                <c:pt idx="53">
                  <c:v>40.704999999999998</c:v>
                </c:pt>
                <c:pt idx="54">
                  <c:v>40.704999999999998</c:v>
                </c:pt>
                <c:pt idx="55">
                  <c:v>40.704999999999998</c:v>
                </c:pt>
                <c:pt idx="56">
                  <c:v>40.704999999999998</c:v>
                </c:pt>
                <c:pt idx="57">
                  <c:v>40.704999999999998</c:v>
                </c:pt>
                <c:pt idx="58">
                  <c:v>40.704999999999998</c:v>
                </c:pt>
                <c:pt idx="59">
                  <c:v>40.704999999999998</c:v>
                </c:pt>
                <c:pt idx="60">
                  <c:v>40.704999999999998</c:v>
                </c:pt>
                <c:pt idx="61">
                  <c:v>40.704999999999998</c:v>
                </c:pt>
                <c:pt idx="62">
                  <c:v>40.704999999999998</c:v>
                </c:pt>
                <c:pt idx="63">
                  <c:v>40.704999999999998</c:v>
                </c:pt>
                <c:pt idx="64">
                  <c:v>40.704999999999998</c:v>
                </c:pt>
                <c:pt idx="65">
                  <c:v>40.704999999999998</c:v>
                </c:pt>
                <c:pt idx="66">
                  <c:v>40.704999999999998</c:v>
                </c:pt>
                <c:pt idx="67">
                  <c:v>40.704999999999998</c:v>
                </c:pt>
                <c:pt idx="68">
                  <c:v>40.704999999999998</c:v>
                </c:pt>
                <c:pt idx="69">
                  <c:v>40.704999999999998</c:v>
                </c:pt>
                <c:pt idx="70">
                  <c:v>40.704999999999998</c:v>
                </c:pt>
                <c:pt idx="71">
                  <c:v>40.704999999999998</c:v>
                </c:pt>
                <c:pt idx="72">
                  <c:v>40.704999999999998</c:v>
                </c:pt>
                <c:pt idx="73">
                  <c:v>40.704999999999998</c:v>
                </c:pt>
                <c:pt idx="74">
                  <c:v>40.704999999999998</c:v>
                </c:pt>
                <c:pt idx="75">
                  <c:v>40.704999999999998</c:v>
                </c:pt>
                <c:pt idx="76">
                  <c:v>40.704999999999998</c:v>
                </c:pt>
                <c:pt idx="77">
                  <c:v>40.704999999999998</c:v>
                </c:pt>
                <c:pt idx="78">
                  <c:v>40.704999999999998</c:v>
                </c:pt>
                <c:pt idx="79">
                  <c:v>40.704999999999998</c:v>
                </c:pt>
                <c:pt idx="80">
                  <c:v>40.704999999999998</c:v>
                </c:pt>
                <c:pt idx="81">
                  <c:v>40.704999999999998</c:v>
                </c:pt>
                <c:pt idx="82">
                  <c:v>40.704999999999998</c:v>
                </c:pt>
                <c:pt idx="83">
                  <c:v>40.704999999999998</c:v>
                </c:pt>
                <c:pt idx="84">
                  <c:v>40.704999999999998</c:v>
                </c:pt>
                <c:pt idx="85">
                  <c:v>40.704999999999998</c:v>
                </c:pt>
                <c:pt idx="86">
                  <c:v>40.704999999999998</c:v>
                </c:pt>
                <c:pt idx="87">
                  <c:v>40.704999999999998</c:v>
                </c:pt>
                <c:pt idx="88">
                  <c:v>40.704999999999998</c:v>
                </c:pt>
                <c:pt idx="89">
                  <c:v>40.704999999999998</c:v>
                </c:pt>
                <c:pt idx="90">
                  <c:v>40.704999999999998</c:v>
                </c:pt>
                <c:pt idx="91">
                  <c:v>40.704999999999998</c:v>
                </c:pt>
                <c:pt idx="92">
                  <c:v>40.704999999999998</c:v>
                </c:pt>
                <c:pt idx="93">
                  <c:v>40.704999999999998</c:v>
                </c:pt>
                <c:pt idx="94">
                  <c:v>40.704999999999998</c:v>
                </c:pt>
                <c:pt idx="95">
                  <c:v>40.704999999999998</c:v>
                </c:pt>
                <c:pt idx="96">
                  <c:v>40.704999999999998</c:v>
                </c:pt>
                <c:pt idx="97">
                  <c:v>40.704999999999998</c:v>
                </c:pt>
                <c:pt idx="98">
                  <c:v>40.704999999999998</c:v>
                </c:pt>
                <c:pt idx="99">
                  <c:v>40.704999999999998</c:v>
                </c:pt>
                <c:pt idx="100">
                  <c:v>40.704999999999998</c:v>
                </c:pt>
                <c:pt idx="101">
                  <c:v>40.704999999999998</c:v>
                </c:pt>
                <c:pt idx="102">
                  <c:v>40.704999999999998</c:v>
                </c:pt>
                <c:pt idx="103">
                  <c:v>40.704999999999998</c:v>
                </c:pt>
                <c:pt idx="104">
                  <c:v>40.704999999999998</c:v>
                </c:pt>
                <c:pt idx="105">
                  <c:v>40.704999999999998</c:v>
                </c:pt>
                <c:pt idx="106">
                  <c:v>40.704999999999998</c:v>
                </c:pt>
                <c:pt idx="107">
                  <c:v>40.704999999999998</c:v>
                </c:pt>
                <c:pt idx="108">
                  <c:v>40.704999999999998</c:v>
                </c:pt>
                <c:pt idx="109">
                  <c:v>40.704999999999998</c:v>
                </c:pt>
                <c:pt idx="110">
                  <c:v>40.704999999999998</c:v>
                </c:pt>
                <c:pt idx="111">
                  <c:v>40.704999999999998</c:v>
                </c:pt>
                <c:pt idx="112">
                  <c:v>40.704999999999998</c:v>
                </c:pt>
                <c:pt idx="113">
                  <c:v>40.704999999999998</c:v>
                </c:pt>
                <c:pt idx="114">
                  <c:v>40.704999999999998</c:v>
                </c:pt>
                <c:pt idx="115">
                  <c:v>40.704999999999998</c:v>
                </c:pt>
                <c:pt idx="116">
                  <c:v>40.704999999999998</c:v>
                </c:pt>
                <c:pt idx="117">
                  <c:v>40.704999999999998</c:v>
                </c:pt>
                <c:pt idx="118">
                  <c:v>40.704999999999998</c:v>
                </c:pt>
                <c:pt idx="119">
                  <c:v>40.704999999999998</c:v>
                </c:pt>
                <c:pt idx="120">
                  <c:v>40.704999999999998</c:v>
                </c:pt>
                <c:pt idx="121">
                  <c:v>40.704999999999998</c:v>
                </c:pt>
                <c:pt idx="122">
                  <c:v>40.704999999999998</c:v>
                </c:pt>
                <c:pt idx="123">
                  <c:v>40.704999999999998</c:v>
                </c:pt>
                <c:pt idx="124">
                  <c:v>40.704999999999998</c:v>
                </c:pt>
                <c:pt idx="125">
                  <c:v>40.704999999999998</c:v>
                </c:pt>
                <c:pt idx="126">
                  <c:v>40.704999999999998</c:v>
                </c:pt>
                <c:pt idx="127">
                  <c:v>40.704999999999998</c:v>
                </c:pt>
                <c:pt idx="128">
                  <c:v>40.704999999999998</c:v>
                </c:pt>
                <c:pt idx="129">
                  <c:v>40.704999999999998</c:v>
                </c:pt>
                <c:pt idx="130">
                  <c:v>40.704999999999998</c:v>
                </c:pt>
                <c:pt idx="131">
                  <c:v>40.704999999999998</c:v>
                </c:pt>
                <c:pt idx="132">
                  <c:v>40.704999999999998</c:v>
                </c:pt>
                <c:pt idx="133">
                  <c:v>40.704999999999998</c:v>
                </c:pt>
                <c:pt idx="134">
                  <c:v>40.704999999999998</c:v>
                </c:pt>
                <c:pt idx="135">
                  <c:v>40.704999999999998</c:v>
                </c:pt>
                <c:pt idx="136">
                  <c:v>40.704999999999998</c:v>
                </c:pt>
                <c:pt idx="137">
                  <c:v>40.704999999999998</c:v>
                </c:pt>
                <c:pt idx="138">
                  <c:v>40.704999999999998</c:v>
                </c:pt>
                <c:pt idx="139">
                  <c:v>40.704999999999998</c:v>
                </c:pt>
                <c:pt idx="140">
                  <c:v>40.704999999999998</c:v>
                </c:pt>
                <c:pt idx="141">
                  <c:v>40.704999999999998</c:v>
                </c:pt>
                <c:pt idx="142">
                  <c:v>40.704999999999998</c:v>
                </c:pt>
                <c:pt idx="143">
                  <c:v>40.704999999999998</c:v>
                </c:pt>
                <c:pt idx="144">
                  <c:v>40.704999999999998</c:v>
                </c:pt>
                <c:pt idx="145">
                  <c:v>40.704999999999998</c:v>
                </c:pt>
                <c:pt idx="146">
                  <c:v>40.704999999999998</c:v>
                </c:pt>
                <c:pt idx="147">
                  <c:v>40.704999999999998</c:v>
                </c:pt>
                <c:pt idx="148">
                  <c:v>40.704999999999998</c:v>
                </c:pt>
                <c:pt idx="149">
                  <c:v>40.704999999999998</c:v>
                </c:pt>
                <c:pt idx="150">
                  <c:v>40.704999999999998</c:v>
                </c:pt>
                <c:pt idx="151">
                  <c:v>40.704999999999998</c:v>
                </c:pt>
                <c:pt idx="152">
                  <c:v>40.704999999999998</c:v>
                </c:pt>
                <c:pt idx="153">
                  <c:v>40.704999999999998</c:v>
                </c:pt>
                <c:pt idx="154">
                  <c:v>40.704999999999998</c:v>
                </c:pt>
                <c:pt idx="155">
                  <c:v>40.704999999999998</c:v>
                </c:pt>
                <c:pt idx="156">
                  <c:v>40.704999999999998</c:v>
                </c:pt>
                <c:pt idx="157">
                  <c:v>40.704999999999998</c:v>
                </c:pt>
                <c:pt idx="158">
                  <c:v>40.704999999999998</c:v>
                </c:pt>
                <c:pt idx="159">
                  <c:v>40.704999999999998</c:v>
                </c:pt>
                <c:pt idx="160">
                  <c:v>40.704999999999998</c:v>
                </c:pt>
                <c:pt idx="161">
                  <c:v>40.704999999999998</c:v>
                </c:pt>
                <c:pt idx="162">
                  <c:v>40.704999999999998</c:v>
                </c:pt>
                <c:pt idx="163">
                  <c:v>40.704999999999998</c:v>
                </c:pt>
                <c:pt idx="164">
                  <c:v>40.704999999999998</c:v>
                </c:pt>
                <c:pt idx="165">
                  <c:v>40.704999999999998</c:v>
                </c:pt>
                <c:pt idx="166">
                  <c:v>40.704999999999998</c:v>
                </c:pt>
                <c:pt idx="167">
                  <c:v>40.704999999999998</c:v>
                </c:pt>
                <c:pt idx="168">
                  <c:v>40.704999999999998</c:v>
                </c:pt>
                <c:pt idx="169">
                  <c:v>40.704999999999998</c:v>
                </c:pt>
                <c:pt idx="170">
                  <c:v>40.704999999999998</c:v>
                </c:pt>
                <c:pt idx="171">
                  <c:v>40.704999999999998</c:v>
                </c:pt>
                <c:pt idx="172">
                  <c:v>40.704999999999998</c:v>
                </c:pt>
                <c:pt idx="173">
                  <c:v>40.704999999999998</c:v>
                </c:pt>
                <c:pt idx="174">
                  <c:v>40.704999999999998</c:v>
                </c:pt>
                <c:pt idx="175">
                  <c:v>40.704999999999998</c:v>
                </c:pt>
                <c:pt idx="176">
                  <c:v>40.704999999999998</c:v>
                </c:pt>
                <c:pt idx="177">
                  <c:v>40.704999999999998</c:v>
                </c:pt>
                <c:pt idx="178">
                  <c:v>40.704999999999998</c:v>
                </c:pt>
                <c:pt idx="179">
                  <c:v>40.704999999999998</c:v>
                </c:pt>
                <c:pt idx="180">
                  <c:v>40.704999999999998</c:v>
                </c:pt>
                <c:pt idx="181">
                  <c:v>40.704999999999998</c:v>
                </c:pt>
                <c:pt idx="182">
                  <c:v>40.704999999999998</c:v>
                </c:pt>
                <c:pt idx="183">
                  <c:v>40.704999999999998</c:v>
                </c:pt>
                <c:pt idx="184">
                  <c:v>40.704999999999998</c:v>
                </c:pt>
                <c:pt idx="185">
                  <c:v>40.704999999999998</c:v>
                </c:pt>
                <c:pt idx="186">
                  <c:v>40.704999999999998</c:v>
                </c:pt>
                <c:pt idx="187">
                  <c:v>40.704999999999998</c:v>
                </c:pt>
                <c:pt idx="188">
                  <c:v>40.704999999999998</c:v>
                </c:pt>
                <c:pt idx="189">
                  <c:v>40.704999999999998</c:v>
                </c:pt>
                <c:pt idx="190">
                  <c:v>40.704999999999998</c:v>
                </c:pt>
                <c:pt idx="191">
                  <c:v>40.704999999999998</c:v>
                </c:pt>
                <c:pt idx="192">
                  <c:v>40.704999999999998</c:v>
                </c:pt>
                <c:pt idx="193">
                  <c:v>40.704999999999998</c:v>
                </c:pt>
                <c:pt idx="194">
                  <c:v>40.704999999999998</c:v>
                </c:pt>
                <c:pt idx="195">
                  <c:v>40.704999999999998</c:v>
                </c:pt>
                <c:pt idx="196">
                  <c:v>40.704999999999998</c:v>
                </c:pt>
                <c:pt idx="197">
                  <c:v>40.704999999999998</c:v>
                </c:pt>
                <c:pt idx="198">
                  <c:v>40.704999999999998</c:v>
                </c:pt>
                <c:pt idx="199">
                  <c:v>40.704999999999998</c:v>
                </c:pt>
                <c:pt idx="200">
                  <c:v>40.704999999999998</c:v>
                </c:pt>
                <c:pt idx="201">
                  <c:v>40.704999999999998</c:v>
                </c:pt>
                <c:pt idx="202">
                  <c:v>40.704999999999998</c:v>
                </c:pt>
                <c:pt idx="203">
                  <c:v>40.704999999999998</c:v>
                </c:pt>
                <c:pt idx="204">
                  <c:v>40.704999999999998</c:v>
                </c:pt>
                <c:pt idx="205">
                  <c:v>40.704999999999998</c:v>
                </c:pt>
                <c:pt idx="206">
                  <c:v>40.704999999999998</c:v>
                </c:pt>
                <c:pt idx="207">
                  <c:v>40.704999999999998</c:v>
                </c:pt>
                <c:pt idx="208">
                  <c:v>40.704999999999998</c:v>
                </c:pt>
                <c:pt idx="209">
                  <c:v>40.704999999999998</c:v>
                </c:pt>
                <c:pt idx="210">
                  <c:v>40.704999999999998</c:v>
                </c:pt>
                <c:pt idx="211">
                  <c:v>40.704999999999998</c:v>
                </c:pt>
                <c:pt idx="212">
                  <c:v>40.704999999999998</c:v>
                </c:pt>
                <c:pt idx="213">
                  <c:v>40.704999999999998</c:v>
                </c:pt>
                <c:pt idx="214">
                  <c:v>40.704999999999998</c:v>
                </c:pt>
                <c:pt idx="215">
                  <c:v>40.704999999999998</c:v>
                </c:pt>
                <c:pt idx="216">
                  <c:v>40.704999999999998</c:v>
                </c:pt>
                <c:pt idx="217">
                  <c:v>40.704999999999998</c:v>
                </c:pt>
                <c:pt idx="218">
                  <c:v>40.704999999999998</c:v>
                </c:pt>
                <c:pt idx="219">
                  <c:v>40.704999999999998</c:v>
                </c:pt>
                <c:pt idx="220">
                  <c:v>40.704999999999998</c:v>
                </c:pt>
                <c:pt idx="221">
                  <c:v>40.704999999999998</c:v>
                </c:pt>
                <c:pt idx="222">
                  <c:v>40.704999999999998</c:v>
                </c:pt>
                <c:pt idx="223">
                  <c:v>40.704999999999998</c:v>
                </c:pt>
                <c:pt idx="224">
                  <c:v>40.704999999999998</c:v>
                </c:pt>
                <c:pt idx="225">
                  <c:v>40.704999999999998</c:v>
                </c:pt>
                <c:pt idx="226">
                  <c:v>40.704999999999998</c:v>
                </c:pt>
                <c:pt idx="227">
                  <c:v>40.704999999999998</c:v>
                </c:pt>
                <c:pt idx="228">
                  <c:v>40.704999999999998</c:v>
                </c:pt>
                <c:pt idx="229">
                  <c:v>40.704999999999998</c:v>
                </c:pt>
                <c:pt idx="230">
                  <c:v>40.704999999999998</c:v>
                </c:pt>
                <c:pt idx="231">
                  <c:v>40.704999999999998</c:v>
                </c:pt>
                <c:pt idx="232">
                  <c:v>40.704999999999998</c:v>
                </c:pt>
                <c:pt idx="233">
                  <c:v>40.704999999999998</c:v>
                </c:pt>
                <c:pt idx="234">
                  <c:v>40.704999999999998</c:v>
                </c:pt>
                <c:pt idx="235">
                  <c:v>40.704999999999998</c:v>
                </c:pt>
                <c:pt idx="236">
                  <c:v>40.704999999999998</c:v>
                </c:pt>
                <c:pt idx="237">
                  <c:v>40.704999999999998</c:v>
                </c:pt>
                <c:pt idx="238">
                  <c:v>40.704999999999998</c:v>
                </c:pt>
                <c:pt idx="239">
                  <c:v>40.704999999999998</c:v>
                </c:pt>
                <c:pt idx="240">
                  <c:v>40.704999999999998</c:v>
                </c:pt>
                <c:pt idx="241">
                  <c:v>40.704999999999998</c:v>
                </c:pt>
                <c:pt idx="242">
                  <c:v>40.704999999999998</c:v>
                </c:pt>
                <c:pt idx="243">
                  <c:v>40.704999999999998</c:v>
                </c:pt>
                <c:pt idx="244">
                  <c:v>40.704999999999998</c:v>
                </c:pt>
                <c:pt idx="245">
                  <c:v>40.704999999999998</c:v>
                </c:pt>
                <c:pt idx="246">
                  <c:v>40.704999999999998</c:v>
                </c:pt>
                <c:pt idx="247">
                  <c:v>40.704999999999998</c:v>
                </c:pt>
                <c:pt idx="248">
                  <c:v>40.704999999999998</c:v>
                </c:pt>
                <c:pt idx="249">
                  <c:v>40.704999999999998</c:v>
                </c:pt>
                <c:pt idx="250">
                  <c:v>40.704999999999998</c:v>
                </c:pt>
                <c:pt idx="251">
                  <c:v>40.704999999999998</c:v>
                </c:pt>
                <c:pt idx="252">
                  <c:v>40.704999999999998</c:v>
                </c:pt>
                <c:pt idx="253">
                  <c:v>40.704999999999998</c:v>
                </c:pt>
                <c:pt idx="254">
                  <c:v>40.704999999999998</c:v>
                </c:pt>
                <c:pt idx="255">
                  <c:v>40.704999999999998</c:v>
                </c:pt>
                <c:pt idx="256">
                  <c:v>40.704999999999998</c:v>
                </c:pt>
                <c:pt idx="257">
                  <c:v>40.704999999999998</c:v>
                </c:pt>
                <c:pt idx="258">
                  <c:v>40.704999999999998</c:v>
                </c:pt>
                <c:pt idx="259">
                  <c:v>40.704999999999998</c:v>
                </c:pt>
                <c:pt idx="260">
                  <c:v>40.704999999999998</c:v>
                </c:pt>
                <c:pt idx="261">
                  <c:v>40.704999999999998</c:v>
                </c:pt>
                <c:pt idx="262">
                  <c:v>40.704999999999998</c:v>
                </c:pt>
                <c:pt idx="263">
                  <c:v>40.704999999999998</c:v>
                </c:pt>
                <c:pt idx="264">
                  <c:v>40.704999999999998</c:v>
                </c:pt>
                <c:pt idx="265">
                  <c:v>40.704999999999998</c:v>
                </c:pt>
                <c:pt idx="266">
                  <c:v>40.704999999999998</c:v>
                </c:pt>
                <c:pt idx="267">
                  <c:v>40.704999999999998</c:v>
                </c:pt>
                <c:pt idx="268">
                  <c:v>40.704999999999998</c:v>
                </c:pt>
                <c:pt idx="269">
                  <c:v>40.704999999999998</c:v>
                </c:pt>
                <c:pt idx="270">
                  <c:v>40.704999999999998</c:v>
                </c:pt>
                <c:pt idx="271">
                  <c:v>40.704999999999998</c:v>
                </c:pt>
                <c:pt idx="272">
                  <c:v>40.704999999999998</c:v>
                </c:pt>
                <c:pt idx="273">
                  <c:v>40.704999999999998</c:v>
                </c:pt>
                <c:pt idx="274">
                  <c:v>40.704999999999998</c:v>
                </c:pt>
                <c:pt idx="275">
                  <c:v>40.704999999999998</c:v>
                </c:pt>
                <c:pt idx="276">
                  <c:v>40.704999999999998</c:v>
                </c:pt>
                <c:pt idx="277">
                  <c:v>40.704999999999998</c:v>
                </c:pt>
                <c:pt idx="278">
                  <c:v>40.704999999999998</c:v>
                </c:pt>
                <c:pt idx="279">
                  <c:v>40.704999999999998</c:v>
                </c:pt>
                <c:pt idx="280">
                  <c:v>40.704999999999998</c:v>
                </c:pt>
                <c:pt idx="281">
                  <c:v>40.704999999999998</c:v>
                </c:pt>
                <c:pt idx="282">
                  <c:v>40.704999999999998</c:v>
                </c:pt>
                <c:pt idx="283">
                  <c:v>40.704999999999998</c:v>
                </c:pt>
                <c:pt idx="284">
                  <c:v>40.704999999999998</c:v>
                </c:pt>
                <c:pt idx="285">
                  <c:v>40.704999999999998</c:v>
                </c:pt>
                <c:pt idx="286">
                  <c:v>40.704999999999998</c:v>
                </c:pt>
                <c:pt idx="287">
                  <c:v>40.704999999999998</c:v>
                </c:pt>
                <c:pt idx="288">
                  <c:v>40.704999999999998</c:v>
                </c:pt>
                <c:pt idx="289">
                  <c:v>40.704999999999998</c:v>
                </c:pt>
                <c:pt idx="290">
                  <c:v>40.704999999999998</c:v>
                </c:pt>
                <c:pt idx="291">
                  <c:v>40.704999999999998</c:v>
                </c:pt>
                <c:pt idx="292">
                  <c:v>40.704999999999998</c:v>
                </c:pt>
                <c:pt idx="293">
                  <c:v>40.704999999999998</c:v>
                </c:pt>
                <c:pt idx="294">
                  <c:v>40.704999999999998</c:v>
                </c:pt>
                <c:pt idx="295">
                  <c:v>40.704999999999998</c:v>
                </c:pt>
                <c:pt idx="296">
                  <c:v>40.704999999999998</c:v>
                </c:pt>
                <c:pt idx="297">
                  <c:v>40.704999999999998</c:v>
                </c:pt>
                <c:pt idx="298">
                  <c:v>40.704999999999998</c:v>
                </c:pt>
                <c:pt idx="299">
                  <c:v>40.704999999999998</c:v>
                </c:pt>
                <c:pt idx="300">
                  <c:v>40.704999999999998</c:v>
                </c:pt>
                <c:pt idx="301">
                  <c:v>40.704999999999998</c:v>
                </c:pt>
                <c:pt idx="302">
                  <c:v>40.704999999999998</c:v>
                </c:pt>
                <c:pt idx="303">
                  <c:v>40.704999999999998</c:v>
                </c:pt>
                <c:pt idx="304">
                  <c:v>40.704999999999998</c:v>
                </c:pt>
                <c:pt idx="305">
                  <c:v>40.704999999999998</c:v>
                </c:pt>
                <c:pt idx="306">
                  <c:v>40.704999999999998</c:v>
                </c:pt>
                <c:pt idx="307">
                  <c:v>40.704999999999998</c:v>
                </c:pt>
                <c:pt idx="308">
                  <c:v>40.704999999999998</c:v>
                </c:pt>
                <c:pt idx="309">
                  <c:v>40.704999999999998</c:v>
                </c:pt>
                <c:pt idx="310">
                  <c:v>40.704999999999998</c:v>
                </c:pt>
                <c:pt idx="311">
                  <c:v>40.704999999999998</c:v>
                </c:pt>
                <c:pt idx="312">
                  <c:v>40.704999999999998</c:v>
                </c:pt>
                <c:pt idx="313">
                  <c:v>40.704999999999998</c:v>
                </c:pt>
                <c:pt idx="314">
                  <c:v>40.704999999999998</c:v>
                </c:pt>
                <c:pt idx="315">
                  <c:v>40.704999999999998</c:v>
                </c:pt>
                <c:pt idx="316">
                  <c:v>40.704999999999998</c:v>
                </c:pt>
                <c:pt idx="317">
                  <c:v>40.704999999999998</c:v>
                </c:pt>
                <c:pt idx="318">
                  <c:v>40.704999999999998</c:v>
                </c:pt>
                <c:pt idx="319">
                  <c:v>40.704999999999998</c:v>
                </c:pt>
                <c:pt idx="320">
                  <c:v>40.704999999999998</c:v>
                </c:pt>
                <c:pt idx="321">
                  <c:v>40.704999999999998</c:v>
                </c:pt>
                <c:pt idx="322">
                  <c:v>40.704999999999998</c:v>
                </c:pt>
                <c:pt idx="323">
                  <c:v>40.704999999999998</c:v>
                </c:pt>
                <c:pt idx="324">
                  <c:v>40.704999999999998</c:v>
                </c:pt>
                <c:pt idx="325">
                  <c:v>40.704999999999998</c:v>
                </c:pt>
                <c:pt idx="326">
                  <c:v>40.704999999999998</c:v>
                </c:pt>
                <c:pt idx="327">
                  <c:v>40.704999999999998</c:v>
                </c:pt>
                <c:pt idx="328">
                  <c:v>40.704999999999998</c:v>
                </c:pt>
                <c:pt idx="329">
                  <c:v>40.704999999999998</c:v>
                </c:pt>
                <c:pt idx="330">
                  <c:v>40.704999999999998</c:v>
                </c:pt>
                <c:pt idx="331">
                  <c:v>40.704999999999998</c:v>
                </c:pt>
                <c:pt idx="332">
                  <c:v>40.704999999999998</c:v>
                </c:pt>
                <c:pt idx="333">
                  <c:v>40.704999999999998</c:v>
                </c:pt>
                <c:pt idx="334">
                  <c:v>40.704999999999998</c:v>
                </c:pt>
                <c:pt idx="335">
                  <c:v>40.704999999999998</c:v>
                </c:pt>
                <c:pt idx="336">
                  <c:v>40.704999999999998</c:v>
                </c:pt>
                <c:pt idx="337">
                  <c:v>40.704999999999998</c:v>
                </c:pt>
                <c:pt idx="338">
                  <c:v>40.704999999999998</c:v>
                </c:pt>
                <c:pt idx="339">
                  <c:v>40.704999999999998</c:v>
                </c:pt>
                <c:pt idx="340">
                  <c:v>40.704999999999998</c:v>
                </c:pt>
                <c:pt idx="341">
                  <c:v>40.704999999999998</c:v>
                </c:pt>
                <c:pt idx="342">
                  <c:v>40.704999999999998</c:v>
                </c:pt>
                <c:pt idx="343">
                  <c:v>40.704999999999998</c:v>
                </c:pt>
                <c:pt idx="344">
                  <c:v>40.704999999999998</c:v>
                </c:pt>
                <c:pt idx="345">
                  <c:v>40.704999999999998</c:v>
                </c:pt>
                <c:pt idx="346">
                  <c:v>40.704999999999998</c:v>
                </c:pt>
                <c:pt idx="347">
                  <c:v>40.704999999999998</c:v>
                </c:pt>
                <c:pt idx="348">
                  <c:v>40.704999999999998</c:v>
                </c:pt>
                <c:pt idx="349">
                  <c:v>40.704999999999998</c:v>
                </c:pt>
                <c:pt idx="350">
                  <c:v>40.704999999999998</c:v>
                </c:pt>
                <c:pt idx="351">
                  <c:v>40.704999999999998</c:v>
                </c:pt>
                <c:pt idx="352">
                  <c:v>40.704999999999998</c:v>
                </c:pt>
                <c:pt idx="353">
                  <c:v>40.704999999999998</c:v>
                </c:pt>
                <c:pt idx="354">
                  <c:v>40.704999999999998</c:v>
                </c:pt>
                <c:pt idx="355">
                  <c:v>40.704999999999998</c:v>
                </c:pt>
                <c:pt idx="356">
                  <c:v>40.704999999999998</c:v>
                </c:pt>
                <c:pt idx="357">
                  <c:v>40.704999999999998</c:v>
                </c:pt>
                <c:pt idx="358">
                  <c:v>40.704999999999998</c:v>
                </c:pt>
                <c:pt idx="359">
                  <c:v>40.704999999999998</c:v>
                </c:pt>
                <c:pt idx="360">
                  <c:v>40.704999999999998</c:v>
                </c:pt>
                <c:pt idx="361">
                  <c:v>40.704999999999998</c:v>
                </c:pt>
                <c:pt idx="362">
                  <c:v>40.704999999999998</c:v>
                </c:pt>
                <c:pt idx="363">
                  <c:v>40.704999999999998</c:v>
                </c:pt>
                <c:pt idx="364">
                  <c:v>40.704999999999998</c:v>
                </c:pt>
                <c:pt idx="365">
                  <c:v>40.704999999999998</c:v>
                </c:pt>
                <c:pt idx="366">
                  <c:v>40.704999999999998</c:v>
                </c:pt>
                <c:pt idx="367">
                  <c:v>40.704999999999998</c:v>
                </c:pt>
                <c:pt idx="368">
                  <c:v>40.704999999999998</c:v>
                </c:pt>
                <c:pt idx="369">
                  <c:v>40.704999999999998</c:v>
                </c:pt>
                <c:pt idx="370">
                  <c:v>40.704999999999998</c:v>
                </c:pt>
                <c:pt idx="371">
                  <c:v>40.704999999999998</c:v>
                </c:pt>
                <c:pt idx="372">
                  <c:v>40.704999999999998</c:v>
                </c:pt>
                <c:pt idx="373">
                  <c:v>40.704999999999998</c:v>
                </c:pt>
                <c:pt idx="374">
                  <c:v>40.704999999999998</c:v>
                </c:pt>
                <c:pt idx="375">
                  <c:v>40.704999999999998</c:v>
                </c:pt>
                <c:pt idx="376">
                  <c:v>40.704999999999998</c:v>
                </c:pt>
                <c:pt idx="377">
                  <c:v>40.704999999999998</c:v>
                </c:pt>
                <c:pt idx="378">
                  <c:v>40.704999999999998</c:v>
                </c:pt>
                <c:pt idx="379">
                  <c:v>40.704999999999998</c:v>
                </c:pt>
                <c:pt idx="380">
                  <c:v>40.704999999999998</c:v>
                </c:pt>
                <c:pt idx="381">
                  <c:v>40.704999999999998</c:v>
                </c:pt>
                <c:pt idx="382">
                  <c:v>40.704999999999998</c:v>
                </c:pt>
                <c:pt idx="383">
                  <c:v>40.704999999999998</c:v>
                </c:pt>
                <c:pt idx="384">
                  <c:v>40.704999999999998</c:v>
                </c:pt>
                <c:pt idx="385">
                  <c:v>40.704999999999998</c:v>
                </c:pt>
                <c:pt idx="386">
                  <c:v>40.704999999999998</c:v>
                </c:pt>
                <c:pt idx="387">
                  <c:v>40.704999999999998</c:v>
                </c:pt>
                <c:pt idx="388">
                  <c:v>40.704999999999998</c:v>
                </c:pt>
                <c:pt idx="389">
                  <c:v>40.704999999999998</c:v>
                </c:pt>
                <c:pt idx="390">
                  <c:v>40.704999999999998</c:v>
                </c:pt>
                <c:pt idx="391">
                  <c:v>40.704999999999998</c:v>
                </c:pt>
                <c:pt idx="392">
                  <c:v>40.704999999999998</c:v>
                </c:pt>
                <c:pt idx="393">
                  <c:v>40.704999999999998</c:v>
                </c:pt>
                <c:pt idx="394">
                  <c:v>40.704999999999998</c:v>
                </c:pt>
                <c:pt idx="395">
                  <c:v>40.704999999999998</c:v>
                </c:pt>
                <c:pt idx="396">
                  <c:v>40.704999999999998</c:v>
                </c:pt>
                <c:pt idx="397">
                  <c:v>40.704999999999998</c:v>
                </c:pt>
                <c:pt idx="398">
                  <c:v>40.704999999999998</c:v>
                </c:pt>
                <c:pt idx="399">
                  <c:v>40.704999999999998</c:v>
                </c:pt>
                <c:pt idx="400">
                  <c:v>40.704999999999998</c:v>
                </c:pt>
                <c:pt idx="401">
                  <c:v>40.704999999999998</c:v>
                </c:pt>
                <c:pt idx="402">
                  <c:v>40.704999999999998</c:v>
                </c:pt>
                <c:pt idx="403">
                  <c:v>40.704999999999998</c:v>
                </c:pt>
                <c:pt idx="404">
                  <c:v>40.704999999999998</c:v>
                </c:pt>
                <c:pt idx="405">
                  <c:v>40.704999999999998</c:v>
                </c:pt>
                <c:pt idx="406">
                  <c:v>40.704999999999998</c:v>
                </c:pt>
                <c:pt idx="407">
                  <c:v>40.704999999999998</c:v>
                </c:pt>
                <c:pt idx="408">
                  <c:v>40.704999999999998</c:v>
                </c:pt>
                <c:pt idx="409">
                  <c:v>40.704999999999998</c:v>
                </c:pt>
                <c:pt idx="410">
                  <c:v>40.704999999999998</c:v>
                </c:pt>
                <c:pt idx="411">
                  <c:v>40.704999999999998</c:v>
                </c:pt>
                <c:pt idx="412">
                  <c:v>40.704999999999998</c:v>
                </c:pt>
                <c:pt idx="413">
                  <c:v>40.704999999999998</c:v>
                </c:pt>
                <c:pt idx="414">
                  <c:v>40.704999999999998</c:v>
                </c:pt>
                <c:pt idx="415">
                  <c:v>40.704999999999998</c:v>
                </c:pt>
                <c:pt idx="416">
                  <c:v>40.704999999999998</c:v>
                </c:pt>
                <c:pt idx="417">
                  <c:v>40.704999999999998</c:v>
                </c:pt>
                <c:pt idx="418">
                  <c:v>40.704999999999998</c:v>
                </c:pt>
                <c:pt idx="419">
                  <c:v>40.704999999999998</c:v>
                </c:pt>
                <c:pt idx="420">
                  <c:v>40.704999999999998</c:v>
                </c:pt>
                <c:pt idx="421">
                  <c:v>40.704999999999998</c:v>
                </c:pt>
                <c:pt idx="422">
                  <c:v>40.704999999999998</c:v>
                </c:pt>
                <c:pt idx="423">
                  <c:v>40.704999999999998</c:v>
                </c:pt>
                <c:pt idx="424">
                  <c:v>40.704999999999998</c:v>
                </c:pt>
                <c:pt idx="425">
                  <c:v>40.704999999999998</c:v>
                </c:pt>
                <c:pt idx="426">
                  <c:v>40.704999999999998</c:v>
                </c:pt>
                <c:pt idx="427">
                  <c:v>40.704999999999998</c:v>
                </c:pt>
                <c:pt idx="428">
                  <c:v>40.704999999999998</c:v>
                </c:pt>
                <c:pt idx="429">
                  <c:v>40.704999999999998</c:v>
                </c:pt>
                <c:pt idx="430">
                  <c:v>40.704999999999998</c:v>
                </c:pt>
                <c:pt idx="431">
                  <c:v>40.704999999999998</c:v>
                </c:pt>
                <c:pt idx="432">
                  <c:v>40.704999999999998</c:v>
                </c:pt>
                <c:pt idx="433">
                  <c:v>40.704999999999998</c:v>
                </c:pt>
                <c:pt idx="434">
                  <c:v>40.704999999999998</c:v>
                </c:pt>
                <c:pt idx="435">
                  <c:v>40.704999999999998</c:v>
                </c:pt>
                <c:pt idx="436">
                  <c:v>40.704999999999998</c:v>
                </c:pt>
                <c:pt idx="437">
                  <c:v>40.704999999999998</c:v>
                </c:pt>
                <c:pt idx="438">
                  <c:v>40.704999999999998</c:v>
                </c:pt>
                <c:pt idx="439">
                  <c:v>40.704999999999998</c:v>
                </c:pt>
                <c:pt idx="440">
                  <c:v>40.704999999999998</c:v>
                </c:pt>
                <c:pt idx="441">
                  <c:v>40.704999999999998</c:v>
                </c:pt>
                <c:pt idx="442">
                  <c:v>40.704999999999998</c:v>
                </c:pt>
                <c:pt idx="443">
                  <c:v>40.704999999999998</c:v>
                </c:pt>
                <c:pt idx="444">
                  <c:v>40.704999999999998</c:v>
                </c:pt>
                <c:pt idx="445">
                  <c:v>40.704999999999998</c:v>
                </c:pt>
                <c:pt idx="446">
                  <c:v>40.704999999999998</c:v>
                </c:pt>
                <c:pt idx="447">
                  <c:v>40.704999999999998</c:v>
                </c:pt>
                <c:pt idx="448">
                  <c:v>40.704999999999998</c:v>
                </c:pt>
                <c:pt idx="449">
                  <c:v>40.704999999999998</c:v>
                </c:pt>
                <c:pt idx="450">
                  <c:v>40.704999999999998</c:v>
                </c:pt>
                <c:pt idx="451">
                  <c:v>40.704999999999998</c:v>
                </c:pt>
                <c:pt idx="452">
                  <c:v>40.704999999999998</c:v>
                </c:pt>
                <c:pt idx="453">
                  <c:v>40.704999999999998</c:v>
                </c:pt>
                <c:pt idx="454">
                  <c:v>40.704999999999998</c:v>
                </c:pt>
                <c:pt idx="455">
                  <c:v>40.704999999999998</c:v>
                </c:pt>
                <c:pt idx="456">
                  <c:v>40.704999999999998</c:v>
                </c:pt>
                <c:pt idx="457">
                  <c:v>40.704999999999998</c:v>
                </c:pt>
                <c:pt idx="458">
                  <c:v>40.704999999999998</c:v>
                </c:pt>
                <c:pt idx="459">
                  <c:v>40.704999999999998</c:v>
                </c:pt>
                <c:pt idx="460">
                  <c:v>40.704999999999998</c:v>
                </c:pt>
                <c:pt idx="461">
                  <c:v>40.704999999999998</c:v>
                </c:pt>
                <c:pt idx="462">
                  <c:v>40.704999999999998</c:v>
                </c:pt>
                <c:pt idx="463">
                  <c:v>40.704999999999998</c:v>
                </c:pt>
                <c:pt idx="464">
                  <c:v>40.704999999999998</c:v>
                </c:pt>
                <c:pt idx="465">
                  <c:v>40.704999999999998</c:v>
                </c:pt>
                <c:pt idx="466">
                  <c:v>40.704999999999998</c:v>
                </c:pt>
                <c:pt idx="467">
                  <c:v>40.704999999999998</c:v>
                </c:pt>
                <c:pt idx="468">
                  <c:v>40.704999999999998</c:v>
                </c:pt>
                <c:pt idx="469">
                  <c:v>40.704999999999998</c:v>
                </c:pt>
                <c:pt idx="470">
                  <c:v>40.704999999999998</c:v>
                </c:pt>
                <c:pt idx="471">
                  <c:v>40.704999999999998</c:v>
                </c:pt>
                <c:pt idx="472">
                  <c:v>40.704999999999998</c:v>
                </c:pt>
                <c:pt idx="473">
                  <c:v>40.704999999999998</c:v>
                </c:pt>
                <c:pt idx="474">
                  <c:v>40.704999999999998</c:v>
                </c:pt>
                <c:pt idx="475">
                  <c:v>40.704999999999998</c:v>
                </c:pt>
                <c:pt idx="476">
                  <c:v>40.704999999999998</c:v>
                </c:pt>
                <c:pt idx="477">
                  <c:v>40.704999999999998</c:v>
                </c:pt>
                <c:pt idx="478">
                  <c:v>40.704999999999998</c:v>
                </c:pt>
                <c:pt idx="479">
                  <c:v>40.704999999999998</c:v>
                </c:pt>
                <c:pt idx="480">
                  <c:v>40.704999999999998</c:v>
                </c:pt>
                <c:pt idx="481">
                  <c:v>40.704999999999998</c:v>
                </c:pt>
                <c:pt idx="482">
                  <c:v>40.704999999999998</c:v>
                </c:pt>
                <c:pt idx="483">
                  <c:v>40.704999999999998</c:v>
                </c:pt>
                <c:pt idx="484">
                  <c:v>40.704999999999998</c:v>
                </c:pt>
                <c:pt idx="485">
                  <c:v>40.704999999999998</c:v>
                </c:pt>
                <c:pt idx="486">
                  <c:v>40.704999999999998</c:v>
                </c:pt>
                <c:pt idx="487">
                  <c:v>40.704999999999998</c:v>
                </c:pt>
                <c:pt idx="488">
                  <c:v>40.704999999999998</c:v>
                </c:pt>
                <c:pt idx="489">
                  <c:v>40.704999999999998</c:v>
                </c:pt>
                <c:pt idx="490">
                  <c:v>40.704999999999998</c:v>
                </c:pt>
                <c:pt idx="491">
                  <c:v>40.704999999999998</c:v>
                </c:pt>
                <c:pt idx="492">
                  <c:v>40.704999999999998</c:v>
                </c:pt>
                <c:pt idx="493">
                  <c:v>40.704999999999998</c:v>
                </c:pt>
                <c:pt idx="494">
                  <c:v>40.704999999999998</c:v>
                </c:pt>
                <c:pt idx="495">
                  <c:v>40.704999999999998</c:v>
                </c:pt>
                <c:pt idx="496">
                  <c:v>40.704999999999998</c:v>
                </c:pt>
                <c:pt idx="497">
                  <c:v>40.704999999999998</c:v>
                </c:pt>
                <c:pt idx="498">
                  <c:v>40.704999999999998</c:v>
                </c:pt>
                <c:pt idx="499">
                  <c:v>40.704999999999998</c:v>
                </c:pt>
                <c:pt idx="500">
                  <c:v>40.704999999999998</c:v>
                </c:pt>
                <c:pt idx="501">
                  <c:v>40.704999999999998</c:v>
                </c:pt>
                <c:pt idx="502">
                  <c:v>40.704999999999998</c:v>
                </c:pt>
                <c:pt idx="503">
                  <c:v>40.704999999999998</c:v>
                </c:pt>
              </c:numCache>
            </c:numRef>
          </c:xVal>
          <c:yVal>
            <c:numRef>
              <c:f>Smart!$IQ$3:$IQ$506</c:f>
              <c:numCache>
                <c:formatCode>General</c:formatCode>
                <c:ptCount val="50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numCache>
            </c:numRef>
          </c:yVal>
          <c:smooth val="0"/>
          <c:extLst xmlns:c16r2="http://schemas.microsoft.com/office/drawing/2015/06/chart">
            <c:ext xmlns:c16="http://schemas.microsoft.com/office/drawing/2014/chart" uri="{C3380CC4-5D6E-409C-BE32-E72D297353CC}">
              <c16:uniqueId val="{00000006-C01D-439B-BA19-A5DA1AAAAC61}"/>
            </c:ext>
          </c:extLst>
        </c:ser>
        <c:dLbls>
          <c:showLegendKey val="0"/>
          <c:showVal val="0"/>
          <c:showCatName val="0"/>
          <c:showSerName val="0"/>
          <c:showPercent val="0"/>
          <c:showBubbleSize val="0"/>
        </c:dLbls>
        <c:axId val="173271560"/>
        <c:axId val="173271952"/>
      </c:scatterChart>
      <c:scatterChart>
        <c:scatterStyle val="lineMarker"/>
        <c:varyColors val="0"/>
        <c:ser>
          <c:idx val="1"/>
          <c:order val="1"/>
          <c:tx>
            <c:v>Force</c:v>
          </c:tx>
          <c:spPr>
            <a:ln w="12700">
              <a:solidFill>
                <a:srgbClr val="0000FF"/>
              </a:solidFill>
              <a:prstDash val="solid"/>
            </a:ln>
          </c:spPr>
          <c:marker>
            <c:symbol val="none"/>
          </c:marker>
          <c:xVal>
            <c:numRef>
              <c:f>Smart!$AX$30:$AX$186</c:f>
              <c:numCache>
                <c:formatCode>General</c:formatCode>
                <c:ptCount val="157"/>
                <c:pt idx="0">
                  <c:v>0</c:v>
                </c:pt>
                <c:pt idx="1">
                  <c:v>0</c:v>
                </c:pt>
                <c:pt idx="2">
                  <c:v>8.0000000000000002E-3</c:v>
                </c:pt>
                <c:pt idx="3">
                  <c:v>1.6E-2</c:v>
                </c:pt>
                <c:pt idx="4">
                  <c:v>2.4E-2</c:v>
                </c:pt>
                <c:pt idx="5">
                  <c:v>3.2000000000000001E-2</c:v>
                </c:pt>
                <c:pt idx="6">
                  <c:v>0.04</c:v>
                </c:pt>
                <c:pt idx="7">
                  <c:v>4.8000000000000001E-2</c:v>
                </c:pt>
                <c:pt idx="8">
                  <c:v>5.6000000000000001E-2</c:v>
                </c:pt>
                <c:pt idx="9">
                  <c:v>6.4000000000000001E-2</c:v>
                </c:pt>
                <c:pt idx="10">
                  <c:v>7.2000000000000008E-2</c:v>
                </c:pt>
                <c:pt idx="11">
                  <c:v>8.0000000000000016E-2</c:v>
                </c:pt>
                <c:pt idx="12">
                  <c:v>0.08</c:v>
                </c:pt>
                <c:pt idx="13">
                  <c:v>0.625</c:v>
                </c:pt>
                <c:pt idx="14">
                  <c:v>0.625</c:v>
                </c:pt>
                <c:pt idx="15">
                  <c:v>0.63300000000000001</c:v>
                </c:pt>
                <c:pt idx="16">
                  <c:v>0.64100000000000001</c:v>
                </c:pt>
                <c:pt idx="17">
                  <c:v>0.64900000000000002</c:v>
                </c:pt>
                <c:pt idx="18">
                  <c:v>0.65700000000000003</c:v>
                </c:pt>
                <c:pt idx="19">
                  <c:v>0.66500000000000004</c:v>
                </c:pt>
                <c:pt idx="20">
                  <c:v>0.67300000000000004</c:v>
                </c:pt>
                <c:pt idx="21">
                  <c:v>0.68100000000000005</c:v>
                </c:pt>
                <c:pt idx="22">
                  <c:v>0.68900000000000006</c:v>
                </c:pt>
                <c:pt idx="23">
                  <c:v>0.69700000000000006</c:v>
                </c:pt>
                <c:pt idx="24">
                  <c:v>0.70500000000000007</c:v>
                </c:pt>
                <c:pt idx="25">
                  <c:v>0.70499999999999996</c:v>
                </c:pt>
                <c:pt idx="26">
                  <c:v>40.704999999999998</c:v>
                </c:pt>
                <c:pt idx="27">
                  <c:v>40.704999999999998</c:v>
                </c:pt>
                <c:pt idx="28">
                  <c:v>40.704999999999998</c:v>
                </c:pt>
                <c:pt idx="29">
                  <c:v>40.704999999999998</c:v>
                </c:pt>
                <c:pt idx="30">
                  <c:v>40.704999999999998</c:v>
                </c:pt>
                <c:pt idx="31">
                  <c:v>40.704999999999998</c:v>
                </c:pt>
                <c:pt idx="32">
                  <c:v>40.704999999999998</c:v>
                </c:pt>
                <c:pt idx="33">
                  <c:v>40.704999999999998</c:v>
                </c:pt>
                <c:pt idx="34">
                  <c:v>40.704999999999998</c:v>
                </c:pt>
                <c:pt idx="35">
                  <c:v>40.704999999999998</c:v>
                </c:pt>
                <c:pt idx="36">
                  <c:v>40.704999999999998</c:v>
                </c:pt>
                <c:pt idx="37">
                  <c:v>40.704999999999998</c:v>
                </c:pt>
                <c:pt idx="38">
                  <c:v>40.704999999999998</c:v>
                </c:pt>
                <c:pt idx="39">
                  <c:v>40.704999999999998</c:v>
                </c:pt>
                <c:pt idx="40">
                  <c:v>40.704999999999998</c:v>
                </c:pt>
                <c:pt idx="41">
                  <c:v>40.704999999999998</c:v>
                </c:pt>
                <c:pt idx="42">
                  <c:v>40.704999999999998</c:v>
                </c:pt>
                <c:pt idx="43">
                  <c:v>40.704999999999998</c:v>
                </c:pt>
                <c:pt idx="44">
                  <c:v>40.704999999999998</c:v>
                </c:pt>
                <c:pt idx="45">
                  <c:v>40.704999999999998</c:v>
                </c:pt>
                <c:pt idx="46">
                  <c:v>40.704999999999998</c:v>
                </c:pt>
                <c:pt idx="47">
                  <c:v>40.704999999999998</c:v>
                </c:pt>
                <c:pt idx="48">
                  <c:v>40.704999999999998</c:v>
                </c:pt>
                <c:pt idx="49">
                  <c:v>40.704999999999998</c:v>
                </c:pt>
                <c:pt idx="50">
                  <c:v>40.704999999999998</c:v>
                </c:pt>
                <c:pt idx="51">
                  <c:v>40.704999999999998</c:v>
                </c:pt>
                <c:pt idx="52">
                  <c:v>40.704999999999998</c:v>
                </c:pt>
                <c:pt idx="53">
                  <c:v>40.704999999999998</c:v>
                </c:pt>
                <c:pt idx="54">
                  <c:v>40.704999999999998</c:v>
                </c:pt>
                <c:pt idx="55">
                  <c:v>40.704999999999998</c:v>
                </c:pt>
                <c:pt idx="56">
                  <c:v>40.704999999999998</c:v>
                </c:pt>
                <c:pt idx="57">
                  <c:v>40.704999999999998</c:v>
                </c:pt>
                <c:pt idx="58">
                  <c:v>40.704999999999998</c:v>
                </c:pt>
                <c:pt idx="59">
                  <c:v>40.704999999999998</c:v>
                </c:pt>
                <c:pt idx="60">
                  <c:v>40.704999999999998</c:v>
                </c:pt>
                <c:pt idx="61">
                  <c:v>40.704999999999998</c:v>
                </c:pt>
                <c:pt idx="62">
                  <c:v>40.704999999999998</c:v>
                </c:pt>
                <c:pt idx="63">
                  <c:v>40.704999999999998</c:v>
                </c:pt>
                <c:pt idx="64">
                  <c:v>40.704999999999998</c:v>
                </c:pt>
                <c:pt idx="65">
                  <c:v>40.704999999999998</c:v>
                </c:pt>
                <c:pt idx="66">
                  <c:v>40.704999999999998</c:v>
                </c:pt>
                <c:pt idx="67">
                  <c:v>40.704999999999998</c:v>
                </c:pt>
                <c:pt idx="68">
                  <c:v>40.704999999999998</c:v>
                </c:pt>
                <c:pt idx="69">
                  <c:v>40.704999999999998</c:v>
                </c:pt>
                <c:pt idx="70">
                  <c:v>40.704999999999998</c:v>
                </c:pt>
                <c:pt idx="71">
                  <c:v>40.704999999999998</c:v>
                </c:pt>
                <c:pt idx="72">
                  <c:v>40.704999999999998</c:v>
                </c:pt>
                <c:pt idx="73">
                  <c:v>40.704999999999998</c:v>
                </c:pt>
                <c:pt idx="74">
                  <c:v>40.704999999999998</c:v>
                </c:pt>
                <c:pt idx="75">
                  <c:v>40.704999999999998</c:v>
                </c:pt>
                <c:pt idx="76">
                  <c:v>40.704999999999998</c:v>
                </c:pt>
                <c:pt idx="77">
                  <c:v>40.704999999999998</c:v>
                </c:pt>
                <c:pt idx="78">
                  <c:v>40.704999999999998</c:v>
                </c:pt>
                <c:pt idx="79">
                  <c:v>40.704999999999998</c:v>
                </c:pt>
                <c:pt idx="80">
                  <c:v>40.704999999999998</c:v>
                </c:pt>
                <c:pt idx="81">
                  <c:v>40.704999999999998</c:v>
                </c:pt>
                <c:pt idx="82">
                  <c:v>40.704999999999998</c:v>
                </c:pt>
                <c:pt idx="83">
                  <c:v>40.704999999999998</c:v>
                </c:pt>
                <c:pt idx="84">
                  <c:v>40.704999999999998</c:v>
                </c:pt>
                <c:pt idx="85">
                  <c:v>40.704999999999998</c:v>
                </c:pt>
                <c:pt idx="86">
                  <c:v>40.704999999999998</c:v>
                </c:pt>
                <c:pt idx="87">
                  <c:v>40.704999999999998</c:v>
                </c:pt>
                <c:pt idx="88">
                  <c:v>40.704999999999998</c:v>
                </c:pt>
                <c:pt idx="89">
                  <c:v>40.704999999999998</c:v>
                </c:pt>
                <c:pt idx="90">
                  <c:v>40.704999999999998</c:v>
                </c:pt>
                <c:pt idx="91">
                  <c:v>40.704999999999998</c:v>
                </c:pt>
                <c:pt idx="92">
                  <c:v>40.704999999999998</c:v>
                </c:pt>
                <c:pt idx="93">
                  <c:v>40.704999999999998</c:v>
                </c:pt>
                <c:pt idx="94">
                  <c:v>40.704999999999998</c:v>
                </c:pt>
                <c:pt idx="95">
                  <c:v>40.704999999999998</c:v>
                </c:pt>
                <c:pt idx="96">
                  <c:v>40.704999999999998</c:v>
                </c:pt>
                <c:pt idx="97">
                  <c:v>40.704999999999998</c:v>
                </c:pt>
                <c:pt idx="98">
                  <c:v>40.704999999999998</c:v>
                </c:pt>
                <c:pt idx="99">
                  <c:v>40.704999999999998</c:v>
                </c:pt>
                <c:pt idx="100">
                  <c:v>40.704999999999998</c:v>
                </c:pt>
                <c:pt idx="101">
                  <c:v>40.704999999999998</c:v>
                </c:pt>
                <c:pt idx="102">
                  <c:v>40.704999999999998</c:v>
                </c:pt>
                <c:pt idx="103">
                  <c:v>40.704999999999998</c:v>
                </c:pt>
                <c:pt idx="104">
                  <c:v>40.704999999999998</c:v>
                </c:pt>
                <c:pt idx="105">
                  <c:v>40.704999999999998</c:v>
                </c:pt>
                <c:pt idx="106">
                  <c:v>40.704999999999998</c:v>
                </c:pt>
                <c:pt idx="107">
                  <c:v>40.704999999999998</c:v>
                </c:pt>
                <c:pt idx="108">
                  <c:v>40.704999999999998</c:v>
                </c:pt>
                <c:pt idx="109">
                  <c:v>40.704999999999998</c:v>
                </c:pt>
                <c:pt idx="110">
                  <c:v>40.704999999999998</c:v>
                </c:pt>
                <c:pt idx="111">
                  <c:v>40.704999999999998</c:v>
                </c:pt>
                <c:pt idx="112">
                  <c:v>40.704999999999998</c:v>
                </c:pt>
                <c:pt idx="113">
                  <c:v>40.704999999999998</c:v>
                </c:pt>
                <c:pt idx="114">
                  <c:v>40.704999999999998</c:v>
                </c:pt>
                <c:pt idx="115">
                  <c:v>40.704999999999998</c:v>
                </c:pt>
                <c:pt idx="116">
                  <c:v>40.704999999999998</c:v>
                </c:pt>
                <c:pt idx="117">
                  <c:v>40.704999999999998</c:v>
                </c:pt>
                <c:pt idx="118">
                  <c:v>40.704999999999998</c:v>
                </c:pt>
                <c:pt idx="119">
                  <c:v>40.704999999999998</c:v>
                </c:pt>
                <c:pt idx="120">
                  <c:v>40.704999999999998</c:v>
                </c:pt>
                <c:pt idx="121">
                  <c:v>40.704999999999998</c:v>
                </c:pt>
                <c:pt idx="122">
                  <c:v>40.704999999999998</c:v>
                </c:pt>
                <c:pt idx="123">
                  <c:v>40.704999999999998</c:v>
                </c:pt>
                <c:pt idx="124">
                  <c:v>40.704999999999998</c:v>
                </c:pt>
                <c:pt idx="125">
                  <c:v>40.704999999999998</c:v>
                </c:pt>
                <c:pt idx="126">
                  <c:v>40.704999999999998</c:v>
                </c:pt>
                <c:pt idx="127">
                  <c:v>40.704999999999998</c:v>
                </c:pt>
                <c:pt idx="128">
                  <c:v>40.704999999999998</c:v>
                </c:pt>
                <c:pt idx="129">
                  <c:v>40.704999999999998</c:v>
                </c:pt>
                <c:pt idx="130">
                  <c:v>40.704999999999998</c:v>
                </c:pt>
                <c:pt idx="131">
                  <c:v>40.704999999999998</c:v>
                </c:pt>
                <c:pt idx="132">
                  <c:v>40.704999999999998</c:v>
                </c:pt>
                <c:pt idx="133">
                  <c:v>40.704999999999998</c:v>
                </c:pt>
                <c:pt idx="134">
                  <c:v>40.704999999999998</c:v>
                </c:pt>
                <c:pt idx="135">
                  <c:v>40.704999999999998</c:v>
                </c:pt>
                <c:pt idx="136">
                  <c:v>40.704999999999998</c:v>
                </c:pt>
                <c:pt idx="137">
                  <c:v>40.704999999999998</c:v>
                </c:pt>
                <c:pt idx="138">
                  <c:v>40.704999999999998</c:v>
                </c:pt>
                <c:pt idx="139">
                  <c:v>40.704999999999998</c:v>
                </c:pt>
                <c:pt idx="140">
                  <c:v>40.704999999999998</c:v>
                </c:pt>
                <c:pt idx="141">
                  <c:v>40.704999999999998</c:v>
                </c:pt>
                <c:pt idx="142">
                  <c:v>40.704999999999998</c:v>
                </c:pt>
                <c:pt idx="143">
                  <c:v>40.704999999999998</c:v>
                </c:pt>
                <c:pt idx="144">
                  <c:v>40.704999999999998</c:v>
                </c:pt>
                <c:pt idx="145">
                  <c:v>40.704999999999998</c:v>
                </c:pt>
                <c:pt idx="146">
                  <c:v>40.704999999999998</c:v>
                </c:pt>
                <c:pt idx="147">
                  <c:v>40.704999999999998</c:v>
                </c:pt>
                <c:pt idx="148">
                  <c:v>40.704999999999998</c:v>
                </c:pt>
                <c:pt idx="149">
                  <c:v>40.704999999999998</c:v>
                </c:pt>
                <c:pt idx="150">
                  <c:v>40.704999999999998</c:v>
                </c:pt>
                <c:pt idx="151">
                  <c:v>40.704999999999998</c:v>
                </c:pt>
                <c:pt idx="152">
                  <c:v>40.704999999999998</c:v>
                </c:pt>
                <c:pt idx="153">
                  <c:v>40.704999999999998</c:v>
                </c:pt>
                <c:pt idx="154">
                  <c:v>40.704999999999998</c:v>
                </c:pt>
                <c:pt idx="155">
                  <c:v>40.704999999999998</c:v>
                </c:pt>
                <c:pt idx="156">
                  <c:v>40.704999999999998</c:v>
                </c:pt>
              </c:numCache>
            </c:numRef>
          </c:xVal>
          <c:yVal>
            <c:numRef>
              <c:f>Smart!$AW$30:$AW$186</c:f>
              <c:numCache>
                <c:formatCode>General</c:formatCode>
                <c:ptCount val="157"/>
                <c:pt idx="0">
                  <c:v>0</c:v>
                </c:pt>
                <c:pt idx="1">
                  <c:v>0.44145000000000006</c:v>
                </c:pt>
                <c:pt idx="2">
                  <c:v>0.51345000000000007</c:v>
                </c:pt>
                <c:pt idx="3">
                  <c:v>0.58545000000000014</c:v>
                </c:pt>
                <c:pt idx="4">
                  <c:v>0.62145000000000006</c:v>
                </c:pt>
                <c:pt idx="5">
                  <c:v>0.62145000000000006</c:v>
                </c:pt>
                <c:pt idx="6">
                  <c:v>0.62145000000000006</c:v>
                </c:pt>
                <c:pt idx="7">
                  <c:v>0.62145000000000006</c:v>
                </c:pt>
                <c:pt idx="8">
                  <c:v>0.62145000000000006</c:v>
                </c:pt>
                <c:pt idx="9">
                  <c:v>0.58545000000000003</c:v>
                </c:pt>
                <c:pt idx="10">
                  <c:v>0.51344999999999996</c:v>
                </c:pt>
                <c:pt idx="11">
                  <c:v>0.44145000000000001</c:v>
                </c:pt>
                <c:pt idx="12">
                  <c:v>0.44145000000000006</c:v>
                </c:pt>
                <c:pt idx="13">
                  <c:v>0.44145000000000006</c:v>
                </c:pt>
                <c:pt idx="14">
                  <c:v>0.44145000000000006</c:v>
                </c:pt>
                <c:pt idx="15">
                  <c:v>0.51345000000000007</c:v>
                </c:pt>
                <c:pt idx="16">
                  <c:v>0.58545000000000014</c:v>
                </c:pt>
                <c:pt idx="17">
                  <c:v>0.62145000000000006</c:v>
                </c:pt>
                <c:pt idx="18">
                  <c:v>0.62145000000000006</c:v>
                </c:pt>
                <c:pt idx="19">
                  <c:v>0.62145000000000006</c:v>
                </c:pt>
                <c:pt idx="20">
                  <c:v>0.62145000000000006</c:v>
                </c:pt>
                <c:pt idx="21">
                  <c:v>0.62145000000000006</c:v>
                </c:pt>
                <c:pt idx="22">
                  <c:v>0.58545000000000003</c:v>
                </c:pt>
                <c:pt idx="23">
                  <c:v>0.51344999999999996</c:v>
                </c:pt>
                <c:pt idx="24">
                  <c:v>0.44145000000000001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numCache>
            </c:numRef>
          </c:yVal>
          <c:smooth val="0"/>
          <c:extLst xmlns:c16r2="http://schemas.microsoft.com/office/drawing/2015/06/chart">
            <c:ext xmlns:c16="http://schemas.microsoft.com/office/drawing/2014/chart" uri="{C3380CC4-5D6E-409C-BE32-E72D297353CC}">
              <c16:uniqueId val="{00000007-C01D-439B-BA19-A5DA1AAAAC61}"/>
            </c:ext>
          </c:extLst>
        </c:ser>
        <c:dLbls>
          <c:showLegendKey val="0"/>
          <c:showVal val="0"/>
          <c:showCatName val="0"/>
          <c:showSerName val="0"/>
          <c:showPercent val="0"/>
          <c:showBubbleSize val="0"/>
        </c:dLbls>
        <c:axId val="173272344"/>
        <c:axId val="173272736"/>
      </c:scatterChart>
      <c:valAx>
        <c:axId val="173271560"/>
        <c:scaling>
          <c:orientation val="minMax"/>
        </c:scaling>
        <c:delete val="0"/>
        <c:axPos val="b"/>
        <c:title>
          <c:tx>
            <c:rich>
              <a:bodyPr/>
              <a:lstStyle/>
              <a:p>
                <a:pPr>
                  <a:defRPr sz="930" b="1" i="0" u="none" strike="noStrike" baseline="0">
                    <a:solidFill>
                      <a:srgbClr val="000000"/>
                    </a:solidFill>
                    <a:latin typeface="Arial"/>
                    <a:ea typeface="Arial"/>
                    <a:cs typeface="Arial"/>
                  </a:defRPr>
                </a:pPr>
                <a:r>
                  <a:rPr lang="en-US"/>
                  <a:t>Time (seconds)</a:t>
                </a:r>
              </a:p>
            </c:rich>
          </c:tx>
          <c:layout>
            <c:manualLayout>
              <c:xMode val="edge"/>
              <c:yMode val="edge"/>
              <c:x val="0.46028531854462751"/>
              <c:y val="0.89189362957537288"/>
            </c:manualLayout>
          </c:layout>
          <c:overlay val="0"/>
          <c:spPr>
            <a:noFill/>
            <a:ln w="25400">
              <a:noFill/>
            </a:ln>
          </c:spPr>
        </c:title>
        <c:numFmt formatCode="0.00" sourceLinked="0"/>
        <c:majorTickMark val="out"/>
        <c:minorTickMark val="none"/>
        <c:tickLblPos val="low"/>
        <c:spPr>
          <a:ln w="3175">
            <a:solidFill>
              <a:srgbClr val="000000"/>
            </a:solidFill>
            <a:prstDash val="solid"/>
          </a:ln>
        </c:spPr>
        <c:txPr>
          <a:bodyPr rot="0" vert="horz"/>
          <a:lstStyle/>
          <a:p>
            <a:pPr>
              <a:defRPr sz="930" b="0" i="0" u="none" strike="noStrike" baseline="0">
                <a:solidFill>
                  <a:srgbClr val="000000"/>
                </a:solidFill>
                <a:latin typeface="Arial"/>
                <a:ea typeface="Arial"/>
                <a:cs typeface="Arial"/>
              </a:defRPr>
            </a:pPr>
            <a:endParaRPr lang="en-US"/>
          </a:p>
        </c:txPr>
        <c:crossAx val="173271952"/>
        <c:crosses val="autoZero"/>
        <c:crossBetween val="midCat"/>
      </c:valAx>
      <c:valAx>
        <c:axId val="173271952"/>
        <c:scaling>
          <c:orientation val="minMax"/>
        </c:scaling>
        <c:delete val="0"/>
        <c:axPos val="l"/>
        <c:title>
          <c:tx>
            <c:rich>
              <a:bodyPr/>
              <a:lstStyle/>
              <a:p>
                <a:pPr>
                  <a:defRPr sz="930" b="1" i="0" u="none" strike="noStrike" baseline="0">
                    <a:solidFill>
                      <a:srgbClr val="000000"/>
                    </a:solidFill>
                    <a:latin typeface="Arial"/>
                    <a:ea typeface="Arial"/>
                    <a:cs typeface="Arial"/>
                  </a:defRPr>
                </a:pPr>
                <a:r>
                  <a:rPr lang="en-US"/>
                  <a:t>Velocity (mm/sec)</a:t>
                </a:r>
              </a:p>
            </c:rich>
          </c:tx>
          <c:layout>
            <c:manualLayout>
              <c:xMode val="edge"/>
              <c:yMode val="edge"/>
              <c:x val="5.307873476801026E-3"/>
              <c:y val="0.29343628558058149"/>
            </c:manualLayout>
          </c:layout>
          <c:overlay val="0"/>
          <c:spPr>
            <a:noFill/>
            <a:ln w="25400">
              <a:noFill/>
            </a:ln>
          </c:spPr>
        </c:title>
        <c:numFmt formatCode="0.00" sourceLinked="0"/>
        <c:majorTickMark val="out"/>
        <c:minorTickMark val="none"/>
        <c:tickLblPos val="low"/>
        <c:spPr>
          <a:ln w="3175">
            <a:solidFill>
              <a:srgbClr val="000000"/>
            </a:solidFill>
            <a:prstDash val="solid"/>
          </a:ln>
        </c:spPr>
        <c:txPr>
          <a:bodyPr rot="0" vert="horz"/>
          <a:lstStyle/>
          <a:p>
            <a:pPr>
              <a:defRPr sz="930" b="0" i="0" u="none" strike="noStrike" baseline="0">
                <a:solidFill>
                  <a:srgbClr val="000000"/>
                </a:solidFill>
                <a:latin typeface="Arial"/>
                <a:ea typeface="Arial"/>
                <a:cs typeface="Arial"/>
              </a:defRPr>
            </a:pPr>
            <a:endParaRPr lang="en-US"/>
          </a:p>
        </c:txPr>
        <c:crossAx val="173271560"/>
        <c:crosses val="autoZero"/>
        <c:crossBetween val="midCat"/>
      </c:valAx>
      <c:valAx>
        <c:axId val="173272344"/>
        <c:scaling>
          <c:orientation val="minMax"/>
        </c:scaling>
        <c:delete val="1"/>
        <c:axPos val="b"/>
        <c:numFmt formatCode="General" sourceLinked="1"/>
        <c:majorTickMark val="out"/>
        <c:minorTickMark val="none"/>
        <c:tickLblPos val="nextTo"/>
        <c:crossAx val="173272736"/>
        <c:crosses val="autoZero"/>
        <c:crossBetween val="midCat"/>
      </c:valAx>
      <c:valAx>
        <c:axId val="173272736"/>
        <c:scaling>
          <c:orientation val="minMax"/>
        </c:scaling>
        <c:delete val="0"/>
        <c:axPos val="r"/>
        <c:title>
          <c:tx>
            <c:rich>
              <a:bodyPr/>
              <a:lstStyle/>
              <a:p>
                <a:pPr>
                  <a:defRPr sz="1000" b="1" i="0" u="none" strike="noStrike" baseline="0">
                    <a:solidFill>
                      <a:srgbClr val="000000"/>
                    </a:solidFill>
                    <a:latin typeface="Arial"/>
                    <a:ea typeface="Arial"/>
                    <a:cs typeface="Arial"/>
                  </a:defRPr>
                </a:pPr>
                <a:r>
                  <a:rPr lang="en-US"/>
                  <a:t>Force (Newton)</a:t>
                </a:r>
              </a:p>
            </c:rich>
          </c:tx>
          <c:layout>
            <c:manualLayout>
              <c:xMode val="edge"/>
              <c:yMode val="edge"/>
              <c:x val="0.97125256673511295"/>
              <c:y val="0.34108527131782945"/>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en-US"/>
          </a:p>
        </c:txPr>
        <c:crossAx val="173272344"/>
        <c:crosses val="max"/>
        <c:crossBetween val="midCat"/>
      </c:valAx>
      <c:spPr>
        <a:noFill/>
        <a:ln w="25400">
          <a:noFill/>
        </a:ln>
      </c:spPr>
    </c:plotArea>
    <c:legend>
      <c:legendPos val="r"/>
      <c:legendEntry>
        <c:idx val="2"/>
        <c:delete val="1"/>
      </c:legendEntry>
      <c:legendEntry>
        <c:idx val="3"/>
        <c:delete val="1"/>
      </c:legendEntry>
      <c:legendEntry>
        <c:idx val="4"/>
        <c:delete val="1"/>
      </c:legendEntry>
      <c:legendEntry>
        <c:idx val="5"/>
        <c:delete val="1"/>
      </c:legendEntry>
      <c:legendEntry>
        <c:idx val="6"/>
        <c:delete val="1"/>
      </c:legendEntry>
      <c:layout>
        <c:manualLayout>
          <c:xMode val="edge"/>
          <c:yMode val="edge"/>
          <c:x val="0.77528128555190523"/>
          <c:y val="1.9379918316672406E-2"/>
          <c:w val="0.15526054730420236"/>
          <c:h val="0.17054328118671719"/>
        </c:manualLayout>
      </c:layout>
      <c:overlay val="0"/>
      <c:spPr>
        <a:solidFill>
          <a:srgbClr val="FFFFFF"/>
        </a:solidFill>
        <a:ln w="3175">
          <a:solidFill>
            <a:srgbClr val="000000"/>
          </a:solidFill>
          <a:prstDash val="solid"/>
        </a:ln>
      </c:spPr>
      <c:txPr>
        <a:bodyPr/>
        <a:lstStyle/>
        <a:p>
          <a:pPr>
            <a:defRPr sz="920" b="0" i="0" u="none" strike="noStrike" baseline="0">
              <a:solidFill>
                <a:srgbClr val="000000"/>
              </a:solidFill>
              <a:latin typeface="Arial"/>
              <a:ea typeface="Arial"/>
              <a:cs typeface="Arial"/>
            </a:defRPr>
          </a:pPr>
          <a:endParaRPr lang="en-US"/>
        </a:p>
      </c:txPr>
    </c:legend>
    <c:plotVisOnly val="0"/>
    <c:dispBlanksAs val="gap"/>
    <c:showDLblsOverMax val="0"/>
  </c:chart>
  <c:spPr>
    <a:solidFill>
      <a:srgbClr val="E3E3E3"/>
    </a:solidFill>
    <a:ln w="9525">
      <a:noFill/>
    </a:ln>
  </c:spPr>
  <c:txPr>
    <a:bodyPr/>
    <a:lstStyle/>
    <a:p>
      <a:pPr>
        <a:defRPr sz="1000" b="0" i="0" u="none" strike="noStrike" baseline="0">
          <a:solidFill>
            <a:srgbClr val="000000"/>
          </a:solidFill>
          <a:latin typeface="Arial"/>
          <a:ea typeface="Arial"/>
          <a:cs typeface="Arial"/>
        </a:defRPr>
      </a:pPr>
      <a:endParaRPr lang="en-US"/>
    </a:p>
  </c:txPr>
  <c:printSettings>
    <c:headerFooter alignWithMargins="0"/>
    <c:pageMargins b="1" l="0.75000000000000111" r="0.75000000000000111" t="1" header="0.5" footer="0.5"/>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977099236641221"/>
          <c:y val="0.27470154940309882"/>
          <c:w val="0.68702290076335859"/>
          <c:h val="0.63095927525188389"/>
        </c:manualLayout>
      </c:layout>
      <c:scatterChart>
        <c:scatterStyle val="lineMarker"/>
        <c:varyColors val="0"/>
        <c:ser>
          <c:idx val="0"/>
          <c:order val="0"/>
          <c:spPr>
            <a:ln w="25400">
              <a:solidFill>
                <a:srgbClr val="FF0000"/>
              </a:solidFill>
              <a:prstDash val="solid"/>
            </a:ln>
          </c:spPr>
          <c:marker>
            <c:symbol val="none"/>
          </c:marker>
          <c:xVal>
            <c:numRef>
              <c:f>Smart!$CH$11:$CH$14</c:f>
              <c:numCache>
                <c:formatCode>General</c:formatCode>
                <c:ptCount val="4"/>
                <c:pt idx="0">
                  <c:v>0</c:v>
                </c:pt>
                <c:pt idx="1">
                  <c:v>0.05</c:v>
                </c:pt>
                <c:pt idx="2">
                  <c:v>0.05</c:v>
                </c:pt>
                <c:pt idx="3">
                  <c:v>0.1</c:v>
                </c:pt>
              </c:numCache>
            </c:numRef>
          </c:xVal>
          <c:yVal>
            <c:numRef>
              <c:f>Smart!$CI$11:$CI$14</c:f>
              <c:numCache>
                <c:formatCode>General</c:formatCode>
                <c:ptCount val="4"/>
                <c:pt idx="0">
                  <c:v>0</c:v>
                </c:pt>
                <c:pt idx="1">
                  <c:v>1400</c:v>
                </c:pt>
                <c:pt idx="2">
                  <c:v>1400</c:v>
                </c:pt>
                <c:pt idx="3">
                  <c:v>0</c:v>
                </c:pt>
              </c:numCache>
            </c:numRef>
          </c:yVal>
          <c:smooth val="0"/>
          <c:extLst xmlns:c16r2="http://schemas.microsoft.com/office/drawing/2015/06/chart">
            <c:ext xmlns:c16="http://schemas.microsoft.com/office/drawing/2014/chart" uri="{C3380CC4-5D6E-409C-BE32-E72D297353CC}">
              <c16:uniqueId val="{00000000-B2D7-473B-980A-78A76BA03162}"/>
            </c:ext>
          </c:extLst>
        </c:ser>
        <c:dLbls>
          <c:showLegendKey val="0"/>
          <c:showVal val="0"/>
          <c:showCatName val="0"/>
          <c:showSerName val="0"/>
          <c:showPercent val="0"/>
          <c:showBubbleSize val="0"/>
        </c:dLbls>
        <c:axId val="173274304"/>
        <c:axId val="173274696"/>
      </c:scatterChart>
      <c:valAx>
        <c:axId val="173274304"/>
        <c:scaling>
          <c:orientation val="minMax"/>
        </c:scaling>
        <c:delete val="1"/>
        <c:axPos val="b"/>
        <c:numFmt formatCode="General" sourceLinked="1"/>
        <c:majorTickMark val="out"/>
        <c:minorTickMark val="none"/>
        <c:tickLblPos val="nextTo"/>
        <c:crossAx val="173274696"/>
        <c:crosses val="autoZero"/>
        <c:crossBetween val="midCat"/>
      </c:valAx>
      <c:valAx>
        <c:axId val="173274696"/>
        <c:scaling>
          <c:orientation val="minMax"/>
        </c:scaling>
        <c:delete val="1"/>
        <c:axPos val="l"/>
        <c:numFmt formatCode="General" sourceLinked="1"/>
        <c:majorTickMark val="out"/>
        <c:minorTickMark val="none"/>
        <c:tickLblPos val="nextTo"/>
        <c:crossAx val="173274304"/>
        <c:crosses val="autoZero"/>
        <c:crossBetween val="midCat"/>
      </c:valAx>
      <c:spPr>
        <a:solidFill>
          <a:srgbClr val="E3E3E3"/>
        </a:solidFill>
        <a:ln w="12700">
          <a:solidFill>
            <a:srgbClr val="C0C0C0"/>
          </a:solidFill>
          <a:prstDash val="solid"/>
        </a:ln>
      </c:spPr>
    </c:plotArea>
    <c:plotVisOnly val="1"/>
    <c:dispBlanksAs val="gap"/>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111" r="0.75000000000000111" t="1" header="0.5" footer="0.5"/>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78883159351026"/>
          <c:y val="0.18518853422551768"/>
          <c:w val="0.68939903970643723"/>
          <c:h val="0.70371643005696716"/>
        </c:manualLayout>
      </c:layout>
      <c:scatterChart>
        <c:scatterStyle val="lineMarker"/>
        <c:varyColors val="0"/>
        <c:ser>
          <c:idx val="0"/>
          <c:order val="0"/>
          <c:spPr>
            <a:ln w="25400">
              <a:solidFill>
                <a:srgbClr val="FF0000"/>
              </a:solidFill>
              <a:prstDash val="solid"/>
            </a:ln>
          </c:spPr>
          <c:marker>
            <c:symbol val="none"/>
          </c:marker>
          <c:xVal>
            <c:numRef>
              <c:f>Smart!$CH$19:$CH$22</c:f>
              <c:numCache>
                <c:formatCode>General</c:formatCode>
                <c:ptCount val="4"/>
                <c:pt idx="0">
                  <c:v>0</c:v>
                </c:pt>
                <c:pt idx="1">
                  <c:v>2.1428571428571425E-2</c:v>
                </c:pt>
                <c:pt idx="2">
                  <c:v>4.2857142857142851E-2</c:v>
                </c:pt>
                <c:pt idx="3">
                  <c:v>6.4285714285714279E-2</c:v>
                </c:pt>
              </c:numCache>
            </c:numRef>
          </c:xVal>
          <c:yVal>
            <c:numRef>
              <c:f>Smart!$CI$19:$CI$22</c:f>
              <c:numCache>
                <c:formatCode>General</c:formatCode>
                <c:ptCount val="4"/>
                <c:pt idx="0">
                  <c:v>0</c:v>
                </c:pt>
                <c:pt idx="1">
                  <c:v>1400.0000000000002</c:v>
                </c:pt>
                <c:pt idx="2">
                  <c:v>1400.0000000000002</c:v>
                </c:pt>
                <c:pt idx="3">
                  <c:v>0</c:v>
                </c:pt>
              </c:numCache>
            </c:numRef>
          </c:yVal>
          <c:smooth val="0"/>
          <c:extLst xmlns:c16r2="http://schemas.microsoft.com/office/drawing/2015/06/chart">
            <c:ext xmlns:c16="http://schemas.microsoft.com/office/drawing/2014/chart" uri="{C3380CC4-5D6E-409C-BE32-E72D297353CC}">
              <c16:uniqueId val="{00000000-721C-4D67-BB89-EC9170A038C3}"/>
            </c:ext>
          </c:extLst>
        </c:ser>
        <c:dLbls>
          <c:showLegendKey val="0"/>
          <c:showVal val="0"/>
          <c:showCatName val="0"/>
          <c:showSerName val="0"/>
          <c:showPercent val="0"/>
          <c:showBubbleSize val="0"/>
        </c:dLbls>
        <c:axId val="173275480"/>
        <c:axId val="173275872"/>
      </c:scatterChart>
      <c:valAx>
        <c:axId val="173275480"/>
        <c:scaling>
          <c:orientation val="minMax"/>
        </c:scaling>
        <c:delete val="1"/>
        <c:axPos val="b"/>
        <c:numFmt formatCode="General" sourceLinked="1"/>
        <c:majorTickMark val="out"/>
        <c:minorTickMark val="none"/>
        <c:tickLblPos val="nextTo"/>
        <c:crossAx val="173275872"/>
        <c:crosses val="autoZero"/>
        <c:crossBetween val="midCat"/>
      </c:valAx>
      <c:valAx>
        <c:axId val="173275872"/>
        <c:scaling>
          <c:orientation val="minMax"/>
        </c:scaling>
        <c:delete val="1"/>
        <c:axPos val="l"/>
        <c:numFmt formatCode="General" sourceLinked="1"/>
        <c:majorTickMark val="out"/>
        <c:minorTickMark val="none"/>
        <c:tickLblPos val="nextTo"/>
        <c:crossAx val="173275480"/>
        <c:crosses val="autoZero"/>
        <c:crossBetween val="midCat"/>
      </c:valAx>
      <c:spPr>
        <a:solidFill>
          <a:srgbClr val="E3E3E3"/>
        </a:solidFill>
        <a:ln w="12700">
          <a:solidFill>
            <a:srgbClr val="C0C0C0"/>
          </a:solidFill>
          <a:prstDash val="solid"/>
        </a:ln>
      </c:spPr>
    </c:plotArea>
    <c:plotVisOnly val="1"/>
    <c:dispBlanksAs val="gap"/>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111" r="0.75000000000000111" t="1" header="0.5" footer="0.5"/>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3076972194156378"/>
          <c:y val="0.16666937938443024"/>
          <c:w val="0.6846179560470107"/>
          <c:h val="0.63334364166083545"/>
        </c:manualLayout>
      </c:layout>
      <c:scatterChart>
        <c:scatterStyle val="lineMarker"/>
        <c:varyColors val="0"/>
        <c:ser>
          <c:idx val="0"/>
          <c:order val="0"/>
          <c:spPr>
            <a:ln w="25400">
              <a:solidFill>
                <a:srgbClr val="FF0000"/>
              </a:solidFill>
              <a:prstDash val="solid"/>
            </a:ln>
          </c:spPr>
          <c:marker>
            <c:symbol val="none"/>
          </c:marker>
          <c:xVal>
            <c:numRef>
              <c:f>Smart!$CH$29:$CH$32</c:f>
              <c:numCache>
                <c:formatCode>General</c:formatCode>
                <c:ptCount val="4"/>
                <c:pt idx="0">
                  <c:v>0</c:v>
                </c:pt>
                <c:pt idx="1">
                  <c:v>0.08</c:v>
                </c:pt>
                <c:pt idx="2">
                  <c:v>0.625</c:v>
                </c:pt>
                <c:pt idx="3">
                  <c:v>0.70499999999999996</c:v>
                </c:pt>
              </c:numCache>
            </c:numRef>
          </c:xVal>
          <c:yVal>
            <c:numRef>
              <c:f>Smart!$CI$28:$CI$31</c:f>
              <c:numCache>
                <c:formatCode>General</c:formatCode>
                <c:ptCount val="4"/>
                <c:pt idx="0">
                  <c:v>0</c:v>
                </c:pt>
                <c:pt idx="1">
                  <c:v>400</c:v>
                </c:pt>
                <c:pt idx="2">
                  <c:v>400</c:v>
                </c:pt>
                <c:pt idx="3">
                  <c:v>0</c:v>
                </c:pt>
              </c:numCache>
            </c:numRef>
          </c:yVal>
          <c:smooth val="0"/>
          <c:extLst xmlns:c16r2="http://schemas.microsoft.com/office/drawing/2015/06/chart">
            <c:ext xmlns:c16="http://schemas.microsoft.com/office/drawing/2014/chart" uri="{C3380CC4-5D6E-409C-BE32-E72D297353CC}">
              <c16:uniqueId val="{00000000-57CE-4F7D-A170-A1BD9CAAEFDF}"/>
            </c:ext>
          </c:extLst>
        </c:ser>
        <c:dLbls>
          <c:showLegendKey val="0"/>
          <c:showVal val="0"/>
          <c:showCatName val="0"/>
          <c:showSerName val="0"/>
          <c:showPercent val="0"/>
          <c:showBubbleSize val="0"/>
        </c:dLbls>
        <c:axId val="232508296"/>
        <c:axId val="232508688"/>
      </c:scatterChart>
      <c:valAx>
        <c:axId val="232508296"/>
        <c:scaling>
          <c:orientation val="minMax"/>
        </c:scaling>
        <c:delete val="1"/>
        <c:axPos val="b"/>
        <c:numFmt formatCode="General" sourceLinked="1"/>
        <c:majorTickMark val="out"/>
        <c:minorTickMark val="none"/>
        <c:tickLblPos val="nextTo"/>
        <c:crossAx val="232508688"/>
        <c:crosses val="autoZero"/>
        <c:crossBetween val="midCat"/>
      </c:valAx>
      <c:valAx>
        <c:axId val="232508688"/>
        <c:scaling>
          <c:orientation val="minMax"/>
        </c:scaling>
        <c:delete val="1"/>
        <c:axPos val="l"/>
        <c:numFmt formatCode="General" sourceLinked="1"/>
        <c:majorTickMark val="out"/>
        <c:minorTickMark val="none"/>
        <c:tickLblPos val="nextTo"/>
        <c:crossAx val="232508296"/>
        <c:crosses val="autoZero"/>
        <c:crossBetween val="midCat"/>
      </c:valAx>
      <c:spPr>
        <a:solidFill>
          <a:srgbClr val="E3E3E3"/>
        </a:solidFill>
        <a:ln w="12700">
          <a:solidFill>
            <a:srgbClr val="C0C0C0"/>
          </a:solidFill>
          <a:prstDash val="solid"/>
        </a:ln>
      </c:spPr>
    </c:plotArea>
    <c:plotVisOnly val="1"/>
    <c:dispBlanksAs val="gap"/>
    <c:showDLblsOverMax val="0"/>
  </c:chart>
  <c:spPr>
    <a:solidFill>
      <a:srgbClr val="FFFFFF"/>
    </a:solidFill>
    <a:ln w="9525">
      <a:noFill/>
    </a:ln>
  </c:spPr>
  <c:txPr>
    <a:bodyPr/>
    <a:lstStyle/>
    <a:p>
      <a:pPr>
        <a:defRPr sz="175" b="0" i="0" u="none" strike="noStrike" baseline="0">
          <a:solidFill>
            <a:srgbClr val="000000"/>
          </a:solidFill>
          <a:latin typeface="Arial"/>
          <a:ea typeface="Arial"/>
          <a:cs typeface="Arial"/>
        </a:defRPr>
      </a:pPr>
      <a:endParaRPr lang="en-US"/>
    </a:p>
  </c:txPr>
  <c:printSettings>
    <c:headerFooter alignWithMargins="0"/>
    <c:pageMargins b="1" l="0.75000000000000111" r="0.75000000000000111" t="1" header="0.5" footer="0.5"/>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25" b="1" i="0" u="none" strike="noStrike" baseline="0">
                <a:solidFill>
                  <a:srgbClr val="000000"/>
                </a:solidFill>
                <a:latin typeface="Arial"/>
                <a:ea typeface="Arial"/>
                <a:cs typeface="Arial"/>
              </a:defRPr>
            </a:pPr>
            <a:r>
              <a:rPr lang="en-US"/>
              <a:t>Cam Profile</a:t>
            </a:r>
          </a:p>
        </c:rich>
      </c:tx>
      <c:layout>
        <c:manualLayout>
          <c:xMode val="edge"/>
          <c:yMode val="edge"/>
          <c:x val="0.45104942490982308"/>
          <c:y val="3.9647544056992876E-2"/>
        </c:manualLayout>
      </c:layout>
      <c:overlay val="0"/>
      <c:spPr>
        <a:noFill/>
        <a:ln w="25400">
          <a:noFill/>
        </a:ln>
      </c:spPr>
    </c:title>
    <c:autoTitleDeleted val="0"/>
    <c:plotArea>
      <c:layout>
        <c:manualLayout>
          <c:layoutTarget val="inner"/>
          <c:xMode val="edge"/>
          <c:yMode val="edge"/>
          <c:x val="2.9050295178451892E-2"/>
          <c:y val="2.0491844285997308E-2"/>
          <c:w val="0.91843625525720984"/>
          <c:h val="0.69672270572390838"/>
        </c:manualLayout>
      </c:layout>
      <c:scatterChart>
        <c:scatterStyle val="lineMarker"/>
        <c:varyColors val="0"/>
        <c:ser>
          <c:idx val="0"/>
          <c:order val="0"/>
          <c:tx>
            <c:v>Cam Profile</c:v>
          </c:tx>
          <c:spPr>
            <a:ln w="25400">
              <a:solidFill>
                <a:srgbClr val="000080"/>
              </a:solidFill>
              <a:prstDash val="solid"/>
            </a:ln>
          </c:spPr>
          <c:marker>
            <c:symbol val="none"/>
          </c:marker>
          <c:xVal>
            <c:numRef>
              <c:f>Smart!$C$31:$AA$31</c:f>
              <c:numCache>
                <c:formatCode>General</c:formatCode>
                <c:ptCount val="25"/>
                <c:pt idx="0">
                  <c:v>0</c:v>
                </c:pt>
                <c:pt idx="1">
                  <c:v>0.08</c:v>
                </c:pt>
                <c:pt idx="2">
                  <c:v>0.625</c:v>
                </c:pt>
                <c:pt idx="3">
                  <c:v>0.70499999999999996</c:v>
                </c:pt>
                <c:pt idx="4">
                  <c:v>40.704999999999998</c:v>
                </c:pt>
                <c:pt idx="5">
                  <c:v>40.704999999999998</c:v>
                </c:pt>
                <c:pt idx="6">
                  <c:v>40.704999999999998</c:v>
                </c:pt>
                <c:pt idx="7">
                  <c:v>40.704999999999998</c:v>
                </c:pt>
                <c:pt idx="8">
                  <c:v>40.704999999999998</c:v>
                </c:pt>
                <c:pt idx="9">
                  <c:v>40.704999999999998</c:v>
                </c:pt>
                <c:pt idx="10">
                  <c:v>40.704999999999998</c:v>
                </c:pt>
                <c:pt idx="11">
                  <c:v>40.704999999999998</c:v>
                </c:pt>
                <c:pt idx="12">
                  <c:v>40.704999999999998</c:v>
                </c:pt>
                <c:pt idx="13">
                  <c:v>40.704999999999998</c:v>
                </c:pt>
                <c:pt idx="14">
                  <c:v>40.704999999999998</c:v>
                </c:pt>
                <c:pt idx="15">
                  <c:v>40.704999999999998</c:v>
                </c:pt>
                <c:pt idx="16">
                  <c:v>40.704999999999998</c:v>
                </c:pt>
                <c:pt idx="17">
                  <c:v>40.704999999999998</c:v>
                </c:pt>
                <c:pt idx="18">
                  <c:v>40.704999999999998</c:v>
                </c:pt>
                <c:pt idx="19">
                  <c:v>40.704999999999998</c:v>
                </c:pt>
                <c:pt idx="20">
                  <c:v>40.704999999999998</c:v>
                </c:pt>
                <c:pt idx="21">
                  <c:v>40.704999999999998</c:v>
                </c:pt>
                <c:pt idx="22">
                  <c:v>40.704999999999998</c:v>
                </c:pt>
                <c:pt idx="23">
                  <c:v>40.704999999999998</c:v>
                </c:pt>
                <c:pt idx="24">
                  <c:v>40.704999999999998</c:v>
                </c:pt>
              </c:numCache>
            </c:numRef>
          </c:xVal>
          <c:yVal>
            <c:numRef>
              <c:f>Smart!$C$40:$AA$40</c:f>
              <c:numCache>
                <c:formatCode>General</c:formatCode>
                <c:ptCount val="25"/>
                <c:pt idx="0">
                  <c:v>0</c:v>
                </c:pt>
                <c:pt idx="1">
                  <c:v>0.96</c:v>
                </c:pt>
                <c:pt idx="2">
                  <c:v>14.040000000000003</c:v>
                </c:pt>
                <c:pt idx="3">
                  <c:v>15.000000000000002</c:v>
                </c:pt>
                <c:pt idx="4">
                  <c:v>15.000000000000002</c:v>
                </c:pt>
                <c:pt idx="5">
                  <c:v>15.000000000000002</c:v>
                </c:pt>
                <c:pt idx="6">
                  <c:v>15.000000000000002</c:v>
                </c:pt>
                <c:pt idx="7">
                  <c:v>15.000000000000002</c:v>
                </c:pt>
                <c:pt idx="8">
                  <c:v>15.000000000000002</c:v>
                </c:pt>
                <c:pt idx="9">
                  <c:v>15.000000000000002</c:v>
                </c:pt>
                <c:pt idx="10">
                  <c:v>15.000000000000002</c:v>
                </c:pt>
                <c:pt idx="11">
                  <c:v>15.000000000000002</c:v>
                </c:pt>
                <c:pt idx="12">
                  <c:v>15.000000000000002</c:v>
                </c:pt>
                <c:pt idx="13">
                  <c:v>15.000000000000002</c:v>
                </c:pt>
                <c:pt idx="14">
                  <c:v>15.000000000000002</c:v>
                </c:pt>
                <c:pt idx="15">
                  <c:v>15.000000000000002</c:v>
                </c:pt>
                <c:pt idx="16">
                  <c:v>15.000000000000002</c:v>
                </c:pt>
                <c:pt idx="17">
                  <c:v>15.000000000000002</c:v>
                </c:pt>
                <c:pt idx="18">
                  <c:v>15.000000000000002</c:v>
                </c:pt>
                <c:pt idx="19">
                  <c:v>15.000000000000002</c:v>
                </c:pt>
                <c:pt idx="20">
                  <c:v>15.000000000000002</c:v>
                </c:pt>
                <c:pt idx="21">
                  <c:v>15.000000000000002</c:v>
                </c:pt>
                <c:pt idx="22">
                  <c:v>15.000000000000002</c:v>
                </c:pt>
                <c:pt idx="23">
                  <c:v>15.000000000000002</c:v>
                </c:pt>
                <c:pt idx="24">
                  <c:v>15.000000000000002</c:v>
                </c:pt>
              </c:numCache>
            </c:numRef>
          </c:yVal>
          <c:smooth val="0"/>
          <c:extLst xmlns:c16r2="http://schemas.microsoft.com/office/drawing/2015/06/chart">
            <c:ext xmlns:c16="http://schemas.microsoft.com/office/drawing/2014/chart" uri="{C3380CC4-5D6E-409C-BE32-E72D297353CC}">
              <c16:uniqueId val="{00000000-7299-4942-98DD-1FEF0DAC23CA}"/>
            </c:ext>
          </c:extLst>
        </c:ser>
        <c:dLbls>
          <c:showLegendKey val="0"/>
          <c:showVal val="0"/>
          <c:showCatName val="0"/>
          <c:showSerName val="0"/>
          <c:showPercent val="0"/>
          <c:showBubbleSize val="0"/>
        </c:dLbls>
        <c:axId val="232507904"/>
        <c:axId val="232507512"/>
      </c:scatterChart>
      <c:valAx>
        <c:axId val="23250790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50" b="0" i="0" u="none" strike="noStrike" baseline="0">
                <a:solidFill>
                  <a:srgbClr val="000000"/>
                </a:solidFill>
                <a:latin typeface="Arial"/>
                <a:ea typeface="Arial"/>
                <a:cs typeface="Arial"/>
              </a:defRPr>
            </a:pPr>
            <a:endParaRPr lang="en-US"/>
          </a:p>
        </c:txPr>
        <c:crossAx val="232507512"/>
        <c:crosses val="autoZero"/>
        <c:crossBetween val="midCat"/>
      </c:valAx>
      <c:valAx>
        <c:axId val="232507512"/>
        <c:scaling>
          <c:orientation val="minMax"/>
        </c:scaling>
        <c:delete val="1"/>
        <c:axPos val="l"/>
        <c:numFmt formatCode="General" sourceLinked="1"/>
        <c:majorTickMark val="out"/>
        <c:minorTickMark val="none"/>
        <c:tickLblPos val="nextTo"/>
        <c:crossAx val="232507904"/>
        <c:crosses val="autoZero"/>
        <c:crossBetween val="midCat"/>
      </c:valAx>
      <c:spPr>
        <a:noFill/>
        <a:ln w="25400">
          <a:noFill/>
        </a:ln>
      </c:spPr>
    </c:plotArea>
    <c:plotVisOnly val="1"/>
    <c:dispBlanksAs val="gap"/>
    <c:showDLblsOverMax val="0"/>
  </c:chart>
  <c:spPr>
    <a:noFill/>
    <a:ln w="9525">
      <a:noFill/>
    </a:ln>
  </c:spPr>
  <c:txPr>
    <a:bodyPr/>
    <a:lstStyle/>
    <a:p>
      <a:pPr>
        <a:defRPr sz="850" b="0" i="0" u="none" strike="noStrike" baseline="0">
          <a:solidFill>
            <a:srgbClr val="000000"/>
          </a:solidFill>
          <a:latin typeface="Arial"/>
          <a:ea typeface="Arial"/>
          <a:cs typeface="Arial"/>
        </a:defRPr>
      </a:pPr>
      <a:endParaRPr lang="en-US"/>
    </a:p>
  </c:txPr>
  <c:printSettings>
    <c:headerFooter alignWithMargins="0"/>
    <c:pageMargins b="1" l="0.75000000000000111" r="0.75000000000000111" t="1" header="0.5" footer="0.5"/>
    <c:pageSetup orientation="landscape" verticalDpi="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75" b="1" i="0" u="none" strike="noStrike" baseline="0">
                <a:solidFill>
                  <a:srgbClr val="000000"/>
                </a:solidFill>
                <a:latin typeface="Arial"/>
                <a:ea typeface="Arial"/>
                <a:cs typeface="Arial"/>
              </a:defRPr>
            </a:pPr>
            <a:r>
              <a:rPr lang="en-US"/>
              <a:t>Motion Profile for this application</a:t>
            </a:r>
          </a:p>
        </c:rich>
      </c:tx>
      <c:layout>
        <c:manualLayout>
          <c:xMode val="edge"/>
          <c:yMode val="edge"/>
          <c:x val="0.35352286773794811"/>
          <c:y val="3.9525706345530341E-2"/>
        </c:manualLayout>
      </c:layout>
      <c:overlay val="0"/>
      <c:spPr>
        <a:noFill/>
        <a:ln w="25400">
          <a:noFill/>
        </a:ln>
      </c:spPr>
    </c:title>
    <c:autoTitleDeleted val="0"/>
    <c:plotArea>
      <c:layout>
        <c:manualLayout>
          <c:layoutTarget val="inner"/>
          <c:xMode val="edge"/>
          <c:yMode val="edge"/>
          <c:x val="7.0457354758961713E-2"/>
          <c:y val="0.23715460789781972"/>
          <c:w val="0.90111248454882553"/>
          <c:h val="0.58893394294625045"/>
        </c:manualLayout>
      </c:layout>
      <c:scatterChart>
        <c:scatterStyle val="lineMarker"/>
        <c:varyColors val="0"/>
        <c:ser>
          <c:idx val="0"/>
          <c:order val="0"/>
          <c:spPr>
            <a:ln w="38100">
              <a:solidFill>
                <a:srgbClr val="FF0000"/>
              </a:solidFill>
              <a:prstDash val="solid"/>
            </a:ln>
          </c:spPr>
          <c:marker>
            <c:symbol val="none"/>
          </c:marker>
          <c:xVal>
            <c:numRef>
              <c:f>Smart!$AX$30:$AX$205</c:f>
              <c:numCache>
                <c:formatCode>General</c:formatCode>
                <c:ptCount val="176"/>
                <c:pt idx="0">
                  <c:v>0</c:v>
                </c:pt>
                <c:pt idx="1">
                  <c:v>0</c:v>
                </c:pt>
                <c:pt idx="2">
                  <c:v>8.0000000000000002E-3</c:v>
                </c:pt>
                <c:pt idx="3">
                  <c:v>1.6E-2</c:v>
                </c:pt>
                <c:pt idx="4">
                  <c:v>2.4E-2</c:v>
                </c:pt>
                <c:pt idx="5">
                  <c:v>3.2000000000000001E-2</c:v>
                </c:pt>
                <c:pt idx="6">
                  <c:v>0.04</c:v>
                </c:pt>
                <c:pt idx="7">
                  <c:v>4.8000000000000001E-2</c:v>
                </c:pt>
                <c:pt idx="8">
                  <c:v>5.6000000000000001E-2</c:v>
                </c:pt>
                <c:pt idx="9">
                  <c:v>6.4000000000000001E-2</c:v>
                </c:pt>
                <c:pt idx="10">
                  <c:v>7.2000000000000008E-2</c:v>
                </c:pt>
                <c:pt idx="11">
                  <c:v>8.0000000000000016E-2</c:v>
                </c:pt>
                <c:pt idx="12">
                  <c:v>0.08</c:v>
                </c:pt>
                <c:pt idx="13">
                  <c:v>0.625</c:v>
                </c:pt>
                <c:pt idx="14">
                  <c:v>0.625</c:v>
                </c:pt>
                <c:pt idx="15">
                  <c:v>0.63300000000000001</c:v>
                </c:pt>
                <c:pt idx="16">
                  <c:v>0.64100000000000001</c:v>
                </c:pt>
                <c:pt idx="17">
                  <c:v>0.64900000000000002</c:v>
                </c:pt>
                <c:pt idx="18">
                  <c:v>0.65700000000000003</c:v>
                </c:pt>
                <c:pt idx="19">
                  <c:v>0.66500000000000004</c:v>
                </c:pt>
                <c:pt idx="20">
                  <c:v>0.67300000000000004</c:v>
                </c:pt>
                <c:pt idx="21">
                  <c:v>0.68100000000000005</c:v>
                </c:pt>
                <c:pt idx="22">
                  <c:v>0.68900000000000006</c:v>
                </c:pt>
                <c:pt idx="23">
                  <c:v>0.69700000000000006</c:v>
                </c:pt>
                <c:pt idx="24">
                  <c:v>0.70500000000000007</c:v>
                </c:pt>
                <c:pt idx="25">
                  <c:v>0.70499999999999996</c:v>
                </c:pt>
                <c:pt idx="26">
                  <c:v>40.704999999999998</c:v>
                </c:pt>
                <c:pt idx="27">
                  <c:v>40.704999999999998</c:v>
                </c:pt>
                <c:pt idx="28">
                  <c:v>40.704999999999998</c:v>
                </c:pt>
                <c:pt idx="29">
                  <c:v>40.704999999999998</c:v>
                </c:pt>
                <c:pt idx="30">
                  <c:v>40.704999999999998</c:v>
                </c:pt>
                <c:pt idx="31">
                  <c:v>40.704999999999998</c:v>
                </c:pt>
                <c:pt idx="32">
                  <c:v>40.704999999999998</c:v>
                </c:pt>
                <c:pt idx="33">
                  <c:v>40.704999999999998</c:v>
                </c:pt>
                <c:pt idx="34">
                  <c:v>40.704999999999998</c:v>
                </c:pt>
                <c:pt idx="35">
                  <c:v>40.704999999999998</c:v>
                </c:pt>
                <c:pt idx="36">
                  <c:v>40.704999999999998</c:v>
                </c:pt>
                <c:pt idx="37">
                  <c:v>40.704999999999998</c:v>
                </c:pt>
                <c:pt idx="38">
                  <c:v>40.704999999999998</c:v>
                </c:pt>
                <c:pt idx="39">
                  <c:v>40.704999999999998</c:v>
                </c:pt>
                <c:pt idx="40">
                  <c:v>40.704999999999998</c:v>
                </c:pt>
                <c:pt idx="41">
                  <c:v>40.704999999999998</c:v>
                </c:pt>
                <c:pt idx="42">
                  <c:v>40.704999999999998</c:v>
                </c:pt>
                <c:pt idx="43">
                  <c:v>40.704999999999998</c:v>
                </c:pt>
                <c:pt idx="44">
                  <c:v>40.704999999999998</c:v>
                </c:pt>
                <c:pt idx="45">
                  <c:v>40.704999999999998</c:v>
                </c:pt>
                <c:pt idx="46">
                  <c:v>40.704999999999998</c:v>
                </c:pt>
                <c:pt idx="47">
                  <c:v>40.704999999999998</c:v>
                </c:pt>
                <c:pt idx="48">
                  <c:v>40.704999999999998</c:v>
                </c:pt>
                <c:pt idx="49">
                  <c:v>40.704999999999998</c:v>
                </c:pt>
                <c:pt idx="50">
                  <c:v>40.704999999999998</c:v>
                </c:pt>
                <c:pt idx="51">
                  <c:v>40.704999999999998</c:v>
                </c:pt>
                <c:pt idx="52">
                  <c:v>40.704999999999998</c:v>
                </c:pt>
                <c:pt idx="53">
                  <c:v>40.704999999999998</c:v>
                </c:pt>
                <c:pt idx="54">
                  <c:v>40.704999999999998</c:v>
                </c:pt>
                <c:pt idx="55">
                  <c:v>40.704999999999998</c:v>
                </c:pt>
                <c:pt idx="56">
                  <c:v>40.704999999999998</c:v>
                </c:pt>
                <c:pt idx="57">
                  <c:v>40.704999999999998</c:v>
                </c:pt>
                <c:pt idx="58">
                  <c:v>40.704999999999998</c:v>
                </c:pt>
                <c:pt idx="59">
                  <c:v>40.704999999999998</c:v>
                </c:pt>
                <c:pt idx="60">
                  <c:v>40.704999999999998</c:v>
                </c:pt>
                <c:pt idx="61">
                  <c:v>40.704999999999998</c:v>
                </c:pt>
                <c:pt idx="62">
                  <c:v>40.704999999999998</c:v>
                </c:pt>
                <c:pt idx="63">
                  <c:v>40.704999999999998</c:v>
                </c:pt>
                <c:pt idx="64">
                  <c:v>40.704999999999998</c:v>
                </c:pt>
                <c:pt idx="65">
                  <c:v>40.704999999999998</c:v>
                </c:pt>
                <c:pt idx="66">
                  <c:v>40.704999999999998</c:v>
                </c:pt>
                <c:pt idx="67">
                  <c:v>40.704999999999998</c:v>
                </c:pt>
                <c:pt idx="68">
                  <c:v>40.704999999999998</c:v>
                </c:pt>
                <c:pt idx="69">
                  <c:v>40.704999999999998</c:v>
                </c:pt>
                <c:pt idx="70">
                  <c:v>40.704999999999998</c:v>
                </c:pt>
                <c:pt idx="71">
                  <c:v>40.704999999999998</c:v>
                </c:pt>
                <c:pt idx="72">
                  <c:v>40.704999999999998</c:v>
                </c:pt>
                <c:pt idx="73">
                  <c:v>40.704999999999998</c:v>
                </c:pt>
                <c:pt idx="74">
                  <c:v>40.704999999999998</c:v>
                </c:pt>
                <c:pt idx="75">
                  <c:v>40.704999999999998</c:v>
                </c:pt>
                <c:pt idx="76">
                  <c:v>40.704999999999998</c:v>
                </c:pt>
                <c:pt idx="77">
                  <c:v>40.704999999999998</c:v>
                </c:pt>
                <c:pt idx="78">
                  <c:v>40.704999999999998</c:v>
                </c:pt>
                <c:pt idx="79">
                  <c:v>40.704999999999998</c:v>
                </c:pt>
                <c:pt idx="80">
                  <c:v>40.704999999999998</c:v>
                </c:pt>
                <c:pt idx="81">
                  <c:v>40.704999999999998</c:v>
                </c:pt>
                <c:pt idx="82">
                  <c:v>40.704999999999998</c:v>
                </c:pt>
                <c:pt idx="83">
                  <c:v>40.704999999999998</c:v>
                </c:pt>
                <c:pt idx="84">
                  <c:v>40.704999999999998</c:v>
                </c:pt>
                <c:pt idx="85">
                  <c:v>40.704999999999998</c:v>
                </c:pt>
                <c:pt idx="86">
                  <c:v>40.704999999999998</c:v>
                </c:pt>
                <c:pt idx="87">
                  <c:v>40.704999999999998</c:v>
                </c:pt>
                <c:pt idx="88">
                  <c:v>40.704999999999998</c:v>
                </c:pt>
                <c:pt idx="89">
                  <c:v>40.704999999999998</c:v>
                </c:pt>
                <c:pt idx="90">
                  <c:v>40.704999999999998</c:v>
                </c:pt>
                <c:pt idx="91">
                  <c:v>40.704999999999998</c:v>
                </c:pt>
                <c:pt idx="92">
                  <c:v>40.704999999999998</c:v>
                </c:pt>
                <c:pt idx="93">
                  <c:v>40.704999999999998</c:v>
                </c:pt>
                <c:pt idx="94">
                  <c:v>40.704999999999998</c:v>
                </c:pt>
                <c:pt idx="95">
                  <c:v>40.704999999999998</c:v>
                </c:pt>
                <c:pt idx="96">
                  <c:v>40.704999999999998</c:v>
                </c:pt>
                <c:pt idx="97">
                  <c:v>40.704999999999998</c:v>
                </c:pt>
                <c:pt idx="98">
                  <c:v>40.704999999999998</c:v>
                </c:pt>
                <c:pt idx="99">
                  <c:v>40.704999999999998</c:v>
                </c:pt>
                <c:pt idx="100">
                  <c:v>40.704999999999998</c:v>
                </c:pt>
                <c:pt idx="101">
                  <c:v>40.704999999999998</c:v>
                </c:pt>
                <c:pt idx="102">
                  <c:v>40.704999999999998</c:v>
                </c:pt>
                <c:pt idx="103">
                  <c:v>40.704999999999998</c:v>
                </c:pt>
                <c:pt idx="104">
                  <c:v>40.704999999999998</c:v>
                </c:pt>
                <c:pt idx="105">
                  <c:v>40.704999999999998</c:v>
                </c:pt>
                <c:pt idx="106">
                  <c:v>40.704999999999998</c:v>
                </c:pt>
                <c:pt idx="107">
                  <c:v>40.704999999999998</c:v>
                </c:pt>
                <c:pt idx="108">
                  <c:v>40.704999999999998</c:v>
                </c:pt>
                <c:pt idx="109">
                  <c:v>40.704999999999998</c:v>
                </c:pt>
                <c:pt idx="110">
                  <c:v>40.704999999999998</c:v>
                </c:pt>
                <c:pt idx="111">
                  <c:v>40.704999999999998</c:v>
                </c:pt>
                <c:pt idx="112">
                  <c:v>40.704999999999998</c:v>
                </c:pt>
                <c:pt idx="113">
                  <c:v>40.704999999999998</c:v>
                </c:pt>
                <c:pt idx="114">
                  <c:v>40.704999999999998</c:v>
                </c:pt>
                <c:pt idx="115">
                  <c:v>40.704999999999998</c:v>
                </c:pt>
                <c:pt idx="116">
                  <c:v>40.704999999999998</c:v>
                </c:pt>
                <c:pt idx="117">
                  <c:v>40.704999999999998</c:v>
                </c:pt>
                <c:pt idx="118">
                  <c:v>40.704999999999998</c:v>
                </c:pt>
                <c:pt idx="119">
                  <c:v>40.704999999999998</c:v>
                </c:pt>
                <c:pt idx="120">
                  <c:v>40.704999999999998</c:v>
                </c:pt>
                <c:pt idx="121">
                  <c:v>40.704999999999998</c:v>
                </c:pt>
                <c:pt idx="122">
                  <c:v>40.704999999999998</c:v>
                </c:pt>
                <c:pt idx="123">
                  <c:v>40.704999999999998</c:v>
                </c:pt>
                <c:pt idx="124">
                  <c:v>40.704999999999998</c:v>
                </c:pt>
                <c:pt idx="125">
                  <c:v>40.704999999999998</c:v>
                </c:pt>
                <c:pt idx="126">
                  <c:v>40.704999999999998</c:v>
                </c:pt>
                <c:pt idx="127">
                  <c:v>40.704999999999998</c:v>
                </c:pt>
                <c:pt idx="128">
                  <c:v>40.704999999999998</c:v>
                </c:pt>
                <c:pt idx="129">
                  <c:v>40.704999999999998</c:v>
                </c:pt>
                <c:pt idx="130">
                  <c:v>40.704999999999998</c:v>
                </c:pt>
                <c:pt idx="131">
                  <c:v>40.704999999999998</c:v>
                </c:pt>
                <c:pt idx="132">
                  <c:v>40.704999999999998</c:v>
                </c:pt>
                <c:pt idx="133">
                  <c:v>40.704999999999998</c:v>
                </c:pt>
                <c:pt idx="134">
                  <c:v>40.704999999999998</c:v>
                </c:pt>
                <c:pt idx="135">
                  <c:v>40.704999999999998</c:v>
                </c:pt>
                <c:pt idx="136">
                  <c:v>40.704999999999998</c:v>
                </c:pt>
                <c:pt idx="137">
                  <c:v>40.704999999999998</c:v>
                </c:pt>
                <c:pt idx="138">
                  <c:v>40.704999999999998</c:v>
                </c:pt>
                <c:pt idx="139">
                  <c:v>40.704999999999998</c:v>
                </c:pt>
                <c:pt idx="140">
                  <c:v>40.704999999999998</c:v>
                </c:pt>
                <c:pt idx="141">
                  <c:v>40.704999999999998</c:v>
                </c:pt>
                <c:pt idx="142">
                  <c:v>40.704999999999998</c:v>
                </c:pt>
                <c:pt idx="143">
                  <c:v>40.704999999999998</c:v>
                </c:pt>
                <c:pt idx="144">
                  <c:v>40.704999999999998</c:v>
                </c:pt>
                <c:pt idx="145">
                  <c:v>40.704999999999998</c:v>
                </c:pt>
                <c:pt idx="146">
                  <c:v>40.704999999999998</c:v>
                </c:pt>
                <c:pt idx="147">
                  <c:v>40.704999999999998</c:v>
                </c:pt>
                <c:pt idx="148">
                  <c:v>40.704999999999998</c:v>
                </c:pt>
                <c:pt idx="149">
                  <c:v>40.704999999999998</c:v>
                </c:pt>
                <c:pt idx="150">
                  <c:v>40.704999999999998</c:v>
                </c:pt>
                <c:pt idx="151">
                  <c:v>40.704999999999998</c:v>
                </c:pt>
                <c:pt idx="152">
                  <c:v>40.704999999999998</c:v>
                </c:pt>
                <c:pt idx="153">
                  <c:v>40.704999999999998</c:v>
                </c:pt>
                <c:pt idx="154">
                  <c:v>40.704999999999998</c:v>
                </c:pt>
                <c:pt idx="155">
                  <c:v>40.704999999999998</c:v>
                </c:pt>
                <c:pt idx="156">
                  <c:v>40.704999999999998</c:v>
                </c:pt>
              </c:numCache>
            </c:numRef>
          </c:xVal>
          <c:yVal>
            <c:numRef>
              <c:f>Smart!$AV$30:$AV$205</c:f>
              <c:numCache>
                <c:formatCode>General</c:formatCode>
                <c:ptCount val="176"/>
                <c:pt idx="0">
                  <c:v>0</c:v>
                </c:pt>
                <c:pt idx="1">
                  <c:v>0</c:v>
                </c:pt>
                <c:pt idx="2">
                  <c:v>0.6399999999999999</c:v>
                </c:pt>
                <c:pt idx="3">
                  <c:v>2.5599999999999996</c:v>
                </c:pt>
                <c:pt idx="4">
                  <c:v>5.6000000000000005</c:v>
                </c:pt>
                <c:pt idx="5">
                  <c:v>8.7999999999999989</c:v>
                </c:pt>
                <c:pt idx="6">
                  <c:v>12</c:v>
                </c:pt>
                <c:pt idx="7">
                  <c:v>15.2</c:v>
                </c:pt>
                <c:pt idx="8">
                  <c:v>18.400000000000002</c:v>
                </c:pt>
                <c:pt idx="9">
                  <c:v>21.44</c:v>
                </c:pt>
                <c:pt idx="10">
                  <c:v>23.36</c:v>
                </c:pt>
                <c:pt idx="11">
                  <c:v>24</c:v>
                </c:pt>
                <c:pt idx="12">
                  <c:v>24</c:v>
                </c:pt>
                <c:pt idx="13">
                  <c:v>24</c:v>
                </c:pt>
                <c:pt idx="14">
                  <c:v>24</c:v>
                </c:pt>
                <c:pt idx="15">
                  <c:v>23.36</c:v>
                </c:pt>
                <c:pt idx="16">
                  <c:v>21.44</c:v>
                </c:pt>
                <c:pt idx="17">
                  <c:v>18.400000000000002</c:v>
                </c:pt>
                <c:pt idx="18">
                  <c:v>15.2</c:v>
                </c:pt>
                <c:pt idx="19">
                  <c:v>12</c:v>
                </c:pt>
                <c:pt idx="20">
                  <c:v>8.7999999999999989</c:v>
                </c:pt>
                <c:pt idx="21">
                  <c:v>5.6000000000000005</c:v>
                </c:pt>
                <c:pt idx="22">
                  <c:v>2.5599999999999996</c:v>
                </c:pt>
                <c:pt idx="23">
                  <c:v>0.6399999999999999</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numCache>
            </c:numRef>
          </c:yVal>
          <c:smooth val="0"/>
          <c:extLst xmlns:c16r2="http://schemas.microsoft.com/office/drawing/2015/06/chart">
            <c:ext xmlns:c16="http://schemas.microsoft.com/office/drawing/2014/chart" uri="{C3380CC4-5D6E-409C-BE32-E72D297353CC}">
              <c16:uniqueId val="{00000000-7A90-4735-BCD7-E727AAACF674}"/>
            </c:ext>
          </c:extLst>
        </c:ser>
        <c:dLbls>
          <c:showLegendKey val="0"/>
          <c:showVal val="0"/>
          <c:showCatName val="0"/>
          <c:showSerName val="0"/>
          <c:showPercent val="0"/>
          <c:showBubbleSize val="0"/>
        </c:dLbls>
        <c:axId val="232509864"/>
        <c:axId val="232484160"/>
      </c:scatterChart>
      <c:valAx>
        <c:axId val="23250986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32484160"/>
        <c:crosses val="autoZero"/>
        <c:crossBetween val="midCat"/>
      </c:valAx>
      <c:valAx>
        <c:axId val="232484160"/>
        <c:scaling>
          <c:orientation val="minMax"/>
        </c:scaling>
        <c:delete val="0"/>
        <c:axPos val="l"/>
        <c:majorGridlines>
          <c:spPr>
            <a:ln w="3175">
              <a:solidFill>
                <a:srgbClr val="000000"/>
              </a:solidFill>
              <a:prstDash val="solid"/>
            </a:ln>
          </c:spPr>
        </c:majorGridlines>
        <c:title>
          <c:tx>
            <c:rich>
              <a:bodyPr/>
              <a:lstStyle/>
              <a:p>
                <a:pPr>
                  <a:defRPr sz="900" b="1" i="0" u="none" strike="noStrike" baseline="0">
                    <a:solidFill>
                      <a:srgbClr val="000000"/>
                    </a:solidFill>
                    <a:latin typeface="Arial"/>
                    <a:ea typeface="Arial"/>
                    <a:cs typeface="Arial"/>
                  </a:defRPr>
                </a:pPr>
                <a:r>
                  <a:rPr lang="en-US"/>
                  <a:t>Speed (mm/s)</a:t>
                </a:r>
              </a:p>
            </c:rich>
          </c:tx>
          <c:layout>
            <c:manualLayout>
              <c:xMode val="edge"/>
              <c:yMode val="edge"/>
              <c:x val="6.180469715698393E-3"/>
              <c:y val="0.32411054500540376"/>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Arial"/>
                <a:ea typeface="Arial"/>
                <a:cs typeface="Arial"/>
              </a:defRPr>
            </a:pPr>
            <a:endParaRPr lang="en-US"/>
          </a:p>
        </c:txPr>
        <c:crossAx val="232509864"/>
        <c:crosses val="autoZero"/>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en-US"/>
    </a:p>
  </c:txPr>
  <c:printSettings>
    <c:headerFooter alignWithMargins="0"/>
    <c:pageMargins b="1" l="0.75000000000000111" r="0.75000000000000111" t="1" header="0.5" footer="0.5"/>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b="1" i="0" u="none" strike="noStrike" baseline="0">
                <a:solidFill>
                  <a:srgbClr val="000000"/>
                </a:solidFill>
                <a:latin typeface="Arial"/>
                <a:ea typeface="Arial"/>
                <a:cs typeface="Arial"/>
              </a:defRPr>
            </a:pPr>
            <a:r>
              <a:rPr lang="en-US"/>
              <a:t>Force Profile for this application</a:t>
            </a:r>
          </a:p>
        </c:rich>
      </c:tx>
      <c:layout>
        <c:manualLayout>
          <c:xMode val="edge"/>
          <c:yMode val="edge"/>
          <c:x val="0.365768124236522"/>
          <c:y val="3.8314176245210725E-2"/>
        </c:manualLayout>
      </c:layout>
      <c:overlay val="0"/>
      <c:spPr>
        <a:noFill/>
        <a:ln w="25400">
          <a:noFill/>
        </a:ln>
      </c:spPr>
    </c:title>
    <c:autoTitleDeleted val="0"/>
    <c:plotArea>
      <c:layout>
        <c:manualLayout>
          <c:layoutTarget val="inner"/>
          <c:xMode val="edge"/>
          <c:yMode val="edge"/>
          <c:x val="6.682301597705248E-2"/>
          <c:y val="0.24521164545784527"/>
          <c:w val="0.84759720265629845"/>
          <c:h val="0.49808615483624807"/>
        </c:manualLayout>
      </c:layout>
      <c:scatterChart>
        <c:scatterStyle val="lineMarker"/>
        <c:varyColors val="0"/>
        <c:ser>
          <c:idx val="0"/>
          <c:order val="0"/>
          <c:spPr>
            <a:ln w="38100">
              <a:solidFill>
                <a:srgbClr val="FF0000"/>
              </a:solidFill>
              <a:prstDash val="solid"/>
            </a:ln>
          </c:spPr>
          <c:marker>
            <c:symbol val="none"/>
          </c:marker>
          <c:xVal>
            <c:numRef>
              <c:f>'Data Sheet'!$Z$51:$Z$207</c:f>
              <c:numCache>
                <c:formatCode>0.00</c:formatCode>
                <c:ptCount val="157"/>
                <c:pt idx="0">
                  <c:v>0</c:v>
                </c:pt>
                <c:pt idx="1">
                  <c:v>0</c:v>
                </c:pt>
                <c:pt idx="2">
                  <c:v>8.0000000000000002E-3</c:v>
                </c:pt>
                <c:pt idx="3">
                  <c:v>1.6E-2</c:v>
                </c:pt>
                <c:pt idx="4">
                  <c:v>2.4E-2</c:v>
                </c:pt>
                <c:pt idx="5">
                  <c:v>3.2000000000000001E-2</c:v>
                </c:pt>
                <c:pt idx="6">
                  <c:v>0.04</c:v>
                </c:pt>
                <c:pt idx="7">
                  <c:v>4.8000000000000001E-2</c:v>
                </c:pt>
                <c:pt idx="8">
                  <c:v>5.6000000000000001E-2</c:v>
                </c:pt>
                <c:pt idx="9">
                  <c:v>6.4000000000000001E-2</c:v>
                </c:pt>
                <c:pt idx="10">
                  <c:v>7.2000000000000008E-2</c:v>
                </c:pt>
                <c:pt idx="11">
                  <c:v>8.0000000000000016E-2</c:v>
                </c:pt>
                <c:pt idx="12">
                  <c:v>0.08</c:v>
                </c:pt>
                <c:pt idx="13">
                  <c:v>0.625</c:v>
                </c:pt>
                <c:pt idx="14">
                  <c:v>0.625</c:v>
                </c:pt>
                <c:pt idx="15">
                  <c:v>0.63300000000000001</c:v>
                </c:pt>
                <c:pt idx="16">
                  <c:v>0.64100000000000001</c:v>
                </c:pt>
                <c:pt idx="17">
                  <c:v>0.64900000000000002</c:v>
                </c:pt>
                <c:pt idx="18">
                  <c:v>0.65700000000000003</c:v>
                </c:pt>
                <c:pt idx="19">
                  <c:v>0.66500000000000004</c:v>
                </c:pt>
                <c:pt idx="20">
                  <c:v>0.67300000000000004</c:v>
                </c:pt>
                <c:pt idx="21">
                  <c:v>0.68100000000000005</c:v>
                </c:pt>
                <c:pt idx="22">
                  <c:v>0.68900000000000006</c:v>
                </c:pt>
                <c:pt idx="23">
                  <c:v>0.69700000000000006</c:v>
                </c:pt>
                <c:pt idx="24">
                  <c:v>0.70500000000000007</c:v>
                </c:pt>
                <c:pt idx="25">
                  <c:v>0.70499999999999996</c:v>
                </c:pt>
                <c:pt idx="26">
                  <c:v>40.704999999999998</c:v>
                </c:pt>
                <c:pt idx="27">
                  <c:v>40.704999999999998</c:v>
                </c:pt>
                <c:pt idx="28">
                  <c:v>40.704999999999998</c:v>
                </c:pt>
                <c:pt idx="29">
                  <c:v>40.704999999999998</c:v>
                </c:pt>
                <c:pt idx="30">
                  <c:v>40.704999999999998</c:v>
                </c:pt>
                <c:pt idx="31">
                  <c:v>40.704999999999998</c:v>
                </c:pt>
                <c:pt idx="32">
                  <c:v>40.704999999999998</c:v>
                </c:pt>
                <c:pt idx="33">
                  <c:v>40.704999999999998</c:v>
                </c:pt>
                <c:pt idx="34">
                  <c:v>40.704999999999998</c:v>
                </c:pt>
                <c:pt idx="35">
                  <c:v>40.704999999999998</c:v>
                </c:pt>
                <c:pt idx="36">
                  <c:v>40.704999999999998</c:v>
                </c:pt>
                <c:pt idx="37">
                  <c:v>40.704999999999998</c:v>
                </c:pt>
                <c:pt idx="38">
                  <c:v>40.704999999999998</c:v>
                </c:pt>
                <c:pt idx="39">
                  <c:v>40.704999999999998</c:v>
                </c:pt>
                <c:pt idx="40">
                  <c:v>40.704999999999998</c:v>
                </c:pt>
                <c:pt idx="41">
                  <c:v>40.704999999999998</c:v>
                </c:pt>
                <c:pt idx="42">
                  <c:v>40.704999999999998</c:v>
                </c:pt>
                <c:pt idx="43">
                  <c:v>40.704999999999998</c:v>
                </c:pt>
                <c:pt idx="44">
                  <c:v>40.704999999999998</c:v>
                </c:pt>
                <c:pt idx="45">
                  <c:v>40.704999999999998</c:v>
                </c:pt>
                <c:pt idx="46">
                  <c:v>40.704999999999998</c:v>
                </c:pt>
                <c:pt idx="47">
                  <c:v>40.704999999999998</c:v>
                </c:pt>
                <c:pt idx="48">
                  <c:v>40.704999999999998</c:v>
                </c:pt>
                <c:pt idx="49">
                  <c:v>40.704999999999998</c:v>
                </c:pt>
                <c:pt idx="50">
                  <c:v>40.704999999999998</c:v>
                </c:pt>
                <c:pt idx="51">
                  <c:v>40.704999999999998</c:v>
                </c:pt>
                <c:pt idx="52">
                  <c:v>40.704999999999998</c:v>
                </c:pt>
                <c:pt idx="53">
                  <c:v>40.704999999999998</c:v>
                </c:pt>
                <c:pt idx="54">
                  <c:v>40.704999999999998</c:v>
                </c:pt>
                <c:pt idx="55">
                  <c:v>40.704999999999998</c:v>
                </c:pt>
                <c:pt idx="56">
                  <c:v>40.704999999999998</c:v>
                </c:pt>
                <c:pt idx="57">
                  <c:v>40.704999999999998</c:v>
                </c:pt>
                <c:pt idx="58">
                  <c:v>40.704999999999998</c:v>
                </c:pt>
                <c:pt idx="59">
                  <c:v>40.704999999999998</c:v>
                </c:pt>
                <c:pt idx="60">
                  <c:v>40.704999999999998</c:v>
                </c:pt>
                <c:pt idx="61">
                  <c:v>40.704999999999998</c:v>
                </c:pt>
                <c:pt idx="62">
                  <c:v>40.704999999999998</c:v>
                </c:pt>
                <c:pt idx="63">
                  <c:v>40.704999999999998</c:v>
                </c:pt>
                <c:pt idx="64">
                  <c:v>40.704999999999998</c:v>
                </c:pt>
                <c:pt idx="65">
                  <c:v>40.704999999999998</c:v>
                </c:pt>
                <c:pt idx="66">
                  <c:v>40.704999999999998</c:v>
                </c:pt>
                <c:pt idx="67">
                  <c:v>40.704999999999998</c:v>
                </c:pt>
                <c:pt idx="68">
                  <c:v>40.704999999999998</c:v>
                </c:pt>
                <c:pt idx="69">
                  <c:v>40.704999999999998</c:v>
                </c:pt>
                <c:pt idx="70">
                  <c:v>40.704999999999998</c:v>
                </c:pt>
                <c:pt idx="71">
                  <c:v>40.704999999999998</c:v>
                </c:pt>
                <c:pt idx="72">
                  <c:v>40.704999999999998</c:v>
                </c:pt>
                <c:pt idx="73">
                  <c:v>40.704999999999998</c:v>
                </c:pt>
                <c:pt idx="74">
                  <c:v>40.704999999999998</c:v>
                </c:pt>
                <c:pt idx="75">
                  <c:v>40.704999999999998</c:v>
                </c:pt>
                <c:pt idx="76">
                  <c:v>40.704999999999998</c:v>
                </c:pt>
                <c:pt idx="77">
                  <c:v>40.704999999999998</c:v>
                </c:pt>
                <c:pt idx="78">
                  <c:v>40.704999999999998</c:v>
                </c:pt>
                <c:pt idx="79">
                  <c:v>40.704999999999998</c:v>
                </c:pt>
                <c:pt idx="80">
                  <c:v>40.704999999999998</c:v>
                </c:pt>
                <c:pt idx="81">
                  <c:v>40.704999999999998</c:v>
                </c:pt>
                <c:pt idx="82">
                  <c:v>40.704999999999998</c:v>
                </c:pt>
                <c:pt idx="83">
                  <c:v>40.704999999999998</c:v>
                </c:pt>
                <c:pt idx="84">
                  <c:v>40.704999999999998</c:v>
                </c:pt>
                <c:pt idx="85">
                  <c:v>40.704999999999998</c:v>
                </c:pt>
                <c:pt idx="86">
                  <c:v>40.704999999999998</c:v>
                </c:pt>
                <c:pt idx="87">
                  <c:v>40.704999999999998</c:v>
                </c:pt>
                <c:pt idx="88">
                  <c:v>40.704999999999998</c:v>
                </c:pt>
                <c:pt idx="89">
                  <c:v>40.704999999999998</c:v>
                </c:pt>
                <c:pt idx="90">
                  <c:v>40.704999999999998</c:v>
                </c:pt>
                <c:pt idx="91">
                  <c:v>40.704999999999998</c:v>
                </c:pt>
                <c:pt idx="92">
                  <c:v>40.704999999999998</c:v>
                </c:pt>
                <c:pt idx="93">
                  <c:v>40.704999999999998</c:v>
                </c:pt>
                <c:pt idx="94">
                  <c:v>40.704999999999998</c:v>
                </c:pt>
                <c:pt idx="95">
                  <c:v>40.704999999999998</c:v>
                </c:pt>
                <c:pt idx="96">
                  <c:v>40.704999999999998</c:v>
                </c:pt>
                <c:pt idx="97">
                  <c:v>40.704999999999998</c:v>
                </c:pt>
                <c:pt idx="98">
                  <c:v>40.704999999999998</c:v>
                </c:pt>
                <c:pt idx="99">
                  <c:v>40.704999999999998</c:v>
                </c:pt>
                <c:pt idx="100">
                  <c:v>40.704999999999998</c:v>
                </c:pt>
                <c:pt idx="101">
                  <c:v>40.704999999999998</c:v>
                </c:pt>
                <c:pt idx="102">
                  <c:v>40.704999999999998</c:v>
                </c:pt>
                <c:pt idx="103">
                  <c:v>40.704999999999998</c:v>
                </c:pt>
                <c:pt idx="104">
                  <c:v>40.704999999999998</c:v>
                </c:pt>
                <c:pt idx="105">
                  <c:v>40.704999999999998</c:v>
                </c:pt>
                <c:pt idx="106">
                  <c:v>40.704999999999998</c:v>
                </c:pt>
                <c:pt idx="107">
                  <c:v>40.704999999999998</c:v>
                </c:pt>
                <c:pt idx="108">
                  <c:v>40.704999999999998</c:v>
                </c:pt>
                <c:pt idx="109">
                  <c:v>40.704999999999998</c:v>
                </c:pt>
                <c:pt idx="110">
                  <c:v>40.704999999999998</c:v>
                </c:pt>
                <c:pt idx="111">
                  <c:v>40.704999999999998</c:v>
                </c:pt>
                <c:pt idx="112">
                  <c:v>40.704999999999998</c:v>
                </c:pt>
                <c:pt idx="113">
                  <c:v>40.704999999999998</c:v>
                </c:pt>
                <c:pt idx="114">
                  <c:v>40.704999999999998</c:v>
                </c:pt>
                <c:pt idx="115">
                  <c:v>40.704999999999998</c:v>
                </c:pt>
                <c:pt idx="116">
                  <c:v>40.704999999999998</c:v>
                </c:pt>
                <c:pt idx="117">
                  <c:v>40.704999999999998</c:v>
                </c:pt>
                <c:pt idx="118">
                  <c:v>40.704999999999998</c:v>
                </c:pt>
                <c:pt idx="119">
                  <c:v>40.704999999999998</c:v>
                </c:pt>
                <c:pt idx="120">
                  <c:v>40.704999999999998</c:v>
                </c:pt>
                <c:pt idx="121">
                  <c:v>40.704999999999998</c:v>
                </c:pt>
                <c:pt idx="122">
                  <c:v>40.704999999999998</c:v>
                </c:pt>
                <c:pt idx="123">
                  <c:v>40.704999999999998</c:v>
                </c:pt>
                <c:pt idx="124">
                  <c:v>40.704999999999998</c:v>
                </c:pt>
                <c:pt idx="125">
                  <c:v>40.704999999999998</c:v>
                </c:pt>
                <c:pt idx="126">
                  <c:v>40.704999999999998</c:v>
                </c:pt>
                <c:pt idx="127">
                  <c:v>40.704999999999998</c:v>
                </c:pt>
                <c:pt idx="128">
                  <c:v>40.704999999999998</c:v>
                </c:pt>
                <c:pt idx="129">
                  <c:v>40.704999999999998</c:v>
                </c:pt>
                <c:pt idx="130">
                  <c:v>40.704999999999998</c:v>
                </c:pt>
                <c:pt idx="131">
                  <c:v>40.704999999999998</c:v>
                </c:pt>
                <c:pt idx="132">
                  <c:v>40.704999999999998</c:v>
                </c:pt>
                <c:pt idx="133">
                  <c:v>40.704999999999998</c:v>
                </c:pt>
                <c:pt idx="134">
                  <c:v>40.704999999999998</c:v>
                </c:pt>
                <c:pt idx="135">
                  <c:v>40.704999999999998</c:v>
                </c:pt>
                <c:pt idx="136">
                  <c:v>40.704999999999998</c:v>
                </c:pt>
                <c:pt idx="137">
                  <c:v>40.704999999999998</c:v>
                </c:pt>
                <c:pt idx="138">
                  <c:v>40.704999999999998</c:v>
                </c:pt>
                <c:pt idx="139">
                  <c:v>40.704999999999998</c:v>
                </c:pt>
                <c:pt idx="140">
                  <c:v>40.704999999999998</c:v>
                </c:pt>
                <c:pt idx="141">
                  <c:v>40.704999999999998</c:v>
                </c:pt>
                <c:pt idx="142">
                  <c:v>40.704999999999998</c:v>
                </c:pt>
                <c:pt idx="143">
                  <c:v>40.704999999999998</c:v>
                </c:pt>
                <c:pt idx="144">
                  <c:v>40.704999999999998</c:v>
                </c:pt>
                <c:pt idx="145">
                  <c:v>40.704999999999998</c:v>
                </c:pt>
                <c:pt idx="146">
                  <c:v>40.704999999999998</c:v>
                </c:pt>
                <c:pt idx="147">
                  <c:v>40.704999999999998</c:v>
                </c:pt>
                <c:pt idx="148">
                  <c:v>40.704999999999998</c:v>
                </c:pt>
                <c:pt idx="149">
                  <c:v>40.704999999999998</c:v>
                </c:pt>
                <c:pt idx="150">
                  <c:v>40.704999999999998</c:v>
                </c:pt>
                <c:pt idx="151">
                  <c:v>40.704999999999998</c:v>
                </c:pt>
                <c:pt idx="152">
                  <c:v>40.704999999999998</c:v>
                </c:pt>
                <c:pt idx="153">
                  <c:v>40.704999999999998</c:v>
                </c:pt>
                <c:pt idx="154">
                  <c:v>40.704999999999998</c:v>
                </c:pt>
                <c:pt idx="155">
                  <c:v>40.704999999999998</c:v>
                </c:pt>
                <c:pt idx="156">
                  <c:v>40.704999999999998</c:v>
                </c:pt>
              </c:numCache>
            </c:numRef>
          </c:xVal>
          <c:yVal>
            <c:numRef>
              <c:f>'Data Sheet'!$AA$51:$AA$207</c:f>
              <c:numCache>
                <c:formatCode>0.0</c:formatCode>
                <c:ptCount val="157"/>
                <c:pt idx="0">
                  <c:v>0</c:v>
                </c:pt>
                <c:pt idx="1">
                  <c:v>0.44145000000000006</c:v>
                </c:pt>
                <c:pt idx="2">
                  <c:v>0.51345000000000007</c:v>
                </c:pt>
                <c:pt idx="3">
                  <c:v>0.58545000000000014</c:v>
                </c:pt>
                <c:pt idx="4">
                  <c:v>0.62145000000000006</c:v>
                </c:pt>
                <c:pt idx="5">
                  <c:v>0.62145000000000006</c:v>
                </c:pt>
                <c:pt idx="6">
                  <c:v>0.62145000000000006</c:v>
                </c:pt>
                <c:pt idx="7">
                  <c:v>0.62145000000000006</c:v>
                </c:pt>
                <c:pt idx="8">
                  <c:v>0.62145000000000006</c:v>
                </c:pt>
                <c:pt idx="9">
                  <c:v>0.58545000000000003</c:v>
                </c:pt>
                <c:pt idx="10">
                  <c:v>0.51344999999999996</c:v>
                </c:pt>
                <c:pt idx="11">
                  <c:v>0.44145000000000001</c:v>
                </c:pt>
                <c:pt idx="12">
                  <c:v>0.44145000000000006</c:v>
                </c:pt>
                <c:pt idx="13">
                  <c:v>0.44145000000000006</c:v>
                </c:pt>
                <c:pt idx="14">
                  <c:v>0.44145000000000006</c:v>
                </c:pt>
                <c:pt idx="15">
                  <c:v>0.51345000000000007</c:v>
                </c:pt>
                <c:pt idx="16">
                  <c:v>0.58545000000000014</c:v>
                </c:pt>
                <c:pt idx="17">
                  <c:v>0.62145000000000006</c:v>
                </c:pt>
                <c:pt idx="18">
                  <c:v>0.62145000000000006</c:v>
                </c:pt>
                <c:pt idx="19">
                  <c:v>0.62145000000000006</c:v>
                </c:pt>
                <c:pt idx="20">
                  <c:v>0.62145000000000006</c:v>
                </c:pt>
                <c:pt idx="21">
                  <c:v>0.62145000000000006</c:v>
                </c:pt>
                <c:pt idx="22">
                  <c:v>0.58545000000000003</c:v>
                </c:pt>
                <c:pt idx="23">
                  <c:v>0.51344999999999996</c:v>
                </c:pt>
                <c:pt idx="24">
                  <c:v>0.44145000000000001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numCache>
            </c:numRef>
          </c:yVal>
          <c:smooth val="0"/>
          <c:extLst xmlns:c16r2="http://schemas.microsoft.com/office/drawing/2015/06/chart">
            <c:ext xmlns:c16="http://schemas.microsoft.com/office/drawing/2014/chart" uri="{C3380CC4-5D6E-409C-BE32-E72D297353CC}">
              <c16:uniqueId val="{00000000-985D-45A0-9EED-2BD4DDF79827}"/>
            </c:ext>
          </c:extLst>
        </c:ser>
        <c:dLbls>
          <c:showLegendKey val="0"/>
          <c:showVal val="0"/>
          <c:showCatName val="0"/>
          <c:showSerName val="0"/>
          <c:showPercent val="0"/>
          <c:showBubbleSize val="0"/>
        </c:dLbls>
        <c:axId val="232484944"/>
        <c:axId val="232485336"/>
      </c:scatterChart>
      <c:scatterChart>
        <c:scatterStyle val="lineMarker"/>
        <c:varyColors val="0"/>
        <c:ser>
          <c:idx val="1"/>
          <c:order val="1"/>
          <c:spPr>
            <a:ln w="25400">
              <a:solidFill>
                <a:srgbClr val="FF00FF"/>
              </a:solidFill>
              <a:prstDash val="solid"/>
            </a:ln>
          </c:spPr>
          <c:marker>
            <c:symbol val="none"/>
          </c:marker>
          <c:xVal>
            <c:numRef>
              <c:f>'Data Sheet'!$Z$51:$Z$207</c:f>
              <c:numCache>
                <c:formatCode>0.00</c:formatCode>
                <c:ptCount val="157"/>
                <c:pt idx="0">
                  <c:v>0</c:v>
                </c:pt>
                <c:pt idx="1">
                  <c:v>0</c:v>
                </c:pt>
                <c:pt idx="2">
                  <c:v>8.0000000000000002E-3</c:v>
                </c:pt>
                <c:pt idx="3">
                  <c:v>1.6E-2</c:v>
                </c:pt>
                <c:pt idx="4">
                  <c:v>2.4E-2</c:v>
                </c:pt>
                <c:pt idx="5">
                  <c:v>3.2000000000000001E-2</c:v>
                </c:pt>
                <c:pt idx="6">
                  <c:v>0.04</c:v>
                </c:pt>
                <c:pt idx="7">
                  <c:v>4.8000000000000001E-2</c:v>
                </c:pt>
                <c:pt idx="8">
                  <c:v>5.6000000000000001E-2</c:v>
                </c:pt>
                <c:pt idx="9">
                  <c:v>6.4000000000000001E-2</c:v>
                </c:pt>
                <c:pt idx="10">
                  <c:v>7.2000000000000008E-2</c:v>
                </c:pt>
                <c:pt idx="11">
                  <c:v>8.0000000000000016E-2</c:v>
                </c:pt>
                <c:pt idx="12">
                  <c:v>0.08</c:v>
                </c:pt>
                <c:pt idx="13">
                  <c:v>0.625</c:v>
                </c:pt>
                <c:pt idx="14">
                  <c:v>0.625</c:v>
                </c:pt>
                <c:pt idx="15">
                  <c:v>0.63300000000000001</c:v>
                </c:pt>
                <c:pt idx="16">
                  <c:v>0.64100000000000001</c:v>
                </c:pt>
                <c:pt idx="17">
                  <c:v>0.64900000000000002</c:v>
                </c:pt>
                <c:pt idx="18">
                  <c:v>0.65700000000000003</c:v>
                </c:pt>
                <c:pt idx="19">
                  <c:v>0.66500000000000004</c:v>
                </c:pt>
                <c:pt idx="20">
                  <c:v>0.67300000000000004</c:v>
                </c:pt>
                <c:pt idx="21">
                  <c:v>0.68100000000000005</c:v>
                </c:pt>
                <c:pt idx="22">
                  <c:v>0.68900000000000006</c:v>
                </c:pt>
                <c:pt idx="23">
                  <c:v>0.69700000000000006</c:v>
                </c:pt>
                <c:pt idx="24">
                  <c:v>0.70500000000000007</c:v>
                </c:pt>
                <c:pt idx="25">
                  <c:v>0.70499999999999996</c:v>
                </c:pt>
                <c:pt idx="26">
                  <c:v>40.704999999999998</c:v>
                </c:pt>
                <c:pt idx="27">
                  <c:v>40.704999999999998</c:v>
                </c:pt>
                <c:pt idx="28">
                  <c:v>40.704999999999998</c:v>
                </c:pt>
                <c:pt idx="29">
                  <c:v>40.704999999999998</c:v>
                </c:pt>
                <c:pt idx="30">
                  <c:v>40.704999999999998</c:v>
                </c:pt>
                <c:pt idx="31">
                  <c:v>40.704999999999998</c:v>
                </c:pt>
                <c:pt idx="32">
                  <c:v>40.704999999999998</c:v>
                </c:pt>
                <c:pt idx="33">
                  <c:v>40.704999999999998</c:v>
                </c:pt>
                <c:pt idx="34">
                  <c:v>40.704999999999998</c:v>
                </c:pt>
                <c:pt idx="35">
                  <c:v>40.704999999999998</c:v>
                </c:pt>
                <c:pt idx="36">
                  <c:v>40.704999999999998</c:v>
                </c:pt>
                <c:pt idx="37">
                  <c:v>40.704999999999998</c:v>
                </c:pt>
                <c:pt idx="38">
                  <c:v>40.704999999999998</c:v>
                </c:pt>
                <c:pt idx="39">
                  <c:v>40.704999999999998</c:v>
                </c:pt>
                <c:pt idx="40">
                  <c:v>40.704999999999998</c:v>
                </c:pt>
                <c:pt idx="41">
                  <c:v>40.704999999999998</c:v>
                </c:pt>
                <c:pt idx="42">
                  <c:v>40.704999999999998</c:v>
                </c:pt>
                <c:pt idx="43">
                  <c:v>40.704999999999998</c:v>
                </c:pt>
                <c:pt idx="44">
                  <c:v>40.704999999999998</c:v>
                </c:pt>
                <c:pt idx="45">
                  <c:v>40.704999999999998</c:v>
                </c:pt>
                <c:pt idx="46">
                  <c:v>40.704999999999998</c:v>
                </c:pt>
                <c:pt idx="47">
                  <c:v>40.704999999999998</c:v>
                </c:pt>
                <c:pt idx="48">
                  <c:v>40.704999999999998</c:v>
                </c:pt>
                <c:pt idx="49">
                  <c:v>40.704999999999998</c:v>
                </c:pt>
                <c:pt idx="50">
                  <c:v>40.704999999999998</c:v>
                </c:pt>
                <c:pt idx="51">
                  <c:v>40.704999999999998</c:v>
                </c:pt>
                <c:pt idx="52">
                  <c:v>40.704999999999998</c:v>
                </c:pt>
                <c:pt idx="53">
                  <c:v>40.704999999999998</c:v>
                </c:pt>
                <c:pt idx="54">
                  <c:v>40.704999999999998</c:v>
                </c:pt>
                <c:pt idx="55">
                  <c:v>40.704999999999998</c:v>
                </c:pt>
                <c:pt idx="56">
                  <c:v>40.704999999999998</c:v>
                </c:pt>
                <c:pt idx="57">
                  <c:v>40.704999999999998</c:v>
                </c:pt>
                <c:pt idx="58">
                  <c:v>40.704999999999998</c:v>
                </c:pt>
                <c:pt idx="59">
                  <c:v>40.704999999999998</c:v>
                </c:pt>
                <c:pt idx="60">
                  <c:v>40.704999999999998</c:v>
                </c:pt>
                <c:pt idx="61">
                  <c:v>40.704999999999998</c:v>
                </c:pt>
                <c:pt idx="62">
                  <c:v>40.704999999999998</c:v>
                </c:pt>
                <c:pt idx="63">
                  <c:v>40.704999999999998</c:v>
                </c:pt>
                <c:pt idx="64">
                  <c:v>40.704999999999998</c:v>
                </c:pt>
                <c:pt idx="65">
                  <c:v>40.704999999999998</c:v>
                </c:pt>
                <c:pt idx="66">
                  <c:v>40.704999999999998</c:v>
                </c:pt>
                <c:pt idx="67">
                  <c:v>40.704999999999998</c:v>
                </c:pt>
                <c:pt idx="68">
                  <c:v>40.704999999999998</c:v>
                </c:pt>
                <c:pt idx="69">
                  <c:v>40.704999999999998</c:v>
                </c:pt>
                <c:pt idx="70">
                  <c:v>40.704999999999998</c:v>
                </c:pt>
                <c:pt idx="71">
                  <c:v>40.704999999999998</c:v>
                </c:pt>
                <c:pt idx="72">
                  <c:v>40.704999999999998</c:v>
                </c:pt>
                <c:pt idx="73">
                  <c:v>40.704999999999998</c:v>
                </c:pt>
                <c:pt idx="74">
                  <c:v>40.704999999999998</c:v>
                </c:pt>
                <c:pt idx="75">
                  <c:v>40.704999999999998</c:v>
                </c:pt>
                <c:pt idx="76">
                  <c:v>40.704999999999998</c:v>
                </c:pt>
                <c:pt idx="77">
                  <c:v>40.704999999999998</c:v>
                </c:pt>
                <c:pt idx="78">
                  <c:v>40.704999999999998</c:v>
                </c:pt>
                <c:pt idx="79">
                  <c:v>40.704999999999998</c:v>
                </c:pt>
                <c:pt idx="80">
                  <c:v>40.704999999999998</c:v>
                </c:pt>
                <c:pt idx="81">
                  <c:v>40.704999999999998</c:v>
                </c:pt>
                <c:pt idx="82">
                  <c:v>40.704999999999998</c:v>
                </c:pt>
                <c:pt idx="83">
                  <c:v>40.704999999999998</c:v>
                </c:pt>
                <c:pt idx="84">
                  <c:v>40.704999999999998</c:v>
                </c:pt>
                <c:pt idx="85">
                  <c:v>40.704999999999998</c:v>
                </c:pt>
                <c:pt idx="86">
                  <c:v>40.704999999999998</c:v>
                </c:pt>
                <c:pt idx="87">
                  <c:v>40.704999999999998</c:v>
                </c:pt>
                <c:pt idx="88">
                  <c:v>40.704999999999998</c:v>
                </c:pt>
                <c:pt idx="89">
                  <c:v>40.704999999999998</c:v>
                </c:pt>
                <c:pt idx="90">
                  <c:v>40.704999999999998</c:v>
                </c:pt>
                <c:pt idx="91">
                  <c:v>40.704999999999998</c:v>
                </c:pt>
                <c:pt idx="92">
                  <c:v>40.704999999999998</c:v>
                </c:pt>
                <c:pt idx="93">
                  <c:v>40.704999999999998</c:v>
                </c:pt>
                <c:pt idx="94">
                  <c:v>40.704999999999998</c:v>
                </c:pt>
                <c:pt idx="95">
                  <c:v>40.704999999999998</c:v>
                </c:pt>
                <c:pt idx="96">
                  <c:v>40.704999999999998</c:v>
                </c:pt>
                <c:pt idx="97">
                  <c:v>40.704999999999998</c:v>
                </c:pt>
                <c:pt idx="98">
                  <c:v>40.704999999999998</c:v>
                </c:pt>
                <c:pt idx="99">
                  <c:v>40.704999999999998</c:v>
                </c:pt>
                <c:pt idx="100">
                  <c:v>40.704999999999998</c:v>
                </c:pt>
                <c:pt idx="101">
                  <c:v>40.704999999999998</c:v>
                </c:pt>
                <c:pt idx="102">
                  <c:v>40.704999999999998</c:v>
                </c:pt>
                <c:pt idx="103">
                  <c:v>40.704999999999998</c:v>
                </c:pt>
                <c:pt idx="104">
                  <c:v>40.704999999999998</c:v>
                </c:pt>
                <c:pt idx="105">
                  <c:v>40.704999999999998</c:v>
                </c:pt>
                <c:pt idx="106">
                  <c:v>40.704999999999998</c:v>
                </c:pt>
                <c:pt idx="107">
                  <c:v>40.704999999999998</c:v>
                </c:pt>
                <c:pt idx="108">
                  <c:v>40.704999999999998</c:v>
                </c:pt>
                <c:pt idx="109">
                  <c:v>40.704999999999998</c:v>
                </c:pt>
                <c:pt idx="110">
                  <c:v>40.704999999999998</c:v>
                </c:pt>
                <c:pt idx="111">
                  <c:v>40.704999999999998</c:v>
                </c:pt>
                <c:pt idx="112">
                  <c:v>40.704999999999998</c:v>
                </c:pt>
                <c:pt idx="113">
                  <c:v>40.704999999999998</c:v>
                </c:pt>
                <c:pt idx="114">
                  <c:v>40.704999999999998</c:v>
                </c:pt>
                <c:pt idx="115">
                  <c:v>40.704999999999998</c:v>
                </c:pt>
                <c:pt idx="116">
                  <c:v>40.704999999999998</c:v>
                </c:pt>
                <c:pt idx="117">
                  <c:v>40.704999999999998</c:v>
                </c:pt>
                <c:pt idx="118">
                  <c:v>40.704999999999998</c:v>
                </c:pt>
                <c:pt idx="119">
                  <c:v>40.704999999999998</c:v>
                </c:pt>
                <c:pt idx="120">
                  <c:v>40.704999999999998</c:v>
                </c:pt>
                <c:pt idx="121">
                  <c:v>40.704999999999998</c:v>
                </c:pt>
                <c:pt idx="122">
                  <c:v>40.704999999999998</c:v>
                </c:pt>
                <c:pt idx="123">
                  <c:v>40.704999999999998</c:v>
                </c:pt>
                <c:pt idx="124">
                  <c:v>40.704999999999998</c:v>
                </c:pt>
                <c:pt idx="125">
                  <c:v>40.704999999999998</c:v>
                </c:pt>
                <c:pt idx="126">
                  <c:v>40.704999999999998</c:v>
                </c:pt>
                <c:pt idx="127">
                  <c:v>40.704999999999998</c:v>
                </c:pt>
                <c:pt idx="128">
                  <c:v>40.704999999999998</c:v>
                </c:pt>
                <c:pt idx="129">
                  <c:v>40.704999999999998</c:v>
                </c:pt>
                <c:pt idx="130">
                  <c:v>40.704999999999998</c:v>
                </c:pt>
                <c:pt idx="131">
                  <c:v>40.704999999999998</c:v>
                </c:pt>
                <c:pt idx="132">
                  <c:v>40.704999999999998</c:v>
                </c:pt>
                <c:pt idx="133">
                  <c:v>40.704999999999998</c:v>
                </c:pt>
                <c:pt idx="134">
                  <c:v>40.704999999999998</c:v>
                </c:pt>
                <c:pt idx="135">
                  <c:v>40.704999999999998</c:v>
                </c:pt>
                <c:pt idx="136">
                  <c:v>40.704999999999998</c:v>
                </c:pt>
                <c:pt idx="137">
                  <c:v>40.704999999999998</c:v>
                </c:pt>
                <c:pt idx="138">
                  <c:v>40.704999999999998</c:v>
                </c:pt>
                <c:pt idx="139">
                  <c:v>40.704999999999998</c:v>
                </c:pt>
                <c:pt idx="140">
                  <c:v>40.704999999999998</c:v>
                </c:pt>
                <c:pt idx="141">
                  <c:v>40.704999999999998</c:v>
                </c:pt>
                <c:pt idx="142">
                  <c:v>40.704999999999998</c:v>
                </c:pt>
                <c:pt idx="143">
                  <c:v>40.704999999999998</c:v>
                </c:pt>
                <c:pt idx="144">
                  <c:v>40.704999999999998</c:v>
                </c:pt>
                <c:pt idx="145">
                  <c:v>40.704999999999998</c:v>
                </c:pt>
                <c:pt idx="146">
                  <c:v>40.704999999999998</c:v>
                </c:pt>
                <c:pt idx="147">
                  <c:v>40.704999999999998</c:v>
                </c:pt>
                <c:pt idx="148">
                  <c:v>40.704999999999998</c:v>
                </c:pt>
                <c:pt idx="149">
                  <c:v>40.704999999999998</c:v>
                </c:pt>
                <c:pt idx="150">
                  <c:v>40.704999999999998</c:v>
                </c:pt>
                <c:pt idx="151">
                  <c:v>40.704999999999998</c:v>
                </c:pt>
                <c:pt idx="152">
                  <c:v>40.704999999999998</c:v>
                </c:pt>
                <c:pt idx="153">
                  <c:v>40.704999999999998</c:v>
                </c:pt>
                <c:pt idx="154">
                  <c:v>40.704999999999998</c:v>
                </c:pt>
                <c:pt idx="155">
                  <c:v>40.704999999999998</c:v>
                </c:pt>
                <c:pt idx="156">
                  <c:v>40.704999999999998</c:v>
                </c:pt>
              </c:numCache>
            </c:numRef>
          </c:xVal>
          <c:yVal>
            <c:numRef>
              <c:f>'Data Sheet'!$AB$51:$AB$207</c:f>
              <c:numCache>
                <c:formatCode>General</c:formatCode>
                <c:ptCount val="157"/>
                <c:pt idx="0">
                  <c:v>0</c:v>
                </c:pt>
                <c:pt idx="1">
                  <c:v>0.2072535211267606</c:v>
                </c:pt>
                <c:pt idx="2">
                  <c:v>0.24105633802816906</c:v>
                </c:pt>
                <c:pt idx="3">
                  <c:v>0.27485915492957752</c:v>
                </c:pt>
                <c:pt idx="4">
                  <c:v>0.29176056338028172</c:v>
                </c:pt>
                <c:pt idx="5">
                  <c:v>0.29176056338028172</c:v>
                </c:pt>
                <c:pt idx="6">
                  <c:v>0.29176056338028172</c:v>
                </c:pt>
                <c:pt idx="7">
                  <c:v>0.29176056338028172</c:v>
                </c:pt>
                <c:pt idx="8">
                  <c:v>0.29176056338028172</c:v>
                </c:pt>
                <c:pt idx="9">
                  <c:v>0.27485915492957746</c:v>
                </c:pt>
                <c:pt idx="10">
                  <c:v>0.241056338028169</c:v>
                </c:pt>
                <c:pt idx="11">
                  <c:v>0.20725352112676057</c:v>
                </c:pt>
                <c:pt idx="12">
                  <c:v>0.2072535211267606</c:v>
                </c:pt>
                <c:pt idx="13">
                  <c:v>0.2072535211267606</c:v>
                </c:pt>
                <c:pt idx="14">
                  <c:v>0.2072535211267606</c:v>
                </c:pt>
                <c:pt idx="15">
                  <c:v>0.24105633802816906</c:v>
                </c:pt>
                <c:pt idx="16">
                  <c:v>0.27485915492957752</c:v>
                </c:pt>
                <c:pt idx="17">
                  <c:v>0.29176056338028172</c:v>
                </c:pt>
                <c:pt idx="18">
                  <c:v>0.29176056338028172</c:v>
                </c:pt>
                <c:pt idx="19">
                  <c:v>0.29176056338028172</c:v>
                </c:pt>
                <c:pt idx="20">
                  <c:v>0.29176056338028172</c:v>
                </c:pt>
                <c:pt idx="21">
                  <c:v>0.29176056338028172</c:v>
                </c:pt>
                <c:pt idx="22">
                  <c:v>0.27485915492957746</c:v>
                </c:pt>
                <c:pt idx="23">
                  <c:v>0.241056338028169</c:v>
                </c:pt>
                <c:pt idx="24">
                  <c:v>0.20725352112676057</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numCache>
            </c:numRef>
          </c:yVal>
          <c:smooth val="0"/>
          <c:extLst xmlns:c16r2="http://schemas.microsoft.com/office/drawing/2015/06/chart">
            <c:ext xmlns:c16="http://schemas.microsoft.com/office/drawing/2014/chart" uri="{C3380CC4-5D6E-409C-BE32-E72D297353CC}">
              <c16:uniqueId val="{00000001-985D-45A0-9EED-2BD4DDF79827}"/>
            </c:ext>
          </c:extLst>
        </c:ser>
        <c:dLbls>
          <c:showLegendKey val="0"/>
          <c:showVal val="0"/>
          <c:showCatName val="0"/>
          <c:showSerName val="0"/>
          <c:showPercent val="0"/>
          <c:showBubbleSize val="0"/>
        </c:dLbls>
        <c:axId val="232485728"/>
        <c:axId val="232486120"/>
      </c:scatterChart>
      <c:valAx>
        <c:axId val="232484944"/>
        <c:scaling>
          <c:orientation val="minMax"/>
        </c:scaling>
        <c:delete val="0"/>
        <c:axPos val="b"/>
        <c:title>
          <c:tx>
            <c:rich>
              <a:bodyPr/>
              <a:lstStyle/>
              <a:p>
                <a:pPr>
                  <a:defRPr sz="925" b="1" i="0" u="none" strike="noStrike" baseline="0">
                    <a:solidFill>
                      <a:srgbClr val="000000"/>
                    </a:solidFill>
                    <a:latin typeface="Arial"/>
                    <a:ea typeface="Arial"/>
                    <a:cs typeface="Arial"/>
                  </a:defRPr>
                </a:pPr>
                <a:r>
                  <a:rPr lang="en-US"/>
                  <a:t>Time (S)</a:t>
                </a:r>
              </a:p>
            </c:rich>
          </c:tx>
          <c:layout>
            <c:manualLayout>
              <c:xMode val="edge"/>
              <c:yMode val="edge"/>
              <c:x val="0.46072709258353256"/>
              <c:y val="0.85824076588127629"/>
            </c:manualLayout>
          </c:layout>
          <c:overlay val="0"/>
          <c:spPr>
            <a:noFill/>
            <a:ln w="25400">
              <a:noFill/>
            </a:ln>
          </c:spPr>
        </c:title>
        <c:numFmt formatCode="0.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232485336"/>
        <c:crosses val="autoZero"/>
        <c:crossBetween val="midCat"/>
      </c:valAx>
      <c:valAx>
        <c:axId val="232485336"/>
        <c:scaling>
          <c:orientation val="minMax"/>
        </c:scaling>
        <c:delete val="0"/>
        <c:axPos val="l"/>
        <c:majorGridlines>
          <c:spPr>
            <a:ln w="3175">
              <a:solidFill>
                <a:srgbClr val="000000"/>
              </a:solidFill>
              <a:prstDash val="solid"/>
            </a:ln>
          </c:spPr>
        </c:majorGridlines>
        <c:title>
          <c:tx>
            <c:rich>
              <a:bodyPr/>
              <a:lstStyle/>
              <a:p>
                <a:pPr>
                  <a:defRPr sz="925" b="1" i="0" u="none" strike="noStrike" baseline="0">
                    <a:solidFill>
                      <a:srgbClr val="000000"/>
                    </a:solidFill>
                    <a:latin typeface="Arial"/>
                    <a:ea typeface="Arial"/>
                    <a:cs typeface="Arial"/>
                  </a:defRPr>
                </a:pPr>
                <a:r>
                  <a:rPr lang="en-US"/>
                  <a:t>Force (N)</a:t>
                </a:r>
              </a:p>
            </c:rich>
          </c:tx>
          <c:layout>
            <c:manualLayout>
              <c:xMode val="edge"/>
              <c:yMode val="edge"/>
              <c:x val="5.8616647127784291E-3"/>
              <c:y val="0.4061302681992337"/>
            </c:manualLayout>
          </c:layout>
          <c:overlay val="0"/>
          <c:spPr>
            <a:noFill/>
            <a:ln w="25400">
              <a:noFill/>
            </a:ln>
          </c:spPr>
        </c:title>
        <c:numFmt formatCode="0.0" sourceLinked="1"/>
        <c:majorTickMark val="out"/>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232484944"/>
        <c:crosses val="autoZero"/>
        <c:crossBetween val="midCat"/>
      </c:valAx>
      <c:valAx>
        <c:axId val="232485728"/>
        <c:scaling>
          <c:orientation val="minMax"/>
        </c:scaling>
        <c:delete val="1"/>
        <c:axPos val="b"/>
        <c:numFmt formatCode="0.00" sourceLinked="1"/>
        <c:majorTickMark val="out"/>
        <c:minorTickMark val="none"/>
        <c:tickLblPos val="nextTo"/>
        <c:crossAx val="232486120"/>
        <c:crosses val="autoZero"/>
        <c:crossBetween val="midCat"/>
      </c:valAx>
      <c:valAx>
        <c:axId val="232486120"/>
        <c:scaling>
          <c:orientation val="minMax"/>
        </c:scaling>
        <c:delete val="0"/>
        <c:axPos val="r"/>
        <c:title>
          <c:tx>
            <c:rich>
              <a:bodyPr/>
              <a:lstStyle/>
              <a:p>
                <a:pPr>
                  <a:defRPr sz="925" b="1" i="0" u="none" strike="noStrike" baseline="0">
                    <a:solidFill>
                      <a:srgbClr val="000000"/>
                    </a:solidFill>
                    <a:latin typeface="Arial"/>
                    <a:ea typeface="Arial"/>
                    <a:cs typeface="Arial"/>
                  </a:defRPr>
                </a:pPr>
                <a:r>
                  <a:rPr lang="en-US"/>
                  <a:t>Current (A)</a:t>
                </a:r>
              </a:p>
            </c:rich>
          </c:tx>
          <c:layout>
            <c:manualLayout>
              <c:xMode val="edge"/>
              <c:yMode val="edge"/>
              <c:x val="0.96365767878077369"/>
              <c:y val="0.37931034482758619"/>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sz="925" b="0" i="0" u="none" strike="noStrike" baseline="0">
                <a:solidFill>
                  <a:srgbClr val="000000"/>
                </a:solidFill>
                <a:latin typeface="Arial"/>
                <a:ea typeface="Arial"/>
                <a:cs typeface="Arial"/>
              </a:defRPr>
            </a:pPr>
            <a:endParaRPr lang="en-US"/>
          </a:p>
        </c:txPr>
        <c:crossAx val="232485728"/>
        <c:crosses val="max"/>
        <c:crossBetween val="midCat"/>
      </c:valAx>
      <c:spPr>
        <a:solidFill>
          <a:srgbClr val="C0C0C0"/>
        </a:solidFill>
        <a:ln w="12700">
          <a:solidFill>
            <a:srgbClr val="808080"/>
          </a:solidFill>
          <a:prstDash val="solid"/>
        </a:ln>
      </c:spPr>
    </c:plotArea>
    <c:plotVisOnly val="1"/>
    <c:dispBlanksAs val="gap"/>
    <c:showDLblsOverMax val="0"/>
  </c:chart>
  <c:spPr>
    <a:noFill/>
    <a:ln w="9525">
      <a:noFill/>
    </a:ln>
  </c:spPr>
  <c:txPr>
    <a:bodyPr/>
    <a:lstStyle/>
    <a:p>
      <a:pPr>
        <a:defRPr sz="925" b="0" i="0" u="none" strike="noStrike" baseline="0">
          <a:solidFill>
            <a:srgbClr val="000000"/>
          </a:solidFill>
          <a:latin typeface="Arial"/>
          <a:ea typeface="Arial"/>
          <a:cs typeface="Arial"/>
        </a:defRPr>
      </a:pPr>
      <a:endParaRPr lang="en-US"/>
    </a:p>
  </c:txPr>
  <c:printSettings>
    <c:headerFooter alignWithMargins="0"/>
    <c:pageMargins b="1" l="0.75000000000000111" r="0.75000000000000111" t="1" header="0.5" footer="0.5"/>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baseline="0"/>
              <a:t>Force - Duty curve</a:t>
            </a:r>
          </a:p>
          <a:p>
            <a:pPr>
              <a:defRPr/>
            </a:pPr>
            <a:r>
              <a:rPr lang="en-US" sz="1000" b="0" baseline="0"/>
              <a:t>application represented by dots</a:t>
            </a:r>
          </a:p>
        </c:rich>
      </c:tx>
      <c:layout>
        <c:manualLayout>
          <c:xMode val="edge"/>
          <c:yMode val="edge"/>
          <c:x val="0.28468824430365225"/>
          <c:y val="4.7113847611153867E-3"/>
        </c:manualLayout>
      </c:layout>
      <c:overlay val="0"/>
      <c:spPr>
        <a:noFill/>
        <a:ln w="25400">
          <a:noFill/>
        </a:ln>
      </c:spPr>
    </c:title>
    <c:autoTitleDeleted val="0"/>
    <c:plotArea>
      <c:layout>
        <c:manualLayout>
          <c:layoutTarget val="inner"/>
          <c:xMode val="edge"/>
          <c:yMode val="edge"/>
          <c:x val="0.17317073170731706"/>
          <c:y val="0.17293233082706766"/>
          <c:w val="0.78048780487804881"/>
          <c:h val="0.39849624060150374"/>
        </c:manualLayout>
      </c:layout>
      <c:scatterChart>
        <c:scatterStyle val="lineMarker"/>
        <c:varyColors val="0"/>
        <c:ser>
          <c:idx val="2"/>
          <c:order val="0"/>
          <c:tx>
            <c:strRef>
              <c:f>'Data Sheet'!$B$50</c:f>
              <c:strCache>
                <c:ptCount val="1"/>
                <c:pt idx="0">
                  <c:v>10 °C</c:v>
                </c:pt>
              </c:strCache>
            </c:strRef>
          </c:tx>
          <c:marker>
            <c:symbol val="none"/>
          </c:marker>
          <c:xVal>
            <c:numRef>
              <c:f>'Data Sheet'!$A$51:$A$150</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xVal>
          <c:yVal>
            <c:numRef>
              <c:f>'Data Sheet'!$B$51:$B$150</c:f>
              <c:numCache>
                <c:formatCode>General</c:formatCode>
                <c:ptCount val="100"/>
                <c:pt idx="0">
                  <c:v>5.289214367531117</c:v>
                </c:pt>
                <c:pt idx="1">
                  <c:v>3.7400393464305686</c:v>
                </c:pt>
                <c:pt idx="2">
                  <c:v>3.0537293388957263</c:v>
                </c:pt>
                <c:pt idx="3">
                  <c:v>2.6446071837655585</c:v>
                </c:pt>
                <c:pt idx="4">
                  <c:v>2.3654085746736269</c:v>
                </c:pt>
                <c:pt idx="5">
                  <c:v>2.1593127234414808</c:v>
                </c:pt>
                <c:pt idx="6">
                  <c:v>1.9991351210567316</c:v>
                </c:pt>
                <c:pt idx="7">
                  <c:v>1.8700196732152843</c:v>
                </c:pt>
                <c:pt idx="8">
                  <c:v>1.7630714558437057</c:v>
                </c:pt>
                <c:pt idx="9">
                  <c:v>1.6725964434285274</c:v>
                </c:pt>
                <c:pt idx="10">
                  <c:v>1.5947581357143328</c:v>
                </c:pt>
                <c:pt idx="11">
                  <c:v>1.5268646694478631</c:v>
                </c:pt>
                <c:pt idx="12">
                  <c:v>1.4669641237734059</c:v>
                </c:pt>
                <c:pt idx="13">
                  <c:v>1.4136020006074046</c:v>
                </c:pt>
                <c:pt idx="14">
                  <c:v>1.3656692773312673</c:v>
                </c:pt>
                <c:pt idx="15">
                  <c:v>1.3223035918827792</c:v>
                </c:pt>
                <c:pt idx="16">
                  <c:v>1.2828229125803119</c:v>
                </c:pt>
                <c:pt idx="17">
                  <c:v>1.2466797821435229</c:v>
                </c:pt>
                <c:pt idx="18">
                  <c:v>1.2134289957258704</c:v>
                </c:pt>
                <c:pt idx="19">
                  <c:v>1.1827042873368134</c:v>
                </c:pt>
                <c:pt idx="20">
                  <c:v>1.1542012002885393</c:v>
                </c:pt>
                <c:pt idx="21">
                  <c:v>1.1276642921160211</c:v>
                </c:pt>
                <c:pt idx="22">
                  <c:v>1.1028774346680121</c:v>
                </c:pt>
                <c:pt idx="23">
                  <c:v>1.0796563617207404</c:v>
                </c:pt>
                <c:pt idx="24">
                  <c:v>1.0578428735062233</c:v>
                </c:pt>
                <c:pt idx="25">
                  <c:v>1.0373002796775572</c:v>
                </c:pt>
                <c:pt idx="26">
                  <c:v>1.0179097796319088</c:v>
                </c:pt>
                <c:pt idx="27">
                  <c:v>0.99956756052836582</c:v>
                </c:pt>
                <c:pt idx="28">
                  <c:v>0.98218245066961218</c:v>
                </c:pt>
                <c:pt idx="29">
                  <c:v>0.9656740068590709</c:v>
                </c:pt>
                <c:pt idx="30">
                  <c:v>0.94997094396478343</c:v>
                </c:pt>
                <c:pt idx="31">
                  <c:v>0.93500983660764214</c:v>
                </c:pt>
                <c:pt idx="32">
                  <c:v>0.92073403894701566</c:v>
                </c:pt>
                <c:pt idx="33">
                  <c:v>0.90709278054701625</c:v>
                </c:pt>
                <c:pt idx="34">
                  <c:v>0.89404040537802465</c:v>
                </c:pt>
                <c:pt idx="35">
                  <c:v>0.88153572792185286</c:v>
                </c:pt>
                <c:pt idx="36">
                  <c:v>0.86954148566306144</c:v>
                </c:pt>
                <c:pt idx="37">
                  <c:v>0.85802387136614511</c:v>
                </c:pt>
                <c:pt idx="38">
                  <c:v>0.84695213175209927</c:v>
                </c:pt>
                <c:pt idx="39">
                  <c:v>0.83629822171426371</c:v>
                </c:pt>
                <c:pt idx="40">
                  <c:v>0.82603650521259875</c:v>
                </c:pt>
                <c:pt idx="41">
                  <c:v>0.81614349557767862</c:v>
                </c:pt>
                <c:pt idx="42">
                  <c:v>0.80659762923116718</c:v>
                </c:pt>
                <c:pt idx="43">
                  <c:v>0.79737906785716639</c:v>
                </c:pt>
                <c:pt idx="44">
                  <c:v>0.78846952489120892</c:v>
                </c:pt>
                <c:pt idx="45">
                  <c:v>0.7798521128713749</c:v>
                </c:pt>
                <c:pt idx="46">
                  <c:v>0.77151120875046819</c:v>
                </c:pt>
                <c:pt idx="47">
                  <c:v>0.76343233472393157</c:v>
                </c:pt>
                <c:pt idx="48">
                  <c:v>0.75560205250444534</c:v>
                </c:pt>
                <c:pt idx="49">
                  <c:v>0.74800786928611374</c:v>
                </c:pt>
                <c:pt idx="50">
                  <c:v>0.74063815390086296</c:v>
                </c:pt>
                <c:pt idx="51">
                  <c:v>0.73348206188670295</c:v>
                </c:pt>
                <c:pt idx="52">
                  <c:v>0.72652946836958276</c:v>
                </c:pt>
                <c:pt idx="53">
                  <c:v>0.71977090781382702</c:v>
                </c:pt>
                <c:pt idx="54">
                  <c:v>0.71319751982561652</c:v>
                </c:pt>
                <c:pt idx="55">
                  <c:v>0.7068010003037023</c:v>
                </c:pt>
                <c:pt idx="56">
                  <c:v>0.70057355732482851</c:v>
                </c:pt>
                <c:pt idx="57">
                  <c:v>0.69450787123090452</c:v>
                </c:pt>
                <c:pt idx="58">
                  <c:v>0.68859705845300323</c:v>
                </c:pt>
                <c:pt idx="59">
                  <c:v>0.68283463866563365</c:v>
                </c:pt>
                <c:pt idx="60">
                  <c:v>0.67721450491492985</c:v>
                </c:pt>
                <c:pt idx="61">
                  <c:v>0.67173089640768413</c:v>
                </c:pt>
                <c:pt idx="62">
                  <c:v>0.66637837368557717</c:v>
                </c:pt>
                <c:pt idx="63">
                  <c:v>0.66115179594138962</c:v>
                </c:pt>
                <c:pt idx="64">
                  <c:v>0.65604630026215016</c:v>
                </c:pt>
                <c:pt idx="65">
                  <c:v>0.65105728260871354</c:v>
                </c:pt>
                <c:pt idx="66">
                  <c:v>0.6461803803626629</c:v>
                </c:pt>
                <c:pt idx="67">
                  <c:v>0.64141145629015595</c:v>
                </c:pt>
                <c:pt idx="68">
                  <c:v>0.63674658378874072</c:v>
                </c:pt>
                <c:pt idx="69">
                  <c:v>0.63218203329757106</c:v>
                </c:pt>
                <c:pt idx="70">
                  <c:v>0.6277142597641332</c:v>
                </c:pt>
                <c:pt idx="71">
                  <c:v>0.62333989107176146</c:v>
                </c:pt>
                <c:pt idx="72">
                  <c:v>0.61905571734209808</c:v>
                </c:pt>
                <c:pt idx="73">
                  <c:v>0.61485868103537589</c:v>
                </c:pt>
                <c:pt idx="74">
                  <c:v>0.6107458677791453</c:v>
                </c:pt>
                <c:pt idx="75">
                  <c:v>0.60671449786293519</c:v>
                </c:pt>
                <c:pt idx="76">
                  <c:v>0.60276191834244552</c:v>
                </c:pt>
                <c:pt idx="77">
                  <c:v>0.5988855957023117</c:v>
                </c:pt>
                <c:pt idx="78">
                  <c:v>0.59508310903133521</c:v>
                </c:pt>
                <c:pt idx="79">
                  <c:v>0.59135214366840672</c:v>
                </c:pt>
                <c:pt idx="80">
                  <c:v>0.58769048528123513</c:v>
                </c:pt>
                <c:pt idx="81">
                  <c:v>0.58409601434346559</c:v>
                </c:pt>
                <c:pt idx="82">
                  <c:v>0.58056670097889107</c:v>
                </c:pt>
                <c:pt idx="83">
                  <c:v>0.57710060014426967</c:v>
                </c:pt>
                <c:pt idx="84">
                  <c:v>0.57369584712476951</c:v>
                </c:pt>
                <c:pt idx="85">
                  <c:v>0.570350653318351</c:v>
                </c:pt>
                <c:pt idx="86">
                  <c:v>0.56706330228742696</c:v>
                </c:pt>
                <c:pt idx="87">
                  <c:v>0.56383214605801057</c:v>
                </c:pt>
                <c:pt idx="88">
                  <c:v>0.56065560164821637</c:v>
                </c:pt>
                <c:pt idx="89">
                  <c:v>0.5575321478095091</c:v>
                </c:pt>
                <c:pt idx="90">
                  <c:v>0.55446032196545814</c:v>
                </c:pt>
                <c:pt idx="91">
                  <c:v>0.55143871733400607</c:v>
                </c:pt>
                <c:pt idx="92">
                  <c:v>0.54846598022039061</c:v>
                </c:pt>
                <c:pt idx="93">
                  <c:v>0.545540807468886</c:v>
                </c:pt>
                <c:pt idx="94">
                  <c:v>0.54266194406246959</c:v>
                </c:pt>
                <c:pt idx="95">
                  <c:v>0.53982818086037021</c:v>
                </c:pt>
                <c:pt idx="96">
                  <c:v>0.53703835246423604</c:v>
                </c:pt>
                <c:pt idx="97">
                  <c:v>0.53429133520436689</c:v>
                </c:pt>
                <c:pt idx="98">
                  <c:v>0.53158604523811093</c:v>
                </c:pt>
                <c:pt idx="99">
                  <c:v>0.52892143675311165</c:v>
                </c:pt>
              </c:numCache>
            </c:numRef>
          </c:yVal>
          <c:smooth val="0"/>
          <c:extLst xmlns:c16r2="http://schemas.microsoft.com/office/drawing/2015/06/chart">
            <c:ext xmlns:c16="http://schemas.microsoft.com/office/drawing/2014/chart" uri="{C3380CC4-5D6E-409C-BE32-E72D297353CC}">
              <c16:uniqueId val="{00000000-14F7-4660-AA52-ACB8FAE4C3E7}"/>
            </c:ext>
          </c:extLst>
        </c:ser>
        <c:ser>
          <c:idx val="4"/>
          <c:order val="1"/>
          <c:tx>
            <c:strRef>
              <c:f>'Data Sheet'!$D$50</c:f>
              <c:strCache>
                <c:ptCount val="1"/>
                <c:pt idx="0">
                  <c:v>30 °C</c:v>
                </c:pt>
              </c:strCache>
            </c:strRef>
          </c:tx>
          <c:marker>
            <c:symbol val="none"/>
          </c:marker>
          <c:xVal>
            <c:numRef>
              <c:f>'Data Sheet'!$A$51:$A$150</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xVal>
          <c:yVal>
            <c:numRef>
              <c:f>'Data Sheet'!$D$51:$D$150</c:f>
              <c:numCache>
                <c:formatCode>General</c:formatCode>
                <c:ptCount val="100"/>
                <c:pt idx="0">
                  <c:v>8.8332552846069454</c:v>
                </c:pt>
                <c:pt idx="1">
                  <c:v>6.2460547116974778</c:v>
                </c:pt>
                <c:pt idx="2">
                  <c:v>5.0998823163885048</c:v>
                </c:pt>
                <c:pt idx="3">
                  <c:v>4.4166276423034727</c:v>
                </c:pt>
                <c:pt idx="4">
                  <c:v>3.9503518557980764</c:v>
                </c:pt>
                <c:pt idx="5">
                  <c:v>3.6061613691716694</c:v>
                </c:pt>
                <c:pt idx="6">
                  <c:v>3.3386566786024354</c:v>
                </c:pt>
                <c:pt idx="7">
                  <c:v>3.1230273558487389</c:v>
                </c:pt>
                <c:pt idx="8">
                  <c:v>2.9444184282023151</c:v>
                </c:pt>
                <c:pt idx="9">
                  <c:v>2.7933205853076823</c:v>
                </c:pt>
                <c:pt idx="10">
                  <c:v>2.6633266778604763</c:v>
                </c:pt>
                <c:pt idx="11">
                  <c:v>2.5499411581942524</c:v>
                </c:pt>
                <c:pt idx="12">
                  <c:v>2.4499042198395071</c:v>
                </c:pt>
                <c:pt idx="13">
                  <c:v>2.3607867774935376</c:v>
                </c:pt>
                <c:pt idx="14">
                  <c:v>2.280736707338757</c:v>
                </c:pt>
                <c:pt idx="15">
                  <c:v>2.2083138211517364</c:v>
                </c:pt>
                <c:pt idx="16">
                  <c:v>2.1423790915576366</c:v>
                </c:pt>
                <c:pt idx="17">
                  <c:v>2.0820182372324929</c:v>
                </c:pt>
                <c:pt idx="18">
                  <c:v>2.0264877435841204</c:v>
                </c:pt>
                <c:pt idx="19">
                  <c:v>1.9751759278990382</c:v>
                </c:pt>
                <c:pt idx="20">
                  <c:v>1.927574332122858</c:v>
                </c:pt>
                <c:pt idx="21">
                  <c:v>1.8832563544301824</c:v>
                </c:pt>
                <c:pt idx="22">
                  <c:v>1.8418610498863766</c:v>
                </c:pt>
                <c:pt idx="23">
                  <c:v>1.8030806845858347</c:v>
                </c:pt>
                <c:pt idx="24">
                  <c:v>1.7666510569213891</c:v>
                </c:pt>
                <c:pt idx="25">
                  <c:v>1.7323438871060539</c:v>
                </c:pt>
                <c:pt idx="26">
                  <c:v>1.6999607721295016</c:v>
                </c:pt>
                <c:pt idx="27">
                  <c:v>1.6693283393012177</c:v>
                </c:pt>
                <c:pt idx="28">
                  <c:v>1.6402943272793173</c:v>
                </c:pt>
                <c:pt idx="29">
                  <c:v>1.6127243918603134</c:v>
                </c:pt>
                <c:pt idx="30">
                  <c:v>1.5864994832714359</c:v>
                </c:pt>
                <c:pt idx="31">
                  <c:v>1.5615136779243695</c:v>
                </c:pt>
                <c:pt idx="32">
                  <c:v>1.5376723744026575</c:v>
                </c:pt>
                <c:pt idx="33">
                  <c:v>1.5148907835126804</c:v>
                </c:pt>
                <c:pt idx="34">
                  <c:v>1.4930926573777425</c:v>
                </c:pt>
                <c:pt idx="35">
                  <c:v>1.4722092141011576</c:v>
                </c:pt>
                <c:pt idx="36">
                  <c:v>1.4521782233990774</c:v>
                </c:pt>
                <c:pt idx="37">
                  <c:v>1.4329432254797569</c:v>
                </c:pt>
                <c:pt idx="38">
                  <c:v>1.4144528608131397</c:v>
                </c:pt>
                <c:pt idx="39">
                  <c:v>1.3966602926538412</c:v>
                </c:pt>
                <c:pt idx="40">
                  <c:v>1.3795227075194765</c:v>
                </c:pt>
                <c:pt idx="41">
                  <c:v>1.3630008814852033</c:v>
                </c:pt>
                <c:pt idx="42">
                  <c:v>1.3470588022854841</c:v>
                </c:pt>
                <c:pt idx="43">
                  <c:v>1.3316633389302381</c:v>
                </c:pt>
                <c:pt idx="44">
                  <c:v>1.316783951932692</c:v>
                </c:pt>
                <c:pt idx="45">
                  <c:v>1.3023924383780305</c:v>
                </c:pt>
                <c:pt idx="46">
                  <c:v>1.2884627069879244</c:v>
                </c:pt>
                <c:pt idx="47">
                  <c:v>1.2749705790971262</c:v>
                </c:pt>
                <c:pt idx="48">
                  <c:v>1.2618936120867066</c:v>
                </c:pt>
                <c:pt idx="49">
                  <c:v>1.2492109423394955</c:v>
                </c:pt>
                <c:pt idx="50">
                  <c:v>1.2369031452170276</c:v>
                </c:pt>
                <c:pt idx="51">
                  <c:v>1.2249521099197536</c:v>
                </c:pt>
                <c:pt idx="52">
                  <c:v>1.2133409273963476</c:v>
                </c:pt>
                <c:pt idx="53">
                  <c:v>1.2020537897238897</c:v>
                </c:pt>
                <c:pt idx="54">
                  <c:v>1.1910758995969417</c:v>
                </c:pt>
                <c:pt idx="55">
                  <c:v>1.1803933887467688</c:v>
                </c:pt>
                <c:pt idx="56">
                  <c:v>1.1699932442677692</c:v>
                </c:pt>
                <c:pt idx="57">
                  <c:v>1.1598632419610315</c:v>
                </c:pt>
                <c:pt idx="58">
                  <c:v>1.1499918859185858</c:v>
                </c:pt>
                <c:pt idx="59">
                  <c:v>1.1403683536693785</c:v>
                </c:pt>
                <c:pt idx="60">
                  <c:v>1.1309824462918383</c:v>
                </c:pt>
                <c:pt idx="61">
                  <c:v>1.1218245429701861</c:v>
                </c:pt>
                <c:pt idx="62">
                  <c:v>1.1128855595341451</c:v>
                </c:pt>
                <c:pt idx="63">
                  <c:v>1.1041569105758682</c:v>
                </c:pt>
                <c:pt idx="64">
                  <c:v>1.0956304747849457</c:v>
                </c:pt>
                <c:pt idx="65">
                  <c:v>1.087298563183339</c:v>
                </c:pt>
                <c:pt idx="66">
                  <c:v>1.0791538899778275</c:v>
                </c:pt>
                <c:pt idx="67">
                  <c:v>1.0711895457788183</c:v>
                </c:pt>
                <c:pt idx="68">
                  <c:v>1.0633989729617861</c:v>
                </c:pt>
                <c:pt idx="69">
                  <c:v>1.0557759429716442</c:v>
                </c:pt>
                <c:pt idx="70">
                  <c:v>1.0483145353915448</c:v>
                </c:pt>
                <c:pt idx="71">
                  <c:v>1.0410091186162465</c:v>
                </c:pt>
                <c:pt idx="72">
                  <c:v>1.0338543319866798</c:v>
                </c:pt>
                <c:pt idx="73">
                  <c:v>1.0268450692569207</c:v>
                </c:pt>
                <c:pt idx="74">
                  <c:v>1.0199764632777009</c:v>
                </c:pt>
                <c:pt idx="75">
                  <c:v>1.0132438717920602</c:v>
                </c:pt>
                <c:pt idx="76">
                  <c:v>1.0066428642489509</c:v>
                </c:pt>
                <c:pt idx="77">
                  <c:v>1.0001692095496828</c:v>
                </c:pt>
                <c:pt idx="78">
                  <c:v>0.99381886465021363</c:v>
                </c:pt>
                <c:pt idx="79">
                  <c:v>0.98758796394951909</c:v>
                </c:pt>
                <c:pt idx="80">
                  <c:v>0.98147280940077164</c:v>
                </c:pt>
                <c:pt idx="81">
                  <c:v>0.97546986128784796</c:v>
                </c:pt>
                <c:pt idx="82">
                  <c:v>0.9695757296149029</c:v>
                </c:pt>
                <c:pt idx="83">
                  <c:v>0.963787166061429</c:v>
                </c:pt>
                <c:pt idx="84">
                  <c:v>0.95810105645942445</c:v>
                </c:pt>
                <c:pt idx="85">
                  <c:v>0.95251441375309465</c:v>
                </c:pt>
                <c:pt idx="86">
                  <c:v>0.94702437140493001</c:v>
                </c:pt>
                <c:pt idx="87">
                  <c:v>0.94162817721509118</c:v>
                </c:pt>
                <c:pt idx="88">
                  <c:v>0.93632318752383381</c:v>
                </c:pt>
                <c:pt idx="89">
                  <c:v>0.93110686176922741</c:v>
                </c:pt>
                <c:pt idx="90">
                  <c:v>0.9259767573747214</c:v>
                </c:pt>
                <c:pt idx="91">
                  <c:v>0.92093052494318828</c:v>
                </c:pt>
                <c:pt idx="92">
                  <c:v>0.91596590373596565</c:v>
                </c:pt>
                <c:pt idx="93">
                  <c:v>0.91108071741713692</c:v>
                </c:pt>
                <c:pt idx="94">
                  <c:v>0.90627287004485135</c:v>
                </c:pt>
                <c:pt idx="95">
                  <c:v>0.90154034229291735</c:v>
                </c:pt>
                <c:pt idx="96">
                  <c:v>0.89688118788719373</c:v>
                </c:pt>
                <c:pt idx="97">
                  <c:v>0.89229353024249691</c:v>
                </c:pt>
                <c:pt idx="98">
                  <c:v>0.88777555928682539</c:v>
                </c:pt>
                <c:pt idx="99">
                  <c:v>0.88332552846069456</c:v>
                </c:pt>
              </c:numCache>
            </c:numRef>
          </c:yVal>
          <c:smooth val="0"/>
          <c:extLst xmlns:c16r2="http://schemas.microsoft.com/office/drawing/2015/06/chart">
            <c:ext xmlns:c16="http://schemas.microsoft.com/office/drawing/2014/chart" uri="{C3380CC4-5D6E-409C-BE32-E72D297353CC}">
              <c16:uniqueId val="{00000001-14F7-4660-AA52-ACB8FAE4C3E7}"/>
            </c:ext>
          </c:extLst>
        </c:ser>
        <c:ser>
          <c:idx val="6"/>
          <c:order val="2"/>
          <c:tx>
            <c:strRef>
              <c:f>'Data Sheet'!$F$50</c:f>
              <c:strCache>
                <c:ptCount val="1"/>
                <c:pt idx="0">
                  <c:v>50 °C</c:v>
                </c:pt>
              </c:strCache>
            </c:strRef>
          </c:tx>
          <c:marker>
            <c:symbol val="none"/>
          </c:marker>
          <c:xVal>
            <c:numRef>
              <c:f>'Data Sheet'!$A$51:$A$150</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xVal>
          <c:yVal>
            <c:numRef>
              <c:f>'Data Sheet'!$F$51:$F$150</c:f>
              <c:numCache>
                <c:formatCode>General</c:formatCode>
                <c:ptCount val="100"/>
                <c:pt idx="0">
                  <c:v>11.022758267664273</c:v>
                </c:pt>
                <c:pt idx="1">
                  <c:v>7.7942671184454886</c:v>
                </c:pt>
                <c:pt idx="2">
                  <c:v>6.3639924530481418</c:v>
                </c:pt>
                <c:pt idx="3">
                  <c:v>5.5113791338321363</c:v>
                </c:pt>
                <c:pt idx="4">
                  <c:v>4.929527357209027</c:v>
                </c:pt>
                <c:pt idx="5">
                  <c:v>4.5000222189703516</c:v>
                </c:pt>
                <c:pt idx="6">
                  <c:v>4.1662110197458295</c:v>
                </c:pt>
                <c:pt idx="7">
                  <c:v>3.8971335592227443</c:v>
                </c:pt>
                <c:pt idx="8">
                  <c:v>3.6742527558880917</c:v>
                </c:pt>
                <c:pt idx="9">
                  <c:v>3.4857022223271037</c:v>
                </c:pt>
                <c:pt idx="10">
                  <c:v>3.3234866662391154</c:v>
                </c:pt>
                <c:pt idx="11">
                  <c:v>3.1819962265240709</c:v>
                </c:pt>
                <c:pt idx="12">
                  <c:v>3.0571630870083197</c:v>
                </c:pt>
                <c:pt idx="13">
                  <c:v>2.9459560639163973</c:v>
                </c:pt>
                <c:pt idx="14">
                  <c:v>2.8460639466622566</c:v>
                </c:pt>
                <c:pt idx="15">
                  <c:v>2.7556895669160681</c:v>
                </c:pt>
                <c:pt idx="16">
                  <c:v>2.6734115660723612</c:v>
                </c:pt>
                <c:pt idx="17">
                  <c:v>2.5980890394818301</c:v>
                </c:pt>
                <c:pt idx="18">
                  <c:v>2.5287941772540012</c:v>
                </c:pt>
                <c:pt idx="19">
                  <c:v>2.4647636786045135</c:v>
                </c:pt>
                <c:pt idx="20">
                  <c:v>2.40536305375104</c:v>
                </c:pt>
                <c:pt idx="21">
                  <c:v>2.3500599588807507</c:v>
                </c:pt>
                <c:pt idx="22">
                  <c:v>2.2984039814747925</c:v>
                </c:pt>
                <c:pt idx="23">
                  <c:v>2.2500111094851758</c:v>
                </c:pt>
                <c:pt idx="24">
                  <c:v>2.2045516535328549</c:v>
                </c:pt>
                <c:pt idx="25">
                  <c:v>2.161740750016782</c:v>
                </c:pt>
                <c:pt idx="26">
                  <c:v>2.1213308176827139</c:v>
                </c:pt>
                <c:pt idx="27">
                  <c:v>2.0831055098729148</c:v>
                </c:pt>
                <c:pt idx="28">
                  <c:v>2.0468748241578116</c:v>
                </c:pt>
                <c:pt idx="29">
                  <c:v>2.0124711163754303</c:v>
                </c:pt>
                <c:pt idx="30">
                  <c:v>1.9797458278319717</c:v>
                </c:pt>
                <c:pt idx="31">
                  <c:v>1.9485667796113721</c:v>
                </c:pt>
                <c:pt idx="32">
                  <c:v>1.9188159214012852</c:v>
                </c:pt>
                <c:pt idx="33">
                  <c:v>1.8903874472723146</c:v>
                </c:pt>
                <c:pt idx="34">
                  <c:v>1.8631862097520788</c:v>
                </c:pt>
                <c:pt idx="35">
                  <c:v>1.8371263779440459</c:v>
                </c:pt>
                <c:pt idx="36">
                  <c:v>1.8121302965157611</c:v>
                </c:pt>
                <c:pt idx="37">
                  <c:v>1.7881275109613608</c:v>
                </c:pt>
                <c:pt idx="38">
                  <c:v>1.7650539312408406</c:v>
                </c:pt>
                <c:pt idx="39">
                  <c:v>1.7428511111635518</c:v>
                </c:pt>
                <c:pt idx="40">
                  <c:v>1.7214656250498641</c:v>
                </c:pt>
                <c:pt idx="41">
                  <c:v>1.7008485265229425</c:v>
                </c:pt>
                <c:pt idx="42">
                  <c:v>1.6809548769406999</c:v>
                </c:pt>
                <c:pt idx="43">
                  <c:v>1.6617433331195577</c:v>
                </c:pt>
                <c:pt idx="44">
                  <c:v>1.6431757857363425</c:v>
                </c:pt>
                <c:pt idx="45">
                  <c:v>1.6252170412069857</c:v>
                </c:pt>
                <c:pt idx="46">
                  <c:v>1.607834540996196</c:v>
                </c:pt>
                <c:pt idx="47">
                  <c:v>1.5909981132620354</c:v>
                </c:pt>
                <c:pt idx="48">
                  <c:v>1.5746797525234679</c:v>
                </c:pt>
                <c:pt idx="49">
                  <c:v>1.5588534236890981</c:v>
                </c:pt>
                <c:pt idx="50">
                  <c:v>1.5434948873265368</c:v>
                </c:pt>
                <c:pt idx="51">
                  <c:v>1.5285815435041599</c:v>
                </c:pt>
                <c:pt idx="52">
                  <c:v>1.514092291916439</c:v>
                </c:pt>
                <c:pt idx="53">
                  <c:v>1.5000074063234505</c:v>
                </c:pt>
                <c:pt idx="54">
                  <c:v>1.4863084216049636</c:v>
                </c:pt>
                <c:pt idx="55">
                  <c:v>1.4729780319581987</c:v>
                </c:pt>
                <c:pt idx="56">
                  <c:v>1.4599999989627557</c:v>
                </c:pt>
                <c:pt idx="57">
                  <c:v>1.4473590684020106</c:v>
                </c:pt>
                <c:pt idx="58">
                  <c:v>1.4350408948720845</c:v>
                </c:pt>
                <c:pt idx="59">
                  <c:v>1.4230319733311283</c:v>
                </c:pt>
                <c:pt idx="60">
                  <c:v>1.4113195768462672</c:v>
                </c:pt>
                <c:pt idx="61">
                  <c:v>1.3998916998857625</c:v>
                </c:pt>
                <c:pt idx="62">
                  <c:v>1.3887370065819431</c:v>
                </c:pt>
                <c:pt idx="63">
                  <c:v>1.3778447834580341</c:v>
                </c:pt>
                <c:pt idx="64">
                  <c:v>1.3672048961707415</c:v>
                </c:pt>
                <c:pt idx="65">
                  <c:v>1.3568077498715623</c:v>
                </c:pt>
                <c:pt idx="66">
                  <c:v>1.3466442528344138</c:v>
                </c:pt>
                <c:pt idx="67">
                  <c:v>1.3367057830361806</c:v>
                </c:pt>
                <c:pt idx="68">
                  <c:v>1.3269841574109791</c:v>
                </c:pt>
                <c:pt idx="69">
                  <c:v>1.317471603528956</c:v>
                </c:pt>
                <c:pt idx="70">
                  <c:v>1.3081607334768615</c:v>
                </c:pt>
                <c:pt idx="71">
                  <c:v>1.2990445197409151</c:v>
                </c:pt>
                <c:pt idx="72">
                  <c:v>1.2901162729130595</c:v>
                </c:pt>
                <c:pt idx="73">
                  <c:v>1.2813696210598837</c:v>
                </c:pt>
                <c:pt idx="74">
                  <c:v>1.2727984906096281</c:v>
                </c:pt>
                <c:pt idx="75">
                  <c:v>1.2643970886270006</c:v>
                </c:pt>
                <c:pt idx="76">
                  <c:v>1.2561598863582606</c:v>
                </c:pt>
                <c:pt idx="77">
                  <c:v>1.2480816039403724</c:v>
                </c:pt>
                <c:pt idx="78">
                  <c:v>1.2401571961781375</c:v>
                </c:pt>
                <c:pt idx="79">
                  <c:v>1.2323818393022568</c:v>
                </c:pt>
                <c:pt idx="80">
                  <c:v>1.2247509186293637</c:v>
                </c:pt>
                <c:pt idx="81">
                  <c:v>1.2172600170522974</c:v>
                </c:pt>
                <c:pt idx="82">
                  <c:v>1.2099049042954102</c:v>
                </c:pt>
                <c:pt idx="83">
                  <c:v>1.20268152687552</c:v>
                </c:pt>
                <c:pt idx="84">
                  <c:v>1.1955859987143942</c:v>
                </c:pt>
                <c:pt idx="85">
                  <c:v>1.1886145923533673</c:v>
                </c:pt>
                <c:pt idx="86">
                  <c:v>1.1817637307249804</c:v>
                </c:pt>
                <c:pt idx="87">
                  <c:v>1.1750299794403753</c:v>
                </c:pt>
                <c:pt idx="88">
                  <c:v>1.1684100395546706</c:v>
                </c:pt>
                <c:pt idx="89">
                  <c:v>1.1619007407757014</c:v>
                </c:pt>
                <c:pt idx="90">
                  <c:v>1.1554990350843619</c:v>
                </c:pt>
                <c:pt idx="91">
                  <c:v>1.1492019907373963</c:v>
                </c:pt>
                <c:pt idx="92">
                  <c:v>1.1430067866258273</c:v>
                </c:pt>
                <c:pt idx="93">
                  <c:v>1.1369107069643705</c:v>
                </c:pt>
                <c:pt idx="94">
                  <c:v>1.13091113628912</c:v>
                </c:pt>
                <c:pt idx="95">
                  <c:v>1.1250055547425879</c:v>
                </c:pt>
                <c:pt idx="96">
                  <c:v>1.1191915336267815</c:v>
                </c:pt>
                <c:pt idx="97">
                  <c:v>1.1134667312064985</c:v>
                </c:pt>
                <c:pt idx="98">
                  <c:v>1.1078288887463721</c:v>
                </c:pt>
                <c:pt idx="99">
                  <c:v>1.1022758267664274</c:v>
                </c:pt>
              </c:numCache>
            </c:numRef>
          </c:yVal>
          <c:smooth val="0"/>
          <c:extLst xmlns:c16r2="http://schemas.microsoft.com/office/drawing/2015/06/chart">
            <c:ext xmlns:c16="http://schemas.microsoft.com/office/drawing/2014/chart" uri="{C3380CC4-5D6E-409C-BE32-E72D297353CC}">
              <c16:uniqueId val="{00000002-14F7-4660-AA52-ACB8FAE4C3E7}"/>
            </c:ext>
          </c:extLst>
        </c:ser>
        <c:ser>
          <c:idx val="8"/>
          <c:order val="3"/>
          <c:tx>
            <c:strRef>
              <c:f>'Data Sheet'!$H$50</c:f>
              <c:strCache>
                <c:ptCount val="1"/>
                <c:pt idx="0">
                  <c:v>70 °C</c:v>
                </c:pt>
              </c:strCache>
            </c:strRef>
          </c:tx>
          <c:marker>
            <c:symbol val="none"/>
          </c:marker>
          <c:xVal>
            <c:numRef>
              <c:f>'Data Sheet'!$A$51:$A$150</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xVal>
          <c:yVal>
            <c:numRef>
              <c:f>'Data Sheet'!$H$51:$H$150</c:f>
              <c:numCache>
                <c:formatCode>General</c:formatCode>
                <c:ptCount val="100"/>
                <c:pt idx="0">
                  <c:v>12.63393184595261</c:v>
                </c:pt>
                <c:pt idx="1">
                  <c:v>8.9335388813217644</c:v>
                </c:pt>
                <c:pt idx="2">
                  <c:v>7.294203952184124</c:v>
                </c:pt>
                <c:pt idx="3">
                  <c:v>6.3169659229763049</c:v>
                </c:pt>
                <c:pt idx="4">
                  <c:v>5.6500660861298861</c:v>
                </c:pt>
                <c:pt idx="5">
                  <c:v>5.15778107794711</c:v>
                </c:pt>
                <c:pt idx="6">
                  <c:v>4.7751773921899705</c:v>
                </c:pt>
                <c:pt idx="7">
                  <c:v>4.4667694406608822</c:v>
                </c:pt>
                <c:pt idx="8">
                  <c:v>4.2113106153175357</c:v>
                </c:pt>
                <c:pt idx="9">
                  <c:v>3.9952000436545787</c:v>
                </c:pt>
                <c:pt idx="10">
                  <c:v>3.8092737781769981</c:v>
                </c:pt>
                <c:pt idx="11">
                  <c:v>3.647101976092062</c:v>
                </c:pt>
                <c:pt idx="12">
                  <c:v>3.5040222370230412</c:v>
                </c:pt>
                <c:pt idx="13">
                  <c:v>3.3765603153862225</c:v>
                </c:pt>
                <c:pt idx="14">
                  <c:v>3.2620671757662651</c:v>
                </c:pt>
                <c:pt idx="15">
                  <c:v>3.1584829614881524</c:v>
                </c:pt>
                <c:pt idx="16">
                  <c:v>3.0641785569245479</c:v>
                </c:pt>
                <c:pt idx="17">
                  <c:v>2.9778462937739221</c:v>
                </c:pt>
                <c:pt idx="18">
                  <c:v>2.8984227461098788</c:v>
                </c:pt>
                <c:pt idx="19">
                  <c:v>2.8250330430649431</c:v>
                </c:pt>
                <c:pt idx="20">
                  <c:v>2.7569499528090948</c:v>
                </c:pt>
                <c:pt idx="21">
                  <c:v>2.6935633199450559</c:v>
                </c:pt>
                <c:pt idx="22">
                  <c:v>2.634356896095825</c:v>
                </c:pt>
                <c:pt idx="23">
                  <c:v>2.578890538973555</c:v>
                </c:pt>
                <c:pt idx="24">
                  <c:v>2.5267863691905212</c:v>
                </c:pt>
                <c:pt idx="25">
                  <c:v>2.4777178852274484</c:v>
                </c:pt>
                <c:pt idx="26">
                  <c:v>2.4314013173947076</c:v>
                </c:pt>
                <c:pt idx="27">
                  <c:v>2.3875886960949853</c:v>
                </c:pt>
                <c:pt idx="28">
                  <c:v>2.3460622466399945</c:v>
                </c:pt>
                <c:pt idx="29">
                  <c:v>2.3066298206703753</c:v>
                </c:pt>
                <c:pt idx="30">
                  <c:v>2.269121144978008</c:v>
                </c:pt>
                <c:pt idx="31">
                  <c:v>2.2333847203304411</c:v>
                </c:pt>
                <c:pt idx="32">
                  <c:v>2.1992852412474728</c:v>
                </c:pt>
                <c:pt idx="33">
                  <c:v>2.1667014363677572</c:v>
                </c:pt>
                <c:pt idx="34">
                  <c:v>2.1355242507113896</c:v>
                </c:pt>
                <c:pt idx="35">
                  <c:v>2.1056553076587678</c:v>
                </c:pt>
                <c:pt idx="36">
                  <c:v>2.0770056011595122</c:v>
                </c:pt>
                <c:pt idx="37">
                  <c:v>2.04949437851963</c:v>
                </c:pt>
                <c:pt idx="38">
                  <c:v>2.0230481817916877</c:v>
                </c:pt>
                <c:pt idx="39">
                  <c:v>1.9976000218272894</c:v>
                </c:pt>
                <c:pt idx="40">
                  <c:v>1.9730886638266798</c:v>
                </c:pt>
                <c:pt idx="41">
                  <c:v>1.9494580070232432</c:v>
                </c:pt>
                <c:pt idx="42">
                  <c:v>1.9266565441873378</c:v>
                </c:pt>
                <c:pt idx="43">
                  <c:v>1.904636889088499</c:v>
                </c:pt>
                <c:pt idx="44">
                  <c:v>1.8833553620432955</c:v>
                </c:pt>
                <c:pt idx="45">
                  <c:v>1.8627716252949031</c:v>
                </c:pt>
                <c:pt idx="46">
                  <c:v>1.8428483612948563</c:v>
                </c:pt>
                <c:pt idx="47">
                  <c:v>1.823550988046031</c:v>
                </c:pt>
                <c:pt idx="48">
                  <c:v>1.8048474065646583</c:v>
                </c:pt>
                <c:pt idx="49">
                  <c:v>1.7867077762643531</c:v>
                </c:pt>
                <c:pt idx="50">
                  <c:v>1.7691043146854668</c:v>
                </c:pt>
                <c:pt idx="51">
                  <c:v>1.7520111185115206</c:v>
                </c:pt>
                <c:pt idx="52">
                  <c:v>1.7354040032493521</c:v>
                </c:pt>
                <c:pt idx="53">
                  <c:v>1.719260359315703</c:v>
                </c:pt>
                <c:pt idx="54">
                  <c:v>1.7035590225822443</c:v>
                </c:pt>
                <c:pt idx="55">
                  <c:v>1.6882801576931112</c:v>
                </c:pt>
                <c:pt idx="56">
                  <c:v>1.6734051526918727</c:v>
                </c:pt>
                <c:pt idx="57">
                  <c:v>1.6589165236848868</c:v>
                </c:pt>
                <c:pt idx="58">
                  <c:v>1.64479782843052</c:v>
                </c:pt>
                <c:pt idx="59">
                  <c:v>1.6310335878831326</c:v>
                </c:pt>
                <c:pt idx="60">
                  <c:v>1.6176092148406249</c:v>
                </c:pt>
                <c:pt idx="61">
                  <c:v>1.6045109489477325</c:v>
                </c:pt>
                <c:pt idx="62">
                  <c:v>1.5917257973966568</c:v>
                </c:pt>
                <c:pt idx="63">
                  <c:v>1.5792414807440762</c:v>
                </c:pt>
                <c:pt idx="64">
                  <c:v>1.5670463833308801</c:v>
                </c:pt>
                <c:pt idx="65">
                  <c:v>1.5551295078495799</c:v>
                </c:pt>
                <c:pt idx="66">
                  <c:v>1.5434804336554597</c:v>
                </c:pt>
                <c:pt idx="67">
                  <c:v>1.5320892784622739</c:v>
                </c:pt>
                <c:pt idx="68">
                  <c:v>1.5209466631024715</c:v>
                </c:pt>
                <c:pt idx="69">
                  <c:v>1.5100436790663445</c:v>
                </c:pt>
                <c:pt idx="70">
                  <c:v>1.4993718585647768</c:v>
                </c:pt>
                <c:pt idx="71">
                  <c:v>1.488923146886961</c:v>
                </c:pt>
                <c:pt idx="72">
                  <c:v>1.4786898768480208</c:v>
                </c:pt>
                <c:pt idx="73">
                  <c:v>1.4686647451423327</c:v>
                </c:pt>
                <c:pt idx="74">
                  <c:v>1.4588407904368248</c:v>
                </c:pt>
                <c:pt idx="75">
                  <c:v>1.4492113730549394</c:v>
                </c:pt>
                <c:pt idx="76">
                  <c:v>1.439770156116537</c:v>
                </c:pt>
                <c:pt idx="77">
                  <c:v>1.4305110880120175</c:v>
                </c:pt>
                <c:pt idx="78">
                  <c:v>1.4214283861005266</c:v>
                </c:pt>
                <c:pt idx="79">
                  <c:v>1.4125165215324715</c:v>
                </c:pt>
                <c:pt idx="80">
                  <c:v>1.4037702051058454</c:v>
                </c:pt>
                <c:pt idx="81">
                  <c:v>1.3951843740741494</c:v>
                </c:pt>
                <c:pt idx="82">
                  <c:v>1.3867541798311704</c:v>
                </c:pt>
                <c:pt idx="83">
                  <c:v>1.3784749764045474</c:v>
                </c:pt>
                <c:pt idx="84">
                  <c:v>1.3703423096960996</c:v>
                </c:pt>
                <c:pt idx="85">
                  <c:v>1.3623519074123058</c:v>
                </c:pt>
                <c:pt idx="86">
                  <c:v>1.354499669633219</c:v>
                </c:pt>
                <c:pt idx="87">
                  <c:v>1.346781659972528</c:v>
                </c:pt>
                <c:pt idx="88">
                  <c:v>1.3391940972854601</c:v>
                </c:pt>
                <c:pt idx="89">
                  <c:v>1.3317333478848594</c:v>
                </c:pt>
                <c:pt idx="90">
                  <c:v>1.3243959182290272</c:v>
                </c:pt>
                <c:pt idx="91">
                  <c:v>1.3171784480479125</c:v>
                </c:pt>
                <c:pt idx="92">
                  <c:v>1.3100777038769247</c:v>
                </c:pt>
                <c:pt idx="93">
                  <c:v>1.3030905729701099</c:v>
                </c:pt>
                <c:pt idx="94">
                  <c:v>1.2962140575666605</c:v>
                </c:pt>
                <c:pt idx="95">
                  <c:v>1.2894452694867775</c:v>
                </c:pt>
                <c:pt idx="96">
                  <c:v>1.2827814250347485</c:v>
                </c:pt>
                <c:pt idx="97">
                  <c:v>1.2762198401888236</c:v>
                </c:pt>
                <c:pt idx="98">
                  <c:v>1.2697579260589993</c:v>
                </c:pt>
                <c:pt idx="99">
                  <c:v>1.2633931845952606</c:v>
                </c:pt>
              </c:numCache>
            </c:numRef>
          </c:yVal>
          <c:smooth val="0"/>
          <c:extLst xmlns:c16r2="http://schemas.microsoft.com/office/drawing/2015/06/chart">
            <c:ext xmlns:c16="http://schemas.microsoft.com/office/drawing/2014/chart" uri="{C3380CC4-5D6E-409C-BE32-E72D297353CC}">
              <c16:uniqueId val="{00000003-14F7-4660-AA52-ACB8FAE4C3E7}"/>
            </c:ext>
          </c:extLst>
        </c:ser>
        <c:ser>
          <c:idx val="10"/>
          <c:order val="4"/>
          <c:tx>
            <c:strRef>
              <c:f>'Data Sheet'!$J$50</c:f>
              <c:strCache>
                <c:ptCount val="1"/>
                <c:pt idx="0">
                  <c:v>90 °C</c:v>
                </c:pt>
              </c:strCache>
            </c:strRef>
          </c:tx>
          <c:marker>
            <c:symbol val="none"/>
          </c:marker>
          <c:xVal>
            <c:numRef>
              <c:f>'Data Sheet'!$A$51:$A$150</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xVal>
          <c:yVal>
            <c:numRef>
              <c:f>'Data Sheet'!$J$51:$J$150</c:f>
              <c:numCache>
                <c:formatCode>General</c:formatCode>
                <c:ptCount val="100"/>
                <c:pt idx="0">
                  <c:v>13.903420979051401</c:v>
                </c:pt>
                <c:pt idx="1">
                  <c:v>9.8312032559785525</c:v>
                </c:pt>
                <c:pt idx="2">
                  <c:v>8.0271438449120165</c:v>
                </c:pt>
                <c:pt idx="3">
                  <c:v>6.9517104895257003</c:v>
                </c:pt>
                <c:pt idx="4">
                  <c:v>6.2177988857911215</c:v>
                </c:pt>
                <c:pt idx="5">
                  <c:v>5.6760478462971431</c:v>
                </c:pt>
                <c:pt idx="6">
                  <c:v>5.254999183372596</c:v>
                </c:pt>
                <c:pt idx="7">
                  <c:v>4.9156016279892762</c:v>
                </c:pt>
                <c:pt idx="8">
                  <c:v>4.6344736596837999</c:v>
                </c:pt>
                <c:pt idx="9">
                  <c:v>4.3966477561970621</c:v>
                </c:pt>
                <c:pt idx="10">
                  <c:v>4.1920391536244743</c:v>
                </c:pt>
                <c:pt idx="11">
                  <c:v>4.0135719224560082</c:v>
                </c:pt>
                <c:pt idx="12">
                  <c:v>3.8561151726408895</c:v>
                </c:pt>
                <c:pt idx="13">
                  <c:v>3.715845557692532</c:v>
                </c:pt>
                <c:pt idx="14">
                  <c:v>3.5898478604784594</c:v>
                </c:pt>
                <c:pt idx="15">
                  <c:v>3.4758552447628501</c:v>
                </c:pt>
                <c:pt idx="16">
                  <c:v>3.3720748972974959</c:v>
                </c:pt>
                <c:pt idx="17">
                  <c:v>3.2770677519928508</c:v>
                </c:pt>
                <c:pt idx="18">
                  <c:v>3.189663527220441</c:v>
                </c:pt>
                <c:pt idx="19">
                  <c:v>3.1088994428955607</c:v>
                </c:pt>
                <c:pt idx="20">
                  <c:v>3.0339751931114325</c:v>
                </c:pt>
                <c:pt idx="21">
                  <c:v>2.9642193125273812</c:v>
                </c:pt>
                <c:pt idx="22">
                  <c:v>2.8990636788357436</c:v>
                </c:pt>
                <c:pt idx="23">
                  <c:v>2.8380239231485715</c:v>
                </c:pt>
                <c:pt idx="24">
                  <c:v>2.7806841958102799</c:v>
                </c:pt>
                <c:pt idx="25">
                  <c:v>2.7266851876107072</c:v>
                </c:pt>
                <c:pt idx="26">
                  <c:v>2.6757146149706719</c:v>
                </c:pt>
                <c:pt idx="27">
                  <c:v>2.627499591686298</c:v>
                </c:pt>
                <c:pt idx="28">
                  <c:v>2.5818004605228673</c:v>
                </c:pt>
                <c:pt idx="29">
                  <c:v>2.5384057655723375</c:v>
                </c:pt>
                <c:pt idx="30">
                  <c:v>2.4971281241479248</c:v>
                </c:pt>
                <c:pt idx="31">
                  <c:v>2.4578008139946381</c:v>
                </c:pt>
                <c:pt idx="32">
                  <c:v>2.4202749337985412</c:v>
                </c:pt>
                <c:pt idx="33">
                  <c:v>2.38441702654799</c:v>
                </c:pt>
                <c:pt idx="34">
                  <c:v>2.3501070791454017</c:v>
                </c:pt>
                <c:pt idx="35">
                  <c:v>2.3172368298418999</c:v>
                </c:pt>
                <c:pt idx="36">
                  <c:v>2.2857083290361095</c:v>
                </c:pt>
                <c:pt idx="37">
                  <c:v>2.2554327098009757</c:v>
                </c:pt>
                <c:pt idx="38">
                  <c:v>2.2263291329504176</c:v>
                </c:pt>
                <c:pt idx="39">
                  <c:v>2.198323878098531</c:v>
                </c:pt>
                <c:pt idx="40">
                  <c:v>2.1713495574194233</c:v>
                </c:pt>
                <c:pt idx="41">
                  <c:v>2.1453444330008589</c:v>
                </c:pt>
                <c:pt idx="42">
                  <c:v>2.1202518220376811</c:v>
                </c:pt>
                <c:pt idx="43">
                  <c:v>2.0960195768122372</c:v>
                </c:pt>
                <c:pt idx="44">
                  <c:v>2.0725996285970405</c:v>
                </c:pt>
                <c:pt idx="45">
                  <c:v>2.0499475863963736</c:v>
                </c:pt>
                <c:pt idx="46">
                  <c:v>2.0280223829009811</c:v>
                </c:pt>
                <c:pt idx="47">
                  <c:v>2.0067859612280041</c:v>
                </c:pt>
                <c:pt idx="48">
                  <c:v>1.9862029970073429</c:v>
                </c:pt>
                <c:pt idx="49">
                  <c:v>1.9662406511957105</c:v>
                </c:pt>
                <c:pt idx="50">
                  <c:v>1.9468683496822887</c:v>
                </c:pt>
                <c:pt idx="51">
                  <c:v>1.9280575863204448</c:v>
                </c:pt>
                <c:pt idx="52">
                  <c:v>1.9097817464985343</c:v>
                </c:pt>
                <c:pt idx="53">
                  <c:v>1.8920159487657142</c:v>
                </c:pt>
                <c:pt idx="54">
                  <c:v>1.8747369023690015</c:v>
                </c:pt>
                <c:pt idx="55">
                  <c:v>1.857922778846266</c:v>
                </c:pt>
                <c:pt idx="56">
                  <c:v>1.8415530960650528</c:v>
                </c:pt>
                <c:pt idx="57">
                  <c:v>1.8256086133062708</c:v>
                </c:pt>
                <c:pt idx="58">
                  <c:v>1.8100712361706419</c:v>
                </c:pt>
                <c:pt idx="59">
                  <c:v>1.7949239302392297</c:v>
                </c:pt>
                <c:pt idx="60">
                  <c:v>1.7801506425513112</c:v>
                </c:pt>
                <c:pt idx="61">
                  <c:v>1.7657362300766408</c:v>
                </c:pt>
                <c:pt idx="62">
                  <c:v>1.7516663944575324</c:v>
                </c:pt>
                <c:pt idx="63">
                  <c:v>1.7379276223814251</c:v>
                </c:pt>
                <c:pt idx="64">
                  <c:v>1.7245071310186733</c:v>
                </c:pt>
                <c:pt idx="65">
                  <c:v>1.7113928180247708</c:v>
                </c:pt>
                <c:pt idx="66">
                  <c:v>1.6985732156625069</c:v>
                </c:pt>
                <c:pt idx="67">
                  <c:v>1.6860374486487479</c:v>
                </c:pt>
                <c:pt idx="68">
                  <c:v>1.673775195373683</c:v>
                </c:pt>
                <c:pt idx="69">
                  <c:v>1.6617766521782238</c:v>
                </c:pt>
                <c:pt idx="70">
                  <c:v>1.650032500408583</c:v>
                </c:pt>
                <c:pt idx="71">
                  <c:v>1.6385338759964254</c:v>
                </c:pt>
                <c:pt idx="72">
                  <c:v>1.6272723413389247</c:v>
                </c:pt>
                <c:pt idx="73">
                  <c:v>1.6162398592760054</c:v>
                </c:pt>
                <c:pt idx="74">
                  <c:v>1.6054287689824032</c:v>
                </c:pt>
                <c:pt idx="75">
                  <c:v>1.5948317636102205</c:v>
                </c:pt>
                <c:pt idx="76">
                  <c:v>1.5844418695337215</c:v>
                </c:pt>
                <c:pt idx="77">
                  <c:v>1.5742524270624072</c:v>
                </c:pt>
                <c:pt idx="78">
                  <c:v>1.5642570725011784</c:v>
                </c:pt>
                <c:pt idx="79">
                  <c:v>1.5544497214477804</c:v>
                </c:pt>
                <c:pt idx="80">
                  <c:v>1.5448245532279332</c:v>
                </c:pt>
                <c:pt idx="81">
                  <c:v>1.535375996377683</c:v>
                </c:pt>
                <c:pt idx="82">
                  <c:v>1.5260987150907128</c:v>
                </c:pt>
                <c:pt idx="83">
                  <c:v>1.5169875965557162</c:v>
                </c:pt>
                <c:pt idx="84">
                  <c:v>1.5080377391155644</c:v>
                </c:pt>
                <c:pt idx="85">
                  <c:v>1.4992444411859773</c:v>
                </c:pt>
                <c:pt idx="86">
                  <c:v>1.4906031908767772</c:v>
                </c:pt>
                <c:pt idx="87">
                  <c:v>1.4821096562636906</c:v>
                </c:pt>
                <c:pt idx="88">
                  <c:v>1.4737596762630436</c:v>
                </c:pt>
                <c:pt idx="89">
                  <c:v>1.4655492520656872</c:v>
                </c:pt>
                <c:pt idx="90">
                  <c:v>1.4574745390900989</c:v>
                </c:pt>
                <c:pt idx="91">
                  <c:v>1.4495318394178718</c:v>
                </c:pt>
                <c:pt idx="92">
                  <c:v>1.4417175946777898</c:v>
                </c:pt>
                <c:pt idx="93">
                  <c:v>1.4340283793473849</c:v>
                </c:pt>
                <c:pt idx="94">
                  <c:v>1.4264608944433315</c:v>
                </c:pt>
                <c:pt idx="95">
                  <c:v>1.4190119615742858</c:v>
                </c:pt>
                <c:pt idx="96">
                  <c:v>1.4116785173318147</c:v>
                </c:pt>
                <c:pt idx="97">
                  <c:v>1.4044576079969362</c:v>
                </c:pt>
                <c:pt idx="98">
                  <c:v>1.3973463845414915</c:v>
                </c:pt>
                <c:pt idx="99">
                  <c:v>1.39034209790514</c:v>
                </c:pt>
              </c:numCache>
            </c:numRef>
          </c:yVal>
          <c:smooth val="0"/>
          <c:extLst xmlns:c16r2="http://schemas.microsoft.com/office/drawing/2015/06/chart">
            <c:ext xmlns:c16="http://schemas.microsoft.com/office/drawing/2014/chart" uri="{C3380CC4-5D6E-409C-BE32-E72D297353CC}">
              <c16:uniqueId val="{00000004-14F7-4660-AA52-ACB8FAE4C3E7}"/>
            </c:ext>
          </c:extLst>
        </c:ser>
        <c:ser>
          <c:idx val="12"/>
          <c:order val="5"/>
          <c:tx>
            <c:strRef>
              <c:f>'Data Sheet'!$L$50</c:f>
              <c:strCache>
                <c:ptCount val="1"/>
                <c:pt idx="0">
                  <c:v>110 °C</c:v>
                </c:pt>
              </c:strCache>
            </c:strRef>
          </c:tx>
          <c:marker>
            <c:symbol val="none"/>
          </c:marker>
          <c:xVal>
            <c:numRef>
              <c:f>'Data Sheet'!$A$51:$A$150</c:f>
              <c:numCache>
                <c:formatCode>General</c:formatCode>
                <c:ptCount val="100"/>
                <c:pt idx="0">
                  <c:v>1</c:v>
                </c:pt>
                <c:pt idx="1">
                  <c:v>2</c:v>
                </c:pt>
                <c:pt idx="2">
                  <c:v>3</c:v>
                </c:pt>
                <c:pt idx="3">
                  <c:v>4</c:v>
                </c:pt>
                <c:pt idx="4">
                  <c:v>5</c:v>
                </c:pt>
                <c:pt idx="5">
                  <c:v>6</c:v>
                </c:pt>
                <c:pt idx="6">
                  <c:v>7</c:v>
                </c:pt>
                <c:pt idx="7">
                  <c:v>8</c:v>
                </c:pt>
                <c:pt idx="8">
                  <c:v>9</c:v>
                </c:pt>
                <c:pt idx="9">
                  <c:v>10</c:v>
                </c:pt>
                <c:pt idx="10">
                  <c:v>11</c:v>
                </c:pt>
                <c:pt idx="11">
                  <c:v>12</c:v>
                </c:pt>
                <c:pt idx="12">
                  <c:v>13</c:v>
                </c:pt>
                <c:pt idx="13">
                  <c:v>14</c:v>
                </c:pt>
                <c:pt idx="14">
                  <c:v>15</c:v>
                </c:pt>
                <c:pt idx="15">
                  <c:v>16</c:v>
                </c:pt>
                <c:pt idx="16">
                  <c:v>17</c:v>
                </c:pt>
                <c:pt idx="17">
                  <c:v>18</c:v>
                </c:pt>
                <c:pt idx="18">
                  <c:v>19</c:v>
                </c:pt>
                <c:pt idx="19">
                  <c:v>20</c:v>
                </c:pt>
                <c:pt idx="20">
                  <c:v>21</c:v>
                </c:pt>
                <c:pt idx="21">
                  <c:v>22</c:v>
                </c:pt>
                <c:pt idx="22">
                  <c:v>23</c:v>
                </c:pt>
                <c:pt idx="23">
                  <c:v>24</c:v>
                </c:pt>
                <c:pt idx="24">
                  <c:v>25</c:v>
                </c:pt>
                <c:pt idx="25">
                  <c:v>26</c:v>
                </c:pt>
                <c:pt idx="26">
                  <c:v>27</c:v>
                </c:pt>
                <c:pt idx="27">
                  <c:v>28</c:v>
                </c:pt>
                <c:pt idx="28">
                  <c:v>29</c:v>
                </c:pt>
                <c:pt idx="29">
                  <c:v>30</c:v>
                </c:pt>
                <c:pt idx="30">
                  <c:v>31</c:v>
                </c:pt>
                <c:pt idx="31">
                  <c:v>32</c:v>
                </c:pt>
                <c:pt idx="32">
                  <c:v>33</c:v>
                </c:pt>
                <c:pt idx="33">
                  <c:v>34</c:v>
                </c:pt>
                <c:pt idx="34">
                  <c:v>35</c:v>
                </c:pt>
                <c:pt idx="35">
                  <c:v>36</c:v>
                </c:pt>
                <c:pt idx="36">
                  <c:v>37</c:v>
                </c:pt>
                <c:pt idx="37">
                  <c:v>38</c:v>
                </c:pt>
                <c:pt idx="38">
                  <c:v>39</c:v>
                </c:pt>
                <c:pt idx="39">
                  <c:v>40</c:v>
                </c:pt>
                <c:pt idx="40">
                  <c:v>41</c:v>
                </c:pt>
                <c:pt idx="41">
                  <c:v>42</c:v>
                </c:pt>
                <c:pt idx="42">
                  <c:v>43</c:v>
                </c:pt>
                <c:pt idx="43">
                  <c:v>44</c:v>
                </c:pt>
                <c:pt idx="44">
                  <c:v>45</c:v>
                </c:pt>
                <c:pt idx="45">
                  <c:v>46</c:v>
                </c:pt>
                <c:pt idx="46">
                  <c:v>47</c:v>
                </c:pt>
                <c:pt idx="47">
                  <c:v>48</c:v>
                </c:pt>
                <c:pt idx="48">
                  <c:v>49</c:v>
                </c:pt>
                <c:pt idx="49">
                  <c:v>50</c:v>
                </c:pt>
                <c:pt idx="50">
                  <c:v>51</c:v>
                </c:pt>
                <c:pt idx="51">
                  <c:v>52</c:v>
                </c:pt>
                <c:pt idx="52">
                  <c:v>53</c:v>
                </c:pt>
                <c:pt idx="53">
                  <c:v>54</c:v>
                </c:pt>
                <c:pt idx="54">
                  <c:v>55</c:v>
                </c:pt>
                <c:pt idx="55">
                  <c:v>56</c:v>
                </c:pt>
                <c:pt idx="56">
                  <c:v>57</c:v>
                </c:pt>
                <c:pt idx="57">
                  <c:v>58</c:v>
                </c:pt>
                <c:pt idx="58">
                  <c:v>59</c:v>
                </c:pt>
                <c:pt idx="59">
                  <c:v>60</c:v>
                </c:pt>
                <c:pt idx="60">
                  <c:v>61</c:v>
                </c:pt>
                <c:pt idx="61">
                  <c:v>62</c:v>
                </c:pt>
                <c:pt idx="62">
                  <c:v>63</c:v>
                </c:pt>
                <c:pt idx="63">
                  <c:v>64</c:v>
                </c:pt>
                <c:pt idx="64">
                  <c:v>65</c:v>
                </c:pt>
                <c:pt idx="65">
                  <c:v>66</c:v>
                </c:pt>
                <c:pt idx="66">
                  <c:v>67</c:v>
                </c:pt>
                <c:pt idx="67">
                  <c:v>68</c:v>
                </c:pt>
                <c:pt idx="68">
                  <c:v>69</c:v>
                </c:pt>
                <c:pt idx="69">
                  <c:v>70</c:v>
                </c:pt>
                <c:pt idx="70">
                  <c:v>71</c:v>
                </c:pt>
                <c:pt idx="71">
                  <c:v>72</c:v>
                </c:pt>
                <c:pt idx="72">
                  <c:v>73</c:v>
                </c:pt>
                <c:pt idx="73">
                  <c:v>74</c:v>
                </c:pt>
                <c:pt idx="74">
                  <c:v>75</c:v>
                </c:pt>
                <c:pt idx="75">
                  <c:v>76</c:v>
                </c:pt>
                <c:pt idx="76">
                  <c:v>77</c:v>
                </c:pt>
                <c:pt idx="77">
                  <c:v>78</c:v>
                </c:pt>
                <c:pt idx="78">
                  <c:v>79</c:v>
                </c:pt>
                <c:pt idx="79">
                  <c:v>80</c:v>
                </c:pt>
                <c:pt idx="80">
                  <c:v>81</c:v>
                </c:pt>
                <c:pt idx="81">
                  <c:v>82</c:v>
                </c:pt>
                <c:pt idx="82">
                  <c:v>83</c:v>
                </c:pt>
                <c:pt idx="83">
                  <c:v>84</c:v>
                </c:pt>
                <c:pt idx="84">
                  <c:v>85</c:v>
                </c:pt>
                <c:pt idx="85">
                  <c:v>86</c:v>
                </c:pt>
                <c:pt idx="86">
                  <c:v>87</c:v>
                </c:pt>
                <c:pt idx="87">
                  <c:v>88</c:v>
                </c:pt>
                <c:pt idx="88">
                  <c:v>89</c:v>
                </c:pt>
                <c:pt idx="89">
                  <c:v>90</c:v>
                </c:pt>
                <c:pt idx="90">
                  <c:v>91</c:v>
                </c:pt>
                <c:pt idx="91">
                  <c:v>92</c:v>
                </c:pt>
                <c:pt idx="92">
                  <c:v>93</c:v>
                </c:pt>
                <c:pt idx="93">
                  <c:v>94</c:v>
                </c:pt>
                <c:pt idx="94">
                  <c:v>95</c:v>
                </c:pt>
                <c:pt idx="95">
                  <c:v>96</c:v>
                </c:pt>
                <c:pt idx="96">
                  <c:v>97</c:v>
                </c:pt>
                <c:pt idx="97">
                  <c:v>98</c:v>
                </c:pt>
                <c:pt idx="98">
                  <c:v>99</c:v>
                </c:pt>
                <c:pt idx="99">
                  <c:v>100</c:v>
                </c:pt>
              </c:numCache>
            </c:numRef>
          </c:xVal>
          <c:yVal>
            <c:numRef>
              <c:f>'Data Sheet'!$L$51:$L$150</c:f>
              <c:numCache>
                <c:formatCode>General</c:formatCode>
                <c:ptCount val="100"/>
                <c:pt idx="0">
                  <c:v>14.943109512138239</c:v>
                </c:pt>
                <c:pt idx="1">
                  <c:v>10.566374068046152</c:v>
                </c:pt>
                <c:pt idx="2">
                  <c:v>8.6274082993630703</c:v>
                </c:pt>
                <c:pt idx="3">
                  <c:v>7.4715547560691196</c:v>
                </c:pt>
                <c:pt idx="4">
                  <c:v>6.6827617328729652</c:v>
                </c:pt>
                <c:pt idx="5">
                  <c:v>6.1004989125447269</c:v>
                </c:pt>
                <c:pt idx="6">
                  <c:v>5.6479645118745001</c:v>
                </c:pt>
                <c:pt idx="7">
                  <c:v>5.2831870340230758</c:v>
                </c:pt>
                <c:pt idx="8">
                  <c:v>4.98103650404608</c:v>
                </c:pt>
                <c:pt idx="9">
                  <c:v>4.7254261383684364</c:v>
                </c:pt>
                <c:pt idx="10">
                  <c:v>4.50551704117757</c:v>
                </c:pt>
                <c:pt idx="11">
                  <c:v>4.3137041496815351</c:v>
                </c:pt>
                <c:pt idx="12">
                  <c:v>4.1444728892990845</c:v>
                </c:pt>
                <c:pt idx="13">
                  <c:v>3.9937140062474277</c:v>
                </c:pt>
                <c:pt idx="14">
                  <c:v>3.8582942854043365</c:v>
                </c:pt>
                <c:pt idx="15">
                  <c:v>3.7357773780345598</c:v>
                </c:pt>
                <c:pt idx="16">
                  <c:v>3.6242364055128204</c:v>
                </c:pt>
                <c:pt idx="17">
                  <c:v>3.522124689348717</c:v>
                </c:pt>
                <c:pt idx="18">
                  <c:v>3.4281844350353663</c:v>
                </c:pt>
                <c:pt idx="19">
                  <c:v>3.3413808664364826</c:v>
                </c:pt>
                <c:pt idx="20">
                  <c:v>3.2608538313041961</c:v>
                </c:pt>
                <c:pt idx="21">
                  <c:v>3.185881652568209</c:v>
                </c:pt>
                <c:pt idx="22">
                  <c:v>3.115853724114205</c:v>
                </c:pt>
                <c:pt idx="23">
                  <c:v>3.0502494562723634</c:v>
                </c:pt>
                <c:pt idx="24">
                  <c:v>2.9886219024276479</c:v>
                </c:pt>
                <c:pt idx="25">
                  <c:v>2.9305848844671862</c:v>
                </c:pt>
                <c:pt idx="26">
                  <c:v>2.8758027664543562</c:v>
                </c:pt>
                <c:pt idx="27">
                  <c:v>2.8239822559372501</c:v>
                </c:pt>
                <c:pt idx="28">
                  <c:v>2.774865774273231</c:v>
                </c:pt>
                <c:pt idx="29">
                  <c:v>2.7282260530227109</c:v>
                </c:pt>
                <c:pt idx="30">
                  <c:v>2.683861697146761</c:v>
                </c:pt>
                <c:pt idx="31">
                  <c:v>2.6415935170115379</c:v>
                </c:pt>
                <c:pt idx="32">
                  <c:v>2.6012614765623163</c:v>
                </c:pt>
                <c:pt idx="33">
                  <c:v>2.5627221389612731</c:v>
                </c:pt>
                <c:pt idx="34">
                  <c:v>2.5258465166115598</c:v>
                </c:pt>
                <c:pt idx="35">
                  <c:v>2.49051825202304</c:v>
                </c:pt>
                <c:pt idx="36">
                  <c:v>2.4566320709885785</c:v>
                </c:pt>
                <c:pt idx="37">
                  <c:v>2.4240924611716808</c:v>
                </c:pt>
                <c:pt idx="38">
                  <c:v>2.3928125382859324</c:v>
                </c:pt>
                <c:pt idx="39">
                  <c:v>2.3627130691842182</c:v>
                </c:pt>
                <c:pt idx="40">
                  <c:v>2.3337216268240417</c:v>
                </c:pt>
                <c:pt idx="41">
                  <c:v>2.3057718565733309</c:v>
                </c:pt>
                <c:pt idx="42">
                  <c:v>2.2788028369246272</c:v>
                </c:pt>
                <c:pt idx="43">
                  <c:v>2.252758520588785</c:v>
                </c:pt>
                <c:pt idx="44">
                  <c:v>2.2275872442909881</c:v>
                </c:pt>
                <c:pt idx="45">
                  <c:v>2.2032412975065125</c:v>
                </c:pt>
                <c:pt idx="46">
                  <c:v>2.1796765419401516</c:v>
                </c:pt>
                <c:pt idx="47">
                  <c:v>2.1568520748407676</c:v>
                </c:pt>
                <c:pt idx="48">
                  <c:v>2.1347299303054625</c:v>
                </c:pt>
                <c:pt idx="49">
                  <c:v>2.1132748136092303</c:v>
                </c:pt>
                <c:pt idx="50">
                  <c:v>2.0924538643296686</c:v>
                </c:pt>
                <c:pt idx="51">
                  <c:v>2.0722364446495423</c:v>
                </c:pt>
                <c:pt idx="52">
                  <c:v>2.052593949734328</c:v>
                </c:pt>
                <c:pt idx="53">
                  <c:v>2.0334996375149088</c:v>
                </c:pt>
                <c:pt idx="54">
                  <c:v>2.0149284755713532</c:v>
                </c:pt>
                <c:pt idx="55">
                  <c:v>1.9968570031237138</c:v>
                </c:pt>
                <c:pt idx="56">
                  <c:v>1.9792632063993538</c:v>
                </c:pt>
                <c:pt idx="57">
                  <c:v>1.9621264058710615</c:v>
                </c:pt>
                <c:pt idx="58">
                  <c:v>1.9454271540524679</c:v>
                </c:pt>
                <c:pt idx="59">
                  <c:v>1.9291471427021682</c:v>
                </c:pt>
                <c:pt idx="60">
                  <c:v>1.9132691184297594</c:v>
                </c:pt>
                <c:pt idx="61">
                  <c:v>1.897776805819311</c:v>
                </c:pt>
                <c:pt idx="62">
                  <c:v>1.8826548372915002</c:v>
                </c:pt>
                <c:pt idx="63">
                  <c:v>1.8678886890172799</c:v>
                </c:pt>
                <c:pt idx="64">
                  <c:v>1.8534646222755427</c:v>
                </c:pt>
                <c:pt idx="65">
                  <c:v>1.8393696297165452</c:v>
                </c:pt>
                <c:pt idx="66">
                  <c:v>1.8255913860533481</c:v>
                </c:pt>
                <c:pt idx="67">
                  <c:v>1.8121182027564102</c:v>
                </c:pt>
                <c:pt idx="68">
                  <c:v>1.7989389863728344</c:v>
                </c:pt>
                <c:pt idx="69">
                  <c:v>1.7860432001324535</c:v>
                </c:pt>
                <c:pt idx="70">
                  <c:v>1.7734208285387763</c:v>
                </c:pt>
                <c:pt idx="71">
                  <c:v>1.7610623446743585</c:v>
                </c:pt>
                <c:pt idx="72">
                  <c:v>1.7489586799780703</c:v>
                </c:pt>
                <c:pt idx="73">
                  <c:v>1.7371011962763756</c:v>
                </c:pt>
                <c:pt idx="74">
                  <c:v>1.7254816598726141</c:v>
                </c:pt>
                <c:pt idx="75">
                  <c:v>1.7140922175176831</c:v>
                </c:pt>
                <c:pt idx="76">
                  <c:v>1.702925374102773</c:v>
                </c:pt>
                <c:pt idx="77">
                  <c:v>1.6919739719301781</c:v>
                </c:pt>
                <c:pt idx="78">
                  <c:v>1.6812311714319312</c:v>
                </c:pt>
                <c:pt idx="79">
                  <c:v>1.6706904332182413</c:v>
                </c:pt>
                <c:pt idx="80">
                  <c:v>1.6603455013486932</c:v>
                </c:pt>
                <c:pt idx="81">
                  <c:v>1.6501903877289814</c:v>
                </c:pt>
                <c:pt idx="82">
                  <c:v>1.6402193575447566</c:v>
                </c:pt>
                <c:pt idx="83">
                  <c:v>1.6304269156520981</c:v>
                </c:pt>
                <c:pt idx="84">
                  <c:v>1.6208077938512322</c:v>
                </c:pt>
                <c:pt idx="85">
                  <c:v>1.6113569389765459</c:v>
                </c:pt>
                <c:pt idx="86">
                  <c:v>1.6020695017417292</c:v>
                </c:pt>
                <c:pt idx="87">
                  <c:v>1.5929408262841045</c:v>
                </c:pt>
                <c:pt idx="88">
                  <c:v>1.5839664403569405</c:v>
                </c:pt>
                <c:pt idx="89">
                  <c:v>1.5751420461228121</c:v>
                </c:pt>
                <c:pt idx="90">
                  <c:v>1.5664635115049579</c:v>
                </c:pt>
                <c:pt idx="91">
                  <c:v>1.5579268620571025</c:v>
                </c:pt>
                <c:pt idx="92">
                  <c:v>1.5495282733154085</c:v>
                </c:pt>
                <c:pt idx="93">
                  <c:v>1.5412640635991253</c:v>
                </c:pt>
                <c:pt idx="94">
                  <c:v>1.5331306872291581</c:v>
                </c:pt>
                <c:pt idx="95">
                  <c:v>1.5251247281361817</c:v>
                </c:pt>
                <c:pt idx="96">
                  <c:v>1.5172428938321267</c:v>
                </c:pt>
                <c:pt idx="97">
                  <c:v>1.5094820097208788</c:v>
                </c:pt>
                <c:pt idx="98">
                  <c:v>1.5018390137258566</c:v>
                </c:pt>
                <c:pt idx="99">
                  <c:v>1.494310951213824</c:v>
                </c:pt>
              </c:numCache>
            </c:numRef>
          </c:yVal>
          <c:smooth val="0"/>
          <c:extLst xmlns:c16r2="http://schemas.microsoft.com/office/drawing/2015/06/chart">
            <c:ext xmlns:c16="http://schemas.microsoft.com/office/drawing/2014/chart" uri="{C3380CC4-5D6E-409C-BE32-E72D297353CC}">
              <c16:uniqueId val="{00000005-14F7-4660-AA52-ACB8FAE4C3E7}"/>
            </c:ext>
          </c:extLst>
        </c:ser>
        <c:ser>
          <c:idx val="0"/>
          <c:order val="6"/>
          <c:tx>
            <c:v>Peak Force</c:v>
          </c:tx>
          <c:spPr>
            <a:ln>
              <a:noFill/>
            </a:ln>
            <a:effectLst>
              <a:outerShdw blurRad="50800" dist="38100" dir="2700000" algn="tl" rotWithShape="0">
                <a:prstClr val="black">
                  <a:alpha val="40000"/>
                </a:prstClr>
              </a:outerShdw>
            </a:effectLst>
          </c:spPr>
          <c:marker>
            <c:symbol val="diamond"/>
            <c:size val="7"/>
            <c:spPr>
              <a:solidFill>
                <a:srgbClr val="FF0000"/>
              </a:solidFill>
              <a:ln>
                <a:solidFill>
                  <a:srgbClr val="FF0000"/>
                </a:solidFill>
              </a:ln>
              <a:effectLst>
                <a:outerShdw blurRad="50800" dist="38100" dir="2700000" algn="tl" rotWithShape="0">
                  <a:prstClr val="black">
                    <a:alpha val="40000"/>
                  </a:prstClr>
                </a:outerShdw>
              </a:effectLst>
            </c:spPr>
          </c:marker>
          <c:xVal>
            <c:numRef>
              <c:f>'Data Sheet'!$BQ$78</c:f>
              <c:numCache>
                <c:formatCode>General</c:formatCode>
                <c:ptCount val="1"/>
                <c:pt idx="0">
                  <c:v>0.39307210416410759</c:v>
                </c:pt>
              </c:numCache>
            </c:numRef>
          </c:xVal>
          <c:yVal>
            <c:numRef>
              <c:f>'Data Sheet'!$BP$78</c:f>
              <c:numCache>
                <c:formatCode>General</c:formatCode>
                <c:ptCount val="1"/>
                <c:pt idx="0">
                  <c:v>0.58768269128344741</c:v>
                </c:pt>
              </c:numCache>
            </c:numRef>
          </c:yVal>
          <c:smooth val="0"/>
          <c:extLst xmlns:c16r2="http://schemas.microsoft.com/office/drawing/2015/06/chart">
            <c:ext xmlns:c16="http://schemas.microsoft.com/office/drawing/2014/chart" uri="{C3380CC4-5D6E-409C-BE32-E72D297353CC}">
              <c16:uniqueId val="{00000006-14F7-4660-AA52-ACB8FAE4C3E7}"/>
            </c:ext>
          </c:extLst>
        </c:ser>
        <c:ser>
          <c:idx val="1"/>
          <c:order val="7"/>
          <c:tx>
            <c:v>RMS Force</c:v>
          </c:tx>
          <c:spPr>
            <a:ln>
              <a:noFill/>
            </a:ln>
            <a:effectLst>
              <a:outerShdw blurRad="50800" dist="38100" dir="2700000" algn="tl" rotWithShape="0">
                <a:prstClr val="black">
                  <a:alpha val="40000"/>
                </a:prstClr>
              </a:outerShdw>
            </a:effectLst>
          </c:spPr>
          <c:marker>
            <c:symbol val="triangle"/>
            <c:size val="5"/>
            <c:spPr>
              <a:solidFill>
                <a:srgbClr val="00B050"/>
              </a:solidFill>
              <a:ln>
                <a:solidFill>
                  <a:srgbClr val="00B050"/>
                </a:solidFill>
              </a:ln>
              <a:effectLst>
                <a:outerShdw blurRad="50800" dist="38100" dir="2700000" algn="tl" rotWithShape="0">
                  <a:prstClr val="black">
                    <a:alpha val="40000"/>
                  </a:prstClr>
                </a:outerShdw>
              </a:effectLst>
            </c:spPr>
          </c:marker>
          <c:xVal>
            <c:strRef>
              <c:f>'Data Sheet'!$BS$17</c:f>
              <c:strCache>
                <c:ptCount val="1"/>
                <c:pt idx="0">
                  <c:v>0.10</c:v>
                </c:pt>
              </c:strCache>
            </c:strRef>
          </c:xVal>
          <c:yVal>
            <c:numRef>
              <c:f>'Data Sheet'!$BP$79</c:f>
              <c:numCache>
                <c:formatCode>General</c:formatCode>
                <c:ptCount val="1"/>
                <c:pt idx="0">
                  <c:v>5.8815750660816686E-2</c:v>
                </c:pt>
              </c:numCache>
            </c:numRef>
          </c:yVal>
          <c:smooth val="0"/>
          <c:extLst xmlns:c16r2="http://schemas.microsoft.com/office/drawing/2015/06/chart">
            <c:ext xmlns:c16="http://schemas.microsoft.com/office/drawing/2014/chart" uri="{C3380CC4-5D6E-409C-BE32-E72D297353CC}">
              <c16:uniqueId val="{00000007-14F7-4660-AA52-ACB8FAE4C3E7}"/>
            </c:ext>
          </c:extLst>
        </c:ser>
        <c:dLbls>
          <c:showLegendKey val="0"/>
          <c:showVal val="0"/>
          <c:showCatName val="0"/>
          <c:showSerName val="0"/>
          <c:showPercent val="0"/>
          <c:showBubbleSize val="0"/>
        </c:dLbls>
        <c:axId val="232486904"/>
        <c:axId val="232487296"/>
      </c:scatterChart>
      <c:valAx>
        <c:axId val="232486904"/>
        <c:scaling>
          <c:orientation val="minMax"/>
          <c:max val="100"/>
        </c:scaling>
        <c:delete val="0"/>
        <c:axPos val="b"/>
        <c:title>
          <c:tx>
            <c:rich>
              <a:bodyPr/>
              <a:lstStyle/>
              <a:p>
                <a:pPr>
                  <a:defRPr/>
                </a:pPr>
                <a:r>
                  <a:rPr lang="en-US"/>
                  <a:t>Duty (%)</a:t>
                </a:r>
              </a:p>
            </c:rich>
          </c:tx>
          <c:layout>
            <c:manualLayout>
              <c:xMode val="edge"/>
              <c:yMode val="edge"/>
              <c:x val="0.5024390243902439"/>
              <c:y val="0.68796992481203012"/>
            </c:manualLayout>
          </c:layout>
          <c:overlay val="0"/>
          <c:spPr>
            <a:noFill/>
            <a:ln w="25400">
              <a:noFill/>
            </a:ln>
          </c:spPr>
        </c:title>
        <c:numFmt formatCode="General" sourceLinked="1"/>
        <c:majorTickMark val="none"/>
        <c:minorTickMark val="none"/>
        <c:tickLblPos val="nextTo"/>
        <c:spPr>
          <a:noFill/>
        </c:spPr>
        <c:txPr>
          <a:bodyPr rot="0" vert="horz"/>
          <a:lstStyle/>
          <a:p>
            <a:pPr>
              <a:defRPr sz="1000" b="0" i="0" u="none" strike="noStrike" baseline="0">
                <a:solidFill>
                  <a:srgbClr val="000000"/>
                </a:solidFill>
                <a:latin typeface="Calibri"/>
                <a:ea typeface="Calibri"/>
                <a:cs typeface="Calibri"/>
              </a:defRPr>
            </a:pPr>
            <a:endParaRPr lang="en-US"/>
          </a:p>
        </c:txPr>
        <c:crossAx val="232487296"/>
        <c:crosses val="autoZero"/>
        <c:crossBetween val="midCat"/>
        <c:majorUnit val="10"/>
        <c:minorUnit val="5"/>
      </c:valAx>
      <c:valAx>
        <c:axId val="232487296"/>
        <c:scaling>
          <c:orientation val="minMax"/>
        </c:scaling>
        <c:delete val="0"/>
        <c:axPos val="l"/>
        <c:majorGridlines/>
        <c:title>
          <c:tx>
            <c:rich>
              <a:bodyPr/>
              <a:lstStyle/>
              <a:p>
                <a:pPr>
                  <a:defRPr/>
                </a:pPr>
                <a:r>
                  <a:rPr lang="en-US"/>
                  <a:t>Force (N)</a:t>
                </a:r>
              </a:p>
            </c:rich>
          </c:tx>
          <c:layout>
            <c:manualLayout>
              <c:xMode val="edge"/>
              <c:yMode val="edge"/>
              <c:x val="3.6585365853658534E-2"/>
              <c:y val="0.27067669172932329"/>
            </c:manualLayout>
          </c:layout>
          <c:overlay val="0"/>
          <c:spPr>
            <a:noFill/>
            <a:ln w="25400">
              <a:noFill/>
            </a:ln>
          </c:spPr>
        </c:title>
        <c:numFmt formatCode="General" sourceLinked="1"/>
        <c:majorTickMark val="none"/>
        <c:minorTickMark val="none"/>
        <c:tickLblPos val="nextTo"/>
        <c:crossAx val="232486904"/>
        <c:crosses val="autoZero"/>
        <c:crossBetween val="midCat"/>
      </c:valAx>
    </c:plotArea>
    <c:legend>
      <c:legendPos val="b"/>
      <c:layout>
        <c:manualLayout>
          <c:xMode val="edge"/>
          <c:yMode val="edge"/>
          <c:x val="6.3414634146341464E-2"/>
          <c:y val="0.81578947368421051"/>
          <c:w val="0.92682926829268297"/>
          <c:h val="0.16165413533834586"/>
        </c:manualLayout>
      </c:layout>
      <c:overlay val="0"/>
      <c:spPr>
        <a:ln>
          <a:noFill/>
        </a:ln>
      </c:spPr>
    </c:legend>
    <c:plotVisOnly val="1"/>
    <c:dispBlanksAs val="gap"/>
    <c:showDLblsOverMax val="0"/>
  </c:chart>
  <c:printSettings>
    <c:headerFooter/>
    <c:pageMargins b="0.75000000000000111" l="0.70000000000000062" r="0.70000000000000062" t="0.75000000000000111"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000"/>
              <a:t>Force - Velocity curve</a:t>
            </a:r>
          </a:p>
          <a:p>
            <a:pPr>
              <a:defRPr/>
            </a:pPr>
            <a:r>
              <a:rPr lang="en-US" sz="1000" b="0"/>
              <a:t>application represented by dots</a:t>
            </a:r>
          </a:p>
        </c:rich>
      </c:tx>
      <c:layout>
        <c:manualLayout>
          <c:xMode val="edge"/>
          <c:yMode val="edge"/>
          <c:x val="0.25616214639836687"/>
          <c:y val="0"/>
        </c:manualLayout>
      </c:layout>
      <c:overlay val="0"/>
      <c:spPr>
        <a:noFill/>
        <a:ln w="25400">
          <a:noFill/>
        </a:ln>
      </c:spPr>
    </c:title>
    <c:autoTitleDeleted val="0"/>
    <c:plotArea>
      <c:layout>
        <c:manualLayout>
          <c:layoutTarget val="inner"/>
          <c:xMode val="edge"/>
          <c:yMode val="edge"/>
          <c:x val="0.19137466307277629"/>
          <c:y val="0.17669172932330826"/>
          <c:w val="0.76280323450134768"/>
          <c:h val="0.5"/>
        </c:manualLayout>
      </c:layout>
      <c:scatterChart>
        <c:scatterStyle val="lineMarker"/>
        <c:varyColors val="0"/>
        <c:ser>
          <c:idx val="0"/>
          <c:order val="0"/>
          <c:tx>
            <c:v>Peak</c:v>
          </c:tx>
          <c:marker>
            <c:symbol val="none"/>
          </c:marker>
          <c:xVal>
            <c:numRef>
              <c:f>'Data Sheet'!$AE$51:$AE$151</c:f>
              <c:numCache>
                <c:formatCode>0.0</c:formatCode>
                <c:ptCount val="101"/>
                <c:pt idx="0">
                  <c:v>0</c:v>
                </c:pt>
                <c:pt idx="1">
                  <c:v>8.0000000000000002E-3</c:v>
                </c:pt>
                <c:pt idx="2">
                  <c:v>1.6E-2</c:v>
                </c:pt>
                <c:pt idx="3">
                  <c:v>2.4E-2</c:v>
                </c:pt>
                <c:pt idx="4">
                  <c:v>3.2000000000000001E-2</c:v>
                </c:pt>
                <c:pt idx="5">
                  <c:v>0.04</c:v>
                </c:pt>
                <c:pt idx="6">
                  <c:v>4.8000000000000001E-2</c:v>
                </c:pt>
                <c:pt idx="7">
                  <c:v>5.6000000000000001E-2</c:v>
                </c:pt>
                <c:pt idx="8">
                  <c:v>6.4000000000000001E-2</c:v>
                </c:pt>
                <c:pt idx="9">
                  <c:v>7.2000000000000008E-2</c:v>
                </c:pt>
                <c:pt idx="10">
                  <c:v>8.0000000000000016E-2</c:v>
                </c:pt>
                <c:pt idx="11">
                  <c:v>8.8000000000000023E-2</c:v>
                </c:pt>
                <c:pt idx="12">
                  <c:v>9.600000000000003E-2</c:v>
                </c:pt>
                <c:pt idx="13">
                  <c:v>0.10400000000000004</c:v>
                </c:pt>
                <c:pt idx="14">
                  <c:v>0.11200000000000004</c:v>
                </c:pt>
                <c:pt idx="15">
                  <c:v>0.12000000000000005</c:v>
                </c:pt>
                <c:pt idx="16">
                  <c:v>0.12800000000000006</c:v>
                </c:pt>
                <c:pt idx="17">
                  <c:v>0.13600000000000007</c:v>
                </c:pt>
                <c:pt idx="18">
                  <c:v>0.14400000000000007</c:v>
                </c:pt>
                <c:pt idx="19">
                  <c:v>0.15200000000000008</c:v>
                </c:pt>
                <c:pt idx="20">
                  <c:v>0.16000000000000009</c:v>
                </c:pt>
                <c:pt idx="21">
                  <c:v>0.16800000000000009</c:v>
                </c:pt>
                <c:pt idx="22">
                  <c:v>0.1760000000000001</c:v>
                </c:pt>
                <c:pt idx="23">
                  <c:v>0.18400000000000011</c:v>
                </c:pt>
                <c:pt idx="24">
                  <c:v>0.19200000000000012</c:v>
                </c:pt>
                <c:pt idx="25">
                  <c:v>0.20000000000000012</c:v>
                </c:pt>
                <c:pt idx="26">
                  <c:v>0.20800000000000013</c:v>
                </c:pt>
                <c:pt idx="27">
                  <c:v>0.21600000000000014</c:v>
                </c:pt>
                <c:pt idx="28">
                  <c:v>0.22400000000000014</c:v>
                </c:pt>
                <c:pt idx="29">
                  <c:v>0.23200000000000015</c:v>
                </c:pt>
                <c:pt idx="30">
                  <c:v>0.24000000000000016</c:v>
                </c:pt>
                <c:pt idx="31">
                  <c:v>0.24800000000000016</c:v>
                </c:pt>
                <c:pt idx="32">
                  <c:v>0.25600000000000017</c:v>
                </c:pt>
                <c:pt idx="33">
                  <c:v>0.26400000000000018</c:v>
                </c:pt>
                <c:pt idx="34">
                  <c:v>0.27200000000000019</c:v>
                </c:pt>
                <c:pt idx="35">
                  <c:v>0.28000000000000019</c:v>
                </c:pt>
                <c:pt idx="36">
                  <c:v>0.2880000000000002</c:v>
                </c:pt>
                <c:pt idx="37">
                  <c:v>0.29600000000000021</c:v>
                </c:pt>
                <c:pt idx="38">
                  <c:v>0.30400000000000021</c:v>
                </c:pt>
                <c:pt idx="39">
                  <c:v>0.31200000000000022</c:v>
                </c:pt>
                <c:pt idx="40">
                  <c:v>0.32000000000000023</c:v>
                </c:pt>
                <c:pt idx="41">
                  <c:v>0.32800000000000024</c:v>
                </c:pt>
                <c:pt idx="42">
                  <c:v>0.33600000000000024</c:v>
                </c:pt>
                <c:pt idx="43">
                  <c:v>0.34400000000000025</c:v>
                </c:pt>
                <c:pt idx="44">
                  <c:v>0.35200000000000026</c:v>
                </c:pt>
                <c:pt idx="45">
                  <c:v>0.36000000000000026</c:v>
                </c:pt>
                <c:pt idx="46">
                  <c:v>0.36800000000000027</c:v>
                </c:pt>
                <c:pt idx="47">
                  <c:v>0.37600000000000028</c:v>
                </c:pt>
                <c:pt idx="48">
                  <c:v>0.38400000000000029</c:v>
                </c:pt>
                <c:pt idx="49">
                  <c:v>0.39200000000000029</c:v>
                </c:pt>
                <c:pt idx="50">
                  <c:v>0.4000000000000003</c:v>
                </c:pt>
                <c:pt idx="51">
                  <c:v>0.40800000000000031</c:v>
                </c:pt>
                <c:pt idx="52">
                  <c:v>0.41600000000000031</c:v>
                </c:pt>
                <c:pt idx="53">
                  <c:v>0.42400000000000032</c:v>
                </c:pt>
                <c:pt idx="54">
                  <c:v>0.43200000000000033</c:v>
                </c:pt>
                <c:pt idx="55">
                  <c:v>0.44000000000000034</c:v>
                </c:pt>
                <c:pt idx="56">
                  <c:v>0.44800000000000034</c:v>
                </c:pt>
                <c:pt idx="57">
                  <c:v>0.45600000000000035</c:v>
                </c:pt>
                <c:pt idx="58">
                  <c:v>0.46400000000000036</c:v>
                </c:pt>
                <c:pt idx="59">
                  <c:v>0.47200000000000036</c:v>
                </c:pt>
                <c:pt idx="60">
                  <c:v>0.48000000000000037</c:v>
                </c:pt>
                <c:pt idx="61">
                  <c:v>0.48800000000000038</c:v>
                </c:pt>
                <c:pt idx="62">
                  <c:v>0.49600000000000039</c:v>
                </c:pt>
                <c:pt idx="63">
                  <c:v>0.50400000000000034</c:v>
                </c:pt>
                <c:pt idx="64">
                  <c:v>0.51200000000000034</c:v>
                </c:pt>
                <c:pt idx="65">
                  <c:v>0.52000000000000035</c:v>
                </c:pt>
                <c:pt idx="66">
                  <c:v>0.52800000000000036</c:v>
                </c:pt>
                <c:pt idx="67">
                  <c:v>0.53600000000000037</c:v>
                </c:pt>
                <c:pt idx="68">
                  <c:v>0.54400000000000037</c:v>
                </c:pt>
                <c:pt idx="69">
                  <c:v>0.55200000000000038</c:v>
                </c:pt>
                <c:pt idx="70">
                  <c:v>0.56000000000000039</c:v>
                </c:pt>
                <c:pt idx="71">
                  <c:v>0.56800000000000039</c:v>
                </c:pt>
                <c:pt idx="72">
                  <c:v>0.5760000000000004</c:v>
                </c:pt>
                <c:pt idx="73">
                  <c:v>0.58400000000000041</c:v>
                </c:pt>
                <c:pt idx="74">
                  <c:v>0.59200000000000041</c:v>
                </c:pt>
                <c:pt idx="75">
                  <c:v>0.60000000000000042</c:v>
                </c:pt>
                <c:pt idx="76">
                  <c:v>0.60800000000000043</c:v>
                </c:pt>
                <c:pt idx="77">
                  <c:v>0.61600000000000044</c:v>
                </c:pt>
                <c:pt idx="78">
                  <c:v>0.62400000000000044</c:v>
                </c:pt>
                <c:pt idx="79">
                  <c:v>0.63200000000000045</c:v>
                </c:pt>
                <c:pt idx="80">
                  <c:v>0.64000000000000046</c:v>
                </c:pt>
                <c:pt idx="81">
                  <c:v>0.64800000000000046</c:v>
                </c:pt>
                <c:pt idx="82">
                  <c:v>0.65600000000000047</c:v>
                </c:pt>
                <c:pt idx="83">
                  <c:v>0.66400000000000048</c:v>
                </c:pt>
                <c:pt idx="84">
                  <c:v>0.67200000000000049</c:v>
                </c:pt>
                <c:pt idx="85">
                  <c:v>0.68000000000000049</c:v>
                </c:pt>
                <c:pt idx="86">
                  <c:v>0.6880000000000005</c:v>
                </c:pt>
                <c:pt idx="87">
                  <c:v>0.69600000000000051</c:v>
                </c:pt>
                <c:pt idx="88">
                  <c:v>0.70400000000000051</c:v>
                </c:pt>
                <c:pt idx="89">
                  <c:v>0.71200000000000052</c:v>
                </c:pt>
                <c:pt idx="90">
                  <c:v>0.72000000000000053</c:v>
                </c:pt>
                <c:pt idx="91">
                  <c:v>0.72800000000000054</c:v>
                </c:pt>
                <c:pt idx="92">
                  <c:v>0.73600000000000054</c:v>
                </c:pt>
                <c:pt idx="93">
                  <c:v>0.74400000000000055</c:v>
                </c:pt>
                <c:pt idx="94">
                  <c:v>0.75200000000000056</c:v>
                </c:pt>
                <c:pt idx="95">
                  <c:v>0.76000000000000056</c:v>
                </c:pt>
                <c:pt idx="96">
                  <c:v>0.76800000000000057</c:v>
                </c:pt>
                <c:pt idx="97">
                  <c:v>0.77600000000000058</c:v>
                </c:pt>
                <c:pt idx="98">
                  <c:v>0.78400000000000059</c:v>
                </c:pt>
                <c:pt idx="99">
                  <c:v>0.79200000000000059</c:v>
                </c:pt>
                <c:pt idx="100">
                  <c:v>0.8000000000000006</c:v>
                </c:pt>
              </c:numCache>
            </c:numRef>
          </c:xVal>
          <c:yVal>
            <c:numRef>
              <c:f>'Data Sheet'!$AF$51:$AF$151</c:f>
              <c:numCache>
                <c:formatCode>0</c:formatCode>
                <c:ptCount val="101"/>
                <c:pt idx="0">
                  <c:v>11.390695815835562</c:v>
                </c:pt>
                <c:pt idx="1">
                  <c:v>11.38589101242758</c:v>
                </c:pt>
                <c:pt idx="2">
                  <c:v>11.381086209019593</c:v>
                </c:pt>
                <c:pt idx="3">
                  <c:v>11.376281405611611</c:v>
                </c:pt>
                <c:pt idx="4">
                  <c:v>11.371476602203627</c:v>
                </c:pt>
                <c:pt idx="5">
                  <c:v>11.366671798795643</c:v>
                </c:pt>
                <c:pt idx="6">
                  <c:v>11.361866995387661</c:v>
                </c:pt>
                <c:pt idx="7">
                  <c:v>11.357062191979676</c:v>
                </c:pt>
                <c:pt idx="8">
                  <c:v>11.352257388571694</c:v>
                </c:pt>
                <c:pt idx="9">
                  <c:v>11.347452585163706</c:v>
                </c:pt>
                <c:pt idx="10">
                  <c:v>11.342647781755725</c:v>
                </c:pt>
                <c:pt idx="11">
                  <c:v>11.337842978347743</c:v>
                </c:pt>
                <c:pt idx="12">
                  <c:v>11.333038174939757</c:v>
                </c:pt>
                <c:pt idx="13">
                  <c:v>11.328233371531775</c:v>
                </c:pt>
                <c:pt idx="14">
                  <c:v>11.32342856812379</c:v>
                </c:pt>
                <c:pt idx="15">
                  <c:v>11.318623764715808</c:v>
                </c:pt>
                <c:pt idx="16">
                  <c:v>11.313818961307822</c:v>
                </c:pt>
                <c:pt idx="17">
                  <c:v>11.309014157899838</c:v>
                </c:pt>
                <c:pt idx="18">
                  <c:v>11.304209354491856</c:v>
                </c:pt>
                <c:pt idx="19">
                  <c:v>11.299404551083871</c:v>
                </c:pt>
                <c:pt idx="20">
                  <c:v>11.294599747675889</c:v>
                </c:pt>
                <c:pt idx="21">
                  <c:v>11.289794944267905</c:v>
                </c:pt>
                <c:pt idx="22">
                  <c:v>11.284990140859922</c:v>
                </c:pt>
                <c:pt idx="23">
                  <c:v>11.280185337451936</c:v>
                </c:pt>
                <c:pt idx="24">
                  <c:v>11.275380534043952</c:v>
                </c:pt>
                <c:pt idx="25">
                  <c:v>11.270575730635969</c:v>
                </c:pt>
                <c:pt idx="26">
                  <c:v>11.265770927227987</c:v>
                </c:pt>
                <c:pt idx="27">
                  <c:v>11.260966123820003</c:v>
                </c:pt>
                <c:pt idx="28">
                  <c:v>11.256161320412019</c:v>
                </c:pt>
                <c:pt idx="29">
                  <c:v>11.251356517004035</c:v>
                </c:pt>
                <c:pt idx="30">
                  <c:v>11.24655171359605</c:v>
                </c:pt>
                <c:pt idx="31">
                  <c:v>11.241746910188068</c:v>
                </c:pt>
                <c:pt idx="32">
                  <c:v>11.236942106780083</c:v>
                </c:pt>
                <c:pt idx="33">
                  <c:v>11.232137303372101</c:v>
                </c:pt>
                <c:pt idx="34">
                  <c:v>11.227332499964117</c:v>
                </c:pt>
                <c:pt idx="35">
                  <c:v>11.222527696556133</c:v>
                </c:pt>
                <c:pt idx="36">
                  <c:v>11.217722893148151</c:v>
                </c:pt>
                <c:pt idx="37">
                  <c:v>11.212918089740164</c:v>
                </c:pt>
                <c:pt idx="38">
                  <c:v>11.208113286332182</c:v>
                </c:pt>
                <c:pt idx="39">
                  <c:v>11.203308482924196</c:v>
                </c:pt>
                <c:pt idx="40">
                  <c:v>11.198503679516215</c:v>
                </c:pt>
                <c:pt idx="41">
                  <c:v>11.193698876108233</c:v>
                </c:pt>
                <c:pt idx="42">
                  <c:v>11.188894072700247</c:v>
                </c:pt>
                <c:pt idx="43">
                  <c:v>11.184089269292265</c:v>
                </c:pt>
                <c:pt idx="44">
                  <c:v>11.179284465884278</c:v>
                </c:pt>
                <c:pt idx="45">
                  <c:v>11.174479662476296</c:v>
                </c:pt>
                <c:pt idx="46">
                  <c:v>11.169674859068312</c:v>
                </c:pt>
                <c:pt idx="47">
                  <c:v>11.164870055660328</c:v>
                </c:pt>
                <c:pt idx="48">
                  <c:v>11.160065252252346</c:v>
                </c:pt>
                <c:pt idx="49">
                  <c:v>11.155260448844361</c:v>
                </c:pt>
                <c:pt idx="50">
                  <c:v>11.150455645436379</c:v>
                </c:pt>
                <c:pt idx="51">
                  <c:v>11.145650842028395</c:v>
                </c:pt>
                <c:pt idx="52">
                  <c:v>11.14084603862041</c:v>
                </c:pt>
                <c:pt idx="53">
                  <c:v>11.136041235212426</c:v>
                </c:pt>
                <c:pt idx="54">
                  <c:v>11.131236431804442</c:v>
                </c:pt>
                <c:pt idx="55">
                  <c:v>11.12643162839646</c:v>
                </c:pt>
                <c:pt idx="56">
                  <c:v>11.121626824988477</c:v>
                </c:pt>
                <c:pt idx="57">
                  <c:v>11.116822021580493</c:v>
                </c:pt>
                <c:pt idx="58">
                  <c:v>11.112017218172509</c:v>
                </c:pt>
                <c:pt idx="59">
                  <c:v>11.107212414764524</c:v>
                </c:pt>
                <c:pt idx="60">
                  <c:v>11.10240761135654</c:v>
                </c:pt>
                <c:pt idx="61">
                  <c:v>11.097602807948558</c:v>
                </c:pt>
                <c:pt idx="62">
                  <c:v>11.092798004540574</c:v>
                </c:pt>
                <c:pt idx="63">
                  <c:v>11.087993201132591</c:v>
                </c:pt>
                <c:pt idx="64">
                  <c:v>11.083188397724607</c:v>
                </c:pt>
                <c:pt idx="65">
                  <c:v>11.078383594316623</c:v>
                </c:pt>
                <c:pt idx="66">
                  <c:v>11.073578790908641</c:v>
                </c:pt>
                <c:pt idx="67">
                  <c:v>11.068773987500654</c:v>
                </c:pt>
                <c:pt idx="68">
                  <c:v>11.063969184092672</c:v>
                </c:pt>
                <c:pt idx="69">
                  <c:v>11.059164380684686</c:v>
                </c:pt>
                <c:pt idx="70">
                  <c:v>11.054359577276704</c:v>
                </c:pt>
                <c:pt idx="71">
                  <c:v>11.049554773868723</c:v>
                </c:pt>
                <c:pt idx="72">
                  <c:v>11.044749970460737</c:v>
                </c:pt>
                <c:pt idx="73">
                  <c:v>11.039945167052755</c:v>
                </c:pt>
                <c:pt idx="74">
                  <c:v>11.035140363644768</c:v>
                </c:pt>
                <c:pt idx="75">
                  <c:v>11.030335560236786</c:v>
                </c:pt>
                <c:pt idx="76">
                  <c:v>11.025530756828804</c:v>
                </c:pt>
                <c:pt idx="77">
                  <c:v>11.020725953420818</c:v>
                </c:pt>
                <c:pt idx="78">
                  <c:v>11.015921150012836</c:v>
                </c:pt>
                <c:pt idx="79">
                  <c:v>11.011116346604851</c:v>
                </c:pt>
                <c:pt idx="80">
                  <c:v>11.006311543196869</c:v>
                </c:pt>
                <c:pt idx="81">
                  <c:v>11.001506739788883</c:v>
                </c:pt>
                <c:pt idx="82">
                  <c:v>10.9967019363809</c:v>
                </c:pt>
                <c:pt idx="83">
                  <c:v>10.991897132972916</c:v>
                </c:pt>
                <c:pt idx="84">
                  <c:v>10.987092329564932</c:v>
                </c:pt>
                <c:pt idx="85">
                  <c:v>10.98228752615695</c:v>
                </c:pt>
                <c:pt idx="86">
                  <c:v>10.977482722748967</c:v>
                </c:pt>
                <c:pt idx="87">
                  <c:v>10.972677919340981</c:v>
                </c:pt>
                <c:pt idx="88">
                  <c:v>10.967873115932997</c:v>
                </c:pt>
                <c:pt idx="89">
                  <c:v>10.963068312525014</c:v>
                </c:pt>
                <c:pt idx="90">
                  <c:v>10.95826350911703</c:v>
                </c:pt>
                <c:pt idx="91">
                  <c:v>10.953458705709048</c:v>
                </c:pt>
                <c:pt idx="92">
                  <c:v>10.948653902301064</c:v>
                </c:pt>
                <c:pt idx="93">
                  <c:v>10.943849098893081</c:v>
                </c:pt>
                <c:pt idx="94">
                  <c:v>10.939044295485095</c:v>
                </c:pt>
                <c:pt idx="95">
                  <c:v>10.934239492077111</c:v>
                </c:pt>
                <c:pt idx="96">
                  <c:v>10.929434688669129</c:v>
                </c:pt>
                <c:pt idx="97">
                  <c:v>10.924629885261144</c:v>
                </c:pt>
                <c:pt idx="98">
                  <c:v>10.919825081853162</c:v>
                </c:pt>
                <c:pt idx="99">
                  <c:v>10.915020278445178</c:v>
                </c:pt>
                <c:pt idx="100">
                  <c:v>0</c:v>
                </c:pt>
              </c:numCache>
            </c:numRef>
          </c:yVal>
          <c:smooth val="0"/>
          <c:extLst xmlns:c16r2="http://schemas.microsoft.com/office/drawing/2015/06/chart">
            <c:ext xmlns:c16="http://schemas.microsoft.com/office/drawing/2014/chart" uri="{C3380CC4-5D6E-409C-BE32-E72D297353CC}">
              <c16:uniqueId val="{00000000-74CE-49A3-B104-59D477B53EC1}"/>
            </c:ext>
          </c:extLst>
        </c:ser>
        <c:ser>
          <c:idx val="1"/>
          <c:order val="1"/>
          <c:tx>
            <c:v>Continuous</c:v>
          </c:tx>
          <c:marker>
            <c:symbol val="none"/>
          </c:marker>
          <c:xVal>
            <c:numRef>
              <c:f>'Data Sheet'!$AE$51:$AE$151</c:f>
              <c:numCache>
                <c:formatCode>0.0</c:formatCode>
                <c:ptCount val="101"/>
                <c:pt idx="0">
                  <c:v>0</c:v>
                </c:pt>
                <c:pt idx="1">
                  <c:v>8.0000000000000002E-3</c:v>
                </c:pt>
                <c:pt idx="2">
                  <c:v>1.6E-2</c:v>
                </c:pt>
                <c:pt idx="3">
                  <c:v>2.4E-2</c:v>
                </c:pt>
                <c:pt idx="4">
                  <c:v>3.2000000000000001E-2</c:v>
                </c:pt>
                <c:pt idx="5">
                  <c:v>0.04</c:v>
                </c:pt>
                <c:pt idx="6">
                  <c:v>4.8000000000000001E-2</c:v>
                </c:pt>
                <c:pt idx="7">
                  <c:v>5.6000000000000001E-2</c:v>
                </c:pt>
                <c:pt idx="8">
                  <c:v>6.4000000000000001E-2</c:v>
                </c:pt>
                <c:pt idx="9">
                  <c:v>7.2000000000000008E-2</c:v>
                </c:pt>
                <c:pt idx="10">
                  <c:v>8.0000000000000016E-2</c:v>
                </c:pt>
                <c:pt idx="11">
                  <c:v>8.8000000000000023E-2</c:v>
                </c:pt>
                <c:pt idx="12">
                  <c:v>9.600000000000003E-2</c:v>
                </c:pt>
                <c:pt idx="13">
                  <c:v>0.10400000000000004</c:v>
                </c:pt>
                <c:pt idx="14">
                  <c:v>0.11200000000000004</c:v>
                </c:pt>
                <c:pt idx="15">
                  <c:v>0.12000000000000005</c:v>
                </c:pt>
                <c:pt idx="16">
                  <c:v>0.12800000000000006</c:v>
                </c:pt>
                <c:pt idx="17">
                  <c:v>0.13600000000000007</c:v>
                </c:pt>
                <c:pt idx="18">
                  <c:v>0.14400000000000007</c:v>
                </c:pt>
                <c:pt idx="19">
                  <c:v>0.15200000000000008</c:v>
                </c:pt>
                <c:pt idx="20">
                  <c:v>0.16000000000000009</c:v>
                </c:pt>
                <c:pt idx="21">
                  <c:v>0.16800000000000009</c:v>
                </c:pt>
                <c:pt idx="22">
                  <c:v>0.1760000000000001</c:v>
                </c:pt>
                <c:pt idx="23">
                  <c:v>0.18400000000000011</c:v>
                </c:pt>
                <c:pt idx="24">
                  <c:v>0.19200000000000012</c:v>
                </c:pt>
                <c:pt idx="25">
                  <c:v>0.20000000000000012</c:v>
                </c:pt>
                <c:pt idx="26">
                  <c:v>0.20800000000000013</c:v>
                </c:pt>
                <c:pt idx="27">
                  <c:v>0.21600000000000014</c:v>
                </c:pt>
                <c:pt idx="28">
                  <c:v>0.22400000000000014</c:v>
                </c:pt>
                <c:pt idx="29">
                  <c:v>0.23200000000000015</c:v>
                </c:pt>
                <c:pt idx="30">
                  <c:v>0.24000000000000016</c:v>
                </c:pt>
                <c:pt idx="31">
                  <c:v>0.24800000000000016</c:v>
                </c:pt>
                <c:pt idx="32">
                  <c:v>0.25600000000000017</c:v>
                </c:pt>
                <c:pt idx="33">
                  <c:v>0.26400000000000018</c:v>
                </c:pt>
                <c:pt idx="34">
                  <c:v>0.27200000000000019</c:v>
                </c:pt>
                <c:pt idx="35">
                  <c:v>0.28000000000000019</c:v>
                </c:pt>
                <c:pt idx="36">
                  <c:v>0.2880000000000002</c:v>
                </c:pt>
                <c:pt idx="37">
                  <c:v>0.29600000000000021</c:v>
                </c:pt>
                <c:pt idx="38">
                  <c:v>0.30400000000000021</c:v>
                </c:pt>
                <c:pt idx="39">
                  <c:v>0.31200000000000022</c:v>
                </c:pt>
                <c:pt idx="40">
                  <c:v>0.32000000000000023</c:v>
                </c:pt>
                <c:pt idx="41">
                  <c:v>0.32800000000000024</c:v>
                </c:pt>
                <c:pt idx="42">
                  <c:v>0.33600000000000024</c:v>
                </c:pt>
                <c:pt idx="43">
                  <c:v>0.34400000000000025</c:v>
                </c:pt>
                <c:pt idx="44">
                  <c:v>0.35200000000000026</c:v>
                </c:pt>
                <c:pt idx="45">
                  <c:v>0.36000000000000026</c:v>
                </c:pt>
                <c:pt idx="46">
                  <c:v>0.36800000000000027</c:v>
                </c:pt>
                <c:pt idx="47">
                  <c:v>0.37600000000000028</c:v>
                </c:pt>
                <c:pt idx="48">
                  <c:v>0.38400000000000029</c:v>
                </c:pt>
                <c:pt idx="49">
                  <c:v>0.39200000000000029</c:v>
                </c:pt>
                <c:pt idx="50">
                  <c:v>0.4000000000000003</c:v>
                </c:pt>
                <c:pt idx="51">
                  <c:v>0.40800000000000031</c:v>
                </c:pt>
                <c:pt idx="52">
                  <c:v>0.41600000000000031</c:v>
                </c:pt>
                <c:pt idx="53">
                  <c:v>0.42400000000000032</c:v>
                </c:pt>
                <c:pt idx="54">
                  <c:v>0.43200000000000033</c:v>
                </c:pt>
                <c:pt idx="55">
                  <c:v>0.44000000000000034</c:v>
                </c:pt>
                <c:pt idx="56">
                  <c:v>0.44800000000000034</c:v>
                </c:pt>
                <c:pt idx="57">
                  <c:v>0.45600000000000035</c:v>
                </c:pt>
                <c:pt idx="58">
                  <c:v>0.46400000000000036</c:v>
                </c:pt>
                <c:pt idx="59">
                  <c:v>0.47200000000000036</c:v>
                </c:pt>
                <c:pt idx="60">
                  <c:v>0.48000000000000037</c:v>
                </c:pt>
                <c:pt idx="61">
                  <c:v>0.48800000000000038</c:v>
                </c:pt>
                <c:pt idx="62">
                  <c:v>0.49600000000000039</c:v>
                </c:pt>
                <c:pt idx="63">
                  <c:v>0.50400000000000034</c:v>
                </c:pt>
                <c:pt idx="64">
                  <c:v>0.51200000000000034</c:v>
                </c:pt>
                <c:pt idx="65">
                  <c:v>0.52000000000000035</c:v>
                </c:pt>
                <c:pt idx="66">
                  <c:v>0.52800000000000036</c:v>
                </c:pt>
                <c:pt idx="67">
                  <c:v>0.53600000000000037</c:v>
                </c:pt>
                <c:pt idx="68">
                  <c:v>0.54400000000000037</c:v>
                </c:pt>
                <c:pt idx="69">
                  <c:v>0.55200000000000038</c:v>
                </c:pt>
                <c:pt idx="70">
                  <c:v>0.56000000000000039</c:v>
                </c:pt>
                <c:pt idx="71">
                  <c:v>0.56800000000000039</c:v>
                </c:pt>
                <c:pt idx="72">
                  <c:v>0.5760000000000004</c:v>
                </c:pt>
                <c:pt idx="73">
                  <c:v>0.58400000000000041</c:v>
                </c:pt>
                <c:pt idx="74">
                  <c:v>0.59200000000000041</c:v>
                </c:pt>
                <c:pt idx="75">
                  <c:v>0.60000000000000042</c:v>
                </c:pt>
                <c:pt idx="76">
                  <c:v>0.60800000000000043</c:v>
                </c:pt>
                <c:pt idx="77">
                  <c:v>0.61600000000000044</c:v>
                </c:pt>
                <c:pt idx="78">
                  <c:v>0.62400000000000044</c:v>
                </c:pt>
                <c:pt idx="79">
                  <c:v>0.63200000000000045</c:v>
                </c:pt>
                <c:pt idx="80">
                  <c:v>0.64000000000000046</c:v>
                </c:pt>
                <c:pt idx="81">
                  <c:v>0.64800000000000046</c:v>
                </c:pt>
                <c:pt idx="82">
                  <c:v>0.65600000000000047</c:v>
                </c:pt>
                <c:pt idx="83">
                  <c:v>0.66400000000000048</c:v>
                </c:pt>
                <c:pt idx="84">
                  <c:v>0.67200000000000049</c:v>
                </c:pt>
                <c:pt idx="85">
                  <c:v>0.68000000000000049</c:v>
                </c:pt>
                <c:pt idx="86">
                  <c:v>0.6880000000000005</c:v>
                </c:pt>
                <c:pt idx="87">
                  <c:v>0.69600000000000051</c:v>
                </c:pt>
                <c:pt idx="88">
                  <c:v>0.70400000000000051</c:v>
                </c:pt>
                <c:pt idx="89">
                  <c:v>0.71200000000000052</c:v>
                </c:pt>
                <c:pt idx="90">
                  <c:v>0.72000000000000053</c:v>
                </c:pt>
                <c:pt idx="91">
                  <c:v>0.72800000000000054</c:v>
                </c:pt>
                <c:pt idx="92">
                  <c:v>0.73600000000000054</c:v>
                </c:pt>
                <c:pt idx="93">
                  <c:v>0.74400000000000055</c:v>
                </c:pt>
                <c:pt idx="94">
                  <c:v>0.75200000000000056</c:v>
                </c:pt>
                <c:pt idx="95">
                  <c:v>0.76000000000000056</c:v>
                </c:pt>
                <c:pt idx="96">
                  <c:v>0.76800000000000057</c:v>
                </c:pt>
                <c:pt idx="97">
                  <c:v>0.77600000000000058</c:v>
                </c:pt>
                <c:pt idx="98">
                  <c:v>0.78400000000000059</c:v>
                </c:pt>
                <c:pt idx="99">
                  <c:v>0.79200000000000059</c:v>
                </c:pt>
                <c:pt idx="100">
                  <c:v>0.8000000000000006</c:v>
                </c:pt>
              </c:numCache>
            </c:numRef>
          </c:xVal>
          <c:yVal>
            <c:numRef>
              <c:f>'Data Sheet'!$AG$51:$AG$151</c:f>
              <c:numCache>
                <c:formatCode>0</c:formatCode>
                <c:ptCount val="101"/>
                <c:pt idx="0">
                  <c:v>1.8</c:v>
                </c:pt>
                <c:pt idx="1">
                  <c:v>1.8</c:v>
                </c:pt>
                <c:pt idx="2">
                  <c:v>1.8</c:v>
                </c:pt>
                <c:pt idx="3">
                  <c:v>1.8</c:v>
                </c:pt>
                <c:pt idx="4">
                  <c:v>1.8</c:v>
                </c:pt>
                <c:pt idx="5">
                  <c:v>1.8</c:v>
                </c:pt>
                <c:pt idx="6">
                  <c:v>1.8</c:v>
                </c:pt>
                <c:pt idx="7">
                  <c:v>1.8</c:v>
                </c:pt>
                <c:pt idx="8">
                  <c:v>1.8</c:v>
                </c:pt>
                <c:pt idx="9">
                  <c:v>1.8</c:v>
                </c:pt>
                <c:pt idx="10">
                  <c:v>1.8</c:v>
                </c:pt>
                <c:pt idx="11">
                  <c:v>1.8</c:v>
                </c:pt>
                <c:pt idx="12">
                  <c:v>1.8</c:v>
                </c:pt>
                <c:pt idx="13">
                  <c:v>1.8</c:v>
                </c:pt>
                <c:pt idx="14">
                  <c:v>1.8</c:v>
                </c:pt>
                <c:pt idx="15">
                  <c:v>1.8</c:v>
                </c:pt>
                <c:pt idx="16">
                  <c:v>1.8</c:v>
                </c:pt>
                <c:pt idx="17">
                  <c:v>1.8</c:v>
                </c:pt>
                <c:pt idx="18">
                  <c:v>1.8</c:v>
                </c:pt>
                <c:pt idx="19">
                  <c:v>1.8</c:v>
                </c:pt>
                <c:pt idx="20">
                  <c:v>1.8</c:v>
                </c:pt>
                <c:pt idx="21">
                  <c:v>1.8</c:v>
                </c:pt>
                <c:pt idx="22">
                  <c:v>1.8</c:v>
                </c:pt>
                <c:pt idx="23">
                  <c:v>1.8</c:v>
                </c:pt>
                <c:pt idx="24">
                  <c:v>1.8</c:v>
                </c:pt>
                <c:pt idx="25">
                  <c:v>1.8</c:v>
                </c:pt>
                <c:pt idx="26">
                  <c:v>1.8</c:v>
                </c:pt>
                <c:pt idx="27">
                  <c:v>1.8</c:v>
                </c:pt>
                <c:pt idx="28">
                  <c:v>1.8</c:v>
                </c:pt>
                <c:pt idx="29">
                  <c:v>1.8</c:v>
                </c:pt>
                <c:pt idx="30">
                  <c:v>1.8</c:v>
                </c:pt>
                <c:pt idx="31">
                  <c:v>1.8</c:v>
                </c:pt>
                <c:pt idx="32">
                  <c:v>1.8</c:v>
                </c:pt>
                <c:pt idx="33">
                  <c:v>1.8</c:v>
                </c:pt>
                <c:pt idx="34">
                  <c:v>1.8</c:v>
                </c:pt>
                <c:pt idx="35">
                  <c:v>1.8</c:v>
                </c:pt>
                <c:pt idx="36">
                  <c:v>1.8</c:v>
                </c:pt>
                <c:pt idx="37">
                  <c:v>1.8</c:v>
                </c:pt>
                <c:pt idx="38">
                  <c:v>1.8</c:v>
                </c:pt>
                <c:pt idx="39">
                  <c:v>1.8</c:v>
                </c:pt>
                <c:pt idx="40">
                  <c:v>1.8</c:v>
                </c:pt>
                <c:pt idx="41">
                  <c:v>1.8</c:v>
                </c:pt>
                <c:pt idx="42">
                  <c:v>1.8</c:v>
                </c:pt>
                <c:pt idx="43">
                  <c:v>1.8</c:v>
                </c:pt>
                <c:pt idx="44">
                  <c:v>1.8</c:v>
                </c:pt>
                <c:pt idx="45">
                  <c:v>1.8</c:v>
                </c:pt>
                <c:pt idx="46">
                  <c:v>1.8</c:v>
                </c:pt>
                <c:pt idx="47">
                  <c:v>1.8</c:v>
                </c:pt>
                <c:pt idx="48">
                  <c:v>1.8</c:v>
                </c:pt>
                <c:pt idx="49">
                  <c:v>1.8</c:v>
                </c:pt>
                <c:pt idx="50">
                  <c:v>1.8</c:v>
                </c:pt>
                <c:pt idx="51">
                  <c:v>1.8</c:v>
                </c:pt>
                <c:pt idx="52">
                  <c:v>1.8</c:v>
                </c:pt>
                <c:pt idx="53">
                  <c:v>1.8</c:v>
                </c:pt>
                <c:pt idx="54">
                  <c:v>1.8</c:v>
                </c:pt>
                <c:pt idx="55">
                  <c:v>1.8</c:v>
                </c:pt>
                <c:pt idx="56">
                  <c:v>1.8</c:v>
                </c:pt>
                <c:pt idx="57">
                  <c:v>1.8</c:v>
                </c:pt>
                <c:pt idx="58">
                  <c:v>1.8</c:v>
                </c:pt>
                <c:pt idx="59">
                  <c:v>1.8</c:v>
                </c:pt>
                <c:pt idx="60">
                  <c:v>1.8</c:v>
                </c:pt>
                <c:pt idx="61">
                  <c:v>1.8</c:v>
                </c:pt>
                <c:pt idx="62">
                  <c:v>1.8</c:v>
                </c:pt>
                <c:pt idx="63">
                  <c:v>1.8</c:v>
                </c:pt>
                <c:pt idx="64">
                  <c:v>1.8</c:v>
                </c:pt>
                <c:pt idx="65">
                  <c:v>1.8</c:v>
                </c:pt>
                <c:pt idx="66">
                  <c:v>1.8</c:v>
                </c:pt>
                <c:pt idx="67">
                  <c:v>1.8</c:v>
                </c:pt>
                <c:pt idx="68">
                  <c:v>1.8</c:v>
                </c:pt>
                <c:pt idx="69">
                  <c:v>1.8</c:v>
                </c:pt>
                <c:pt idx="70">
                  <c:v>1.8</c:v>
                </c:pt>
                <c:pt idx="71">
                  <c:v>1.8</c:v>
                </c:pt>
                <c:pt idx="72">
                  <c:v>1.8</c:v>
                </c:pt>
                <c:pt idx="73">
                  <c:v>1.8</c:v>
                </c:pt>
                <c:pt idx="74">
                  <c:v>1.8</c:v>
                </c:pt>
                <c:pt idx="75">
                  <c:v>1.8</c:v>
                </c:pt>
                <c:pt idx="76">
                  <c:v>1.8</c:v>
                </c:pt>
                <c:pt idx="77">
                  <c:v>1.8</c:v>
                </c:pt>
                <c:pt idx="78">
                  <c:v>1.8</c:v>
                </c:pt>
                <c:pt idx="79">
                  <c:v>1.8</c:v>
                </c:pt>
                <c:pt idx="80">
                  <c:v>1.8</c:v>
                </c:pt>
                <c:pt idx="81">
                  <c:v>1.8</c:v>
                </c:pt>
                <c:pt idx="82">
                  <c:v>1.8</c:v>
                </c:pt>
                <c:pt idx="83">
                  <c:v>1.8</c:v>
                </c:pt>
                <c:pt idx="84">
                  <c:v>1.8</c:v>
                </c:pt>
                <c:pt idx="85">
                  <c:v>1.8</c:v>
                </c:pt>
                <c:pt idx="86">
                  <c:v>1.8</c:v>
                </c:pt>
                <c:pt idx="87">
                  <c:v>1.8</c:v>
                </c:pt>
                <c:pt idx="88">
                  <c:v>1.8</c:v>
                </c:pt>
                <c:pt idx="89">
                  <c:v>1.8</c:v>
                </c:pt>
                <c:pt idx="90">
                  <c:v>1.8</c:v>
                </c:pt>
                <c:pt idx="91">
                  <c:v>1.8</c:v>
                </c:pt>
                <c:pt idx="92">
                  <c:v>1.8</c:v>
                </c:pt>
                <c:pt idx="93">
                  <c:v>1.8</c:v>
                </c:pt>
                <c:pt idx="94">
                  <c:v>1.8</c:v>
                </c:pt>
                <c:pt idx="95">
                  <c:v>1.8</c:v>
                </c:pt>
                <c:pt idx="96">
                  <c:v>1.8</c:v>
                </c:pt>
                <c:pt idx="97">
                  <c:v>1.8</c:v>
                </c:pt>
                <c:pt idx="98">
                  <c:v>1.8</c:v>
                </c:pt>
                <c:pt idx="99">
                  <c:v>1.8</c:v>
                </c:pt>
                <c:pt idx="100">
                  <c:v>0</c:v>
                </c:pt>
              </c:numCache>
            </c:numRef>
          </c:yVal>
          <c:smooth val="0"/>
          <c:extLst xmlns:c16r2="http://schemas.microsoft.com/office/drawing/2015/06/chart">
            <c:ext xmlns:c16="http://schemas.microsoft.com/office/drawing/2014/chart" uri="{C3380CC4-5D6E-409C-BE32-E72D297353CC}">
              <c16:uniqueId val="{00000001-74CE-49A3-B104-59D477B53EC1}"/>
            </c:ext>
          </c:extLst>
        </c:ser>
        <c:ser>
          <c:idx val="2"/>
          <c:order val="2"/>
          <c:tx>
            <c:v>RMS Force</c:v>
          </c:tx>
          <c:spPr>
            <a:ln>
              <a:noFill/>
            </a:ln>
          </c:spPr>
          <c:marker>
            <c:spPr>
              <a:solidFill>
                <a:srgbClr val="00B050"/>
              </a:solidFill>
              <a:ln>
                <a:solidFill>
                  <a:srgbClr val="00B050"/>
                </a:solidFill>
              </a:ln>
            </c:spPr>
          </c:marker>
          <c:xVal>
            <c:numRef>
              <c:f>'Data Sheet'!$BQ$79</c:f>
              <c:numCache>
                <c:formatCode>General</c:formatCode>
                <c:ptCount val="1"/>
                <c:pt idx="0">
                  <c:v>2.9739069157746715E-3</c:v>
                </c:pt>
              </c:numCache>
            </c:numRef>
          </c:xVal>
          <c:yVal>
            <c:numRef>
              <c:f>'Data Sheet'!$BP$79</c:f>
              <c:numCache>
                <c:formatCode>General</c:formatCode>
                <c:ptCount val="1"/>
                <c:pt idx="0">
                  <c:v>5.8815750660816686E-2</c:v>
                </c:pt>
              </c:numCache>
            </c:numRef>
          </c:yVal>
          <c:smooth val="0"/>
          <c:extLst xmlns:c16r2="http://schemas.microsoft.com/office/drawing/2015/06/chart">
            <c:ext xmlns:c16="http://schemas.microsoft.com/office/drawing/2014/chart" uri="{C3380CC4-5D6E-409C-BE32-E72D297353CC}">
              <c16:uniqueId val="{00000002-74CE-49A3-B104-59D477B53EC1}"/>
            </c:ext>
          </c:extLst>
        </c:ser>
        <c:ser>
          <c:idx val="3"/>
          <c:order val="3"/>
          <c:tx>
            <c:v>Peak Force</c:v>
          </c:tx>
          <c:spPr>
            <a:ln>
              <a:noFill/>
            </a:ln>
          </c:spPr>
          <c:marker>
            <c:symbol val="diamond"/>
            <c:size val="7"/>
            <c:spPr>
              <a:solidFill>
                <a:srgbClr val="FF0000"/>
              </a:solidFill>
              <a:ln>
                <a:solidFill>
                  <a:srgbClr val="FF0000"/>
                </a:solidFill>
              </a:ln>
            </c:spPr>
          </c:marker>
          <c:xVal>
            <c:numRef>
              <c:f>'Data Sheet'!$BQ$77</c:f>
              <c:numCache>
                <c:formatCode>General</c:formatCode>
                <c:ptCount val="1"/>
                <c:pt idx="0">
                  <c:v>2.4000000000000001E-5</c:v>
                </c:pt>
              </c:numCache>
            </c:numRef>
          </c:xVal>
          <c:yVal>
            <c:numRef>
              <c:f>'Data Sheet'!$BP$78</c:f>
              <c:numCache>
                <c:formatCode>General</c:formatCode>
                <c:ptCount val="1"/>
                <c:pt idx="0">
                  <c:v>0.58768269128344741</c:v>
                </c:pt>
              </c:numCache>
            </c:numRef>
          </c:yVal>
          <c:smooth val="0"/>
          <c:extLst xmlns:c16r2="http://schemas.microsoft.com/office/drawing/2015/06/chart">
            <c:ext xmlns:c16="http://schemas.microsoft.com/office/drawing/2014/chart" uri="{C3380CC4-5D6E-409C-BE32-E72D297353CC}">
              <c16:uniqueId val="{00000003-74CE-49A3-B104-59D477B53EC1}"/>
            </c:ext>
          </c:extLst>
        </c:ser>
        <c:dLbls>
          <c:showLegendKey val="0"/>
          <c:showVal val="0"/>
          <c:showCatName val="0"/>
          <c:showSerName val="0"/>
          <c:showPercent val="0"/>
          <c:showBubbleSize val="0"/>
        </c:dLbls>
        <c:axId val="234397656"/>
        <c:axId val="234398048"/>
      </c:scatterChart>
      <c:valAx>
        <c:axId val="234397656"/>
        <c:scaling>
          <c:orientation val="minMax"/>
        </c:scaling>
        <c:delete val="0"/>
        <c:axPos val="b"/>
        <c:title>
          <c:tx>
            <c:rich>
              <a:bodyPr/>
              <a:lstStyle/>
              <a:p>
                <a:pPr>
                  <a:defRPr/>
                </a:pPr>
                <a:r>
                  <a:rPr lang="en-US"/>
                  <a:t>Velocity</a:t>
                </a:r>
                <a:r>
                  <a:rPr lang="en-US" baseline="0"/>
                  <a:t> (m/s)</a:t>
                </a:r>
                <a:endParaRPr lang="en-US"/>
              </a:p>
            </c:rich>
          </c:tx>
          <c:layout>
            <c:manualLayout>
              <c:xMode val="edge"/>
              <c:yMode val="edge"/>
              <c:x val="0.46361185983827491"/>
              <c:y val="0.79323308270676696"/>
            </c:manualLayout>
          </c:layout>
          <c:overlay val="0"/>
          <c:spPr>
            <a:noFill/>
            <a:ln w="25400">
              <a:noFill/>
            </a:ln>
          </c:spPr>
        </c:title>
        <c:numFmt formatCode="0.0" sourceLinked="1"/>
        <c:majorTickMark val="none"/>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234398048"/>
        <c:crosses val="autoZero"/>
        <c:crossBetween val="midCat"/>
      </c:valAx>
      <c:valAx>
        <c:axId val="234398048"/>
        <c:scaling>
          <c:orientation val="minMax"/>
        </c:scaling>
        <c:delete val="0"/>
        <c:axPos val="l"/>
        <c:majorGridlines/>
        <c:title>
          <c:tx>
            <c:rich>
              <a:bodyPr/>
              <a:lstStyle/>
              <a:p>
                <a:pPr>
                  <a:defRPr/>
                </a:pPr>
                <a:r>
                  <a:rPr lang="en-US"/>
                  <a:t>Force</a:t>
                </a:r>
                <a:r>
                  <a:rPr lang="en-US" baseline="0"/>
                  <a:t> (N)</a:t>
                </a:r>
                <a:endParaRPr lang="en-US"/>
              </a:p>
            </c:rich>
          </c:tx>
          <c:layout>
            <c:manualLayout>
              <c:xMode val="edge"/>
              <c:yMode val="edge"/>
              <c:x val="4.0431266846361183E-2"/>
              <c:y val="0.32330827067669171"/>
            </c:manualLayout>
          </c:layout>
          <c:overlay val="0"/>
          <c:spPr>
            <a:noFill/>
            <a:ln w="25400">
              <a:noFill/>
            </a:ln>
          </c:spPr>
        </c:title>
        <c:numFmt formatCode="0" sourceLinked="1"/>
        <c:majorTickMark val="none"/>
        <c:minorTickMark val="none"/>
        <c:tickLblPos val="nextTo"/>
        <c:crossAx val="234397656"/>
        <c:crosses val="autoZero"/>
        <c:crossBetween val="midCat"/>
      </c:valAx>
    </c:plotArea>
    <c:legend>
      <c:legendPos val="b"/>
      <c:layout>
        <c:manualLayout>
          <c:xMode val="edge"/>
          <c:yMode val="edge"/>
          <c:x val="3.7735849056603772E-2"/>
          <c:y val="0.89473684210526316"/>
          <c:w val="0.94878706199460916"/>
          <c:h val="8.2706766917293228E-2"/>
        </c:manualLayout>
      </c:layout>
      <c:overlay val="0"/>
    </c:legend>
    <c:plotVisOnly val="1"/>
    <c:dispBlanksAs val="gap"/>
    <c:showDLblsOverMax val="0"/>
  </c:chart>
  <c:printSettings>
    <c:headerFooter/>
    <c:pageMargins b="0.75000000000000111" l="0.70000000000000062" r="0.70000000000000062" t="0.75000000000000111" header="0.30000000000000032" footer="0.30000000000000032"/>
    <c:pageSetup orientation="portrait"/>
  </c:printSettings>
</c:chartSpace>
</file>

<file path=xl/ctrlProps/ctrlProp1.xml><?xml version="1.0" encoding="utf-8"?>
<formControlPr xmlns="http://schemas.microsoft.com/office/spreadsheetml/2009/9/main" objectType="CheckBox" fmlaLink="$V$27"/>
</file>

<file path=xl/ctrlProps/ctrlProp10.xml><?xml version="1.0" encoding="utf-8"?>
<formControlPr xmlns="http://schemas.microsoft.com/office/spreadsheetml/2009/9/main" objectType="CheckBox" fmlaLink="$AG$13"/>
</file>

<file path=xl/ctrlProps/ctrlProp11.xml><?xml version="1.0" encoding="utf-8"?>
<formControlPr xmlns="http://schemas.microsoft.com/office/spreadsheetml/2009/9/main" objectType="CheckBox" fmlaLink="$AM$27"/>
</file>

<file path=xl/ctrlProps/ctrlProp12.xml><?xml version="1.0" encoding="utf-8"?>
<formControlPr xmlns="http://schemas.microsoft.com/office/spreadsheetml/2009/9/main" objectType="CheckBox" fmlaLink="$AG$21"/>
</file>

<file path=xl/ctrlProps/ctrlProp13.xml><?xml version="1.0" encoding="utf-8"?>
<formControlPr xmlns="http://schemas.microsoft.com/office/spreadsheetml/2009/9/main" objectType="CheckBox" checked="Checked" fmlaLink="O4"/>
</file>

<file path=xl/ctrlProps/ctrlProp14.xml><?xml version="1.0" encoding="utf-8"?>
<formControlPr xmlns="http://schemas.microsoft.com/office/spreadsheetml/2009/9/main" objectType="CheckBox" fmlaLink="$Z$4"/>
</file>

<file path=xl/ctrlProps/ctrlProp15.xml><?xml version="1.0" encoding="utf-8"?>
<formControlPr xmlns="http://schemas.microsoft.com/office/spreadsheetml/2009/9/main" objectType="CheckBox" checked="Checked" fmlaLink="$AY$30"/>
</file>

<file path=xl/ctrlProps/ctrlProp16.xml><?xml version="1.0" encoding="utf-8"?>
<formControlPr xmlns="http://schemas.microsoft.com/office/spreadsheetml/2009/9/main" objectType="CheckBox" checked="Checked" fmlaLink="$AY$31"/>
</file>

<file path=xl/ctrlProps/ctrlProp17.xml><?xml version="1.0" encoding="utf-8"?>
<formControlPr xmlns="http://schemas.microsoft.com/office/spreadsheetml/2009/9/main" objectType="CheckBox" checked="Checked" fmlaLink="$AY$32"/>
</file>

<file path=xl/ctrlProps/ctrlProp18.xml><?xml version="1.0" encoding="utf-8"?>
<formControlPr xmlns="http://schemas.microsoft.com/office/spreadsheetml/2009/9/main" objectType="CheckBox" checked="Checked" fmlaLink="$AY$33"/>
</file>

<file path=xl/ctrlProps/ctrlProp19.xml><?xml version="1.0" encoding="utf-8"?>
<formControlPr xmlns="http://schemas.microsoft.com/office/spreadsheetml/2009/9/main" objectType="Radio" firstButton="1" fmlaLink="$B$18"/>
</file>

<file path=xl/ctrlProps/ctrlProp2.xml><?xml version="1.0" encoding="utf-8"?>
<formControlPr xmlns="http://schemas.microsoft.com/office/spreadsheetml/2009/9/main" objectType="CheckBox" fmlaLink="$V$11"/>
</file>

<file path=xl/ctrlProps/ctrlProp20.xml><?xml version="1.0" encoding="utf-8"?>
<formControlPr xmlns="http://schemas.microsoft.com/office/spreadsheetml/2009/9/main" objectType="Radio"/>
</file>

<file path=xl/ctrlProps/ctrlProp21.xml><?xml version="1.0" encoding="utf-8"?>
<formControlPr xmlns="http://schemas.microsoft.com/office/spreadsheetml/2009/9/main" objectType="Radio" checked="Checked"/>
</file>

<file path=xl/ctrlProps/ctrlProp22.xml><?xml version="1.0" encoding="utf-8"?>
<formControlPr xmlns="http://schemas.microsoft.com/office/spreadsheetml/2009/9/main" objectType="GBox"/>
</file>

<file path=xl/ctrlProps/ctrlProp23.xml><?xml version="1.0" encoding="utf-8"?>
<formControlPr xmlns="http://schemas.microsoft.com/office/spreadsheetml/2009/9/main" objectType="Radio" firstButton="1" fmlaLink="$C$17" lockText="1"/>
</file>

<file path=xl/ctrlProps/ctrlProp24.xml><?xml version="1.0" encoding="utf-8"?>
<formControlPr xmlns="http://schemas.microsoft.com/office/spreadsheetml/2009/9/main" objectType="Radio" lockText="1"/>
</file>

<file path=xl/ctrlProps/ctrlProp25.xml><?xml version="1.0" encoding="utf-8"?>
<formControlPr xmlns="http://schemas.microsoft.com/office/spreadsheetml/2009/9/main" objectType="Radio" checked="Checked" lockText="1"/>
</file>

<file path=xl/ctrlProps/ctrlProp26.xml><?xml version="1.0" encoding="utf-8"?>
<formControlPr xmlns="http://schemas.microsoft.com/office/spreadsheetml/2009/9/main" objectType="GBox" noThreeD="1"/>
</file>

<file path=xl/ctrlProps/ctrlProp27.xml><?xml version="1.0" encoding="utf-8"?>
<formControlPr xmlns="http://schemas.microsoft.com/office/spreadsheetml/2009/9/main" objectType="Radio" lockText="1"/>
</file>

<file path=xl/ctrlProps/ctrlProp28.xml><?xml version="1.0" encoding="utf-8"?>
<formControlPr xmlns="http://schemas.microsoft.com/office/spreadsheetml/2009/9/main" objectType="Radio" firstButton="1" fmlaLink="$L$2" lockText="1"/>
</file>

<file path=xl/ctrlProps/ctrlProp29.xml><?xml version="1.0" encoding="utf-8"?>
<formControlPr xmlns="http://schemas.microsoft.com/office/spreadsheetml/2009/9/main" objectType="Radio" checked="Checked" lockText="1"/>
</file>

<file path=xl/ctrlProps/ctrlProp3.xml><?xml version="1.0" encoding="utf-8"?>
<formControlPr xmlns="http://schemas.microsoft.com/office/spreadsheetml/2009/9/main" objectType="CheckBox" fmlaLink="$V$19"/>
</file>

<file path=xl/ctrlProps/ctrlProp30.xml><?xml version="1.0" encoding="utf-8"?>
<formControlPr xmlns="http://schemas.microsoft.com/office/spreadsheetml/2009/9/main" objectType="GBox" noThreeD="1"/>
</file>

<file path=xl/ctrlProps/ctrlProp4.xml><?xml version="1.0" encoding="utf-8"?>
<formControlPr xmlns="http://schemas.microsoft.com/office/spreadsheetml/2009/9/main" objectType="CheckBox" fmlaLink="$I$19"/>
</file>

<file path=xl/ctrlProps/ctrlProp5.xml><?xml version="1.0" encoding="utf-8"?>
<formControlPr xmlns="http://schemas.microsoft.com/office/spreadsheetml/2009/9/main" objectType="CheckBox" fmlaLink="$P$13"/>
</file>

<file path=xl/ctrlProps/ctrlProp6.xml><?xml version="1.0" encoding="utf-8"?>
<formControlPr xmlns="http://schemas.microsoft.com/office/spreadsheetml/2009/9/main" objectType="CheckBox" fmlaLink="$P$21"/>
</file>

<file path=xl/ctrlProps/ctrlProp7.xml><?xml version="1.0" encoding="utf-8"?>
<formControlPr xmlns="http://schemas.microsoft.com/office/spreadsheetml/2009/9/main" objectType="CheckBox" fmlaLink="$AM$11"/>
</file>

<file path=xl/ctrlProps/ctrlProp8.xml><?xml version="1.0" encoding="utf-8"?>
<formControlPr xmlns="http://schemas.microsoft.com/office/spreadsheetml/2009/9/main" objectType="CheckBox" fmlaLink="$AG$5"/>
</file>

<file path=xl/ctrlProps/ctrlProp9.xml><?xml version="1.0" encoding="utf-8"?>
<formControlPr xmlns="http://schemas.microsoft.com/office/spreadsheetml/2009/9/main" objectType="CheckBox" fmlaLink="$AM$19"/>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png"/><Relationship Id="rId5" Type="http://schemas.openxmlformats.org/officeDocument/2006/relationships/chart" Target="../charts/chart5.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image" Target="../media/image2.png"/><Relationship Id="rId7" Type="http://schemas.openxmlformats.org/officeDocument/2006/relationships/image" Target="../media/image4.png"/><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3.emf"/><Relationship Id="rId5" Type="http://schemas.openxmlformats.org/officeDocument/2006/relationships/chart" Target="../charts/chart9.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8" Type="http://schemas.openxmlformats.org/officeDocument/2006/relationships/image" Target="../media/image13.wmf"/><Relationship Id="rId13" Type="http://schemas.openxmlformats.org/officeDocument/2006/relationships/image" Target="../media/image18.wmf"/><Relationship Id="rId18" Type="http://schemas.openxmlformats.org/officeDocument/2006/relationships/image" Target="../media/image23.wmf"/><Relationship Id="rId3" Type="http://schemas.openxmlformats.org/officeDocument/2006/relationships/image" Target="../media/image8.wmf"/><Relationship Id="rId21" Type="http://schemas.openxmlformats.org/officeDocument/2006/relationships/image" Target="../media/image26.wmf"/><Relationship Id="rId7" Type="http://schemas.openxmlformats.org/officeDocument/2006/relationships/image" Target="../media/image12.wmf"/><Relationship Id="rId12" Type="http://schemas.openxmlformats.org/officeDocument/2006/relationships/image" Target="../media/image17.wmf"/><Relationship Id="rId17" Type="http://schemas.openxmlformats.org/officeDocument/2006/relationships/image" Target="../media/image22.wmf"/><Relationship Id="rId2" Type="http://schemas.openxmlformats.org/officeDocument/2006/relationships/image" Target="../media/image7.wmf"/><Relationship Id="rId16" Type="http://schemas.openxmlformats.org/officeDocument/2006/relationships/image" Target="../media/image21.wmf"/><Relationship Id="rId20" Type="http://schemas.openxmlformats.org/officeDocument/2006/relationships/image" Target="../media/image25.wmf"/><Relationship Id="rId1" Type="http://schemas.openxmlformats.org/officeDocument/2006/relationships/image" Target="../media/image6.wmf"/><Relationship Id="rId6" Type="http://schemas.openxmlformats.org/officeDocument/2006/relationships/image" Target="../media/image11.wmf"/><Relationship Id="rId11" Type="http://schemas.openxmlformats.org/officeDocument/2006/relationships/image" Target="../media/image16.wmf"/><Relationship Id="rId24" Type="http://schemas.openxmlformats.org/officeDocument/2006/relationships/image" Target="../media/image29.wmf"/><Relationship Id="rId5" Type="http://schemas.openxmlformats.org/officeDocument/2006/relationships/image" Target="../media/image10.wmf"/><Relationship Id="rId15" Type="http://schemas.openxmlformats.org/officeDocument/2006/relationships/image" Target="../media/image20.wmf"/><Relationship Id="rId23" Type="http://schemas.openxmlformats.org/officeDocument/2006/relationships/image" Target="../media/image28.wmf"/><Relationship Id="rId10" Type="http://schemas.openxmlformats.org/officeDocument/2006/relationships/image" Target="../media/image15.wmf"/><Relationship Id="rId19" Type="http://schemas.openxmlformats.org/officeDocument/2006/relationships/image" Target="../media/image24.wmf"/><Relationship Id="rId4" Type="http://schemas.openxmlformats.org/officeDocument/2006/relationships/image" Target="../media/image9.wmf"/><Relationship Id="rId9" Type="http://schemas.openxmlformats.org/officeDocument/2006/relationships/image" Target="../media/image14.wmf"/><Relationship Id="rId14" Type="http://schemas.openxmlformats.org/officeDocument/2006/relationships/image" Target="../media/image19.wmf"/><Relationship Id="rId22" Type="http://schemas.openxmlformats.org/officeDocument/2006/relationships/image" Target="../media/image27.w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xdr:from>
      <xdr:col>1</xdr:col>
      <xdr:colOff>361950</xdr:colOff>
      <xdr:row>30</xdr:row>
      <xdr:rowOff>53975</xdr:rowOff>
    </xdr:from>
    <xdr:to>
      <xdr:col>52</xdr:col>
      <xdr:colOff>19050</xdr:colOff>
      <xdr:row>50</xdr:row>
      <xdr:rowOff>34925</xdr:rowOff>
    </xdr:to>
    <xdr:graphicFrame macro="">
      <xdr:nvGraphicFramePr>
        <xdr:cNvPr id="1592459" name="Chart 5382">
          <a:extLst>
            <a:ext uri="{FF2B5EF4-FFF2-40B4-BE49-F238E27FC236}">
              <a16:creationId xmlns="" xmlns:a16="http://schemas.microsoft.com/office/drawing/2014/main" id="{00000000-0008-0000-0000-00008B4C1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47625</xdr:colOff>
      <xdr:row>18</xdr:row>
      <xdr:rowOff>114300</xdr:rowOff>
    </xdr:from>
    <xdr:to>
      <xdr:col>8</xdr:col>
      <xdr:colOff>0</xdr:colOff>
      <xdr:row>22</xdr:row>
      <xdr:rowOff>9525</xdr:rowOff>
    </xdr:to>
    <xdr:sp macro="" textlink="">
      <xdr:nvSpPr>
        <xdr:cNvPr id="1592460" name="Rectangle 4916">
          <a:extLst>
            <a:ext uri="{FF2B5EF4-FFF2-40B4-BE49-F238E27FC236}">
              <a16:creationId xmlns="" xmlns:a16="http://schemas.microsoft.com/office/drawing/2014/main" id="{00000000-0008-0000-0000-00008C4C1800}"/>
            </a:ext>
          </a:extLst>
        </xdr:cNvPr>
        <xdr:cNvSpPr>
          <a:spLocks noChangeArrowheads="1"/>
        </xdr:cNvSpPr>
      </xdr:nvSpPr>
      <xdr:spPr bwMode="auto">
        <a:xfrm>
          <a:off x="1771650" y="2466975"/>
          <a:ext cx="47625" cy="409575"/>
        </a:xfrm>
        <a:prstGeom prst="rect">
          <a:avLst/>
        </a:prstGeom>
        <a:solidFill>
          <a:srgbClr val="E3E3E3"/>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152400</xdr:colOff>
      <xdr:row>23</xdr:row>
      <xdr:rowOff>0</xdr:rowOff>
    </xdr:from>
    <xdr:to>
      <xdr:col>15</xdr:col>
      <xdr:colOff>0</xdr:colOff>
      <xdr:row>28</xdr:row>
      <xdr:rowOff>19050</xdr:rowOff>
    </xdr:to>
    <xdr:sp macro="" textlink="">
      <xdr:nvSpPr>
        <xdr:cNvPr id="1592461" name="Rectangle 4908">
          <a:extLst>
            <a:ext uri="{FF2B5EF4-FFF2-40B4-BE49-F238E27FC236}">
              <a16:creationId xmlns="" xmlns:a16="http://schemas.microsoft.com/office/drawing/2014/main" id="{00000000-0008-0000-0000-00008D4C1800}"/>
            </a:ext>
          </a:extLst>
        </xdr:cNvPr>
        <xdr:cNvSpPr>
          <a:spLocks noChangeArrowheads="1"/>
        </xdr:cNvSpPr>
      </xdr:nvSpPr>
      <xdr:spPr bwMode="auto">
        <a:xfrm>
          <a:off x="3162300" y="2990850"/>
          <a:ext cx="76200" cy="638175"/>
        </a:xfrm>
        <a:prstGeom prst="rect">
          <a:avLst/>
        </a:prstGeom>
        <a:solidFill>
          <a:srgbClr val="E3E3E3"/>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75</xdr:col>
      <xdr:colOff>9525</xdr:colOff>
      <xdr:row>3</xdr:row>
      <xdr:rowOff>76200</xdr:rowOff>
    </xdr:from>
    <xdr:to>
      <xdr:col>82</xdr:col>
      <xdr:colOff>114300</xdr:colOff>
      <xdr:row>7</xdr:row>
      <xdr:rowOff>85725</xdr:rowOff>
    </xdr:to>
    <xdr:graphicFrame macro="">
      <xdr:nvGraphicFramePr>
        <xdr:cNvPr id="1592463" name="Chart 4852">
          <a:extLst>
            <a:ext uri="{FF2B5EF4-FFF2-40B4-BE49-F238E27FC236}">
              <a16:creationId xmlns="" xmlns:a16="http://schemas.microsoft.com/office/drawing/2014/main" id="{00000000-0008-0000-0000-00008F4C1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75</xdr:col>
      <xdr:colOff>28575</xdr:colOff>
      <xdr:row>13</xdr:row>
      <xdr:rowOff>104775</xdr:rowOff>
    </xdr:from>
    <xdr:to>
      <xdr:col>82</xdr:col>
      <xdr:colOff>142875</xdr:colOff>
      <xdr:row>18</xdr:row>
      <xdr:rowOff>0</xdr:rowOff>
    </xdr:to>
    <xdr:graphicFrame macro="">
      <xdr:nvGraphicFramePr>
        <xdr:cNvPr id="1592464" name="Chart 4853">
          <a:extLst>
            <a:ext uri="{FF2B5EF4-FFF2-40B4-BE49-F238E27FC236}">
              <a16:creationId xmlns="" xmlns:a16="http://schemas.microsoft.com/office/drawing/2014/main" id="{00000000-0008-0000-0000-0000904C1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75</xdr:col>
      <xdr:colOff>38100</xdr:colOff>
      <xdr:row>23</xdr:row>
      <xdr:rowOff>38100</xdr:rowOff>
    </xdr:from>
    <xdr:to>
      <xdr:col>82</xdr:col>
      <xdr:colOff>133350</xdr:colOff>
      <xdr:row>27</xdr:row>
      <xdr:rowOff>114300</xdr:rowOff>
    </xdr:to>
    <xdr:graphicFrame macro="">
      <xdr:nvGraphicFramePr>
        <xdr:cNvPr id="1592465" name="Chart 4854">
          <a:extLst>
            <a:ext uri="{FF2B5EF4-FFF2-40B4-BE49-F238E27FC236}">
              <a16:creationId xmlns="" xmlns:a16="http://schemas.microsoft.com/office/drawing/2014/main" id="{00000000-0008-0000-0000-0000914C1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3</xdr:col>
      <xdr:colOff>85725</xdr:colOff>
      <xdr:row>52</xdr:row>
      <xdr:rowOff>9525</xdr:rowOff>
    </xdr:from>
    <xdr:to>
      <xdr:col>51</xdr:col>
      <xdr:colOff>161925</xdr:colOff>
      <xdr:row>70</xdr:row>
      <xdr:rowOff>9525</xdr:rowOff>
    </xdr:to>
    <xdr:graphicFrame macro="">
      <xdr:nvGraphicFramePr>
        <xdr:cNvPr id="1592466" name="Chart 4865">
          <a:extLst>
            <a:ext uri="{FF2B5EF4-FFF2-40B4-BE49-F238E27FC236}">
              <a16:creationId xmlns="" xmlns:a16="http://schemas.microsoft.com/office/drawing/2014/main" id="{00000000-0008-0000-0000-0000924C18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76</xdr:col>
      <xdr:colOff>19050</xdr:colOff>
      <xdr:row>4</xdr:row>
      <xdr:rowOff>28575</xdr:rowOff>
    </xdr:from>
    <xdr:to>
      <xdr:col>81</xdr:col>
      <xdr:colOff>114300</xdr:colOff>
      <xdr:row>7</xdr:row>
      <xdr:rowOff>19050</xdr:rowOff>
    </xdr:to>
    <xdr:sp macro="" textlink="">
      <xdr:nvSpPr>
        <xdr:cNvPr id="1592467" name="Rectangle 4912">
          <a:extLst>
            <a:ext uri="{FF2B5EF4-FFF2-40B4-BE49-F238E27FC236}">
              <a16:creationId xmlns="" xmlns:a16="http://schemas.microsoft.com/office/drawing/2014/main" id="{00000000-0008-0000-0000-0000934C1800}"/>
            </a:ext>
          </a:extLst>
        </xdr:cNvPr>
        <xdr:cNvSpPr>
          <a:spLocks noChangeArrowheads="1"/>
        </xdr:cNvSpPr>
      </xdr:nvSpPr>
      <xdr:spPr bwMode="auto">
        <a:xfrm>
          <a:off x="13801725" y="647700"/>
          <a:ext cx="857250" cy="3619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38100</xdr:colOff>
      <xdr:row>14</xdr:row>
      <xdr:rowOff>76200</xdr:rowOff>
    </xdr:from>
    <xdr:to>
      <xdr:col>81</xdr:col>
      <xdr:colOff>133350</xdr:colOff>
      <xdr:row>17</xdr:row>
      <xdr:rowOff>66675</xdr:rowOff>
    </xdr:to>
    <xdr:sp macro="" textlink="">
      <xdr:nvSpPr>
        <xdr:cNvPr id="1592468" name="Rectangle 4913">
          <a:extLst>
            <a:ext uri="{FF2B5EF4-FFF2-40B4-BE49-F238E27FC236}">
              <a16:creationId xmlns="" xmlns:a16="http://schemas.microsoft.com/office/drawing/2014/main" id="{00000000-0008-0000-0000-0000944C1800}"/>
            </a:ext>
          </a:extLst>
        </xdr:cNvPr>
        <xdr:cNvSpPr>
          <a:spLocks noChangeArrowheads="1"/>
        </xdr:cNvSpPr>
      </xdr:nvSpPr>
      <xdr:spPr bwMode="auto">
        <a:xfrm>
          <a:off x="13820775" y="1933575"/>
          <a:ext cx="857250" cy="3619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76</xdr:col>
      <xdr:colOff>47625</xdr:colOff>
      <xdr:row>24</xdr:row>
      <xdr:rowOff>9525</xdr:rowOff>
    </xdr:from>
    <xdr:to>
      <xdr:col>81</xdr:col>
      <xdr:colOff>142875</xdr:colOff>
      <xdr:row>27</xdr:row>
      <xdr:rowOff>0</xdr:rowOff>
    </xdr:to>
    <xdr:sp macro="" textlink="">
      <xdr:nvSpPr>
        <xdr:cNvPr id="1592469" name="Rectangle 4914">
          <a:extLst>
            <a:ext uri="{FF2B5EF4-FFF2-40B4-BE49-F238E27FC236}">
              <a16:creationId xmlns="" xmlns:a16="http://schemas.microsoft.com/office/drawing/2014/main" id="{00000000-0008-0000-0000-0000954C1800}"/>
            </a:ext>
          </a:extLst>
        </xdr:cNvPr>
        <xdr:cNvSpPr>
          <a:spLocks noChangeArrowheads="1"/>
        </xdr:cNvSpPr>
      </xdr:nvSpPr>
      <xdr:spPr bwMode="auto">
        <a:xfrm>
          <a:off x="13830300" y="3124200"/>
          <a:ext cx="857250" cy="36195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xdr:colOff>
      <xdr:row>17</xdr:row>
      <xdr:rowOff>0</xdr:rowOff>
    </xdr:from>
    <xdr:to>
      <xdr:col>1</xdr:col>
      <xdr:colOff>19050</xdr:colOff>
      <xdr:row>22</xdr:row>
      <xdr:rowOff>0</xdr:rowOff>
    </xdr:to>
    <xdr:sp macro="" textlink="">
      <xdr:nvSpPr>
        <xdr:cNvPr id="1592470" name="Rectangle 4908">
          <a:extLst>
            <a:ext uri="{FF2B5EF4-FFF2-40B4-BE49-F238E27FC236}">
              <a16:creationId xmlns="" xmlns:a16="http://schemas.microsoft.com/office/drawing/2014/main" id="{00000000-0008-0000-0000-0000964C1800}"/>
            </a:ext>
          </a:extLst>
        </xdr:cNvPr>
        <xdr:cNvSpPr>
          <a:spLocks noChangeArrowheads="1"/>
        </xdr:cNvSpPr>
      </xdr:nvSpPr>
      <xdr:spPr bwMode="auto">
        <a:xfrm>
          <a:off x="9525" y="2228850"/>
          <a:ext cx="85725" cy="638175"/>
        </a:xfrm>
        <a:prstGeom prst="rect">
          <a:avLst/>
        </a:prstGeom>
        <a:solidFill>
          <a:srgbClr val="E3E3E3"/>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14</xdr:col>
      <xdr:colOff>142875</xdr:colOff>
      <xdr:row>23</xdr:row>
      <xdr:rowOff>0</xdr:rowOff>
    </xdr:from>
    <xdr:to>
      <xdr:col>14</xdr:col>
      <xdr:colOff>142875</xdr:colOff>
      <xdr:row>28</xdr:row>
      <xdr:rowOff>0</xdr:rowOff>
    </xdr:to>
    <xdr:sp macro="" textlink="">
      <xdr:nvSpPr>
        <xdr:cNvPr id="1592471" name="Line 7170">
          <a:extLst>
            <a:ext uri="{FF2B5EF4-FFF2-40B4-BE49-F238E27FC236}">
              <a16:creationId xmlns="" xmlns:a16="http://schemas.microsoft.com/office/drawing/2014/main" id="{00000000-0008-0000-0000-0000974C1800}"/>
            </a:ext>
          </a:extLst>
        </xdr:cNvPr>
        <xdr:cNvSpPr>
          <a:spLocks noChangeShapeType="1"/>
        </xdr:cNvSpPr>
      </xdr:nvSpPr>
      <xdr:spPr bwMode="auto">
        <a:xfrm>
          <a:off x="3152775" y="2990850"/>
          <a:ext cx="0" cy="6191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1</xdr:col>
          <xdr:colOff>0</xdr:colOff>
          <xdr:row>16</xdr:row>
          <xdr:rowOff>0</xdr:rowOff>
        </xdr:from>
        <xdr:to>
          <xdr:col>7</xdr:col>
          <xdr:colOff>0</xdr:colOff>
          <xdr:row>22</xdr:row>
          <xdr:rowOff>0</xdr:rowOff>
        </xdr:to>
        <xdr:grpSp>
          <xdr:nvGrpSpPr>
            <xdr:cNvPr id="328488" name="Group 7976">
              <a:extLst>
                <a:ext uri="{FF2B5EF4-FFF2-40B4-BE49-F238E27FC236}">
                  <a16:creationId xmlns="" xmlns:a16="http://schemas.microsoft.com/office/drawing/2014/main" id="{00000000-0008-0000-0000-000028030500}"/>
                </a:ext>
              </a:extLst>
            </xdr:cNvPr>
            <xdr:cNvGrpSpPr>
              <a:grpSpLocks/>
            </xdr:cNvGrpSpPr>
          </xdr:nvGrpSpPr>
          <xdr:grpSpPr bwMode="auto">
            <a:xfrm>
              <a:off x="76200" y="2105025"/>
              <a:ext cx="1647825" cy="762000"/>
              <a:chOff x="8" y="219"/>
              <a:chExt cx="175" cy="82"/>
            </a:xfrm>
          </xdr:grpSpPr>
          <xdr:sp macro="" textlink="">
            <xdr:nvSpPr>
              <xdr:cNvPr id="1053" name="Option Button 29" hidden="1">
                <a:extLst>
                  <a:ext uri="{63B3BB69-23CF-44E3-9099-C40C66FF867C}">
                    <a14:compatExt spid="_x0000_s1053"/>
                  </a:ext>
                  <a:ext uri="{FF2B5EF4-FFF2-40B4-BE49-F238E27FC236}">
                    <a16:creationId xmlns="" xmlns:a16="http://schemas.microsoft.com/office/drawing/2014/main" id="{00000000-0008-0000-0000-00001D040000}"/>
                  </a:ext>
                </a:extLst>
              </xdr:cNvPr>
              <xdr:cNvSpPr/>
            </xdr:nvSpPr>
            <xdr:spPr bwMode="auto">
              <a:xfrm>
                <a:off x="15" y="245"/>
                <a:ext cx="166"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Parallel Drive</a:t>
                </a:r>
              </a:p>
            </xdr:txBody>
          </xdr:sp>
          <xdr:sp macro="" textlink="">
            <xdr:nvSpPr>
              <xdr:cNvPr id="1054" name="Option Button 30" hidden="1">
                <a:extLst>
                  <a:ext uri="{63B3BB69-23CF-44E3-9099-C40C66FF867C}">
                    <a14:compatExt spid="_x0000_s1054"/>
                  </a:ext>
                  <a:ext uri="{FF2B5EF4-FFF2-40B4-BE49-F238E27FC236}">
                    <a16:creationId xmlns="" xmlns:a16="http://schemas.microsoft.com/office/drawing/2014/main" id="{00000000-0008-0000-0000-00001E040000}"/>
                  </a:ext>
                </a:extLst>
              </xdr:cNvPr>
              <xdr:cNvSpPr/>
            </xdr:nvSpPr>
            <xdr:spPr bwMode="auto">
              <a:xfrm>
                <a:off x="15" y="264"/>
                <a:ext cx="166" cy="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Tandem Drive</a:t>
                </a:r>
              </a:p>
            </xdr:txBody>
          </xdr:sp>
          <xdr:sp macro="" textlink="">
            <xdr:nvSpPr>
              <xdr:cNvPr id="1055" name="Option Button 31" hidden="1">
                <a:extLst>
                  <a:ext uri="{63B3BB69-23CF-44E3-9099-C40C66FF867C}">
                    <a14:compatExt spid="_x0000_s1055"/>
                  </a:ext>
                  <a:ext uri="{FF2B5EF4-FFF2-40B4-BE49-F238E27FC236}">
                    <a16:creationId xmlns="" xmlns:a16="http://schemas.microsoft.com/office/drawing/2014/main" id="{00000000-0008-0000-0000-00001F040000}"/>
                  </a:ext>
                </a:extLst>
              </xdr:cNvPr>
              <xdr:cNvSpPr/>
            </xdr:nvSpPr>
            <xdr:spPr bwMode="auto">
              <a:xfrm>
                <a:off x="15" y="227"/>
                <a:ext cx="162" cy="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Single Drive</a:t>
                </a:r>
              </a:p>
            </xdr:txBody>
          </xdr:sp>
          <xdr:sp macro="" textlink="">
            <xdr:nvSpPr>
              <xdr:cNvPr id="1056" name="Group Box 32" hidden="1">
                <a:extLst>
                  <a:ext uri="{63B3BB69-23CF-44E3-9099-C40C66FF867C}">
                    <a14:compatExt spid="_x0000_s1056"/>
                  </a:ext>
                  <a:ext uri="{FF2B5EF4-FFF2-40B4-BE49-F238E27FC236}">
                    <a16:creationId xmlns="" xmlns:a16="http://schemas.microsoft.com/office/drawing/2014/main" id="{00000000-0008-0000-0000-000020040000}"/>
                  </a:ext>
                </a:extLst>
              </xdr:cNvPr>
              <xdr:cNvSpPr/>
            </xdr:nvSpPr>
            <xdr:spPr bwMode="auto">
              <a:xfrm>
                <a:off x="8" y="219"/>
                <a:ext cx="175" cy="82"/>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Drive Type</a:t>
                </a:r>
              </a:p>
            </xdr:txBody>
          </xdr:sp>
          <xdr:sp macro="" textlink="">
            <xdr:nvSpPr>
              <xdr:cNvPr id="328396" name="Option Button 7884" hidden="1">
                <a:extLst>
                  <a:ext uri="{63B3BB69-23CF-44E3-9099-C40C66FF867C}">
                    <a14:compatExt spid="_x0000_s328396"/>
                  </a:ext>
                  <a:ext uri="{FF2B5EF4-FFF2-40B4-BE49-F238E27FC236}">
                    <a16:creationId xmlns="" xmlns:a16="http://schemas.microsoft.com/office/drawing/2014/main" id="{00000000-0008-0000-0000-0000CC020500}"/>
                  </a:ext>
                </a:extLst>
              </xdr:cNvPr>
              <xdr:cNvSpPr/>
            </xdr:nvSpPr>
            <xdr:spPr bwMode="auto">
              <a:xfrm>
                <a:off x="15" y="276"/>
                <a:ext cx="99" cy="23"/>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Par/Tand Drive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0</xdr:colOff>
          <xdr:row>25</xdr:row>
          <xdr:rowOff>114300</xdr:rowOff>
        </xdr:from>
        <xdr:to>
          <xdr:col>27</xdr:col>
          <xdr:colOff>104775</xdr:colOff>
          <xdr:row>27</xdr:row>
          <xdr:rowOff>85725</xdr:rowOff>
        </xdr:to>
        <xdr:sp macro="" textlink="">
          <xdr:nvSpPr>
            <xdr:cNvPr id="1042" name="Check Box 18" hidden="1">
              <a:extLst>
                <a:ext uri="{63B3BB69-23CF-44E3-9099-C40C66FF867C}">
                  <a14:compatExt spid="_x0000_s1042"/>
                </a:ext>
                <a:ext uri="{FF2B5EF4-FFF2-40B4-BE49-F238E27FC236}">
                  <a16:creationId xmlns="" xmlns:a16="http://schemas.microsoft.com/office/drawing/2014/main" id="{00000000-0008-0000-0000-000012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 Thrust Force to this Segment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0</xdr:colOff>
          <xdr:row>9</xdr:row>
          <xdr:rowOff>114300</xdr:rowOff>
        </xdr:from>
        <xdr:to>
          <xdr:col>27</xdr:col>
          <xdr:colOff>104775</xdr:colOff>
          <xdr:row>11</xdr:row>
          <xdr:rowOff>85725</xdr:rowOff>
        </xdr:to>
        <xdr:sp macro="" textlink="">
          <xdr:nvSpPr>
            <xdr:cNvPr id="1039" name="Check Box 15" hidden="1">
              <a:extLst>
                <a:ext uri="{63B3BB69-23CF-44E3-9099-C40C66FF867C}">
                  <a14:compatExt spid="_x0000_s1039"/>
                </a:ext>
                <a:ext uri="{FF2B5EF4-FFF2-40B4-BE49-F238E27FC236}">
                  <a16:creationId xmlns="" xmlns:a16="http://schemas.microsoft.com/office/drawing/2014/main" id="{00000000-0008-0000-0000-00000F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 Thrust Force to this Segment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0</xdr:colOff>
          <xdr:row>17</xdr:row>
          <xdr:rowOff>76200</xdr:rowOff>
        </xdr:from>
        <xdr:to>
          <xdr:col>27</xdr:col>
          <xdr:colOff>104775</xdr:colOff>
          <xdr:row>19</xdr:row>
          <xdr:rowOff>28575</xdr:rowOff>
        </xdr:to>
        <xdr:sp macro="" textlink="">
          <xdr:nvSpPr>
            <xdr:cNvPr id="1040" name="Check Box 16" hidden="1">
              <a:extLst>
                <a:ext uri="{63B3BB69-23CF-44E3-9099-C40C66FF867C}">
                  <a14:compatExt spid="_x0000_s1040"/>
                </a:ext>
                <a:ext uri="{FF2B5EF4-FFF2-40B4-BE49-F238E27FC236}">
                  <a16:creationId xmlns="" xmlns:a16="http://schemas.microsoft.com/office/drawing/2014/main" id="{00000000-0008-0000-0000-000010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 Thrust Force to this Segment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8</xdr:col>
          <xdr:colOff>19050</xdr:colOff>
          <xdr:row>17</xdr:row>
          <xdr:rowOff>66675</xdr:rowOff>
        </xdr:from>
        <xdr:to>
          <xdr:col>11</xdr:col>
          <xdr:colOff>123825</xdr:colOff>
          <xdr:row>19</xdr:row>
          <xdr:rowOff>19050</xdr:rowOff>
        </xdr:to>
        <xdr:sp macro="" textlink="">
          <xdr:nvSpPr>
            <xdr:cNvPr id="1033" name="Check Box 9" hidden="1">
              <a:extLst>
                <a:ext uri="{63B3BB69-23CF-44E3-9099-C40C66FF867C}">
                  <a14:compatExt spid="_x0000_s1033"/>
                </a:ext>
                <a:ext uri="{FF2B5EF4-FFF2-40B4-BE49-F238E27FC236}">
                  <a16:creationId xmlns=""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Move Shaft</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47625</xdr:colOff>
          <xdr:row>16</xdr:row>
          <xdr:rowOff>95250</xdr:rowOff>
        </xdr:from>
        <xdr:to>
          <xdr:col>7</xdr:col>
          <xdr:colOff>85725</xdr:colOff>
          <xdr:row>21</xdr:row>
          <xdr:rowOff>85725</xdr:rowOff>
        </xdr:to>
        <xdr:grpSp>
          <xdr:nvGrpSpPr>
            <xdr:cNvPr id="1034" name="Group 10">
              <a:extLst>
                <a:ext uri="{FF2B5EF4-FFF2-40B4-BE49-F238E27FC236}">
                  <a16:creationId xmlns="" xmlns:a16="http://schemas.microsoft.com/office/drawing/2014/main" id="{00000000-0008-0000-0000-00000A040000}"/>
                </a:ext>
              </a:extLst>
            </xdr:cNvPr>
            <xdr:cNvGrpSpPr>
              <a:grpSpLocks/>
            </xdr:cNvGrpSpPr>
          </xdr:nvGrpSpPr>
          <xdr:grpSpPr bwMode="auto">
            <a:xfrm>
              <a:off x="123825" y="2200275"/>
              <a:ext cx="1685925" cy="628650"/>
              <a:chOff x="0" y="5242874"/>
              <a:chExt cx="41680896" cy="9109526"/>
            </a:xfrm>
          </xdr:grpSpPr>
          <xdr:sp macro="" textlink="">
            <xdr:nvSpPr>
              <xdr:cNvPr id="1035" name="Option Button 11" hidden="1">
                <a:extLst>
                  <a:ext uri="{63B3BB69-23CF-44E3-9099-C40C66FF867C}">
                    <a14:compatExt spid="_x0000_s1035"/>
                  </a:ext>
                  <a:ext uri="{FF2B5EF4-FFF2-40B4-BE49-F238E27FC236}">
                    <a16:creationId xmlns="" xmlns:a16="http://schemas.microsoft.com/office/drawing/2014/main" id="{00000000-0008-0000-0000-00000B040000}"/>
                  </a:ext>
                </a:extLst>
              </xdr:cNvPr>
              <xdr:cNvSpPr/>
            </xdr:nvSpPr>
            <xdr:spPr bwMode="auto">
              <a:xfrm>
                <a:off x="41680896" y="5242874"/>
                <a:ext cx="0" cy="3604512"/>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Parallel Drive</a:t>
                </a:r>
              </a:p>
            </xdr:txBody>
          </xdr:sp>
          <xdr:sp macro="" textlink="">
            <xdr:nvSpPr>
              <xdr:cNvPr id="1036" name="Option Button 12" hidden="1">
                <a:extLst>
                  <a:ext uri="{63B3BB69-23CF-44E3-9099-C40C66FF867C}">
                    <a14:compatExt spid="_x0000_s1036"/>
                  </a:ext>
                  <a:ext uri="{FF2B5EF4-FFF2-40B4-BE49-F238E27FC236}">
                    <a16:creationId xmlns="" xmlns:a16="http://schemas.microsoft.com/office/drawing/2014/main" id="{00000000-0008-0000-0000-00000C040000}"/>
                  </a:ext>
                </a:extLst>
              </xdr:cNvPr>
              <xdr:cNvSpPr/>
            </xdr:nvSpPr>
            <xdr:spPr bwMode="auto">
              <a:xfrm>
                <a:off x="41680896" y="1435240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Tandem Drive</a:t>
                </a:r>
              </a:p>
            </xdr:txBody>
          </xdr:sp>
          <xdr:sp macro="" textlink="">
            <xdr:nvSpPr>
              <xdr:cNvPr id="1037" name="Option Button 13" hidden="1">
                <a:extLst>
                  <a:ext uri="{63B3BB69-23CF-44E3-9099-C40C66FF867C}">
                    <a14:compatExt spid="_x0000_s1037"/>
                  </a:ext>
                  <a:ext uri="{FF2B5EF4-FFF2-40B4-BE49-F238E27FC236}">
                    <a16:creationId xmlns="" xmlns:a16="http://schemas.microsoft.com/office/drawing/2014/main" id="{00000000-0008-0000-0000-00000D040000}"/>
                  </a:ext>
                </a:extLst>
              </xdr:cNvPr>
              <xdr:cNvSpPr/>
            </xdr:nvSpPr>
            <xdr:spPr bwMode="auto">
              <a:xfrm>
                <a:off x="41680896" y="7602193"/>
                <a:ext cx="0" cy="4128768"/>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 Single Drive</a:t>
                </a:r>
              </a:p>
            </xdr:txBody>
          </xdr:sp>
          <xdr:sp macro="" textlink="">
            <xdr:nvSpPr>
              <xdr:cNvPr id="1038" name="Group Box 14" hidden="1">
                <a:extLst>
                  <a:ext uri="{63B3BB69-23CF-44E3-9099-C40C66FF867C}">
                    <a14:compatExt spid="_x0000_s1038"/>
                  </a:ext>
                  <a:ext uri="{FF2B5EF4-FFF2-40B4-BE49-F238E27FC236}">
                    <a16:creationId xmlns="" xmlns:a16="http://schemas.microsoft.com/office/drawing/2014/main" id="{00000000-0008-0000-0000-00000E040000}"/>
                  </a:ext>
                </a:extLst>
              </xdr:cNvPr>
              <xdr:cNvSpPr/>
            </xdr:nvSpPr>
            <xdr:spPr bwMode="auto">
              <a:xfrm>
                <a:off x="0" y="12648463"/>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txBody>
              <a:bodyPr vertOverflow="clip" wrap="none" lIns="27432" tIns="18288" rIns="0" bIns="18288" anchor="ctr" upright="1"/>
              <a:lstStyle/>
              <a:p>
                <a:pPr algn="l" rtl="0">
                  <a:defRPr sz="1000"/>
                </a:pPr>
                <a:r>
                  <a:rPr lang="en-US" sz="800" b="0" i="0" u="none" strike="noStrike" baseline="0">
                    <a:solidFill>
                      <a:srgbClr val="000000"/>
                    </a:solidFill>
                    <a:latin typeface="Tahoma"/>
                    <a:ea typeface="Tahoma"/>
                    <a:cs typeface="Tahoma"/>
                  </a:rPr>
                  <a:t>Drive Type</a:t>
                </a:r>
              </a:p>
            </xdr:txBody>
          </xdr:sp>
        </xdr:grpSp>
        <xdr:clientData/>
      </xdr:twoCellAnchor>
    </mc:Choice>
    <mc:Fallback/>
  </mc:AlternateContent>
  <mc:AlternateContent xmlns:mc="http://schemas.openxmlformats.org/markup-compatibility/2006">
    <mc:Choice xmlns:a14="http://schemas.microsoft.com/office/drawing/2010/main" Requires="a14">
      <xdr:twoCellAnchor>
        <xdr:from>
          <xdr:col>15</xdr:col>
          <xdr:colOff>0</xdr:colOff>
          <xdr:row>11</xdr:row>
          <xdr:rowOff>76200</xdr:rowOff>
        </xdr:from>
        <xdr:to>
          <xdr:col>21</xdr:col>
          <xdr:colOff>76200</xdr:colOff>
          <xdr:row>13</xdr:row>
          <xdr:rowOff>47625</xdr:rowOff>
        </xdr:to>
        <xdr:sp macro="" textlink="">
          <xdr:nvSpPr>
            <xdr:cNvPr id="1041" name="Check Box 17" hidden="1">
              <a:extLst>
                <a:ext uri="{63B3BB69-23CF-44E3-9099-C40C66FF867C}">
                  <a14:compatExt spid="_x0000_s1041"/>
                </a:ext>
                <a:ext uri="{FF2B5EF4-FFF2-40B4-BE49-F238E27FC236}">
                  <a16:creationId xmlns="" xmlns:a16="http://schemas.microsoft.com/office/drawing/2014/main" id="{00000000-0008-0000-0000-000011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Segment #2</a:t>
              </a:r>
            </a:p>
          </xdr:txBody>
        </xdr:sp>
        <xdr:clientData/>
      </xdr:twoCellAnchor>
    </mc:Choice>
    <mc:Fallback/>
  </mc:AlternateContent>
  <mc:AlternateContent xmlns:mc="http://schemas.openxmlformats.org/markup-compatibility/2006">
    <mc:Choice xmlns:a14="http://schemas.microsoft.com/office/drawing/2010/main" Requires="a14">
      <xdr:twoCellAnchor>
        <xdr:from>
          <xdr:col>15</xdr:col>
          <xdr:colOff>9525</xdr:colOff>
          <xdr:row>19</xdr:row>
          <xdr:rowOff>76200</xdr:rowOff>
        </xdr:from>
        <xdr:to>
          <xdr:col>21</xdr:col>
          <xdr:colOff>66675</xdr:colOff>
          <xdr:row>21</xdr:row>
          <xdr:rowOff>47625</xdr:rowOff>
        </xdr:to>
        <xdr:sp macro="" textlink="">
          <xdr:nvSpPr>
            <xdr:cNvPr id="1043" name="Check Box 19" hidden="1">
              <a:extLst>
                <a:ext uri="{63B3BB69-23CF-44E3-9099-C40C66FF867C}">
                  <a14:compatExt spid="_x0000_s1043"/>
                </a:ext>
                <a:ext uri="{FF2B5EF4-FFF2-40B4-BE49-F238E27FC236}">
                  <a16:creationId xmlns="" xmlns:a16="http://schemas.microsoft.com/office/drawing/2014/main" id="{00000000-0008-0000-0000-000013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Segment #3</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9</xdr:row>
          <xdr:rowOff>114300</xdr:rowOff>
        </xdr:from>
        <xdr:to>
          <xdr:col>43</xdr:col>
          <xdr:colOff>57150</xdr:colOff>
          <xdr:row>11</xdr:row>
          <xdr:rowOff>85725</xdr:rowOff>
        </xdr:to>
        <xdr:sp macro="" textlink="">
          <xdr:nvSpPr>
            <xdr:cNvPr id="1044" name="Check Box 20" hidden="1">
              <a:extLst>
                <a:ext uri="{63B3BB69-23CF-44E3-9099-C40C66FF867C}">
                  <a14:compatExt spid="_x0000_s1044"/>
                </a:ext>
                <a:ext uri="{FF2B5EF4-FFF2-40B4-BE49-F238E27FC236}">
                  <a16:creationId xmlns="" xmlns:a16="http://schemas.microsoft.com/office/drawing/2014/main" id="{00000000-0008-0000-0000-000014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 Thrust Force to this Segment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3</xdr:row>
          <xdr:rowOff>161925</xdr:rowOff>
        </xdr:from>
        <xdr:to>
          <xdr:col>37</xdr:col>
          <xdr:colOff>19050</xdr:colOff>
          <xdr:row>5</xdr:row>
          <xdr:rowOff>57150</xdr:rowOff>
        </xdr:to>
        <xdr:sp macro="" textlink="">
          <xdr:nvSpPr>
            <xdr:cNvPr id="1045" name="Check Box 21" hidden="1">
              <a:extLst>
                <a:ext uri="{63B3BB69-23CF-44E3-9099-C40C66FF867C}">
                  <a14:compatExt spid="_x0000_s1045"/>
                </a:ext>
                <a:ext uri="{FF2B5EF4-FFF2-40B4-BE49-F238E27FC236}">
                  <a16:creationId xmlns="" xmlns:a16="http://schemas.microsoft.com/office/drawing/2014/main" id="{00000000-0008-0000-0000-000015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Segment #4</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17</xdr:row>
          <xdr:rowOff>76200</xdr:rowOff>
        </xdr:from>
        <xdr:to>
          <xdr:col>43</xdr:col>
          <xdr:colOff>57150</xdr:colOff>
          <xdr:row>19</xdr:row>
          <xdr:rowOff>28575</xdr:rowOff>
        </xdr:to>
        <xdr:sp macro="" textlink="">
          <xdr:nvSpPr>
            <xdr:cNvPr id="1046" name="Check Box 22" hidden="1">
              <a:extLst>
                <a:ext uri="{63B3BB69-23CF-44E3-9099-C40C66FF867C}">
                  <a14:compatExt spid="_x0000_s1046"/>
                </a:ext>
                <a:ext uri="{FF2B5EF4-FFF2-40B4-BE49-F238E27FC236}">
                  <a16:creationId xmlns="" xmlns:a16="http://schemas.microsoft.com/office/drawing/2014/main" id="{00000000-0008-0000-0000-000016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 Thrust Force to this Segment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11</xdr:row>
          <xdr:rowOff>85725</xdr:rowOff>
        </xdr:from>
        <xdr:to>
          <xdr:col>37</xdr:col>
          <xdr:colOff>19050</xdr:colOff>
          <xdr:row>13</xdr:row>
          <xdr:rowOff>57150</xdr:rowOff>
        </xdr:to>
        <xdr:sp macro="" textlink="">
          <xdr:nvSpPr>
            <xdr:cNvPr id="1047" name="Check Box 23" hidden="1">
              <a:extLst>
                <a:ext uri="{63B3BB69-23CF-44E3-9099-C40C66FF867C}">
                  <a14:compatExt spid="_x0000_s1047"/>
                </a:ext>
                <a:ext uri="{FF2B5EF4-FFF2-40B4-BE49-F238E27FC236}">
                  <a16:creationId xmlns="" xmlns:a16="http://schemas.microsoft.com/office/drawing/2014/main" id="{00000000-0008-0000-0000-000017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Segment #5</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25</xdr:row>
          <xdr:rowOff>114300</xdr:rowOff>
        </xdr:from>
        <xdr:to>
          <xdr:col>43</xdr:col>
          <xdr:colOff>57150</xdr:colOff>
          <xdr:row>27</xdr:row>
          <xdr:rowOff>85725</xdr:rowOff>
        </xdr:to>
        <xdr:sp macro="" textlink="">
          <xdr:nvSpPr>
            <xdr:cNvPr id="1048" name="Check Box 24" hidden="1">
              <a:extLst>
                <a:ext uri="{63B3BB69-23CF-44E3-9099-C40C66FF867C}">
                  <a14:compatExt spid="_x0000_s1048"/>
                </a:ext>
                <a:ext uri="{FF2B5EF4-FFF2-40B4-BE49-F238E27FC236}">
                  <a16:creationId xmlns="" xmlns:a16="http://schemas.microsoft.com/office/drawing/2014/main" id="{00000000-0008-0000-0000-000018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 Thrust Force to this Segment</a:t>
              </a:r>
            </a:p>
          </xdr:txBody>
        </xdr:sp>
        <xdr:clientData/>
      </xdr:twoCellAnchor>
    </mc:Choice>
    <mc:Fallback/>
  </mc:AlternateContent>
  <mc:AlternateContent xmlns:mc="http://schemas.openxmlformats.org/markup-compatibility/2006">
    <mc:Choice xmlns:a14="http://schemas.microsoft.com/office/drawing/2010/main" Requires="a14">
      <xdr:twoCellAnchor>
        <xdr:from>
          <xdr:col>32</xdr:col>
          <xdr:colOff>0</xdr:colOff>
          <xdr:row>19</xdr:row>
          <xdr:rowOff>85725</xdr:rowOff>
        </xdr:from>
        <xdr:to>
          <xdr:col>37</xdr:col>
          <xdr:colOff>28575</xdr:colOff>
          <xdr:row>21</xdr:row>
          <xdr:rowOff>57150</xdr:rowOff>
        </xdr:to>
        <xdr:sp macro="" textlink="">
          <xdr:nvSpPr>
            <xdr:cNvPr id="1049" name="Check Box 25" hidden="1">
              <a:extLst>
                <a:ext uri="{63B3BB69-23CF-44E3-9099-C40C66FF867C}">
                  <a14:compatExt spid="_x0000_s1049"/>
                </a:ext>
                <a:ext uri="{FF2B5EF4-FFF2-40B4-BE49-F238E27FC236}">
                  <a16:creationId xmlns="" xmlns:a16="http://schemas.microsoft.com/office/drawing/2014/main" id="{00000000-0008-0000-0000-0000190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Segment #6</a:t>
              </a:r>
            </a:p>
          </xdr:txBody>
        </xdr:sp>
        <xdr:clientData/>
      </xdr:twoCellAnchor>
    </mc:Choice>
    <mc:Fallback/>
  </mc:AlternateContent>
  <mc:AlternateContent xmlns:mc="http://schemas.openxmlformats.org/markup-compatibility/2006">
    <mc:Choice xmlns:a14="http://schemas.microsoft.com/office/drawing/2010/main" Requires="a14">
      <xdr:twoCellAnchor>
        <xdr:from>
          <xdr:col>20</xdr:col>
          <xdr:colOff>171450</xdr:colOff>
          <xdr:row>2</xdr:row>
          <xdr:rowOff>161925</xdr:rowOff>
        </xdr:from>
        <xdr:to>
          <xdr:col>29</xdr:col>
          <xdr:colOff>0</xdr:colOff>
          <xdr:row>4</xdr:row>
          <xdr:rowOff>19050</xdr:rowOff>
        </xdr:to>
        <xdr:sp macro="" textlink="">
          <xdr:nvSpPr>
            <xdr:cNvPr id="13666" name="Check Box 5474" hidden="1">
              <a:extLst>
                <a:ext uri="{63B3BB69-23CF-44E3-9099-C40C66FF867C}">
                  <a14:compatExt spid="_x0000_s13666"/>
                </a:ext>
                <a:ext uri="{FF2B5EF4-FFF2-40B4-BE49-F238E27FC236}">
                  <a16:creationId xmlns="" xmlns:a16="http://schemas.microsoft.com/office/drawing/2014/main" id="{00000000-0008-0000-0000-00006235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S-Curve / Jerk Limitation</a:t>
              </a:r>
            </a:p>
          </xdr:txBody>
        </xdr:sp>
        <xdr:clientData/>
      </xdr:twoCellAnchor>
    </mc:Choice>
    <mc:Fallback/>
  </mc:AlternateContent>
  <mc:AlternateContent xmlns:mc="http://schemas.openxmlformats.org/markup-compatibility/2006">
    <mc:Choice xmlns:a14="http://schemas.microsoft.com/office/drawing/2010/main" Requires="a14">
      <xdr:twoCellAnchor>
        <xdr:from>
          <xdr:col>33</xdr:col>
          <xdr:colOff>85725</xdr:colOff>
          <xdr:row>2</xdr:row>
          <xdr:rowOff>161925</xdr:rowOff>
        </xdr:from>
        <xdr:to>
          <xdr:col>48</xdr:col>
          <xdr:colOff>142875</xdr:colOff>
          <xdr:row>3</xdr:row>
          <xdr:rowOff>190500</xdr:rowOff>
        </xdr:to>
        <xdr:sp macro="" textlink="">
          <xdr:nvSpPr>
            <xdr:cNvPr id="64104" name="Check Box 6760" hidden="1">
              <a:extLst>
                <a:ext uri="{63B3BB69-23CF-44E3-9099-C40C66FF867C}">
                  <a14:compatExt spid="_x0000_s64104"/>
                </a:ext>
                <a:ext uri="{FF2B5EF4-FFF2-40B4-BE49-F238E27FC236}">
                  <a16:creationId xmlns="" xmlns:a16="http://schemas.microsoft.com/office/drawing/2014/main" id="{00000000-0008-0000-0000-000068FA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Add Thrust Force only to Traverse.  Segment #1 only</a:t>
              </a:r>
            </a:p>
          </xdr:txBody>
        </xdr:sp>
        <xdr:clientData/>
      </xdr:twoCellAnchor>
    </mc:Choice>
    <mc:Fallback/>
  </mc:AlternateContent>
  <mc:AlternateContent xmlns:mc="http://schemas.openxmlformats.org/markup-compatibility/2006">
    <mc:Choice xmlns:a14="http://schemas.microsoft.com/office/drawing/2010/main" Requires="a14">
      <xdr:twoCellAnchor>
        <xdr:from>
          <xdr:col>41</xdr:col>
          <xdr:colOff>76200</xdr:colOff>
          <xdr:row>30</xdr:row>
          <xdr:rowOff>57150</xdr:rowOff>
        </xdr:from>
        <xdr:to>
          <xdr:col>44</xdr:col>
          <xdr:colOff>38100</xdr:colOff>
          <xdr:row>32</xdr:row>
          <xdr:rowOff>47625</xdr:rowOff>
        </xdr:to>
        <xdr:sp macro="" textlink="">
          <xdr:nvSpPr>
            <xdr:cNvPr id="327698" name="Check Box 7186" hidden="1">
              <a:extLst>
                <a:ext uri="{63B3BB69-23CF-44E3-9099-C40C66FF867C}">
                  <a14:compatExt spid="_x0000_s327698"/>
                </a:ext>
                <a:ext uri="{FF2B5EF4-FFF2-40B4-BE49-F238E27FC236}">
                  <a16:creationId xmlns="" xmlns:a16="http://schemas.microsoft.com/office/drawing/2014/main" id="{00000000-0008-0000-0000-00001200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76200</xdr:colOff>
          <xdr:row>31</xdr:row>
          <xdr:rowOff>57150</xdr:rowOff>
        </xdr:from>
        <xdr:to>
          <xdr:col>44</xdr:col>
          <xdr:colOff>38100</xdr:colOff>
          <xdr:row>33</xdr:row>
          <xdr:rowOff>47625</xdr:rowOff>
        </xdr:to>
        <xdr:sp macro="" textlink="">
          <xdr:nvSpPr>
            <xdr:cNvPr id="327699" name="Check Box 7187" hidden="1">
              <a:extLst>
                <a:ext uri="{63B3BB69-23CF-44E3-9099-C40C66FF867C}">
                  <a14:compatExt spid="_x0000_s327699"/>
                </a:ext>
                <a:ext uri="{FF2B5EF4-FFF2-40B4-BE49-F238E27FC236}">
                  <a16:creationId xmlns="" xmlns:a16="http://schemas.microsoft.com/office/drawing/2014/main" id="{00000000-0008-0000-0000-00001300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41</xdr:col>
          <xdr:colOff>76200</xdr:colOff>
          <xdr:row>32</xdr:row>
          <xdr:rowOff>57150</xdr:rowOff>
        </xdr:from>
        <xdr:to>
          <xdr:col>44</xdr:col>
          <xdr:colOff>38100</xdr:colOff>
          <xdr:row>34</xdr:row>
          <xdr:rowOff>47625</xdr:rowOff>
        </xdr:to>
        <xdr:sp macro="" textlink="">
          <xdr:nvSpPr>
            <xdr:cNvPr id="327700" name="Check Box 7188" hidden="1">
              <a:extLst>
                <a:ext uri="{63B3BB69-23CF-44E3-9099-C40C66FF867C}">
                  <a14:compatExt spid="_x0000_s327700"/>
                </a:ext>
                <a:ext uri="{FF2B5EF4-FFF2-40B4-BE49-F238E27FC236}">
                  <a16:creationId xmlns="" xmlns:a16="http://schemas.microsoft.com/office/drawing/2014/main" id="{00000000-0008-0000-0000-00001400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46</xdr:col>
          <xdr:colOff>76200</xdr:colOff>
          <xdr:row>30</xdr:row>
          <xdr:rowOff>47625</xdr:rowOff>
        </xdr:from>
        <xdr:to>
          <xdr:col>48</xdr:col>
          <xdr:colOff>114300</xdr:colOff>
          <xdr:row>32</xdr:row>
          <xdr:rowOff>38100</xdr:rowOff>
        </xdr:to>
        <xdr:sp macro="" textlink="">
          <xdr:nvSpPr>
            <xdr:cNvPr id="327753" name="Check Box 7241" hidden="1">
              <a:extLst>
                <a:ext uri="{63B3BB69-23CF-44E3-9099-C40C66FF867C}">
                  <a14:compatExt spid="_x0000_s327753"/>
                </a:ext>
                <a:ext uri="{FF2B5EF4-FFF2-40B4-BE49-F238E27FC236}">
                  <a16:creationId xmlns="" xmlns:a16="http://schemas.microsoft.com/office/drawing/2014/main" id="{00000000-0008-0000-0000-0000490005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Dwell</a:t>
              </a:r>
            </a:p>
          </xdr:txBody>
        </xdr:sp>
        <xdr:clientData/>
      </xdr:twoCellAnchor>
    </mc:Choice>
    <mc:Fallback/>
  </mc:AlternateContent>
  <xdr:twoCellAnchor editAs="oneCell">
    <xdr:from>
      <xdr:col>1</xdr:col>
      <xdr:colOff>19050</xdr:colOff>
      <xdr:row>0</xdr:row>
      <xdr:rowOff>28575</xdr:rowOff>
    </xdr:from>
    <xdr:to>
      <xdr:col>3</xdr:col>
      <xdr:colOff>22565</xdr:colOff>
      <xdr:row>2</xdr:row>
      <xdr:rowOff>180975</xdr:rowOff>
    </xdr:to>
    <xdr:pic>
      <xdr:nvPicPr>
        <xdr:cNvPr id="2" name="Picture 1">
          <a:extLst>
            <a:ext uri="{FF2B5EF4-FFF2-40B4-BE49-F238E27FC236}">
              <a16:creationId xmlns="" xmlns:a16="http://schemas.microsoft.com/office/drawing/2014/main" id="{00000000-0008-0000-0000-000002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95250" y="28575"/>
          <a:ext cx="1013165" cy="3714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61</xdr:col>
      <xdr:colOff>9525</xdr:colOff>
      <xdr:row>22</xdr:row>
      <xdr:rowOff>114300</xdr:rowOff>
    </xdr:from>
    <xdr:to>
      <xdr:col>71</xdr:col>
      <xdr:colOff>504825</xdr:colOff>
      <xdr:row>34</xdr:row>
      <xdr:rowOff>152400</xdr:rowOff>
    </xdr:to>
    <xdr:graphicFrame macro="">
      <xdr:nvGraphicFramePr>
        <xdr:cNvPr id="1683465" name="Chart 3">
          <a:extLst>
            <a:ext uri="{FF2B5EF4-FFF2-40B4-BE49-F238E27FC236}">
              <a16:creationId xmlns="" xmlns:a16="http://schemas.microsoft.com/office/drawing/2014/main" id="{00000000-0008-0000-0100-000009B01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61</xdr:col>
      <xdr:colOff>76200</xdr:colOff>
      <xdr:row>33</xdr:row>
      <xdr:rowOff>95250</xdr:rowOff>
    </xdr:from>
    <xdr:to>
      <xdr:col>72</xdr:col>
      <xdr:colOff>142875</xdr:colOff>
      <xdr:row>46</xdr:row>
      <xdr:rowOff>38100</xdr:rowOff>
    </xdr:to>
    <xdr:graphicFrame macro="">
      <xdr:nvGraphicFramePr>
        <xdr:cNvPr id="1683466" name="Chart 4">
          <a:extLst>
            <a:ext uri="{FF2B5EF4-FFF2-40B4-BE49-F238E27FC236}">
              <a16:creationId xmlns="" xmlns:a16="http://schemas.microsoft.com/office/drawing/2014/main" id="{00000000-0008-0000-0100-00000AB01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47625</xdr:colOff>
      <xdr:row>12</xdr:row>
      <xdr:rowOff>219075</xdr:rowOff>
    </xdr:from>
    <xdr:to>
      <xdr:col>4</xdr:col>
      <xdr:colOff>66675</xdr:colOff>
      <xdr:row>21</xdr:row>
      <xdr:rowOff>152400</xdr:rowOff>
    </xdr:to>
    <xdr:pic>
      <xdr:nvPicPr>
        <xdr:cNvPr id="1683467" name="Picture 6" descr="Logo">
          <a:extLst>
            <a:ext uri="{FF2B5EF4-FFF2-40B4-BE49-F238E27FC236}">
              <a16:creationId xmlns="" xmlns:a16="http://schemas.microsoft.com/office/drawing/2014/main" id="{00000000-0008-0000-0100-00000BB019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a:ext>
          </a:extLst>
        </a:blip>
        <a:srcRect/>
        <a:stretch>
          <a:fillRect/>
        </a:stretch>
      </xdr:blipFill>
      <xdr:spPr bwMode="auto">
        <a:xfrm>
          <a:off x="47625" y="2409825"/>
          <a:ext cx="590550" cy="1600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61</xdr:col>
      <xdr:colOff>0</xdr:colOff>
      <xdr:row>14</xdr:row>
      <xdr:rowOff>0</xdr:rowOff>
    </xdr:from>
    <xdr:to>
      <xdr:col>66</xdr:col>
      <xdr:colOff>0</xdr:colOff>
      <xdr:row>23</xdr:row>
      <xdr:rowOff>0</xdr:rowOff>
    </xdr:to>
    <xdr:sp macro="" textlink="">
      <xdr:nvSpPr>
        <xdr:cNvPr id="1683468" name="Rectangle 319">
          <a:extLst>
            <a:ext uri="{FF2B5EF4-FFF2-40B4-BE49-F238E27FC236}">
              <a16:creationId xmlns="" xmlns:a16="http://schemas.microsoft.com/office/drawing/2014/main" id="{00000000-0008-0000-0100-00000CB01900}"/>
            </a:ext>
          </a:extLst>
        </xdr:cNvPr>
        <xdr:cNvSpPr>
          <a:spLocks noChangeArrowheads="1"/>
        </xdr:cNvSpPr>
      </xdr:nvSpPr>
      <xdr:spPr bwMode="auto">
        <a:xfrm>
          <a:off x="8191500" y="2543175"/>
          <a:ext cx="3771900" cy="16764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61</xdr:col>
      <xdr:colOff>0</xdr:colOff>
      <xdr:row>3</xdr:row>
      <xdr:rowOff>0</xdr:rowOff>
    </xdr:from>
    <xdr:to>
      <xdr:col>66</xdr:col>
      <xdr:colOff>0</xdr:colOff>
      <xdr:row>13</xdr:row>
      <xdr:rowOff>0</xdr:rowOff>
    </xdr:to>
    <xdr:sp macro="" textlink="">
      <xdr:nvSpPr>
        <xdr:cNvPr id="1683469" name="Rectangle 320">
          <a:extLst>
            <a:ext uri="{FF2B5EF4-FFF2-40B4-BE49-F238E27FC236}">
              <a16:creationId xmlns="" xmlns:a16="http://schemas.microsoft.com/office/drawing/2014/main" id="{00000000-0008-0000-0100-00000DB01900}"/>
            </a:ext>
          </a:extLst>
        </xdr:cNvPr>
        <xdr:cNvSpPr>
          <a:spLocks noChangeArrowheads="1"/>
        </xdr:cNvSpPr>
      </xdr:nvSpPr>
      <xdr:spPr bwMode="auto">
        <a:xfrm>
          <a:off x="8191500" y="504825"/>
          <a:ext cx="3771900" cy="1905000"/>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67</xdr:col>
      <xdr:colOff>0</xdr:colOff>
      <xdr:row>3</xdr:row>
      <xdr:rowOff>0</xdr:rowOff>
    </xdr:from>
    <xdr:to>
      <xdr:col>72</xdr:col>
      <xdr:colOff>0</xdr:colOff>
      <xdr:row>18</xdr:row>
      <xdr:rowOff>0</xdr:rowOff>
    </xdr:to>
    <xdr:sp macro="" textlink="">
      <xdr:nvSpPr>
        <xdr:cNvPr id="1683470" name="Rectangle 321">
          <a:extLst>
            <a:ext uri="{FF2B5EF4-FFF2-40B4-BE49-F238E27FC236}">
              <a16:creationId xmlns="" xmlns:a16="http://schemas.microsoft.com/office/drawing/2014/main" id="{00000000-0008-0000-0100-00000EB01900}"/>
            </a:ext>
          </a:extLst>
        </xdr:cNvPr>
        <xdr:cNvSpPr>
          <a:spLocks noChangeArrowheads="1"/>
        </xdr:cNvSpPr>
      </xdr:nvSpPr>
      <xdr:spPr bwMode="auto">
        <a:xfrm>
          <a:off x="12144375" y="504825"/>
          <a:ext cx="4105275" cy="27336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0</xdr:col>
      <xdr:colOff>9525</xdr:colOff>
      <xdr:row>46</xdr:row>
      <xdr:rowOff>238125</xdr:rowOff>
    </xdr:from>
    <xdr:to>
      <xdr:col>27</xdr:col>
      <xdr:colOff>57150</xdr:colOff>
      <xdr:row>60</xdr:row>
      <xdr:rowOff>161925</xdr:rowOff>
    </xdr:to>
    <xdr:graphicFrame macro="">
      <xdr:nvGraphicFramePr>
        <xdr:cNvPr id="1683471" name="Chart 9">
          <a:extLst>
            <a:ext uri="{FF2B5EF4-FFF2-40B4-BE49-F238E27FC236}">
              <a16:creationId xmlns="" xmlns:a16="http://schemas.microsoft.com/office/drawing/2014/main" id="{00000000-0008-0000-0100-00000FB01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27</xdr:col>
      <xdr:colOff>57150</xdr:colOff>
      <xdr:row>46</xdr:row>
      <xdr:rowOff>238125</xdr:rowOff>
    </xdr:from>
    <xdr:to>
      <xdr:col>54</xdr:col>
      <xdr:colOff>95250</xdr:colOff>
      <xdr:row>60</xdr:row>
      <xdr:rowOff>161925</xdr:rowOff>
    </xdr:to>
    <xdr:graphicFrame macro="">
      <xdr:nvGraphicFramePr>
        <xdr:cNvPr id="1683472" name="Chart 10">
          <a:extLst>
            <a:ext uri="{FF2B5EF4-FFF2-40B4-BE49-F238E27FC236}">
              <a16:creationId xmlns="" xmlns:a16="http://schemas.microsoft.com/office/drawing/2014/main" id="{00000000-0008-0000-0100-000010B019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mc:AlternateContent xmlns:mc="http://schemas.openxmlformats.org/markup-compatibility/2006">
    <mc:Choice xmlns:a14="http://schemas.microsoft.com/office/drawing/2010/main" Requires="a14">
      <xdr:twoCellAnchor editAs="oneCell">
        <xdr:from>
          <xdr:col>5</xdr:col>
          <xdr:colOff>123825</xdr:colOff>
          <xdr:row>0</xdr:row>
          <xdr:rowOff>0</xdr:rowOff>
        </xdr:from>
        <xdr:to>
          <xdr:col>55</xdr:col>
          <xdr:colOff>38100</xdr:colOff>
          <xdr:row>27</xdr:row>
          <xdr:rowOff>19050</xdr:rowOff>
        </xdr:to>
        <xdr:pic>
          <xdr:nvPicPr>
            <xdr:cNvPr id="261579" name="Picture 1483" descr="S040">
              <a:extLst>
                <a:ext uri="{FF2B5EF4-FFF2-40B4-BE49-F238E27FC236}">
                  <a16:creationId xmlns="" xmlns:a16="http://schemas.microsoft.com/office/drawing/2014/main" id="{00000000-0008-0000-0100-0000CBFD0300}"/>
                </a:ext>
              </a:extLst>
            </xdr:cNvPr>
            <xdr:cNvPicPr>
              <a:picLocks noChangeArrowheads="1"/>
              <a:extLst>
                <a:ext uri="{84589F7E-364E-4C9E-8A38-B11213B215E9}">
                  <a14:cameraTool cellRange="picture" spid="_x0000_s1683669"/>
                </a:ext>
              </a:extLst>
            </xdr:cNvPicPr>
          </xdr:nvPicPr>
          <xdr:blipFill>
            <a:blip xmlns:r="http://schemas.openxmlformats.org/officeDocument/2006/relationships" r:embed="rId6">
              <a:clrChange>
                <a:clrFrom>
                  <a:srgbClr val="FFFFFF"/>
                </a:clrFrom>
                <a:clrTo>
                  <a:srgbClr val="FFFFFF">
                    <a:alpha val="0"/>
                  </a:srgbClr>
                </a:clrTo>
              </a:clrChange>
            </a:blip>
            <a:srcRect/>
            <a:stretch>
              <a:fillRect/>
            </a:stretch>
          </xdr:blipFill>
          <xdr:spPr bwMode="auto">
            <a:xfrm>
              <a:off x="838200" y="0"/>
              <a:ext cx="6677025" cy="50863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44</xdr:col>
      <xdr:colOff>9525</xdr:colOff>
      <xdr:row>20</xdr:row>
      <xdr:rowOff>66675</xdr:rowOff>
    </xdr:from>
    <xdr:to>
      <xdr:col>54</xdr:col>
      <xdr:colOff>76200</xdr:colOff>
      <xdr:row>25</xdr:row>
      <xdr:rowOff>0</xdr:rowOff>
    </xdr:to>
    <xdr:pic>
      <xdr:nvPicPr>
        <xdr:cNvPr id="1683473" name="Picture 1478" descr="Tolerance">
          <a:extLst>
            <a:ext uri="{FF2B5EF4-FFF2-40B4-BE49-F238E27FC236}">
              <a16:creationId xmlns="" xmlns:a16="http://schemas.microsoft.com/office/drawing/2014/main" id="{00000000-0008-0000-0100-000011B019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a:ext>
          </a:extLst>
        </a:blip>
        <a:srcRect/>
        <a:stretch>
          <a:fillRect/>
        </a:stretch>
      </xdr:blipFill>
      <xdr:spPr bwMode="auto">
        <a:xfrm>
          <a:off x="6096000" y="3695700"/>
          <a:ext cx="13335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5676900</xdr:colOff>
      <xdr:row>2</xdr:row>
      <xdr:rowOff>19050</xdr:rowOff>
    </xdr:from>
    <xdr:to>
      <xdr:col>6</xdr:col>
      <xdr:colOff>361950</xdr:colOff>
      <xdr:row>2</xdr:row>
      <xdr:rowOff>3295650</xdr:rowOff>
    </xdr:to>
    <xdr:pic>
      <xdr:nvPicPr>
        <xdr:cNvPr id="1688632" name="Picture 1080" descr="scr100">
          <a:extLst>
            <a:ext uri="{FF2B5EF4-FFF2-40B4-BE49-F238E27FC236}">
              <a16:creationId xmlns="" xmlns:a16="http://schemas.microsoft.com/office/drawing/2014/main" id="{00000000-0008-0000-0200-000038C41900}"/>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t="10323" b="10323"/>
        <a:stretch>
          <a:fillRect/>
        </a:stretch>
      </xdr:blipFill>
      <xdr:spPr bwMode="auto">
        <a:xfrm>
          <a:off x="31737300" y="8896350"/>
          <a:ext cx="7715250" cy="3276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590550</xdr:colOff>
      <xdr:row>0</xdr:row>
      <xdr:rowOff>228600</xdr:rowOff>
    </xdr:from>
    <xdr:to>
      <xdr:col>1</xdr:col>
      <xdr:colOff>5981700</xdr:colOff>
      <xdr:row>0</xdr:row>
      <xdr:rowOff>3200400</xdr:rowOff>
    </xdr:to>
    <xdr:pic>
      <xdr:nvPicPr>
        <xdr:cNvPr id="1688604" name="Picture 1052" descr="S0080C-SMA-008">
          <a:extLst>
            <a:ext uri="{FF2B5EF4-FFF2-40B4-BE49-F238E27FC236}">
              <a16:creationId xmlns="" xmlns:a16="http://schemas.microsoft.com/office/drawing/2014/main" id="{00000000-0008-0000-0200-00001CC41900}"/>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7105650" y="228600"/>
          <a:ext cx="5391150" cy="2971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0</xdr:row>
      <xdr:rowOff>247650</xdr:rowOff>
    </xdr:from>
    <xdr:to>
      <xdr:col>3</xdr:col>
      <xdr:colOff>0</xdr:colOff>
      <xdr:row>0</xdr:row>
      <xdr:rowOff>3181350</xdr:rowOff>
    </xdr:to>
    <xdr:pic>
      <xdr:nvPicPr>
        <xdr:cNvPr id="1688606" name="Picture 1054" descr="S0200C-SMA-004">
          <a:extLst>
            <a:ext uri="{FF2B5EF4-FFF2-40B4-BE49-F238E27FC236}">
              <a16:creationId xmlns="" xmlns:a16="http://schemas.microsoft.com/office/drawing/2014/main" id="{00000000-0008-0000-0200-00001EC41900}"/>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13030200" y="247650"/>
          <a:ext cx="6515100" cy="29337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1</xdr:row>
      <xdr:rowOff>228600</xdr:rowOff>
    </xdr:from>
    <xdr:to>
      <xdr:col>2</xdr:col>
      <xdr:colOff>5876925</xdr:colOff>
      <xdr:row>1</xdr:row>
      <xdr:rowOff>3038475</xdr:rowOff>
    </xdr:to>
    <xdr:pic>
      <xdr:nvPicPr>
        <xdr:cNvPr id="1688609" name="Picture 1057" descr="S0250C-SMA-004">
          <a:extLst>
            <a:ext uri="{FF2B5EF4-FFF2-40B4-BE49-F238E27FC236}">
              <a16:creationId xmlns="" xmlns:a16="http://schemas.microsoft.com/office/drawing/2014/main" id="{00000000-0008-0000-0200-000021C41900}"/>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13030200" y="4667250"/>
          <a:ext cx="5876925" cy="2809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476250</xdr:colOff>
      <xdr:row>2</xdr:row>
      <xdr:rowOff>247650</xdr:rowOff>
    </xdr:from>
    <xdr:to>
      <xdr:col>2</xdr:col>
      <xdr:colOff>5400675</xdr:colOff>
      <xdr:row>2</xdr:row>
      <xdr:rowOff>2590800</xdr:rowOff>
    </xdr:to>
    <xdr:pic>
      <xdr:nvPicPr>
        <xdr:cNvPr id="1688610" name="Picture 1058" descr="S0320C-SMA-005">
          <a:extLst>
            <a:ext uri="{FF2B5EF4-FFF2-40B4-BE49-F238E27FC236}">
              <a16:creationId xmlns="" xmlns:a16="http://schemas.microsoft.com/office/drawing/2014/main" id="{00000000-0008-0000-0200-000022C41900}"/>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13506450" y="9124950"/>
          <a:ext cx="4924425" cy="23431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428625</xdr:colOff>
      <xdr:row>3</xdr:row>
      <xdr:rowOff>228600</xdr:rowOff>
    </xdr:from>
    <xdr:to>
      <xdr:col>2</xdr:col>
      <xdr:colOff>5553075</xdr:colOff>
      <xdr:row>3</xdr:row>
      <xdr:rowOff>2657475</xdr:rowOff>
    </xdr:to>
    <xdr:pic>
      <xdr:nvPicPr>
        <xdr:cNvPr id="1688611" name="Picture 1059" descr="S0350C-SMA-006">
          <a:extLst>
            <a:ext uri="{FF2B5EF4-FFF2-40B4-BE49-F238E27FC236}">
              <a16:creationId xmlns="" xmlns:a16="http://schemas.microsoft.com/office/drawing/2014/main" id="{00000000-0008-0000-0200-000023C41900}"/>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13458825" y="13544550"/>
          <a:ext cx="5124450" cy="2428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285750</xdr:colOff>
      <xdr:row>2</xdr:row>
      <xdr:rowOff>247650</xdr:rowOff>
    </xdr:from>
    <xdr:to>
      <xdr:col>1</xdr:col>
      <xdr:colOff>5686425</xdr:colOff>
      <xdr:row>2</xdr:row>
      <xdr:rowOff>2647950</xdr:rowOff>
    </xdr:to>
    <xdr:pic>
      <xdr:nvPicPr>
        <xdr:cNvPr id="1688612" name="Picture 1060" descr="S0120C-SMA-004">
          <a:extLst>
            <a:ext uri="{FF2B5EF4-FFF2-40B4-BE49-F238E27FC236}">
              <a16:creationId xmlns="" xmlns:a16="http://schemas.microsoft.com/office/drawing/2014/main" id="{00000000-0008-0000-0200-000024C41900}"/>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6800850" y="9124950"/>
          <a:ext cx="5400675" cy="2400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590550</xdr:colOff>
      <xdr:row>3</xdr:row>
      <xdr:rowOff>152400</xdr:rowOff>
    </xdr:from>
    <xdr:to>
      <xdr:col>1</xdr:col>
      <xdr:colOff>6362700</xdr:colOff>
      <xdr:row>3</xdr:row>
      <xdr:rowOff>2847975</xdr:rowOff>
    </xdr:to>
    <xdr:pic>
      <xdr:nvPicPr>
        <xdr:cNvPr id="1688613" name="Picture 1061" descr="S0160C-SMA-004">
          <a:extLst>
            <a:ext uri="{FF2B5EF4-FFF2-40B4-BE49-F238E27FC236}">
              <a16:creationId xmlns="" xmlns:a16="http://schemas.microsoft.com/office/drawing/2014/main" id="{00000000-0008-0000-0200-000025C41900}"/>
            </a:ext>
          </a:extLst>
        </xdr:cNvPr>
        <xdr:cNvPicPr>
          <a:picLocks noChangeAspect="1" noChangeArrowheads="1"/>
        </xdr:cNvPicPr>
      </xdr:nvPicPr>
      <xdr:blipFill>
        <a:blip xmlns:r="http://schemas.openxmlformats.org/officeDocument/2006/relationships" r:embed="rId8" cstate="email">
          <a:extLst>
            <a:ext uri="{28A0092B-C50C-407E-A947-70E740481C1C}">
              <a14:useLocalDpi xmlns:a14="http://schemas.microsoft.com/office/drawing/2010/main"/>
            </a:ext>
          </a:extLst>
        </a:blip>
        <a:srcRect/>
        <a:stretch>
          <a:fillRect/>
        </a:stretch>
      </xdr:blipFill>
      <xdr:spPr bwMode="auto">
        <a:xfrm>
          <a:off x="7105650" y="13468350"/>
          <a:ext cx="5772150" cy="269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400050</xdr:colOff>
      <xdr:row>3</xdr:row>
      <xdr:rowOff>228600</xdr:rowOff>
    </xdr:from>
    <xdr:to>
      <xdr:col>0</xdr:col>
      <xdr:colOff>6124575</xdr:colOff>
      <xdr:row>3</xdr:row>
      <xdr:rowOff>2971800</xdr:rowOff>
    </xdr:to>
    <xdr:pic>
      <xdr:nvPicPr>
        <xdr:cNvPr id="1688614" name="Picture 1062" descr="S0427C-SMA-004">
          <a:extLst>
            <a:ext uri="{FF2B5EF4-FFF2-40B4-BE49-F238E27FC236}">
              <a16:creationId xmlns="" xmlns:a16="http://schemas.microsoft.com/office/drawing/2014/main" id="{00000000-0008-0000-0200-000026C41900}"/>
            </a:ext>
          </a:extLst>
        </xdr:cNvPr>
        <xdr:cNvPicPr>
          <a:picLocks noChangeAspect="1" noChangeArrowheads="1"/>
        </xdr:cNvPicPr>
      </xdr:nvPicPr>
      <xdr:blipFill>
        <a:blip xmlns:r="http://schemas.openxmlformats.org/officeDocument/2006/relationships" r:embed="rId9" cstate="email">
          <a:extLst>
            <a:ext uri="{28A0092B-C50C-407E-A947-70E740481C1C}">
              <a14:useLocalDpi xmlns:a14="http://schemas.microsoft.com/office/drawing/2010/main"/>
            </a:ext>
          </a:extLst>
        </a:blip>
        <a:srcRect/>
        <a:stretch>
          <a:fillRect/>
        </a:stretch>
      </xdr:blipFill>
      <xdr:spPr bwMode="auto">
        <a:xfrm>
          <a:off x="400050" y="13544550"/>
          <a:ext cx="5724525" cy="2743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390525</xdr:colOff>
      <xdr:row>2</xdr:row>
      <xdr:rowOff>247650</xdr:rowOff>
    </xdr:from>
    <xdr:to>
      <xdr:col>0</xdr:col>
      <xdr:colOff>6038850</xdr:colOff>
      <xdr:row>2</xdr:row>
      <xdr:rowOff>2943225</xdr:rowOff>
    </xdr:to>
    <xdr:pic>
      <xdr:nvPicPr>
        <xdr:cNvPr id="1688615" name="Picture 1063" descr="S0435C-SMA-004">
          <a:extLst>
            <a:ext uri="{FF2B5EF4-FFF2-40B4-BE49-F238E27FC236}">
              <a16:creationId xmlns="" xmlns:a16="http://schemas.microsoft.com/office/drawing/2014/main" id="{00000000-0008-0000-0200-000027C41900}"/>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a:ext>
          </a:extLst>
        </a:blip>
        <a:srcRect/>
        <a:stretch>
          <a:fillRect/>
        </a:stretch>
      </xdr:blipFill>
      <xdr:spPr bwMode="auto">
        <a:xfrm>
          <a:off x="390525" y="9124950"/>
          <a:ext cx="5648325" cy="269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0</xdr:row>
      <xdr:rowOff>66675</xdr:rowOff>
    </xdr:from>
    <xdr:to>
      <xdr:col>0</xdr:col>
      <xdr:colOff>6477000</xdr:colOff>
      <xdr:row>0</xdr:row>
      <xdr:rowOff>4010025</xdr:rowOff>
    </xdr:to>
    <xdr:pic>
      <xdr:nvPicPr>
        <xdr:cNvPr id="1688617" name="Picture 1065" descr="S0605C-SMY-001">
          <a:extLst>
            <a:ext uri="{FF2B5EF4-FFF2-40B4-BE49-F238E27FC236}">
              <a16:creationId xmlns="" xmlns:a16="http://schemas.microsoft.com/office/drawing/2014/main" id="{00000000-0008-0000-0200-000029C41900}"/>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a:ext>
          </a:extLst>
        </a:blip>
        <a:srcRect t="38490" r="19479"/>
        <a:stretch>
          <a:fillRect/>
        </a:stretch>
      </xdr:blipFill>
      <xdr:spPr bwMode="auto">
        <a:xfrm>
          <a:off x="0" y="66675"/>
          <a:ext cx="6477000" cy="394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38100</xdr:colOff>
      <xdr:row>1</xdr:row>
      <xdr:rowOff>257175</xdr:rowOff>
    </xdr:from>
    <xdr:to>
      <xdr:col>0</xdr:col>
      <xdr:colOff>6038850</xdr:colOff>
      <xdr:row>1</xdr:row>
      <xdr:rowOff>3943350</xdr:rowOff>
    </xdr:to>
    <xdr:pic>
      <xdr:nvPicPr>
        <xdr:cNvPr id="1688618" name="Picture 1066" descr="S0500C-SMA-004">
          <a:extLst>
            <a:ext uri="{FF2B5EF4-FFF2-40B4-BE49-F238E27FC236}">
              <a16:creationId xmlns="" xmlns:a16="http://schemas.microsoft.com/office/drawing/2014/main" id="{00000000-0008-0000-0200-00002AC41900}"/>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8100" y="4695825"/>
          <a:ext cx="6000750" cy="3686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6134100</xdr:colOff>
      <xdr:row>3</xdr:row>
      <xdr:rowOff>276225</xdr:rowOff>
    </xdr:from>
    <xdr:to>
      <xdr:col>3</xdr:col>
      <xdr:colOff>4229100</xdr:colOff>
      <xdr:row>3</xdr:row>
      <xdr:rowOff>3105150</xdr:rowOff>
    </xdr:to>
    <xdr:pic>
      <xdr:nvPicPr>
        <xdr:cNvPr id="1688623" name="Picture 1071" descr="L0250TS-SMY-001 L250TS-600st">
          <a:extLst>
            <a:ext uri="{FF2B5EF4-FFF2-40B4-BE49-F238E27FC236}">
              <a16:creationId xmlns="" xmlns:a16="http://schemas.microsoft.com/office/drawing/2014/main" id="{00000000-0008-0000-0200-00002FC41900}"/>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19164300" y="13592175"/>
          <a:ext cx="4610100" cy="28289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390525</xdr:colOff>
      <xdr:row>1</xdr:row>
      <xdr:rowOff>247650</xdr:rowOff>
    </xdr:from>
    <xdr:to>
      <xdr:col>2</xdr:col>
      <xdr:colOff>38100</xdr:colOff>
      <xdr:row>1</xdr:row>
      <xdr:rowOff>3857625</xdr:rowOff>
    </xdr:to>
    <xdr:pic>
      <xdr:nvPicPr>
        <xdr:cNvPr id="1688624" name="Picture 1072" descr="S0040C-SMA-004">
          <a:extLst>
            <a:ext uri="{FF2B5EF4-FFF2-40B4-BE49-F238E27FC236}">
              <a16:creationId xmlns="" xmlns:a16="http://schemas.microsoft.com/office/drawing/2014/main" id="{00000000-0008-0000-0200-000030C41900}"/>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6905625" y="4686300"/>
          <a:ext cx="6162675" cy="3609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6257925</xdr:colOff>
      <xdr:row>0</xdr:row>
      <xdr:rowOff>152400</xdr:rowOff>
    </xdr:from>
    <xdr:to>
      <xdr:col>6</xdr:col>
      <xdr:colOff>247650</xdr:colOff>
      <xdr:row>0</xdr:row>
      <xdr:rowOff>3562350</xdr:rowOff>
    </xdr:to>
    <xdr:pic>
      <xdr:nvPicPr>
        <xdr:cNvPr id="1688627" name="Picture 1075" descr="scr50">
          <a:extLst>
            <a:ext uri="{FF2B5EF4-FFF2-40B4-BE49-F238E27FC236}">
              <a16:creationId xmlns="" xmlns:a16="http://schemas.microsoft.com/office/drawing/2014/main" id="{00000000-0008-0000-0200-000033C41900}"/>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a:ext>
          </a:extLst>
        </a:blip>
        <a:srcRect/>
        <a:stretch>
          <a:fillRect/>
        </a:stretch>
      </xdr:blipFill>
      <xdr:spPr bwMode="auto">
        <a:xfrm>
          <a:off x="32318325" y="152400"/>
          <a:ext cx="7019925" cy="3409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5829300</xdr:colOff>
      <xdr:row>1</xdr:row>
      <xdr:rowOff>19050</xdr:rowOff>
    </xdr:from>
    <xdr:to>
      <xdr:col>7</xdr:col>
      <xdr:colOff>47625</xdr:colOff>
      <xdr:row>1</xdr:row>
      <xdr:rowOff>3371850</xdr:rowOff>
    </xdr:to>
    <xdr:pic>
      <xdr:nvPicPr>
        <xdr:cNvPr id="1688628" name="Picture 1076" descr="scr75">
          <a:extLst>
            <a:ext uri="{FF2B5EF4-FFF2-40B4-BE49-F238E27FC236}">
              <a16:creationId xmlns="" xmlns:a16="http://schemas.microsoft.com/office/drawing/2014/main" id="{00000000-0008-0000-0200-000034C4190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a:ext>
          </a:extLst>
        </a:blip>
        <a:srcRect t="10359" b="10359"/>
        <a:stretch>
          <a:fillRect/>
        </a:stretch>
      </xdr:blipFill>
      <xdr:spPr bwMode="auto">
        <a:xfrm>
          <a:off x="31889700" y="4457700"/>
          <a:ext cx="7858125" cy="33528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5438775</xdr:colOff>
      <xdr:row>0</xdr:row>
      <xdr:rowOff>0</xdr:rowOff>
    </xdr:from>
    <xdr:to>
      <xdr:col>4</xdr:col>
      <xdr:colOff>6191250</xdr:colOff>
      <xdr:row>0</xdr:row>
      <xdr:rowOff>3838575</xdr:rowOff>
    </xdr:to>
    <xdr:pic>
      <xdr:nvPicPr>
        <xdr:cNvPr id="1688629" name="Picture 1077" descr="slp25">
          <a:extLst>
            <a:ext uri="{FF2B5EF4-FFF2-40B4-BE49-F238E27FC236}">
              <a16:creationId xmlns="" xmlns:a16="http://schemas.microsoft.com/office/drawing/2014/main" id="{00000000-0008-0000-0200-000035C41900}"/>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a:ext>
          </a:extLst>
        </a:blip>
        <a:srcRect r="9729" b="2823"/>
        <a:stretch>
          <a:fillRect/>
        </a:stretch>
      </xdr:blipFill>
      <xdr:spPr bwMode="auto">
        <a:xfrm>
          <a:off x="24984075" y="0"/>
          <a:ext cx="7267575" cy="3838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5648325</xdr:colOff>
      <xdr:row>1</xdr:row>
      <xdr:rowOff>47625</xdr:rowOff>
    </xdr:from>
    <xdr:to>
      <xdr:col>4</xdr:col>
      <xdr:colOff>6315075</xdr:colOff>
      <xdr:row>1</xdr:row>
      <xdr:rowOff>3857625</xdr:rowOff>
    </xdr:to>
    <xdr:pic>
      <xdr:nvPicPr>
        <xdr:cNvPr id="1688630" name="Picture 1078" descr="slp15">
          <a:extLst>
            <a:ext uri="{FF2B5EF4-FFF2-40B4-BE49-F238E27FC236}">
              <a16:creationId xmlns="" xmlns:a16="http://schemas.microsoft.com/office/drawing/2014/main" id="{00000000-0008-0000-0200-000036C41900}"/>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a:ext>
          </a:extLst>
        </a:blip>
        <a:srcRect r="8421"/>
        <a:stretch>
          <a:fillRect/>
        </a:stretch>
      </xdr:blipFill>
      <xdr:spPr bwMode="auto">
        <a:xfrm>
          <a:off x="25193625" y="4486275"/>
          <a:ext cx="7181850" cy="3810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5476875</xdr:colOff>
      <xdr:row>2</xdr:row>
      <xdr:rowOff>0</xdr:rowOff>
    </xdr:from>
    <xdr:to>
      <xdr:col>4</xdr:col>
      <xdr:colOff>6457950</xdr:colOff>
      <xdr:row>2</xdr:row>
      <xdr:rowOff>4067175</xdr:rowOff>
    </xdr:to>
    <xdr:pic>
      <xdr:nvPicPr>
        <xdr:cNvPr id="1688631" name="Picture 1079" descr="slp35">
          <a:extLst>
            <a:ext uri="{FF2B5EF4-FFF2-40B4-BE49-F238E27FC236}">
              <a16:creationId xmlns="" xmlns:a16="http://schemas.microsoft.com/office/drawing/2014/main" id="{00000000-0008-0000-0200-000037C41900}"/>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a:ext>
          </a:extLst>
        </a:blip>
        <a:srcRect r="8340"/>
        <a:stretch>
          <a:fillRect/>
        </a:stretch>
      </xdr:blipFill>
      <xdr:spPr bwMode="auto">
        <a:xfrm>
          <a:off x="25022175" y="8877300"/>
          <a:ext cx="7496175" cy="406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5800725</xdr:colOff>
      <xdr:row>2</xdr:row>
      <xdr:rowOff>4029075</xdr:rowOff>
    </xdr:from>
    <xdr:to>
      <xdr:col>4</xdr:col>
      <xdr:colOff>6343650</xdr:colOff>
      <xdr:row>3</xdr:row>
      <xdr:rowOff>3686175</xdr:rowOff>
    </xdr:to>
    <xdr:pic>
      <xdr:nvPicPr>
        <xdr:cNvPr id="1688633" name="Picture 1081" descr="scr150">
          <a:extLst>
            <a:ext uri="{FF2B5EF4-FFF2-40B4-BE49-F238E27FC236}">
              <a16:creationId xmlns="" xmlns:a16="http://schemas.microsoft.com/office/drawing/2014/main" id="{00000000-0008-0000-0200-000039C41900}"/>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a:ext>
          </a:extLst>
        </a:blip>
        <a:srcRect r="8340"/>
        <a:stretch>
          <a:fillRect/>
        </a:stretch>
      </xdr:blipFill>
      <xdr:spPr bwMode="auto">
        <a:xfrm>
          <a:off x="25346025" y="12906375"/>
          <a:ext cx="7058025" cy="4095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6505575</xdr:colOff>
      <xdr:row>0</xdr:row>
      <xdr:rowOff>247650</xdr:rowOff>
    </xdr:from>
    <xdr:to>
      <xdr:col>3</xdr:col>
      <xdr:colOff>5695950</xdr:colOff>
      <xdr:row>0</xdr:row>
      <xdr:rowOff>2952750</xdr:rowOff>
    </xdr:to>
    <xdr:pic>
      <xdr:nvPicPr>
        <xdr:cNvPr id="1688607" name="Picture 1055" descr="L250">
          <a:extLst>
            <a:ext uri="{FF2B5EF4-FFF2-40B4-BE49-F238E27FC236}">
              <a16:creationId xmlns="" xmlns:a16="http://schemas.microsoft.com/office/drawing/2014/main" id="{00000000-0008-0000-0200-00001FC41900}"/>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a:ext>
          </a:extLst>
        </a:blip>
        <a:srcRect/>
        <a:stretch>
          <a:fillRect/>
        </a:stretch>
      </xdr:blipFill>
      <xdr:spPr bwMode="auto">
        <a:xfrm>
          <a:off x="19535775" y="247650"/>
          <a:ext cx="5705475" cy="270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209550</xdr:colOff>
      <xdr:row>2</xdr:row>
      <xdr:rowOff>295275</xdr:rowOff>
    </xdr:from>
    <xdr:to>
      <xdr:col>3</xdr:col>
      <xdr:colOff>5905500</xdr:colOff>
      <xdr:row>2</xdr:row>
      <xdr:rowOff>2971800</xdr:rowOff>
    </xdr:to>
    <xdr:pic>
      <xdr:nvPicPr>
        <xdr:cNvPr id="1688622" name="Picture 1070" descr="S1000-AFK-000">
          <a:extLst>
            <a:ext uri="{FF2B5EF4-FFF2-40B4-BE49-F238E27FC236}">
              <a16:creationId xmlns="" xmlns:a16="http://schemas.microsoft.com/office/drawing/2014/main" id="{00000000-0008-0000-0200-00002EC41900}"/>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a:ext>
          </a:extLst>
        </a:blip>
        <a:srcRect/>
        <a:stretch>
          <a:fillRect/>
        </a:stretch>
      </xdr:blipFill>
      <xdr:spPr bwMode="auto">
        <a:xfrm>
          <a:off x="19754850" y="9172575"/>
          <a:ext cx="5695950" cy="26765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6505575</xdr:colOff>
      <xdr:row>1</xdr:row>
      <xdr:rowOff>247650</xdr:rowOff>
    </xdr:from>
    <xdr:to>
      <xdr:col>3</xdr:col>
      <xdr:colOff>5695950</xdr:colOff>
      <xdr:row>1</xdr:row>
      <xdr:rowOff>2952750</xdr:rowOff>
    </xdr:to>
    <xdr:pic>
      <xdr:nvPicPr>
        <xdr:cNvPr id="1688608" name="Picture 1056" descr="L320">
          <a:extLst>
            <a:ext uri="{FF2B5EF4-FFF2-40B4-BE49-F238E27FC236}">
              <a16:creationId xmlns="" xmlns:a16="http://schemas.microsoft.com/office/drawing/2014/main" id="{00000000-0008-0000-0200-000020C41900}"/>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a:ext>
          </a:extLst>
        </a:blip>
        <a:srcRect/>
        <a:stretch>
          <a:fillRect/>
        </a:stretch>
      </xdr:blipFill>
      <xdr:spPr bwMode="auto">
        <a:xfrm>
          <a:off x="19535775" y="4686300"/>
          <a:ext cx="5705475" cy="27051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600075</xdr:colOff>
      <xdr:row>3</xdr:row>
      <xdr:rowOff>152400</xdr:rowOff>
    </xdr:from>
    <xdr:to>
      <xdr:col>5</xdr:col>
      <xdr:colOff>6372225</xdr:colOff>
      <xdr:row>3</xdr:row>
      <xdr:rowOff>2847975</xdr:rowOff>
    </xdr:to>
    <xdr:pic>
      <xdr:nvPicPr>
        <xdr:cNvPr id="1688635" name="Picture 1083" descr="L0160C-SMA-004">
          <a:extLst>
            <a:ext uri="{FF2B5EF4-FFF2-40B4-BE49-F238E27FC236}">
              <a16:creationId xmlns="" xmlns:a16="http://schemas.microsoft.com/office/drawing/2014/main" id="{00000000-0008-0000-0200-00003BC41900}"/>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a:ext>
          </a:extLst>
        </a:blip>
        <a:srcRect/>
        <a:stretch>
          <a:fillRect/>
        </a:stretch>
      </xdr:blipFill>
      <xdr:spPr bwMode="auto">
        <a:xfrm>
          <a:off x="33175575" y="13468350"/>
          <a:ext cx="5772150" cy="2695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0</xdr:colOff>
      <xdr:row>12</xdr:row>
      <xdr:rowOff>38100</xdr:rowOff>
    </xdr:from>
    <xdr:to>
      <xdr:col>5</xdr:col>
      <xdr:colOff>19050</xdr:colOff>
      <xdr:row>12</xdr:row>
      <xdr:rowOff>161925</xdr:rowOff>
    </xdr:to>
    <xdr:sp macro="" textlink="">
      <xdr:nvSpPr>
        <xdr:cNvPr id="137423" name="Line 3">
          <a:extLst>
            <a:ext uri="{FF2B5EF4-FFF2-40B4-BE49-F238E27FC236}">
              <a16:creationId xmlns="" xmlns:a16="http://schemas.microsoft.com/office/drawing/2014/main" id="{00000000-0008-0000-0500-0000CF180200}"/>
            </a:ext>
          </a:extLst>
        </xdr:cNvPr>
        <xdr:cNvSpPr>
          <a:spLocks noChangeShapeType="1"/>
        </xdr:cNvSpPr>
      </xdr:nvSpPr>
      <xdr:spPr bwMode="auto">
        <a:xfrm flipH="1">
          <a:off x="2524125" y="2724150"/>
          <a:ext cx="19050" cy="123825"/>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xdr:from>
          <xdr:col>9</xdr:col>
          <xdr:colOff>76200</xdr:colOff>
          <xdr:row>5</xdr:row>
          <xdr:rowOff>38100</xdr:rowOff>
        </xdr:from>
        <xdr:to>
          <xdr:col>9</xdr:col>
          <xdr:colOff>1095375</xdr:colOff>
          <xdr:row>6</xdr:row>
          <xdr:rowOff>114300</xdr:rowOff>
        </xdr:to>
        <xdr:grpSp>
          <xdr:nvGrpSpPr>
            <xdr:cNvPr id="137311" name="Group 95">
              <a:extLst>
                <a:ext uri="{FF2B5EF4-FFF2-40B4-BE49-F238E27FC236}">
                  <a16:creationId xmlns="" xmlns:a16="http://schemas.microsoft.com/office/drawing/2014/main" id="{00000000-0008-0000-0500-00005F180200}"/>
                </a:ext>
              </a:extLst>
            </xdr:cNvPr>
            <xdr:cNvGrpSpPr>
              <a:grpSpLocks/>
            </xdr:cNvGrpSpPr>
          </xdr:nvGrpSpPr>
          <xdr:grpSpPr bwMode="auto">
            <a:xfrm>
              <a:off x="6372225" y="971550"/>
              <a:ext cx="1019175" cy="466725"/>
              <a:chOff x="673" y="384"/>
              <a:chExt cx="107" cy="49"/>
            </a:xfrm>
          </xdr:grpSpPr>
          <xdr:sp macro="" textlink="">
            <xdr:nvSpPr>
              <xdr:cNvPr id="137307" name="Option Button 91" hidden="1">
                <a:extLst>
                  <a:ext uri="{63B3BB69-23CF-44E3-9099-C40C66FF867C}">
                    <a14:compatExt spid="_x0000_s137307"/>
                  </a:ext>
                  <a:ext uri="{FF2B5EF4-FFF2-40B4-BE49-F238E27FC236}">
                    <a16:creationId xmlns="" xmlns:a16="http://schemas.microsoft.com/office/drawing/2014/main" id="{00000000-0008-0000-0500-00005B180200}"/>
                  </a:ext>
                </a:extLst>
              </xdr:cNvPr>
              <xdr:cNvSpPr/>
            </xdr:nvSpPr>
            <xdr:spPr bwMode="auto">
              <a:xfrm>
                <a:off x="678" y="412"/>
                <a:ext cx="98" cy="17"/>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Iron Less</a:t>
                </a:r>
              </a:p>
            </xdr:txBody>
          </xdr:sp>
          <xdr:sp macro="" textlink="">
            <xdr:nvSpPr>
              <xdr:cNvPr id="137309" name="Option Button 93" hidden="1">
                <a:extLst>
                  <a:ext uri="{63B3BB69-23CF-44E3-9099-C40C66FF867C}">
                    <a14:compatExt spid="_x0000_s137309"/>
                  </a:ext>
                  <a:ext uri="{FF2B5EF4-FFF2-40B4-BE49-F238E27FC236}">
                    <a16:creationId xmlns="" xmlns:a16="http://schemas.microsoft.com/office/drawing/2014/main" id="{00000000-0008-0000-0500-00005D180200}"/>
                  </a:ext>
                </a:extLst>
              </xdr:cNvPr>
              <xdr:cNvSpPr/>
            </xdr:nvSpPr>
            <xdr:spPr bwMode="auto">
              <a:xfrm>
                <a:off x="678" y="394"/>
                <a:ext cx="94" cy="16"/>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Iron Core</a:t>
                </a:r>
              </a:p>
            </xdr:txBody>
          </xdr:sp>
          <xdr:sp macro="" textlink="">
            <xdr:nvSpPr>
              <xdr:cNvPr id="137310" name="Group Box 94" hidden="1">
                <a:extLst>
                  <a:ext uri="{63B3BB69-23CF-44E3-9099-C40C66FF867C}">
                    <a14:compatExt spid="_x0000_s137310"/>
                  </a:ext>
                  <a:ext uri="{FF2B5EF4-FFF2-40B4-BE49-F238E27FC236}">
                    <a16:creationId xmlns="" xmlns:a16="http://schemas.microsoft.com/office/drawing/2014/main" id="{00000000-0008-0000-0500-00005E180200}"/>
                  </a:ext>
                </a:extLst>
              </xdr:cNvPr>
              <xdr:cNvSpPr/>
            </xdr:nvSpPr>
            <xdr:spPr bwMode="auto">
              <a:xfrm>
                <a:off x="673" y="384"/>
                <a:ext cx="107" cy="49"/>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n-US" sz="800" b="0" i="0" u="none" strike="noStrike" baseline="0">
                    <a:solidFill>
                      <a:srgbClr val="000000"/>
                    </a:solidFill>
                    <a:latin typeface="Tahoma"/>
                    <a:ea typeface="Tahoma"/>
                    <a:cs typeface="Tahoma"/>
                  </a:rPr>
                  <a:t>Motor Type</a:t>
                </a:r>
              </a:p>
            </xdr:txBody>
          </xdr:sp>
        </xdr:grp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Aspect">
      <a:fillStyleLst>
        <a:solidFill>
          <a:schemeClr val="phClr"/>
        </a:solidFill>
        <a:gradFill rotWithShape="1">
          <a:gsLst>
            <a:gs pos="0">
              <a:schemeClr val="phClr">
                <a:tint val="65000"/>
                <a:satMod val="270000"/>
              </a:schemeClr>
            </a:gs>
            <a:gs pos="25000">
              <a:schemeClr val="phClr">
                <a:tint val="60000"/>
                <a:satMod val="300000"/>
              </a:schemeClr>
            </a:gs>
            <a:gs pos="100000">
              <a:schemeClr val="phClr">
                <a:tint val="29000"/>
                <a:satMod val="400000"/>
              </a:schemeClr>
            </a:gs>
          </a:gsLst>
          <a:lin ang="16200000" scaled="1"/>
        </a:gradFill>
        <a:gradFill rotWithShape="1">
          <a:gsLst>
            <a:gs pos="0">
              <a:schemeClr val="phClr">
                <a:shade val="45000"/>
                <a:satMod val="155000"/>
              </a:schemeClr>
            </a:gs>
            <a:gs pos="60000">
              <a:schemeClr val="phClr">
                <a:shade val="95000"/>
                <a:satMod val="150000"/>
              </a:schemeClr>
            </a:gs>
            <a:gs pos="100000">
              <a:schemeClr val="phClr">
                <a:tint val="87000"/>
                <a:satMod val="250000"/>
              </a:schemeClr>
            </a:gs>
          </a:gsLst>
          <a:lin ang="16200000" scaled="0"/>
        </a:gradFill>
      </a:fillStyleLst>
      <a:lnStyleLst>
        <a:ln w="9525" cap="flat" cmpd="sng" algn="ctr">
          <a:solidFill>
            <a:schemeClr val="phClr">
              <a:satMod val="150000"/>
            </a:schemeClr>
          </a:solidFill>
          <a:prstDash val="solid"/>
        </a:ln>
        <a:ln w="42500" cap="flat" cmpd="sng" algn="ctr">
          <a:solidFill>
            <a:schemeClr val="phClr"/>
          </a:solidFill>
          <a:prstDash val="solid"/>
        </a:ln>
        <a:ln w="38100" cap="flat" cmpd="sng" algn="ctr">
          <a:solidFill>
            <a:schemeClr val="phClr"/>
          </a:solidFill>
          <a:prstDash val="solid"/>
        </a:ln>
      </a:lnStyleLst>
      <a:effectStyleLst>
        <a:effectStyle>
          <a:effectLst>
            <a:outerShdw blurRad="65500" dist="38100" dir="5400000" rotWithShape="0">
              <a:srgbClr val="000000">
                <a:alpha val="40000"/>
              </a:srgbClr>
            </a:outerShdw>
          </a:effectLst>
        </a:effectStyle>
        <a:effectStyle>
          <a:effectLst>
            <a:outerShdw blurRad="65500" dist="38100" dir="5400000" rotWithShape="0">
              <a:srgbClr val="000000">
                <a:alpha val="40000"/>
              </a:srgbClr>
            </a:outerShdw>
          </a:effectLst>
        </a:effectStyle>
        <a:effectStyle>
          <a:effectLst>
            <a:outerShdw blurRad="65500" dist="38100" dir="5400000" rotWithShape="0">
              <a:srgbClr val="000000">
                <a:alpha val="40000"/>
              </a:srgbClr>
            </a:outerShdw>
          </a:effectLst>
          <a:scene3d>
            <a:camera prst="orthographicFront" fov="0">
              <a:rot lat="0" lon="0" rev="0"/>
            </a:camera>
            <a:lightRig rig="contrasting" dir="t">
              <a:rot lat="0" lon="0" rev="12000000"/>
            </a:lightRig>
          </a:scene3d>
          <a:sp3d prstMaterial="powder">
            <a:bevelT h="508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6.bin"/><Relationship Id="rId6" Type="http://schemas.openxmlformats.org/officeDocument/2006/relationships/ctrlProp" Target="../ctrlProps/ctrlProp30.xml"/><Relationship Id="rId5" Type="http://schemas.openxmlformats.org/officeDocument/2006/relationships/ctrlProp" Target="../ctrlProps/ctrlProp29.xml"/><Relationship Id="rId4" Type="http://schemas.openxmlformats.org/officeDocument/2006/relationships/ctrlProp" Target="../ctrlProps/ctrlProp28.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KL583"/>
  <sheetViews>
    <sheetView showGridLines="0" showRowColHeaders="0" tabSelected="1" workbookViewId="0">
      <selection activeCell="U7" sqref="U7:V7"/>
    </sheetView>
  </sheetViews>
  <sheetFormatPr defaultColWidth="5.7109375" defaultRowHeight="12.75"/>
  <cols>
    <col min="1" max="1" width="1.140625" style="67" customWidth="1"/>
    <col min="2" max="2" width="12.42578125" style="47" customWidth="1"/>
    <col min="3" max="6" width="2.7109375" style="47" customWidth="1"/>
    <col min="7" max="8" width="1.42578125" style="47" customWidth="1"/>
    <col min="9" max="10" width="2.7109375" style="47" customWidth="1"/>
    <col min="11" max="11" width="5.42578125" style="47" customWidth="1"/>
    <col min="12" max="12" width="3.28515625" style="47" customWidth="1"/>
    <col min="13" max="13" width="2.7109375" style="47" customWidth="1"/>
    <col min="14" max="14" width="2.5703125" style="47" customWidth="1"/>
    <col min="15" max="15" width="3.42578125" style="47" customWidth="1"/>
    <col min="16" max="20" width="2.28515625" style="47" customWidth="1"/>
    <col min="21" max="22" width="2.7109375" style="157" customWidth="1"/>
    <col min="23" max="27" width="2.28515625" style="47" customWidth="1"/>
    <col min="28" max="28" width="2.5703125" style="47" customWidth="1"/>
    <col min="29" max="30" width="3.28515625" style="157" customWidth="1"/>
    <col min="31" max="31" width="3.28515625" style="47" customWidth="1"/>
    <col min="32" max="32" width="2.5703125" style="47" customWidth="1"/>
    <col min="33" max="37" width="2.28515625" style="47" customWidth="1"/>
    <col min="38" max="38" width="3.28515625" style="157" customWidth="1"/>
    <col min="39" max="39" width="2.7109375" style="157" customWidth="1"/>
    <col min="40" max="40" width="2.28515625" style="47" customWidth="1"/>
    <col min="41" max="41" width="2.42578125" style="47" customWidth="1"/>
    <col min="42" max="42" width="2.5703125" style="47" customWidth="1"/>
    <col min="43" max="45" width="2.28515625" style="47" customWidth="1"/>
    <col min="46" max="47" width="3.28515625" style="157" customWidth="1"/>
    <col min="48" max="48" width="2.7109375" style="47" customWidth="1"/>
    <col min="49" max="49" width="4.42578125" style="47" customWidth="1"/>
    <col min="50" max="50" width="2.7109375" style="47" customWidth="1"/>
    <col min="51" max="52" width="3.140625" style="47" customWidth="1"/>
    <col min="53" max="53" width="2.7109375" style="47" customWidth="1"/>
    <col min="54" max="56" width="2.5703125" style="47" customWidth="1"/>
    <col min="57" max="61" width="2.28515625" style="47" customWidth="1"/>
    <col min="62" max="64" width="2.85546875" style="47" customWidth="1"/>
    <col min="65" max="65" width="1.42578125" style="124" customWidth="1"/>
    <col min="66" max="66" width="2.85546875" style="47" customWidth="1"/>
    <col min="67" max="67" width="4" style="47" customWidth="1"/>
    <col min="68" max="68" width="2.7109375" style="47" customWidth="1"/>
    <col min="69" max="69" width="2.5703125" style="47" customWidth="1"/>
    <col min="70" max="70" width="3.42578125" style="47" customWidth="1"/>
    <col min="71" max="73" width="2.28515625" style="47" customWidth="1"/>
    <col min="74" max="75" width="2.7109375" style="47" customWidth="1"/>
    <col min="76" max="81" width="2.28515625" style="47" customWidth="1"/>
    <col min="82" max="83" width="3.42578125" style="47" customWidth="1"/>
    <col min="84" max="85" width="2.28515625" style="47" customWidth="1"/>
    <col min="86" max="87" width="2.28515625" style="52" customWidth="1"/>
    <col min="88" max="88" width="3.140625" style="45" customWidth="1"/>
    <col min="89" max="89" width="2.28515625" style="45" customWidth="1"/>
    <col min="90" max="91" width="2.28515625" style="150" customWidth="1"/>
    <col min="92" max="92" width="2.28515625" style="444" customWidth="1"/>
    <col min="93" max="93" width="13.140625" style="692" hidden="1" customWidth="1"/>
    <col min="94" max="94" width="10.42578125" style="647" hidden="1" customWidth="1"/>
    <col min="95" max="95" width="21.5703125" style="618" hidden="1" customWidth="1"/>
    <col min="96" max="96" width="6.28515625" style="618" hidden="1" customWidth="1"/>
    <col min="97" max="97" width="10.5703125" style="618" hidden="1" customWidth="1"/>
    <col min="98" max="98" width="9.28515625" style="626" hidden="1" customWidth="1"/>
    <col min="99" max="99" width="9.140625" style="626" hidden="1" customWidth="1"/>
    <col min="100" max="102" width="10" style="626" hidden="1" customWidth="1"/>
    <col min="103" max="103" width="8.42578125" style="619" hidden="1" customWidth="1"/>
    <col min="104" max="104" width="7.28515625" style="619" hidden="1" customWidth="1"/>
    <col min="105" max="105" width="8" style="619" hidden="1" customWidth="1"/>
    <col min="106" max="106" width="5.85546875" style="619" hidden="1" customWidth="1"/>
    <col min="107" max="107" width="2.7109375" style="618" hidden="1" customWidth="1"/>
    <col min="108" max="108" width="4.5703125" style="618" hidden="1" customWidth="1"/>
    <col min="109" max="131" width="2.7109375" style="618" hidden="1" customWidth="1"/>
    <col min="132" max="132" width="10.5703125" style="618" hidden="1" customWidth="1"/>
    <col min="133" max="133" width="2.7109375" style="618" hidden="1" customWidth="1"/>
    <col min="134" max="134" width="10.5703125" style="618" hidden="1" customWidth="1"/>
    <col min="135" max="135" width="7.28515625" style="618" hidden="1" customWidth="1"/>
    <col min="136" max="136" width="11.140625" style="618" hidden="1" customWidth="1"/>
    <col min="137" max="137" width="7.28515625" style="618" hidden="1" customWidth="1"/>
    <col min="138" max="138" width="3.140625" style="618" hidden="1" customWidth="1"/>
    <col min="139" max="139" width="2" style="618" hidden="1" customWidth="1"/>
    <col min="140" max="140" width="2.140625" style="618" hidden="1" customWidth="1"/>
    <col min="141" max="141" width="2" style="618" hidden="1" customWidth="1"/>
    <col min="142" max="142" width="3.140625" style="618" hidden="1" customWidth="1"/>
    <col min="143" max="143" width="2" style="618" hidden="1" customWidth="1"/>
    <col min="144" max="144" width="2.140625" style="618" hidden="1" customWidth="1"/>
    <col min="145" max="145" width="2" style="618" hidden="1" customWidth="1"/>
    <col min="146" max="146" width="3.140625" style="618" hidden="1" customWidth="1"/>
    <col min="147" max="147" width="2" style="618" hidden="1" customWidth="1"/>
    <col min="148" max="148" width="2.140625" style="618" hidden="1" customWidth="1"/>
    <col min="149" max="149" width="2" style="618" hidden="1" customWidth="1"/>
    <col min="150" max="150" width="3.140625" style="618" hidden="1" customWidth="1"/>
    <col min="151" max="151" width="2" style="618" hidden="1" customWidth="1"/>
    <col min="152" max="152" width="2.140625" style="618" hidden="1" customWidth="1"/>
    <col min="153" max="153" width="2" style="618" hidden="1" customWidth="1"/>
    <col min="154" max="154" width="3.140625" style="618" hidden="1" customWidth="1"/>
    <col min="155" max="155" width="2" style="618" hidden="1" customWidth="1"/>
    <col min="156" max="156" width="2.140625" style="618" hidden="1" customWidth="1"/>
    <col min="157" max="157" width="2" style="618" hidden="1" customWidth="1"/>
    <col min="158" max="158" width="5.140625" style="618" hidden="1" customWidth="1"/>
    <col min="159" max="159" width="12.140625" style="618" hidden="1" customWidth="1"/>
    <col min="160" max="160" width="2.7109375" style="618" hidden="1" customWidth="1"/>
    <col min="161" max="161" width="10.5703125" style="618" hidden="1" customWidth="1"/>
    <col min="162" max="162" width="7.28515625" style="618" hidden="1" customWidth="1"/>
    <col min="163" max="163" width="11.140625" style="618" hidden="1" customWidth="1"/>
    <col min="164" max="164" width="7.28515625" style="618" hidden="1" customWidth="1"/>
    <col min="165" max="165" width="3.140625" style="618" hidden="1" customWidth="1"/>
    <col min="166" max="166" width="2" style="618" hidden="1" customWidth="1"/>
    <col min="167" max="167" width="2.140625" style="618" hidden="1" customWidth="1"/>
    <col min="168" max="168" width="2" style="618" hidden="1" customWidth="1"/>
    <col min="169" max="169" width="3.140625" style="618" hidden="1" customWidth="1"/>
    <col min="170" max="170" width="2" style="618" hidden="1" customWidth="1"/>
    <col min="171" max="171" width="2.140625" style="618" hidden="1" customWidth="1"/>
    <col min="172" max="172" width="2" style="618" hidden="1" customWidth="1"/>
    <col min="173" max="173" width="3.140625" style="618" hidden="1" customWidth="1"/>
    <col min="174" max="174" width="2" style="618" hidden="1" customWidth="1"/>
    <col min="175" max="175" width="2.140625" style="618" hidden="1" customWidth="1"/>
    <col min="176" max="176" width="2" style="618" hidden="1" customWidth="1"/>
    <col min="177" max="177" width="3.140625" style="618" hidden="1" customWidth="1"/>
    <col min="178" max="178" width="2" style="618" hidden="1" customWidth="1"/>
    <col min="179" max="179" width="2.140625" style="618" hidden="1" customWidth="1"/>
    <col min="180" max="180" width="2" style="618" hidden="1" customWidth="1"/>
    <col min="181" max="181" width="3.140625" style="618" hidden="1" customWidth="1"/>
    <col min="182" max="182" width="2" style="618" hidden="1" customWidth="1"/>
    <col min="183" max="183" width="2.140625" style="618" hidden="1" customWidth="1"/>
    <col min="184" max="184" width="2" style="618" hidden="1" customWidth="1"/>
    <col min="185" max="185" width="5.140625" style="618" hidden="1" customWidth="1"/>
    <col min="186" max="186" width="12.140625" style="618" hidden="1" customWidth="1"/>
    <col min="187" max="187" width="2.7109375" style="618" hidden="1" customWidth="1"/>
    <col min="188" max="188" width="10.7109375" style="618" hidden="1" customWidth="1"/>
    <col min="189" max="189" width="7.28515625" style="618" hidden="1" customWidth="1"/>
    <col min="190" max="190" width="11.140625" style="618" hidden="1" customWidth="1"/>
    <col min="191" max="191" width="7.28515625" style="618" hidden="1" customWidth="1"/>
    <col min="192" max="192" width="3.140625" style="618" hidden="1" customWidth="1"/>
    <col min="193" max="193" width="2" style="618" hidden="1" customWidth="1"/>
    <col min="194" max="194" width="2.140625" style="618" hidden="1" customWidth="1"/>
    <col min="195" max="195" width="2" style="618" hidden="1" customWidth="1"/>
    <col min="196" max="196" width="3.140625" style="618" hidden="1" customWidth="1"/>
    <col min="197" max="197" width="2" style="618" hidden="1" customWidth="1"/>
    <col min="198" max="198" width="2.140625" style="618" hidden="1" customWidth="1"/>
    <col min="199" max="199" width="2" style="618" hidden="1" customWidth="1"/>
    <col min="200" max="200" width="3.140625" style="618" hidden="1" customWidth="1"/>
    <col min="201" max="201" width="2" style="618" hidden="1" customWidth="1"/>
    <col min="202" max="202" width="2.140625" style="618" hidden="1" customWidth="1"/>
    <col min="203" max="203" width="2" style="618" hidden="1" customWidth="1"/>
    <col min="204" max="204" width="3.140625" style="618" hidden="1" customWidth="1"/>
    <col min="205" max="205" width="2" style="618" hidden="1" customWidth="1"/>
    <col min="206" max="206" width="2.140625" style="618" hidden="1" customWidth="1"/>
    <col min="207" max="207" width="2" style="618" hidden="1" customWidth="1"/>
    <col min="208" max="208" width="3.140625" style="618" hidden="1" customWidth="1"/>
    <col min="209" max="209" width="2" style="618" hidden="1" customWidth="1"/>
    <col min="210" max="210" width="2.140625" style="618" hidden="1" customWidth="1"/>
    <col min="211" max="211" width="2" style="618" hidden="1" customWidth="1"/>
    <col min="212" max="212" width="4.140625" style="618" hidden="1" customWidth="1"/>
    <col min="213" max="213" width="10.5703125" style="618" hidden="1" customWidth="1"/>
    <col min="214" max="214" width="2.7109375" style="618" hidden="1" customWidth="1"/>
    <col min="215" max="215" width="11.5703125" style="618" hidden="1" customWidth="1"/>
    <col min="216" max="216" width="7.140625" style="618" hidden="1" customWidth="1"/>
    <col min="217" max="217" width="7.7109375" style="618" hidden="1" customWidth="1"/>
    <col min="218" max="218" width="6.42578125" style="618" hidden="1" customWidth="1"/>
    <col min="219" max="219" width="5.42578125" style="618" hidden="1" customWidth="1"/>
    <col min="220" max="220" width="7.140625" style="618" hidden="1" customWidth="1"/>
    <col min="221" max="221" width="7.7109375" style="618" hidden="1" customWidth="1"/>
    <col min="222" max="224" width="7.28515625" style="618" hidden="1" customWidth="1"/>
    <col min="225" max="226" width="2.7109375" style="618" hidden="1" customWidth="1"/>
    <col min="227" max="229" width="10.42578125" style="618" hidden="1" customWidth="1"/>
    <col min="230" max="230" width="2.7109375" style="618" hidden="1" customWidth="1"/>
    <col min="231" max="231" width="11" style="618" hidden="1" customWidth="1"/>
    <col min="232" max="232" width="10.42578125" style="618" hidden="1" customWidth="1"/>
    <col min="233" max="233" width="6.140625" style="618" hidden="1" customWidth="1"/>
    <col min="234" max="252" width="2.7109375" style="618" hidden="1" customWidth="1"/>
    <col min="253" max="253" width="4.7109375" style="629" hidden="1" customWidth="1"/>
    <col min="254" max="254" width="5.85546875" style="640" hidden="1" customWidth="1"/>
    <col min="255" max="255" width="5.7109375" style="640" hidden="1" customWidth="1"/>
    <col min="256" max="279" width="5.85546875" style="640" hidden="1" customWidth="1"/>
    <col min="280" max="280" width="5.7109375" style="640" hidden="1" customWidth="1"/>
    <col min="281" max="281" width="5.85546875" style="640" hidden="1" customWidth="1"/>
    <col min="282" max="282" width="5.7109375" style="649" customWidth="1"/>
    <col min="283" max="298" width="5.7109375" style="649"/>
    <col min="299" max="16384" width="5.7109375" style="522"/>
  </cols>
  <sheetData>
    <row r="1" spans="2:298" ht="7.5" customHeight="1" thickBot="1">
      <c r="B1" s="267"/>
      <c r="C1" s="267"/>
      <c r="D1" s="267"/>
      <c r="E1" s="267"/>
      <c r="F1" s="267"/>
      <c r="G1" s="267"/>
      <c r="H1" s="267"/>
      <c r="I1" s="267"/>
      <c r="J1" s="267"/>
      <c r="K1" s="267"/>
      <c r="L1" s="267"/>
      <c r="M1" s="267"/>
      <c r="N1" s="267"/>
      <c r="O1" s="267"/>
      <c r="P1" s="267"/>
      <c r="Q1" s="267"/>
      <c r="R1" s="267"/>
      <c r="S1" s="267"/>
      <c r="T1" s="267"/>
      <c r="U1" s="337"/>
      <c r="V1" s="337"/>
      <c r="W1" s="267"/>
      <c r="X1" s="267"/>
      <c r="Y1" s="267"/>
      <c r="Z1" s="267"/>
      <c r="AA1" s="267"/>
      <c r="AB1" s="267"/>
      <c r="AC1" s="337"/>
      <c r="AD1" s="337"/>
      <c r="AE1" s="267"/>
      <c r="AF1" s="267"/>
      <c r="AG1" s="267"/>
      <c r="AH1" s="267"/>
      <c r="AI1" s="267"/>
      <c r="AJ1" s="267"/>
      <c r="AK1" s="267"/>
      <c r="AL1" s="337"/>
      <c r="AM1" s="337"/>
      <c r="AN1" s="267"/>
      <c r="AO1" s="267"/>
      <c r="AP1" s="267"/>
      <c r="AQ1" s="267"/>
      <c r="AR1" s="267"/>
      <c r="AS1" s="267"/>
      <c r="AT1" s="337"/>
      <c r="AU1" s="337"/>
      <c r="AV1" s="267"/>
      <c r="AW1" s="267"/>
      <c r="AX1" s="267"/>
      <c r="AY1" s="267"/>
      <c r="AZ1" s="267"/>
      <c r="BA1" s="267"/>
      <c r="BB1" s="267"/>
      <c r="BC1" s="267"/>
      <c r="BD1" s="267"/>
      <c r="BE1" s="267"/>
      <c r="BF1" s="267"/>
      <c r="BG1" s="267"/>
      <c r="BH1" s="267"/>
      <c r="BI1" s="267"/>
      <c r="BJ1" s="415" t="s">
        <v>403</v>
      </c>
      <c r="BK1" s="267"/>
      <c r="BL1" s="267"/>
      <c r="BM1" s="267"/>
      <c r="BN1" s="267"/>
      <c r="BO1" s="267"/>
      <c r="BP1" s="267"/>
      <c r="BQ1" s="267"/>
      <c r="BR1" s="267"/>
      <c r="BS1" s="267"/>
      <c r="BT1" s="267"/>
      <c r="BU1" s="267"/>
      <c r="BV1" s="267"/>
      <c r="BW1" s="267"/>
      <c r="BX1" s="267"/>
      <c r="BY1" s="267"/>
      <c r="BZ1" s="267"/>
      <c r="CA1" s="267"/>
      <c r="CB1" s="267"/>
      <c r="CC1" s="267"/>
      <c r="CD1" s="267"/>
      <c r="CE1" s="267"/>
      <c r="CF1" s="267"/>
      <c r="CG1" s="267"/>
      <c r="CH1" s="67"/>
      <c r="CI1" s="67"/>
      <c r="CJ1" s="162"/>
      <c r="CK1" s="162"/>
      <c r="CL1" s="153"/>
      <c r="CM1" s="153"/>
      <c r="CN1" s="153"/>
      <c r="CO1" s="689"/>
      <c r="CP1" s="618"/>
      <c r="HH1" s="618" t="s">
        <v>385</v>
      </c>
      <c r="HM1" s="627"/>
      <c r="HO1" s="628"/>
      <c r="HP1" s="628"/>
      <c r="HW1" s="618" t="str">
        <f>L13</f>
        <v>Vac</v>
      </c>
      <c r="IB1" s="618">
        <f>((D45*1.1)/1000*IF(D45&lt;0,-1,1))</f>
        <v>2.6400000000000003E-2</v>
      </c>
      <c r="IC1" s="618">
        <f>IF3</f>
        <v>40.704999999999998</v>
      </c>
      <c r="IE1" s="618">
        <f>IF(P13,((((W19/(U14+U15))+(W19/(U15+U16)))/2)*1.1)/1000,0)*IF(H45&lt;0,-1,1)</f>
        <v>0</v>
      </c>
      <c r="IF1" s="618">
        <f>II3</f>
        <v>40.704999999999998</v>
      </c>
      <c r="IH1" s="618">
        <f>IF(P21,((((W27/(U23+U22))+(W27/(U23+U24)))/2)*1.1)/1000,0)*IF(L45&lt;0,-1,1)</f>
        <v>0</v>
      </c>
      <c r="II1" s="618">
        <f>IL3</f>
        <v>40.704999999999998</v>
      </c>
      <c r="IK1" s="618">
        <f>IF(AG5,((((AN11/(AL6+AL7))+(AN11/(AL8+AL7)))/2)*1.1)/1000,0)*IF(P45&lt;0,-1,1)</f>
        <v>0</v>
      </c>
      <c r="IL1" s="618">
        <f>IO3</f>
        <v>40.704999999999998</v>
      </c>
      <c r="IN1" s="618">
        <f>IF(AG13,((((AN19/(AL14+AL15))+(AN19/(AL15+AL16)))/2)*1.1)/1000,0)*IF(T45&lt;0,-1,1)</f>
        <v>0</v>
      </c>
      <c r="IO1" s="618">
        <f>IR3</f>
        <v>40.704999999999998</v>
      </c>
      <c r="IQ1" s="618">
        <f>IF(AG21,((((AN27/(AL23+AL22))+(AN27/(AL23+AL24)))/2)*1.1)/1000,0)*IF(X45&lt;0,-1,1)</f>
        <v>0</v>
      </c>
      <c r="IR1" s="618">
        <f>Y46</f>
        <v>40.704999999999998</v>
      </c>
      <c r="IT1" s="630"/>
      <c r="IU1" s="628"/>
      <c r="IV1" s="618" t="s">
        <v>37</v>
      </c>
      <c r="IW1" s="618" t="s">
        <v>38</v>
      </c>
      <c r="IX1" s="618" t="s">
        <v>39</v>
      </c>
      <c r="IY1" s="618" t="s">
        <v>40</v>
      </c>
      <c r="IZ1" s="618" t="s">
        <v>41</v>
      </c>
      <c r="JA1" s="618" t="s">
        <v>38</v>
      </c>
      <c r="JB1" s="618" t="s">
        <v>39</v>
      </c>
      <c r="JC1" s="618" t="s">
        <v>40</v>
      </c>
      <c r="JD1" s="618" t="s">
        <v>42</v>
      </c>
      <c r="JE1" s="618" t="s">
        <v>38</v>
      </c>
      <c r="JF1" s="618" t="s">
        <v>39</v>
      </c>
      <c r="JG1" s="618" t="s">
        <v>40</v>
      </c>
      <c r="JH1" s="618" t="s">
        <v>43</v>
      </c>
      <c r="JI1" s="618" t="s">
        <v>38</v>
      </c>
      <c r="JJ1" s="618" t="s">
        <v>39</v>
      </c>
      <c r="JK1" s="618" t="s">
        <v>40</v>
      </c>
      <c r="JL1" s="618" t="s">
        <v>44</v>
      </c>
      <c r="JM1" s="618" t="s">
        <v>38</v>
      </c>
      <c r="JN1" s="618" t="s">
        <v>39</v>
      </c>
      <c r="JO1" s="618" t="s">
        <v>40</v>
      </c>
      <c r="JP1" s="618" t="s">
        <v>45</v>
      </c>
      <c r="JQ1" s="618" t="s">
        <v>38</v>
      </c>
      <c r="JR1" s="618" t="s">
        <v>39</v>
      </c>
      <c r="JS1" s="618" t="s">
        <v>40</v>
      </c>
      <c r="JT1" s="631"/>
      <c r="JU1" s="631"/>
      <c r="JW1" s="522"/>
      <c r="JX1" s="522"/>
      <c r="JY1" s="522"/>
      <c r="JZ1" s="522"/>
      <c r="KA1" s="522"/>
      <c r="KB1" s="522"/>
      <c r="KC1" s="522"/>
      <c r="KD1" s="522"/>
      <c r="KE1" s="522"/>
      <c r="KF1" s="522"/>
      <c r="KG1" s="522"/>
      <c r="KH1" s="522"/>
      <c r="KI1" s="522"/>
      <c r="KJ1" s="522"/>
      <c r="KK1" s="522"/>
      <c r="KL1" s="522"/>
    </row>
    <row r="2" spans="2:298" ht="9.9499999999999993" customHeight="1" thickBot="1">
      <c r="B2" s="49"/>
      <c r="C2" s="330"/>
      <c r="D2" s="330"/>
      <c r="E2" s="330"/>
      <c r="F2" s="1027" t="s">
        <v>645</v>
      </c>
      <c r="G2" s="1027"/>
      <c r="H2" s="1027"/>
      <c r="I2" s="1027"/>
      <c r="J2" s="1027"/>
      <c r="K2" s="1027"/>
      <c r="L2" s="1027"/>
      <c r="M2" s="1027"/>
      <c r="N2" s="1027"/>
      <c r="O2" s="826" t="s">
        <v>0</v>
      </c>
      <c r="P2" s="826"/>
      <c r="Q2" s="826"/>
      <c r="R2" s="826"/>
      <c r="S2" s="826"/>
      <c r="T2" s="826"/>
      <c r="U2" s="826"/>
      <c r="V2" s="826"/>
      <c r="W2" s="826"/>
      <c r="X2" s="826"/>
      <c r="Y2" s="826"/>
      <c r="Z2" s="826"/>
      <c r="AA2" s="826"/>
      <c r="AB2" s="826"/>
      <c r="AC2" s="826"/>
      <c r="AD2" s="826"/>
      <c r="AE2" s="826"/>
      <c r="AF2" s="826"/>
      <c r="AG2" s="826"/>
      <c r="AH2" s="826"/>
      <c r="AI2" s="826"/>
      <c r="AJ2" s="826"/>
      <c r="AK2" s="826"/>
      <c r="AL2" s="826"/>
      <c r="AM2" s="826"/>
      <c r="AN2" s="826"/>
      <c r="AO2" s="826"/>
      <c r="AP2" s="826"/>
      <c r="AQ2" s="826"/>
      <c r="AR2" s="269"/>
      <c r="AS2" s="95" t="s">
        <v>393</v>
      </c>
      <c r="AT2" s="95"/>
      <c r="AU2" s="449"/>
      <c r="AV2" s="95"/>
      <c r="AW2" s="95"/>
      <c r="AX2" s="832"/>
      <c r="AY2" s="833"/>
      <c r="AZ2" s="67"/>
      <c r="BA2" s="330"/>
      <c r="BB2" s="778" t="s">
        <v>321</v>
      </c>
      <c r="BC2" s="778"/>
      <c r="BD2" s="778"/>
      <c r="BE2" s="778"/>
      <c r="BF2" s="778"/>
      <c r="BG2" s="778"/>
      <c r="BH2" s="778"/>
      <c r="BI2" s="778"/>
      <c r="BJ2" s="415" t="s">
        <v>385</v>
      </c>
      <c r="BK2" s="413"/>
      <c r="BL2" s="413"/>
      <c r="BM2" s="414"/>
      <c r="BN2" s="776" t="s">
        <v>95</v>
      </c>
      <c r="BO2" s="776"/>
      <c r="BP2" s="776"/>
      <c r="BQ2" s="776"/>
      <c r="BR2" s="776"/>
      <c r="BS2" s="776"/>
      <c r="BT2" s="43"/>
      <c r="BU2" s="43"/>
      <c r="BV2" s="43"/>
      <c r="BW2" s="43"/>
      <c r="BX2" s="43"/>
      <c r="BY2" s="43"/>
      <c r="BZ2" s="43"/>
      <c r="CA2" s="43"/>
      <c r="CB2" s="43"/>
      <c r="CC2" s="43"/>
      <c r="CD2" s="43"/>
      <c r="CE2" s="43"/>
      <c r="CF2" s="43"/>
      <c r="CG2" s="43"/>
      <c r="CH2" s="163"/>
      <c r="CI2" s="100"/>
      <c r="CJ2" s="152"/>
      <c r="CK2" s="152"/>
      <c r="CL2" s="153"/>
      <c r="CM2" s="155"/>
      <c r="CN2" s="155"/>
      <c r="CO2" s="690"/>
      <c r="CP2" s="632"/>
      <c r="CT2" s="626" t="str">
        <f>I16</f>
        <v>S080D</v>
      </c>
      <c r="CU2" s="626">
        <f>(AC37/AI32)^2*100</f>
        <v>0.10676828783319003</v>
      </c>
      <c r="CV2" s="626">
        <f>ML</f>
        <v>0.4</v>
      </c>
      <c r="CW2" s="626">
        <f>Mc</f>
        <v>0.05</v>
      </c>
      <c r="DC2" s="618" t="s">
        <v>392</v>
      </c>
      <c r="DE2" s="618" t="s">
        <v>1</v>
      </c>
      <c r="ED2" s="439" t="s">
        <v>553</v>
      </c>
      <c r="EE2" s="439"/>
      <c r="EF2" s="439"/>
      <c r="EG2" s="439"/>
      <c r="EH2" s="439"/>
      <c r="EI2" s="439"/>
      <c r="EJ2" s="439"/>
      <c r="EK2" s="439"/>
      <c r="EL2" s="439"/>
      <c r="EM2" s="439"/>
      <c r="EN2" s="439"/>
      <c r="EO2" s="439"/>
      <c r="EP2" s="439"/>
      <c r="EQ2" s="439"/>
      <c r="ER2" s="439"/>
      <c r="ES2" s="439"/>
      <c r="ET2" s="439"/>
      <c r="EU2" s="439"/>
      <c r="EV2" s="439"/>
      <c r="EW2" s="439"/>
      <c r="EX2" s="439"/>
      <c r="EY2" s="439"/>
      <c r="EZ2" s="439"/>
      <c r="FA2" s="439"/>
      <c r="FB2" s="439"/>
      <c r="FC2" s="439"/>
      <c r="FE2" s="439" t="s">
        <v>413</v>
      </c>
      <c r="GF2" s="439" t="s">
        <v>554</v>
      </c>
      <c r="HG2" s="618" t="s">
        <v>404</v>
      </c>
      <c r="HH2" s="618" t="s">
        <v>392</v>
      </c>
      <c r="HI2" s="618" t="s">
        <v>405</v>
      </c>
      <c r="HJ2" s="618" t="s">
        <v>1</v>
      </c>
      <c r="HK2" s="618" t="s">
        <v>388</v>
      </c>
      <c r="HL2" s="618" t="s">
        <v>392</v>
      </c>
      <c r="HM2" s="627" t="s">
        <v>405</v>
      </c>
      <c r="HN2" s="618">
        <f>COLUMN()</f>
        <v>222</v>
      </c>
      <c r="HO2" s="618">
        <f>COLUMN()</f>
        <v>223</v>
      </c>
      <c r="HP2" s="618">
        <f>COLUMN()</f>
        <v>224</v>
      </c>
      <c r="HR2" s="618" t="s">
        <v>46</v>
      </c>
      <c r="HS2" s="618" t="s">
        <v>326</v>
      </c>
      <c r="HT2" s="618" t="s">
        <v>191</v>
      </c>
      <c r="HU2" s="662" t="s">
        <v>327</v>
      </c>
      <c r="HW2" s="618" t="s">
        <v>328</v>
      </c>
      <c r="HX2" s="618" t="s">
        <v>223</v>
      </c>
      <c r="HY2" s="618" t="str">
        <f>HR2</f>
        <v>Time</v>
      </c>
      <c r="IB2" s="618" t="s">
        <v>369</v>
      </c>
      <c r="IC2" s="618" t="s">
        <v>46</v>
      </c>
      <c r="IE2" s="618" t="s">
        <v>370</v>
      </c>
      <c r="IF2" s="618" t="s">
        <v>46</v>
      </c>
      <c r="IH2" s="618" t="s">
        <v>371</v>
      </c>
      <c r="II2" s="618" t="s">
        <v>46</v>
      </c>
      <c r="IK2" s="618" t="s">
        <v>372</v>
      </c>
      <c r="IL2" s="618" t="s">
        <v>46</v>
      </c>
      <c r="IN2" s="618" t="s">
        <v>373</v>
      </c>
      <c r="IO2" s="618" t="s">
        <v>46</v>
      </c>
      <c r="IQ2" s="618" t="s">
        <v>374</v>
      </c>
      <c r="IR2" s="618" t="s">
        <v>46</v>
      </c>
      <c r="IT2" s="633"/>
      <c r="IU2" s="628"/>
      <c r="IV2" s="618" t="s">
        <v>412</v>
      </c>
      <c r="IW2" s="618"/>
      <c r="IX2" s="618" t="s">
        <v>1</v>
      </c>
      <c r="IY2" s="618"/>
      <c r="IZ2" s="618"/>
      <c r="JA2" s="618"/>
      <c r="JB2" s="618"/>
      <c r="JC2" s="618"/>
      <c r="JD2" s="618"/>
      <c r="JE2" s="618"/>
      <c r="JF2" s="618"/>
      <c r="JG2" s="618"/>
      <c r="JH2" s="618"/>
      <c r="JI2" s="618"/>
      <c r="JJ2" s="618"/>
      <c r="JK2" s="618"/>
      <c r="JL2" s="618"/>
      <c r="JM2" s="618"/>
      <c r="JN2" s="618"/>
      <c r="JO2" s="618"/>
      <c r="JP2" s="618"/>
      <c r="JQ2" s="618"/>
      <c r="JR2" s="618"/>
      <c r="JS2" s="618"/>
      <c r="JT2" s="618"/>
      <c r="JU2" s="618"/>
      <c r="JW2" s="522"/>
      <c r="JX2" s="522"/>
      <c r="JY2" s="522"/>
      <c r="JZ2" s="522"/>
      <c r="KA2" s="522"/>
      <c r="KB2" s="522"/>
      <c r="KC2" s="522"/>
      <c r="KD2" s="522"/>
      <c r="KE2" s="522"/>
      <c r="KF2" s="522"/>
      <c r="KG2" s="522"/>
      <c r="KH2" s="522"/>
      <c r="KI2" s="522"/>
      <c r="KJ2" s="522"/>
      <c r="KK2" s="522"/>
      <c r="KL2" s="522"/>
    </row>
    <row r="3" spans="2:298" ht="15" customHeight="1" thickBot="1">
      <c r="B3" s="341"/>
      <c r="C3" s="341"/>
      <c r="D3" s="341"/>
      <c r="E3" s="341"/>
      <c r="F3" s="1027"/>
      <c r="G3" s="1027"/>
      <c r="H3" s="1027"/>
      <c r="I3" s="1027"/>
      <c r="J3" s="1027"/>
      <c r="K3" s="1027"/>
      <c r="L3" s="1027"/>
      <c r="M3" s="1027"/>
      <c r="N3" s="1027"/>
      <c r="O3" s="826"/>
      <c r="P3" s="826"/>
      <c r="Q3" s="826"/>
      <c r="R3" s="826"/>
      <c r="S3" s="826"/>
      <c r="T3" s="826"/>
      <c r="U3" s="826"/>
      <c r="V3" s="826"/>
      <c r="W3" s="826"/>
      <c r="X3" s="826"/>
      <c r="Y3" s="826"/>
      <c r="Z3" s="826"/>
      <c r="AA3" s="826"/>
      <c r="AB3" s="826"/>
      <c r="AC3" s="826"/>
      <c r="AD3" s="826"/>
      <c r="AE3" s="826"/>
      <c r="AF3" s="826"/>
      <c r="AG3" s="826"/>
      <c r="AH3" s="826"/>
      <c r="AI3" s="826"/>
      <c r="AJ3" s="826"/>
      <c r="AK3" s="826"/>
      <c r="AL3" s="826"/>
      <c r="AM3" s="826"/>
      <c r="AN3" s="826"/>
      <c r="AO3" s="826"/>
      <c r="AP3" s="826"/>
      <c r="AQ3" s="826"/>
      <c r="AR3" s="269"/>
      <c r="AS3" s="604"/>
      <c r="AT3" s="825"/>
      <c r="AU3" s="825"/>
      <c r="AV3" s="825"/>
      <c r="AW3" s="95"/>
      <c r="AX3" s="269"/>
      <c r="AY3" s="446" t="s">
        <v>680</v>
      </c>
      <c r="AZ3" s="67"/>
      <c r="BA3" s="338"/>
      <c r="BB3" s="816" t="s">
        <v>298</v>
      </c>
      <c r="BC3" s="817"/>
      <c r="BD3" s="818"/>
      <c r="BE3" s="789" t="s">
        <v>1</v>
      </c>
      <c r="BF3" s="790"/>
      <c r="BG3" s="781" t="s">
        <v>2</v>
      </c>
      <c r="BH3" s="782"/>
      <c r="BI3" s="783"/>
      <c r="BJ3" s="762" t="s">
        <v>5</v>
      </c>
      <c r="BK3" s="774" t="s">
        <v>386</v>
      </c>
      <c r="BL3" s="787" t="s">
        <v>387</v>
      </c>
      <c r="BM3" s="44"/>
      <c r="BN3" s="777"/>
      <c r="BO3" s="777"/>
      <c r="BP3" s="777"/>
      <c r="BQ3" s="777"/>
      <c r="BR3" s="777"/>
      <c r="BS3" s="777"/>
      <c r="BT3" s="44"/>
      <c r="BU3" s="44"/>
      <c r="BV3" s="44"/>
      <c r="BW3" s="44"/>
      <c r="BX3" s="44"/>
      <c r="BY3" s="44"/>
      <c r="BZ3" s="44"/>
      <c r="CA3" s="44"/>
      <c r="CB3" s="44"/>
      <c r="CC3" s="44"/>
      <c r="CD3" s="44"/>
      <c r="CE3" s="44"/>
      <c r="CF3" s="44"/>
      <c r="CG3" s="44"/>
      <c r="CH3" s="164"/>
      <c r="CI3" s="100"/>
      <c r="CJ3" s="152"/>
      <c r="CK3" s="152"/>
      <c r="CL3" s="153"/>
      <c r="CM3" s="155"/>
      <c r="CN3" s="155"/>
      <c r="CO3" s="689" t="str">
        <f ca="1">BI10</f>
        <v/>
      </c>
      <c r="CP3" s="632"/>
      <c r="CQ3" s="620" t="s">
        <v>4</v>
      </c>
      <c r="CR3" s="620" t="s">
        <v>415</v>
      </c>
      <c r="CS3" s="620"/>
      <c r="CT3" s="621" t="s">
        <v>130</v>
      </c>
      <c r="CU3" s="621" t="s">
        <v>131</v>
      </c>
      <c r="CV3" s="621" t="s">
        <v>132</v>
      </c>
      <c r="CW3" s="621" t="s">
        <v>408</v>
      </c>
      <c r="CX3" s="621" t="s">
        <v>407</v>
      </c>
      <c r="CY3" s="619" t="s">
        <v>409</v>
      </c>
      <c r="CZ3" s="619" t="s">
        <v>410</v>
      </c>
      <c r="DA3" s="619" t="s">
        <v>411</v>
      </c>
      <c r="DB3" s="619" t="s">
        <v>139</v>
      </c>
      <c r="DC3" s="618" t="s">
        <v>37</v>
      </c>
      <c r="DD3" s="618" t="s">
        <v>38</v>
      </c>
      <c r="DE3" s="618" t="s">
        <v>39</v>
      </c>
      <c r="DF3" s="618" t="s">
        <v>40</v>
      </c>
      <c r="DG3" s="618" t="s">
        <v>41</v>
      </c>
      <c r="DH3" s="618" t="s">
        <v>38</v>
      </c>
      <c r="DI3" s="618" t="s">
        <v>39</v>
      </c>
      <c r="DJ3" s="618" t="s">
        <v>40</v>
      </c>
      <c r="DK3" s="618" t="s">
        <v>42</v>
      </c>
      <c r="DL3" s="618" t="s">
        <v>38</v>
      </c>
      <c r="DM3" s="618" t="s">
        <v>39</v>
      </c>
      <c r="DN3" s="618" t="s">
        <v>40</v>
      </c>
      <c r="DO3" s="618" t="s">
        <v>43</v>
      </c>
      <c r="DP3" s="618" t="s">
        <v>38</v>
      </c>
      <c r="DQ3" s="618" t="s">
        <v>39</v>
      </c>
      <c r="DR3" s="618" t="s">
        <v>40</v>
      </c>
      <c r="DS3" s="618" t="s">
        <v>44</v>
      </c>
      <c r="DT3" s="618" t="s">
        <v>38</v>
      </c>
      <c r="DU3" s="618" t="s">
        <v>39</v>
      </c>
      <c r="DV3" s="618" t="s">
        <v>40</v>
      </c>
      <c r="DW3" s="618" t="s">
        <v>45</v>
      </c>
      <c r="DX3" s="618" t="s">
        <v>38</v>
      </c>
      <c r="DY3" s="618" t="s">
        <v>39</v>
      </c>
      <c r="DZ3" s="618" t="s">
        <v>40</v>
      </c>
      <c r="ED3" s="618" t="s">
        <v>37</v>
      </c>
      <c r="EE3" s="618" t="s">
        <v>38</v>
      </c>
      <c r="EF3" s="618" t="s">
        <v>39</v>
      </c>
      <c r="EG3" s="618" t="s">
        <v>40</v>
      </c>
      <c r="EH3" s="618" t="s">
        <v>41</v>
      </c>
      <c r="EI3" s="618" t="s">
        <v>38</v>
      </c>
      <c r="EJ3" s="618" t="s">
        <v>39</v>
      </c>
      <c r="EK3" s="618" t="s">
        <v>40</v>
      </c>
      <c r="EL3" s="618" t="s">
        <v>42</v>
      </c>
      <c r="EM3" s="618" t="s">
        <v>38</v>
      </c>
      <c r="EN3" s="618" t="s">
        <v>39</v>
      </c>
      <c r="EO3" s="618" t="s">
        <v>40</v>
      </c>
      <c r="EP3" s="618" t="s">
        <v>43</v>
      </c>
      <c r="EQ3" s="618" t="s">
        <v>38</v>
      </c>
      <c r="ER3" s="618" t="s">
        <v>39</v>
      </c>
      <c r="ES3" s="618" t="s">
        <v>40</v>
      </c>
      <c r="ET3" s="618" t="s">
        <v>44</v>
      </c>
      <c r="EU3" s="618" t="s">
        <v>38</v>
      </c>
      <c r="EV3" s="618" t="s">
        <v>39</v>
      </c>
      <c r="EW3" s="618" t="s">
        <v>40</v>
      </c>
      <c r="EX3" s="618" t="s">
        <v>45</v>
      </c>
      <c r="EY3" s="618" t="s">
        <v>38</v>
      </c>
      <c r="EZ3" s="618" t="s">
        <v>39</v>
      </c>
      <c r="FA3" s="618" t="s">
        <v>40</v>
      </c>
      <c r="FB3" s="439"/>
      <c r="FC3" s="439"/>
      <c r="FE3" s="618" t="s">
        <v>37</v>
      </c>
      <c r="FF3" s="618" t="s">
        <v>38</v>
      </c>
      <c r="FG3" s="618" t="s">
        <v>39</v>
      </c>
      <c r="FH3" s="618" t="s">
        <v>40</v>
      </c>
      <c r="FI3" s="618" t="s">
        <v>41</v>
      </c>
      <c r="FJ3" s="618" t="s">
        <v>38</v>
      </c>
      <c r="FK3" s="618" t="s">
        <v>39</v>
      </c>
      <c r="FL3" s="618" t="s">
        <v>40</v>
      </c>
      <c r="FM3" s="618" t="s">
        <v>42</v>
      </c>
      <c r="FN3" s="618" t="s">
        <v>38</v>
      </c>
      <c r="FO3" s="618" t="s">
        <v>39</v>
      </c>
      <c r="FP3" s="618" t="s">
        <v>40</v>
      </c>
      <c r="FQ3" s="618" t="s">
        <v>43</v>
      </c>
      <c r="FR3" s="618" t="s">
        <v>38</v>
      </c>
      <c r="FS3" s="618" t="s">
        <v>39</v>
      </c>
      <c r="FT3" s="618" t="s">
        <v>40</v>
      </c>
      <c r="FU3" s="618" t="s">
        <v>44</v>
      </c>
      <c r="FV3" s="618" t="s">
        <v>38</v>
      </c>
      <c r="FW3" s="618" t="s">
        <v>39</v>
      </c>
      <c r="FX3" s="618" t="s">
        <v>40</v>
      </c>
      <c r="FY3" s="618" t="s">
        <v>45</v>
      </c>
      <c r="FZ3" s="618" t="s">
        <v>38</v>
      </c>
      <c r="GA3" s="618" t="s">
        <v>39</v>
      </c>
      <c r="GB3" s="618" t="s">
        <v>40</v>
      </c>
      <c r="GF3" s="618" t="s">
        <v>37</v>
      </c>
      <c r="GG3" s="618" t="s">
        <v>38</v>
      </c>
      <c r="GH3" s="618" t="s">
        <v>39</v>
      </c>
      <c r="GI3" s="618" t="s">
        <v>40</v>
      </c>
      <c r="GJ3" s="618" t="s">
        <v>41</v>
      </c>
      <c r="GK3" s="618" t="s">
        <v>38</v>
      </c>
      <c r="GL3" s="618" t="s">
        <v>39</v>
      </c>
      <c r="GM3" s="618" t="s">
        <v>40</v>
      </c>
      <c r="GN3" s="618" t="s">
        <v>42</v>
      </c>
      <c r="GO3" s="618" t="s">
        <v>38</v>
      </c>
      <c r="GP3" s="618" t="s">
        <v>39</v>
      </c>
      <c r="GQ3" s="618" t="s">
        <v>40</v>
      </c>
      <c r="GR3" s="618" t="s">
        <v>43</v>
      </c>
      <c r="GS3" s="618" t="s">
        <v>38</v>
      </c>
      <c r="GT3" s="618" t="s">
        <v>39</v>
      </c>
      <c r="GU3" s="618" t="s">
        <v>40</v>
      </c>
      <c r="GV3" s="618" t="s">
        <v>44</v>
      </c>
      <c r="GW3" s="618" t="s">
        <v>38</v>
      </c>
      <c r="GX3" s="618" t="s">
        <v>39</v>
      </c>
      <c r="GY3" s="618" t="s">
        <v>40</v>
      </c>
      <c r="GZ3" s="618" t="s">
        <v>45</v>
      </c>
      <c r="HA3" s="618" t="s">
        <v>38</v>
      </c>
      <c r="HB3" s="618" t="s">
        <v>39</v>
      </c>
      <c r="HC3" s="618" t="s">
        <v>40</v>
      </c>
      <c r="HH3" s="618">
        <f>AC34</f>
        <v>15</v>
      </c>
      <c r="HI3" s="634">
        <f>AC50</f>
        <v>25</v>
      </c>
      <c r="HJ3" s="634">
        <f>HLOOKUP(IF(LEN(I16)&gt;6,LEFT(I16,5),I16),'LSM List Pricing'!$B$1:$BW$2,2,0)</f>
        <v>36</v>
      </c>
      <c r="HK3" s="634">
        <f>HLOOKUP(HJ3,'LSM List Pricing'!$B$2:$BW$3,2)</f>
        <v>340</v>
      </c>
      <c r="HL3" s="634">
        <f>VLOOKUP(AC50,'LSM List Pricing'!$A$7:$BW$87,HJ3,1)</f>
        <v>50</v>
      </c>
      <c r="HM3" s="634"/>
      <c r="HN3" s="628">
        <f>IF(B17=2,HK3+HK3+HL3,IF(B17=1,(HK3+HL3)*2,HK3+HL3))</f>
        <v>390</v>
      </c>
      <c r="HO3" s="628"/>
      <c r="HP3" s="628"/>
      <c r="HR3" s="618">
        <v>0</v>
      </c>
      <c r="HS3" s="618">
        <f>HR3/$AQ$43</f>
        <v>0</v>
      </c>
      <c r="HT3" s="618">
        <f>1-EXP(-HS3)</f>
        <v>0</v>
      </c>
      <c r="HU3" s="618">
        <v>0</v>
      </c>
      <c r="HW3" s="618">
        <f>O13</f>
        <v>36</v>
      </c>
      <c r="HX3" s="618">
        <v>0</v>
      </c>
      <c r="HY3" s="618">
        <f t="shared" ref="HY3:HY18" si="0">HR3</f>
        <v>0</v>
      </c>
      <c r="IB3" s="618">
        <f>HX3</f>
        <v>0</v>
      </c>
      <c r="IC3" s="618">
        <f>HY3</f>
        <v>0</v>
      </c>
      <c r="IE3" s="618">
        <f>HX3</f>
        <v>0</v>
      </c>
      <c r="IF3" s="618">
        <f>G46-AY34</f>
        <v>40.704999999999998</v>
      </c>
      <c r="IH3" s="618">
        <f>HX3</f>
        <v>0</v>
      </c>
      <c r="II3" s="618">
        <f>K46-AY38</f>
        <v>40.704999999999998</v>
      </c>
      <c r="IK3" s="618">
        <f>HX3</f>
        <v>0</v>
      </c>
      <c r="IL3" s="618">
        <f>O46-AY42</f>
        <v>40.704999999999998</v>
      </c>
      <c r="IN3" s="618">
        <f>HX3</f>
        <v>0</v>
      </c>
      <c r="IO3" s="618">
        <f>S46-AY46</f>
        <v>40.704999999999998</v>
      </c>
      <c r="IQ3" s="618">
        <f>HX3</f>
        <v>0</v>
      </c>
      <c r="IR3" s="618">
        <f>W46-AY50</f>
        <v>40.704999999999998</v>
      </c>
      <c r="IT3" s="633"/>
      <c r="IU3" s="628"/>
      <c r="IV3" s="618"/>
      <c r="IW3" s="618"/>
      <c r="IX3" s="618"/>
      <c r="IY3" s="618"/>
      <c r="IZ3" s="618"/>
      <c r="JA3" s="618"/>
      <c r="JB3" s="618"/>
      <c r="JC3" s="618"/>
      <c r="JD3" s="618"/>
      <c r="JE3" s="618"/>
      <c r="JF3" s="618"/>
      <c r="JG3" s="618"/>
      <c r="JH3" s="618"/>
      <c r="JI3" s="618"/>
      <c r="JJ3" s="618"/>
      <c r="JK3" s="618"/>
      <c r="JL3" s="618"/>
      <c r="JM3" s="618"/>
      <c r="JN3" s="618"/>
      <c r="JO3" s="618"/>
      <c r="JP3" s="618"/>
      <c r="JQ3" s="618"/>
      <c r="JR3" s="618"/>
      <c r="JS3" s="618"/>
      <c r="JT3" s="618"/>
      <c r="JU3" s="618"/>
      <c r="JW3" s="522"/>
      <c r="JX3" s="522"/>
      <c r="JY3" s="522"/>
      <c r="JZ3" s="522"/>
      <c r="KA3" s="522"/>
      <c r="KB3" s="522"/>
      <c r="KC3" s="522"/>
      <c r="KD3" s="522"/>
      <c r="KE3" s="522"/>
      <c r="KF3" s="522"/>
      <c r="KG3" s="522"/>
      <c r="KH3" s="522"/>
      <c r="KI3" s="522"/>
      <c r="KJ3" s="522"/>
      <c r="KK3" s="522"/>
      <c r="KL3" s="522"/>
    </row>
    <row r="4" spans="2:298" ht="16.5" customHeight="1" thickBot="1">
      <c r="B4" s="295" t="s">
        <v>8</v>
      </c>
      <c r="C4" s="296"/>
      <c r="D4" s="296"/>
      <c r="E4" s="296"/>
      <c r="F4" s="296"/>
      <c r="G4" s="296"/>
      <c r="H4" s="296"/>
      <c r="I4" s="836" t="s">
        <v>9</v>
      </c>
      <c r="J4" s="836"/>
      <c r="K4" s="836"/>
      <c r="L4" s="297" t="s">
        <v>3</v>
      </c>
      <c r="M4" s="59"/>
      <c r="N4" s="298"/>
      <c r="O4" s="320" t="b">
        <v>1</v>
      </c>
      <c r="P4" s="282" t="s">
        <v>10</v>
      </c>
      <c r="Q4" s="282"/>
      <c r="R4" s="49"/>
      <c r="S4" s="49"/>
      <c r="T4" s="49"/>
      <c r="U4" s="50"/>
      <c r="V4" s="50"/>
      <c r="W4" s="49"/>
      <c r="X4" s="49"/>
      <c r="Y4" s="49"/>
      <c r="Z4" s="386" t="b">
        <v>0</v>
      </c>
      <c r="AA4" s="49"/>
      <c r="AB4" s="49"/>
      <c r="AC4" s="50"/>
      <c r="AD4" s="814">
        <v>50</v>
      </c>
      <c r="AE4" s="815"/>
      <c r="AF4" s="574" t="s">
        <v>191</v>
      </c>
      <c r="AG4" s="282"/>
      <c r="AH4" s="49"/>
      <c r="AI4" s="49"/>
      <c r="AJ4" s="49"/>
      <c r="AK4" s="49"/>
      <c r="AL4" s="50"/>
      <c r="AM4" s="50"/>
      <c r="AN4" s="49"/>
      <c r="AO4" s="49"/>
      <c r="AP4" s="49"/>
      <c r="AQ4" s="49"/>
      <c r="AR4" s="49"/>
      <c r="AS4" s="49"/>
      <c r="AT4" s="50"/>
      <c r="AU4" s="50"/>
      <c r="AV4" s="49"/>
      <c r="AW4" s="49"/>
      <c r="AX4" s="49"/>
      <c r="AY4" s="49"/>
      <c r="AZ4" s="49"/>
      <c r="BA4" s="49"/>
      <c r="BB4" s="819">
        <f>J12-10</f>
        <v>100</v>
      </c>
      <c r="BC4" s="820"/>
      <c r="BD4" s="821"/>
      <c r="BE4" s="779" t="s">
        <v>5</v>
      </c>
      <c r="BF4" s="779" t="s">
        <v>6</v>
      </c>
      <c r="BG4" s="761" t="s">
        <v>5</v>
      </c>
      <c r="BH4" s="795" t="s">
        <v>386</v>
      </c>
      <c r="BI4" s="780" t="s">
        <v>387</v>
      </c>
      <c r="BJ4" s="763"/>
      <c r="BK4" s="775"/>
      <c r="BL4" s="788"/>
      <c r="BM4" s="44"/>
      <c r="BN4" s="51" t="s">
        <v>140</v>
      </c>
      <c r="BO4" s="44"/>
      <c r="BP4" s="44"/>
      <c r="BQ4" s="44"/>
      <c r="BR4" s="44"/>
      <c r="BS4" s="44"/>
      <c r="BT4" s="44"/>
      <c r="BU4" s="44"/>
      <c r="BV4" s="44"/>
      <c r="BW4" s="44"/>
      <c r="BX4" s="44"/>
      <c r="BY4" s="44"/>
      <c r="BZ4" s="44"/>
      <c r="CA4" s="44"/>
      <c r="CB4" s="44"/>
      <c r="CC4" s="44"/>
      <c r="CD4" s="44"/>
      <c r="CE4" s="44"/>
      <c r="CF4" s="44"/>
      <c r="CG4" s="52"/>
      <c r="CH4" s="164"/>
      <c r="CI4" s="100"/>
      <c r="CJ4" s="419"/>
      <c r="CK4" s="152"/>
      <c r="CL4" s="153"/>
      <c r="CM4" s="155"/>
      <c r="CN4" s="377"/>
      <c r="CO4" s="689" t="str">
        <f t="array" ref="CO4:CO111" ca="1">IF(ISERR(SMALL(IF(AvMotor&lt;&gt;"",ROW(INDIRECT("1:"&amp;ROWS(AvMotor)))),ROW(INDIRECT("1:"&amp;ROWS(AvMotor))))),"",INDEX(AvMotor,SMALL(IF(AvMotor&lt;&gt;"",ROW(INDIRECT("1:"&amp;ROWS(AvMotor)))),ROW(INDIRECT("1:"&amp;ROWS(AvMotor))))))</f>
        <v>S040D</v>
      </c>
      <c r="CP4" s="632" t="str">
        <f>IF(OR(CQ4=0,CR4="",CS4&gt;120),"",IF(HLOOKUP(CQ4,Spec_Sheet!$F$3:$ED$19,17,FALSE)&lt;$AC$46,"",CQ4))</f>
        <v>S040D</v>
      </c>
      <c r="CQ4" s="660" t="str">
        <f>IF(Spec_Sheet!A3="","",Spec_Sheet!A3)</f>
        <v>S040D</v>
      </c>
      <c r="CR4" s="660">
        <f>IF(CQ4="",0,HLOOKUP(CQ4,Spec_Sheet!$F$3:$ED$19,2,FALSE))</f>
        <v>0.28999999999999998</v>
      </c>
      <c r="CS4" s="660">
        <f t="shared" ref="CS4:CS6" si="1">IF(CR4=0,500,IF(IFERROR(CV4,TRUE),SMALL(CT4:CU4,1),SMALL(CT4:CX4,1)))</f>
        <v>0.88409132800459145</v>
      </c>
      <c r="CT4" s="621">
        <f t="shared" ref="CT4:CT20" si="2">((EB4/DB4)/(CR4/DB4))^2*100</f>
        <v>3.3857210558351705</v>
      </c>
      <c r="CU4" s="621">
        <f t="shared" ref="CU4:CU35" si="3">((JU4/DB4)/((CR4*2)/DB4))^2*100</f>
        <v>0.88409132800459145</v>
      </c>
      <c r="CV4" s="621">
        <f t="shared" ref="CV4:CV20" si="4">((GD4/DB4)/(CR4/DB4))^2*100</f>
        <v>3.4022973887404557</v>
      </c>
      <c r="CW4" s="621">
        <f t="shared" ref="CW4:CW20" si="5">((FC4/DB4)/((CR4*2)/DB4))^2*100</f>
        <v>0.89257177182304626</v>
      </c>
      <c r="CX4" s="621" t="str">
        <f>IF(DA4="X","",((HE4/DB4)/((CR4*2)/DB4))^2*100)</f>
        <v/>
      </c>
      <c r="CY4" s="619">
        <f>HLOOKUP(CQ4,Spec_Sheet!$F$3:$ED$19,13,FALSE)</f>
        <v>8.9999999999999993E-3</v>
      </c>
      <c r="CZ4" s="619">
        <f>VLOOKUP(HH4,'Shaft Weight'!$A$6:$CD$102,HJ4,TRUE)</f>
        <v>0.01</v>
      </c>
      <c r="DA4" s="619" t="str">
        <f>VLOOKUP(HI4,'Shaft Weight'!$A$6:$CD$102,HJ4,0)</f>
        <v>X</v>
      </c>
      <c r="DB4" s="619">
        <f>HLOOKUP(CQ4,Spec_Sheet!$F$3:$ED$19,6,FALSE)</f>
        <v>1.04</v>
      </c>
      <c r="DC4" s="439">
        <f t="shared" ref="DC4:DC35" si="6">(ML+$CY4)*$AC$7+$DD4-IF(AND($Z$4,$V$11),Fl,0)</f>
        <v>0.52392900000000009</v>
      </c>
      <c r="DD4" s="440">
        <f t="shared" ref="DD4:DD35" si="7">(ML+$CY4)*(9.81*IF($W$11&gt;0,1,-1))*((SIN(a)*IF($W$11&gt;0,1,-1))+u*COS(a))+IF($V$11,Fl,0)+Fr</f>
        <v>0.40122900000000006</v>
      </c>
      <c r="DE4" s="439">
        <f t="shared" ref="DE4:DE35" si="8">(ML+$CY4)*$AC$10-$DD4+IF(AND($Z$4,$V$11),Fl,0)</f>
        <v>-0.27852900000000003</v>
      </c>
      <c r="DF4" s="439">
        <f t="shared" ref="DF4:DF35" si="9">(ML+$CY4)*9.81*SIN(a)+IF($V$11,Fl,0)-IF(AND($Z$4,$V$11),Fl,0)</f>
        <v>0</v>
      </c>
      <c r="DG4" s="439">
        <f t="shared" ref="DG4:DG35" si="10">IF($P$13,(ML+$CY4)*$AC$15+$DH4,0)</f>
        <v>0</v>
      </c>
      <c r="DH4" s="439">
        <f t="shared" ref="DH4:DH35" si="11">IF($P$13,(ML+$CY4)*(9.81*IF($W$19&gt;0,1,-1))*((SIN(a)*IF($W$19&gt;0,1,-1))+u*COS(a))+IF($V$19,Fl,0)+Fr,0)</f>
        <v>0</v>
      </c>
      <c r="DI4" s="439">
        <f t="shared" ref="DI4:DI35" si="12">IF($P$13,(ML+$CY4)*$AC$18-$DH4,0)</f>
        <v>0</v>
      </c>
      <c r="DJ4" s="439">
        <f t="shared" ref="DJ4:DJ35" si="13">IF($P$13,(ML+$CY4)*9.81*SIN(a)+IF($V$19,Fl,0),0)</f>
        <v>0</v>
      </c>
      <c r="DK4" s="439">
        <f t="shared" ref="DK4:DK35" si="14">IF($P$21,(ML+$CY4)*$AC$23+$DL4,0)</f>
        <v>0</v>
      </c>
      <c r="DL4" s="439">
        <f t="shared" ref="DL4:DL35" si="15">IF($P$21,(ML+$CY4)*(9.81*IF($W$27&gt;0,1,-1))*((SIN(a)*IF($W$27&gt;0,1,-1))+u*COS(a))+IF($V$27,Fl,0)+Fr,0)</f>
        <v>0</v>
      </c>
      <c r="DM4" s="439">
        <f t="shared" ref="DM4:DM35" si="16">IF($P$21,(ML+$CY4)*$AC$26-$DL4,0)</f>
        <v>0</v>
      </c>
      <c r="DN4" s="439">
        <f t="shared" ref="DN4:DN35" si="17">IF($P$21,(ML+$CY4)*9.81*SIN(a)+IF($V$27,Fl,0),0)</f>
        <v>0</v>
      </c>
      <c r="DO4" s="439">
        <f t="shared" ref="DO4:DO35" si="18">IF($AG$5,(ML+$CY4)*$AT$7+$DP4,0)</f>
        <v>0</v>
      </c>
      <c r="DP4" s="439">
        <f t="shared" ref="DP4:DP35" si="19">IF($AG$5,(ML+$CY4)*(9.81*IF($AN$11&gt;0,1,-1))*((SIN(a)*IF($AN$11&gt;0,1,-1))+u*COS(a))+IF($AM$11,Fl,0)+Fr,0)</f>
        <v>0</v>
      </c>
      <c r="DQ4" s="442">
        <f t="shared" ref="DQ4:DQ35" si="20">IF($AG$5,(ML+$CY4)*$AT$10-$DP4,0)</f>
        <v>0</v>
      </c>
      <c r="DR4" s="442">
        <f t="shared" ref="DR4:DR35" si="21">IF($AG$5,(ML+$CY4)*9.81*SIN(a)+IF($AM$11,Fl,0),0)</f>
        <v>0</v>
      </c>
      <c r="DS4" s="439">
        <f t="shared" ref="DS4:DS35" si="22">IF($AG$13,(ML+$CY4)*$AT$15+$DT4,0)</f>
        <v>0</v>
      </c>
      <c r="DT4" s="439">
        <f t="shared" ref="DT4:DT35" si="23">IF($AG$13,(ML+$CY4)*(9.81*IF($AN$19&gt;0,1,-1))*((SIN(a)*IF($AN$19&gt;0,1,-1))+u*COS(a))+IF($AM$19,Fl,0)+Fr,0)</f>
        <v>0</v>
      </c>
      <c r="DU4" s="661">
        <f t="shared" ref="DU4:DU35" si="24">IF($AG$13,(ML+$CY4)*$AT$18-$DT4,0)</f>
        <v>0</v>
      </c>
      <c r="DV4" s="661">
        <f t="shared" ref="DV4:DV35" si="25">IF($AG$13,(ML+$CY4)*9.81*SIN(a)+IF($AM$19,Fl,0),0)</f>
        <v>0</v>
      </c>
      <c r="DW4" s="439">
        <f t="shared" ref="DW4:DW35" si="26">IF($AG$21,(ML+$CY4)*$AT$23+$DX4,0)</f>
        <v>0</v>
      </c>
      <c r="DX4" s="439">
        <f t="shared" ref="DX4:DX35" si="27">IF($AG$21,(ML+$CY4)*(9.81*IF($AN$27&gt;0,1,-1))*((SIN(a)*IF($AN$27&gt;0,1,-1))+u*COS(a))+IF($AM$27,Fl,0)+Fr,0)</f>
        <v>0</v>
      </c>
      <c r="DY4" s="439">
        <f t="shared" ref="DY4:DY35" si="28">IF($AG$21,(ML+$CY4)*$AT$26-$DX4,0)</f>
        <v>0</v>
      </c>
      <c r="DZ4" s="439">
        <f t="shared" ref="DZ4:DZ35" si="29">IF($AG$21,(ML+$CY4)*9.81*SIN(a)+IF($AM$27,Fl,0),0)</f>
        <v>0</v>
      </c>
      <c r="EA4" s="631" t="s">
        <v>92</v>
      </c>
      <c r="EB4" s="631">
        <f t="shared" ref="EB4" si="30">SQRT((((IF(DC4&gt;0,DC4,DC4*-1))^2*$D$38)+((IF(DD4&gt;0,DD4,DD4*-1))^2*$E$38)+((IF(DE4&gt;0,DE4,DE4*-1))^2*$F$38)+((IF(DF4&gt;0,DF4,DF4*-1))^2*$G$38)+((IF(DG4&gt;0,DG4,DG4*-1))^2*$H$38)+((IF(DH4&gt;0,DH4,DH4*-1))^2*$I$38)+((IF(DI4&gt;0,DI4,DI4*-1))^2*$J$38)+((IF(DJ4&gt;0,DJ4,DJ4*-1))^2*$K$38)+((IF(DK4&gt;0,DK4,DK4*-1))^2*$L$38)+((IF(DL4&gt;0,DL4,DL4*-1))^2*$M$38)+((IF(DM4&gt;0,DM4,DM4*-1))^2*$N$38)+((IF(DN4&gt;0,DN4,DN4*-1))^2*$O$38)+((IF(DO4&gt;0,DO4,DO4*-1))^2*$P$38)+((IF(DP4&gt;0,DP4,DP4*-1))^2*$Q$38)+((IF(DQ4&gt;0,DQ4,DQ4*-1))^2*$R$38)+((IF(DR4&gt;0,DR4,DR4*-1))^2*$S$38)+((IF(DS4&gt;0,DS4,DS4*-1))^2*$T$38)+((IF(DT4&gt;0,DT4,DT4*-1))^2*$U$38)+((IF(DU4&gt;0,DU4,DU4*-1))^2*$V$38)+((IF(DV4&gt;0,DV4,DV4*-1))^2*$W$38)+((IF(DW4&gt;0,DW4,DW4*-1))^2*$X$38)+((IF(DX4&gt;0,DX4,DX4*-1))^2*$Y$38)+((IF(DY4&gt;0,DY4,DY4*-1))^2*$Z$38)+((IF(DZ4&gt;0,DZ4,DZ4*-1))^2*$AA$38))/$AA$31)</f>
        <v>5.3360953964086674E-2</v>
      </c>
      <c r="ED4" s="439">
        <f t="shared" ref="ED4:ED35" si="31">(ML+($CZ4*2))*$AC$7+$EE4-IF(AND($Z$4,$V$11),Fl,0)</f>
        <v>0.53802000000000005</v>
      </c>
      <c r="EE4" s="440">
        <f t="shared" ref="EE4:EE35" si="32">(ML+($CZ4*2))*(9.81*IF($W$11&gt;0,1,-1))*((SIN(a)*IF($W$11&gt;0,1,-1))+u*COS(a))+IF($V$11,Fl,0)+Fr</f>
        <v>0.41202000000000005</v>
      </c>
      <c r="EF4" s="439">
        <f t="shared" ref="EF4:EF35" si="33">(ML+($CZ4*2))*$AC$10-$EE4+IF(AND($Z$4,$V$11),Fl,0)</f>
        <v>-0.28602000000000005</v>
      </c>
      <c r="EG4" s="441">
        <f t="shared" ref="EG4:EG35" si="34">(ML+($CZ4*2))*9.81*SIN(a)+IF($V$11,Fl,0)-IF(AND($Z$4,$V$11),Fl,0)</f>
        <v>0</v>
      </c>
      <c r="EH4" s="439">
        <f t="shared" ref="EH4:EH35" si="35">IF($P$13,(ML+($CZ4*2))*$AC$15+$EI4,0)</f>
        <v>0</v>
      </c>
      <c r="EI4" s="439">
        <f t="shared" ref="EI4:EI35" si="36">IF($P$13,(ML+($CZ4*2))*(9.81*IF($W$19&gt;0,1,-1))*((SIN(a)*IF($W$19&gt;0,1,-1))+u*COS(a))+IF($V$19,Fl,0)+Fr,0)</f>
        <v>0</v>
      </c>
      <c r="EJ4" s="439">
        <f t="shared" ref="EJ4:EJ35" si="37">IF($P$13,(ML+($CZ4*2))*$AC$18-$EI4,0)</f>
        <v>0</v>
      </c>
      <c r="EK4" s="439">
        <f t="shared" ref="EK4:EK35" si="38">IF($P$13,(ML+($CZ4*2))*9.81*SIN(a)+IF($V$19,Fl,0),0)</f>
        <v>0</v>
      </c>
      <c r="EL4" s="439">
        <f t="shared" ref="EL4:EL35" si="39">IF($P$21,(ML+($CZ4*2))*$AC$23+$EM4,0)</f>
        <v>0</v>
      </c>
      <c r="EM4" s="439">
        <f t="shared" ref="EM4:EM35" si="40">IF($P$21,(ML+($CZ4*2))*(9.81*IF($W$27&gt;0,1,-1))*((SIN(a)*IF($W$27&gt;0,1,-1))+u*COS(a))+IF($V$27,Fl,0)+Fr,0)</f>
        <v>0</v>
      </c>
      <c r="EN4" s="439">
        <f t="shared" ref="EN4:EN35" si="41">IF($P$21,(ML+($CZ4*2))*$AC$26-$EM4,0)</f>
        <v>0</v>
      </c>
      <c r="EO4" s="439">
        <f t="shared" ref="EO4:EO35" si="42">IF($P$21,(ML+($CZ4*2))*9.81*SIN(a)+IF($V$27,Fl,0),0)</f>
        <v>0</v>
      </c>
      <c r="EP4" s="439">
        <f t="shared" ref="EP4:EP35" si="43">IF($AG$5,(ML+($CZ4*2))*$AT$7+$EQ4,0)</f>
        <v>0</v>
      </c>
      <c r="EQ4" s="439">
        <f t="shared" ref="EQ4:EQ35" si="44">IF($AG$5,(ML+($CZ4*2))*(9.81*IF($AN$11&gt;0,1,-1))*((SIN(a)*IF($AN$11&gt;0,1,-1))+u*COS(a))+IF($AM$11,Fl,0)+Fr,0)</f>
        <v>0</v>
      </c>
      <c r="ER4" s="442">
        <f t="shared" ref="ER4:ER35" si="45">IF($AG$5,(ML+($CZ4*2))*$AT$10-$EQ4,0)</f>
        <v>0</v>
      </c>
      <c r="ES4" s="442">
        <f t="shared" ref="ES4:ES35" si="46">IF($AG$5,(ML+($CZ4*2))*9.81*SIN(a)+IF($AM$11,Fl,0),0)</f>
        <v>0</v>
      </c>
      <c r="ET4" s="439">
        <f t="shared" ref="ET4:ET35" si="47">IF($AG$13,(ML+($CZ4*2))*$AT$15+$EU4,0)</f>
        <v>0</v>
      </c>
      <c r="EU4" s="439">
        <f t="shared" ref="EU4:EU35" si="48">IF($AG$13,(ML+($CZ4*2))*(9.81*IF($AN$19&gt;0,1,-1))*((SIN(a)*IF($AN$19&gt;0,1,-1))+u*COS(a))+IF($AM$19,Fl,0)+Fr,0)</f>
        <v>0</v>
      </c>
      <c r="EV4" s="661">
        <f t="shared" ref="EV4:EV35" si="49">IF($AG$13,(ML+($CZ4*2))*$AT$18-$EU4,0)</f>
        <v>0</v>
      </c>
      <c r="EW4" s="661">
        <f t="shared" ref="EW4:EW35" si="50">IF($AG$13,(ML+($CZ4*2))*9.81*SIN(a)+IF($AM$19,Fl,0),0)</f>
        <v>0</v>
      </c>
      <c r="EX4" s="439">
        <f t="shared" ref="EX4:EX35" si="51">IF($AG$21,(ML+($CZ4*2))*$AT$23+$EY4,0)</f>
        <v>0</v>
      </c>
      <c r="EY4" s="439">
        <f t="shared" ref="EY4:EY35" si="52">IF($AG$21,(ML+($CZ4*2))*(9.81*IF($AN$27&gt;0,1,-1))*((SIN(a)*IF($AN$27&gt;0,1,-1))+u*COS(a))+IF($AM$27,Fl,0)+Fr,0)</f>
        <v>0</v>
      </c>
      <c r="EZ4" s="439">
        <f t="shared" ref="EZ4:EZ35" si="53">IF($AG$21,(ML+($CZ4*2))*$AT$26-$EY4,0)</f>
        <v>0</v>
      </c>
      <c r="FA4" s="439">
        <f t="shared" ref="FA4:FA35" si="54">IF($AG$21,(ML+($CZ4*2))*9.81*SIN(a)+IF($AM$27,Fl,0),0)</f>
        <v>0</v>
      </c>
      <c r="FB4" s="631" t="s">
        <v>92</v>
      </c>
      <c r="FC4" s="631">
        <f t="shared" ref="FC4" si="55">SQRT((((IF(ED4&gt;0,ED4,ED4*-1))^2*$D$38)+((IF(EE4&gt;0,EE4,EE4*-1))^2*$E$38)+((IF(EF4&gt;0,EF4,EF4*-1))^2*$F$38)+((IF(EG4&gt;0,EG4,EG4*-1))^2*$G$38)+((IF(EH4&gt;0,EH4,EH4*-1))^2*$H$38)+((IF(EI4&gt;0,EI4,EI4*-1))^2*$I$38)+((IF(EJ4&gt;0,EJ4,EJ4*-1))^2*$J$38)+((IF(EK4&gt;0,EK4,EK4*-1))^2*$K$38)+((IF(EL4&gt;0,EL4,EL4*-1))^2*$L$38)+((IF(EM4&gt;0,EM4,EM4*-1))^2*$M$38)+((IF(EN4&gt;0,EN4,EN4*-1))^2*$N$38)+((IF(EO4&gt;0,EO4,EO4*-1))^2*$O$38)+((IF(EP4&gt;0,EP4,EP4*-1))^2*$P$38)+((IF(EQ4&gt;0,EQ4,EQ4*-1))^2*$Q$38)+((IF(ER4&gt;0,ER4,ER4*-1))^2*$R$38)+((IF(ES4&gt;0,ES4,ES4*-1))^2*$S$38)+((IF(ET4&gt;0,ET4,ET4*-1))^2*$T$38)+((IF(EU4&gt;0,EU4,EU4*-1))^2*$U$38)+((IF(EV4&gt;0,EV4,EV4*-1))^2*$V$38)+((IF(EW4&gt;0,EW4,EW4*-1))^2*$W$38)+((IF(EX4&gt;0,EX4,EX4*-1))^2*$X$38)+((IF(EY4&gt;0,EY4,EY4*-1))^2*$Y$38)+((IF(EZ4&gt;0,EZ4,EZ4*-1))^2*$Z$38)+((IF(FA4&gt;0,FA4,FA4*-1))^2*$AA$38))/$AA$31)</f>
        <v>5.4796089645272376E-2</v>
      </c>
      <c r="FE4" s="439">
        <f t="shared" ref="FE4:FE35" si="56">(ML+$CZ4)*$AC$7+$FF4-IF(AND($Z$4,$V$11),Fl,0)</f>
        <v>0.52521000000000018</v>
      </c>
      <c r="FF4" s="440">
        <f t="shared" ref="FF4:FF35" si="57">(ML+$CZ4)*(9.81*IF($W$11&gt;0,1,-1))*((SIN(a)*IF($W$11&gt;0,1,-1))+u*COS(a))+IF($V$11,Fl,0)+Fr</f>
        <v>0.40221000000000012</v>
      </c>
      <c r="FG4" s="439">
        <f t="shared" ref="FG4:FG35" si="58">(ML+$CZ4)*$AC$10-$FF4+IF(AND($Z$4,$V$11),Fl,0)</f>
        <v>-0.27921000000000012</v>
      </c>
      <c r="FH4" s="441">
        <f t="shared" ref="FH4:FH35" si="59">(ML+$CZ4)*9.81*SIN(a)+IF($V$11,Fl,0)-IF(AND($Z$4,$V$11),Fl,0)</f>
        <v>0</v>
      </c>
      <c r="FI4" s="439">
        <f t="shared" ref="FI4:FI35" si="60">IF($P$13,(ML+$CZ4)*$AC$15+$FJ4,0)</f>
        <v>0</v>
      </c>
      <c r="FJ4" s="439">
        <f t="shared" ref="FJ4:FJ35" si="61">IF($P$13,(ML+$CZ4)*(9.81*IF($W$19&gt;0,1,-1))*((SIN(a)*IF($W$19&gt;0,1,-1))+u*COS(a))+IF($V$19,Fl,0)+Fr,0)</f>
        <v>0</v>
      </c>
      <c r="FK4" s="439">
        <f t="shared" ref="FK4:FK35" si="62">IF($P$13,(ML+$CZ4)*$AC$18-$FJ4,0)</f>
        <v>0</v>
      </c>
      <c r="FL4" s="439">
        <f t="shared" ref="FL4:FL35" si="63">IF($P$13,(ML+$CZ4)*9.81*SIN(a)+IF($V$19,Fl,0),0)</f>
        <v>0</v>
      </c>
      <c r="FM4" s="439">
        <f t="shared" ref="FM4:FM35" si="64">IF($P$21,(ML+$CZ4)*$AC$23+$FN4,0)</f>
        <v>0</v>
      </c>
      <c r="FN4" s="439">
        <f t="shared" ref="FN4:FN35" si="65">IF($P$21,(ML+$CZ4)*(9.81*IF($W$27&gt;0,1,-1))*((SIN(a)*IF($W$27&gt;0,1,-1))+u*COS(a))+IF($V$27,Fl,0)+Fr,0)</f>
        <v>0</v>
      </c>
      <c r="FO4" s="439">
        <f t="shared" ref="FO4:FO35" si="66">IF($P$21,(ML+$CZ4)*$AC$26-$FN4,0)</f>
        <v>0</v>
      </c>
      <c r="FP4" s="439">
        <f t="shared" ref="FP4:FP35" si="67">IF($P$21,(ML+$CZ4)*9.81*SIN(a)+IF($V$27,Fl,0),0)</f>
        <v>0</v>
      </c>
      <c r="FQ4" s="439">
        <f t="shared" ref="FQ4:FQ35" si="68">IF($AG$5,(ML+$CZ4)*$AT$7+$FR4,0)</f>
        <v>0</v>
      </c>
      <c r="FR4" s="439">
        <f t="shared" ref="FR4:FR35" si="69">IF($AG$5,(ML+$CZ4)*(9.81*IF($AN$11&gt;0,1,-1))*((SIN(a)*IF($AN$11&gt;0,1,-1))+u*COS(a))+IF($AM$11,Fl,0)+Fr,0)</f>
        <v>0</v>
      </c>
      <c r="FS4" s="442">
        <f t="shared" ref="FS4:FS35" si="70">IF($AG$5,(ML+$CZ4)*$AT$10-$FR4,0)</f>
        <v>0</v>
      </c>
      <c r="FT4" s="442">
        <f t="shared" ref="FT4:FT35" si="71">IF($AG$5,(ML+$CZ4)*9.81*SIN(a)+IF($AM$11,Fl,0),0)</f>
        <v>0</v>
      </c>
      <c r="FU4" s="439">
        <f t="shared" ref="FU4:FU35" si="72">IF($AG$13,(ML+$CZ4)*$AT$15+$FV4,0)</f>
        <v>0</v>
      </c>
      <c r="FV4" s="439">
        <f t="shared" ref="FV4:FV35" si="73">IF($AG$13,(ML+$CZ4)*(9.81*IF($AN$19&gt;0,1,-1))*((SIN(a)*IF($AN$19&gt;0,1,-1))+u*COS(a))+IF($AM$19,Fl,0)+Fr,0)</f>
        <v>0</v>
      </c>
      <c r="FW4" s="661">
        <f t="shared" ref="FW4:FW35" si="74">IF($AG$13,(ML+$CZ4)*$AT$18-$FV4,0)</f>
        <v>0</v>
      </c>
      <c r="FX4" s="661">
        <f t="shared" ref="FX4:FX35" si="75">IF($AG$13,(ML+$CZ4)*9.81*SIN(a)+IF($AM$19,Fl,0),0)</f>
        <v>0</v>
      </c>
      <c r="FY4" s="439">
        <f t="shared" ref="FY4:FY35" si="76">IF($AG$21,(ML+$CZ4)*$AT$23+$FZ4,0)</f>
        <v>0</v>
      </c>
      <c r="FZ4" s="439">
        <f t="shared" ref="FZ4:FZ35" si="77">IF($AG$21,(ML+$CZ4)*(9.81*IF($AN$27&gt;0,1,-1))*((SIN(a)*IF($AN$27&gt;0,1,-1))+u*COS(a))+IF($AM$27,Fl,0)+Fr,0)</f>
        <v>0</v>
      </c>
      <c r="GA4" s="439">
        <f t="shared" ref="GA4:GA35" si="78">IF($AG$21,(ML+$CZ4)*$AT$26-$FZ4,0)</f>
        <v>0</v>
      </c>
      <c r="GB4" s="439">
        <f t="shared" ref="GB4:GB35" si="79">IF($AG$21,(ML+$CZ4)*9.81*SIN(a)+IF($AM$27,Fl,0),0)</f>
        <v>0</v>
      </c>
      <c r="GC4" s="631" t="s">
        <v>92</v>
      </c>
      <c r="GD4" s="631">
        <f t="shared" ref="GD4" si="80">SQRT((((IF(FE4&gt;0,FE4,FE4*-1))^2*$D$38)+((IF(FF4&gt;0,FF4,FF4*-1))^2*$E$38)+((IF(FG4&gt;0,FG4,FG4*-1))^2*$F$38)+((IF(FH4&gt;0,FH4,FH4*-1))^2*$G$38)+((IF(FI4&gt;0,FI4,FI4*-1))^2*$H$38)+((IF(FJ4&gt;0,FJ4,FJ4*-1))^2*$I$38)+((IF(FK4&gt;0,FK4,FK4*-1))^2*$J$38)+((IF(FL4&gt;0,FL4,FL4*-1))^2*$K$38)+((IF(FM4&gt;0,FM4,FM4*-1))^2*$L$38)+((IF(FN4&gt;0,FN4,FN4*-1))^2*$M$38)+((IF(FO4&gt;0,FO4,FO4*-1))^2*$N$38)+((IF(FP4&gt;0,FP4,FP4*-1))^2*$O$38)+((IF(FQ4&gt;0,FQ4,FQ4*-1))^2*$P$38)+((IF(FR4&gt;0,FR4,FR4*-1))^2*$Q$38)+((IF(FS4&gt;0,FS4,FS4*-1))^2*$R$38)+((IF(FT4&gt;0,FT4,FT4*-1))^2*$S$38)+((IF(FU4&gt;0,FU4,FU4*-1))^2*$T$38)+((IF(FV4&gt;0,FV4,FV4*-1))^2*$U$38)+((IF(FW4&gt;0,FW4,FW4*-1))^2*$V$38)+((IF(FX4&gt;0,FX4,FX4*-1))^2*$W$38)+((IF(FY4&gt;0,FY4,FY4*-1))^2*$X$38)+((IF(FZ4&gt;0,FZ4,FZ4*-1))^2*$Y$38)+((IF(GA4&gt;0,GA4,GA4*-1))^2*$Z$38)+((IF(GB4&gt;0,GB4,GB4*-1))^2*$AA$38))/$AA$31)</f>
        <v>5.3491420844194469E-2</v>
      </c>
      <c r="GF4" s="439" t="e">
        <f t="shared" ref="GF4:GF35" si="81">(ML+DA4)*$AC$7+$GG4-IF(AND($Z$4,$V$11),Fl,0)</f>
        <v>#VALUE!</v>
      </c>
      <c r="GG4" s="440" t="e">
        <f t="shared" ref="GG4:GG35" si="82">(ML+$DA4)*(9.81*IF($W$11&gt;0,1,-1))*((SIN(a)*IF($W$11&gt;0,1,-1))+u*COS(a))+IF($V$11,Fl,0)+Fr</f>
        <v>#VALUE!</v>
      </c>
      <c r="GH4" s="439" t="e">
        <f t="shared" ref="GH4:GH35" si="83">(ML+$DA4)*$AC$10-$GG4+IF(AND($Z$4,$V$11),Fl,0)</f>
        <v>#VALUE!</v>
      </c>
      <c r="GI4" s="439" t="e">
        <f t="shared" ref="GI4:GI35" si="84">(ML+$DA4)*9.81*SIN(a)+IF($V$11,Fl,0)-IF(AND($Z$4,$V$11),Fl,0)</f>
        <v>#VALUE!</v>
      </c>
      <c r="GJ4" s="439">
        <f t="shared" ref="GJ4:GJ35" si="85">IF($P$13,(ML+$DA4)*$AC$15+$GK4,0)</f>
        <v>0</v>
      </c>
      <c r="GK4" s="439">
        <f t="shared" ref="GK4:GK35" si="86">IF($P$13,(ML+$DA4)*(9.81*IF($W$19&gt;0,1,-1))*((SIN(a)*IF($W$19&gt;0,1,-1))+u*COS(a))+IF($V$19,Fl,0)+Fr,0)</f>
        <v>0</v>
      </c>
      <c r="GL4" s="439">
        <f t="shared" ref="GL4:GL35" si="87">IF($P$13,(ML+$DA4)*$AC$18-$GK4,0)</f>
        <v>0</v>
      </c>
      <c r="GM4" s="439">
        <f t="shared" ref="GM4:GM35" si="88">IF($P$13,(ML+$DA4)*9.81*SIN(a)+IF($V$19,Fl,0),0)</f>
        <v>0</v>
      </c>
      <c r="GN4" s="439">
        <f t="shared" ref="GN4:GN35" si="89">IF($P$21,(ML+$DA4)*$AC$23+$GO4,0)</f>
        <v>0</v>
      </c>
      <c r="GO4" s="439">
        <f t="shared" ref="GO4:GO35" si="90">IF($P$21,(ML+$DA4)*(9.81*IF($W$27&gt;0,1,-1))*((SIN(a)*IF($W$27&gt;0,1,-1))+u*COS(a))+IF($V$27,Fl,0)+Fr,0)</f>
        <v>0</v>
      </c>
      <c r="GP4" s="439">
        <f t="shared" ref="GP4:GP35" si="91">IF($P$21,(ML+$DA4)*$AC$26-$GO4,0)</f>
        <v>0</v>
      </c>
      <c r="GQ4" s="439">
        <f t="shared" ref="GQ4:GQ35" si="92">IF($P$21,(ML+$DA4)*9.81*SIN(a)+IF($V$27,Fl,0),0)</f>
        <v>0</v>
      </c>
      <c r="GR4" s="439">
        <f t="shared" ref="GR4:GR35" si="93">IF($AG$5,(ML+$DA4)*$AT$7+$GS4,0)</f>
        <v>0</v>
      </c>
      <c r="GS4" s="439">
        <f t="shared" ref="GS4:GS35" si="94">IF($AG$5,(ML+$DA4)*(9.81*IF($AN$11&gt;0,1,-1))*((SIN(a)*IF($AN$11&gt;0,1,-1))+u*COS(a))+IF($AM$11,Fl,0)+Fr,0)</f>
        <v>0</v>
      </c>
      <c r="GT4" s="442">
        <f t="shared" ref="GT4:GT35" si="95">IF($AG$5,(ML+$DA4)*$AT$10-$GS4,0)</f>
        <v>0</v>
      </c>
      <c r="GU4" s="442">
        <f t="shared" ref="GU4:GU35" si="96">IF($AG$5,(ML+$DA4)*9.81*SIN(a)+IF($AM$11,Fl,0),0)</f>
        <v>0</v>
      </c>
      <c r="GV4" s="439">
        <f t="shared" ref="GV4:GV35" si="97">IF($AG$13,(ML+$DA4)*$AT$15+$GW4,0)</f>
        <v>0</v>
      </c>
      <c r="GW4" s="439">
        <f t="shared" ref="GW4:GW35" si="98">IF($AG$13,(ML+$DA4)*(9.81*IF($AN$19&gt;0,1,-1))*((SIN(a)*IF($AN$19&gt;0,1,-1))+u*COS(a))+IF($AM$19,Fl,0)+Fr,0)</f>
        <v>0</v>
      </c>
      <c r="GX4" s="661">
        <f t="shared" ref="GX4:GX35" si="99">IF($AG$13,(ML+$DA4)*$AT$18-$GW4,0)</f>
        <v>0</v>
      </c>
      <c r="GY4" s="661">
        <f t="shared" ref="GY4:GY35" si="100">IF($AG$13,(ML+$DA4)*9.81*SIN(a)+IF($AM$19,Fl,0),0)</f>
        <v>0</v>
      </c>
      <c r="GZ4" s="439">
        <f t="shared" ref="GZ4:GZ35" si="101">IF($AG$21,(ML+$DA4)*$AT$23+$HA4,0)</f>
        <v>0</v>
      </c>
      <c r="HA4" s="439">
        <f t="shared" ref="HA4:HA35" si="102">IF($AG$21,(ML+$DA4)*(9.81*IF($AN$27&gt;0,1,-1))*((SIN(a)*IF($AN$27&gt;0,1,-1))+u*COS(a))+IF($AM$27,Fl,0)+Fr,0)</f>
        <v>0</v>
      </c>
      <c r="HB4" s="439">
        <f t="shared" ref="HB4:HB35" si="103">IF($AG$21,(ML+$DA4)*$AT$26-$HA4,0)</f>
        <v>0</v>
      </c>
      <c r="HC4" s="439">
        <f t="shared" ref="HC4:HC35" si="104">IF($AG$21,(ML+$DA4)*9.81*SIN(a)+IF($AM$27,Fl,0),0)</f>
        <v>0</v>
      </c>
      <c r="HD4" s="631" t="s">
        <v>92</v>
      </c>
      <c r="HE4" s="631" t="e">
        <f t="shared" ref="HE4:HE20" si="105">SQRT((((IF(GF4&gt;0,GF4,GF4*-1))^2*$D$38)+((IF(GG4&gt;0,GG4,GG4*-1))^2*$E$38)+((IF(GH4&gt;0,GH4,GH4*-1))^2*$F$38)+((IF(GI4&gt;0,GI4,GI4*-1))^2*$G$38)+((IF(GJ4&gt;0,GJ4,GJ4*-1))^2*$H$38)+((IF(GK4&gt;0,GK4,GK4*-1))^2*$I$38)+((IF(GL4&gt;0,GL4,GL4*-1))^2*$J$38)+((IF(GM4&gt;0,GM4,GM4*-1))^2*$K$38)+((IF(GN4&gt;0,GN4,GN4*-1))^2*$L$38)+((IF(GO4&gt;0,GO4,GO4*-1))^2*$M$38)+((IF(GP4&gt;0,GP4,GP4*-1))^2*$N$38)+((IF(GQ4&gt;0,GQ4,GQ4*-1))^2*$O$38)+((IF(GR4&gt;0,GR4,GR4*-1))^2*$P$38)+((IF(GS4&gt;0,GS4,GS4*-1))^2*$Q$38)+((IF(GT4&gt;0,GT4,GT4*-1))^2*$R$38)+((IF(GU4&gt;0,GU4,GU4*-1))^2*$S$38)+((IF(GV4&gt;0,GV4,GV4*-1))^2*$T$38)+((IF(GW4&gt;0,GW4,GW4*-1))^2*$U$38)+((IF(GX4&gt;0,GX4,GX4*-1))^2*$V$38)+((IF(GY4&gt;0,GY4,GY4*-1))^2*$W$38)+((IF(GZ4&gt;0,GZ4,GZ4*-1))^2*$X$38)+((IF(HA4&gt;0,HA4,HA4*-1))^2*$Y$38)+((IF(HB4&gt;0,HB4,HB4*-1))^2*$Z$38)+((IF(HC4&gt;0,HC4,HC4*-1))^2*$AA$38))/$AA$31)</f>
        <v>#VALUE!</v>
      </c>
      <c r="HG4" s="618">
        <f>HLOOKUP(CQ4,Spec_Sheet!$F$3:$DV$19,11,FALSE)+HLOOKUP(CQ4,Spec_Sheet!$F$3:$DV$21,19,FALSE)</f>
        <v>27</v>
      </c>
      <c r="HH4" s="618">
        <f>IF(VALUE(RIGHT(LEFT(CQ4,4),3))=40,$AC$46,IF(VALUE(RIGHT(LEFT(CQ4,4),3))&lt;120,$AC$47,IF(VALUE(RIGHT(LEFT(CQ4,4),3))=120,$AC$48,$AC$49)))</f>
        <v>20</v>
      </c>
      <c r="HI4" s="634">
        <f>IF(AND((HH4+HG4)&lt;50,VALUE(RIGHT(LEFT(CQ4,4),3))=40),CEILING($AC$34+HG4,10),CEILING($AC$34+HG4,50))</f>
        <v>50</v>
      </c>
      <c r="HJ4" s="634">
        <f>HLOOKUP(IF(LEN(CQ4)&gt;6,LEFT(CQ4,5),CQ4),'LSM List Pricing'!$B$1:$BW$2,2,0)</f>
        <v>30</v>
      </c>
      <c r="HK4" s="634">
        <f>HLOOKUP(HJ4,'LSM List Pricing'!$B$2:$BW$3,2)</f>
        <v>130</v>
      </c>
      <c r="HL4" s="634">
        <f>VLOOKUP(HH4,'LSM List Pricing'!$A$7:$BW$87,HJ4,0)</f>
        <v>80</v>
      </c>
      <c r="HM4" s="627" t="str">
        <f>VLOOKUP(HI4,'LSM List Pricing'!$A$7:$BW$87,HJ4,1)</f>
        <v>n/a</v>
      </c>
      <c r="HN4" s="628">
        <f t="shared" ref="HN4:HN47" si="106">(HK4+HL4)/$HN$3</f>
        <v>0.53846153846153844</v>
      </c>
      <c r="HO4" s="628">
        <f t="shared" ref="HO4:HO47" si="107">((HK4+HL4)*2)/$HN$3</f>
        <v>1.0769230769230769</v>
      </c>
      <c r="HP4" s="628" t="e">
        <f t="shared" ref="HP4:HP47" si="108">((HK4*2)+HM4)/$HN$3</f>
        <v>#VALUE!</v>
      </c>
      <c r="HR4" s="618">
        <v>5.0000000000000001E-4</v>
      </c>
      <c r="HS4" s="618">
        <f t="shared" ref="HS4:HS69" si="109">HR4/$AQ$43</f>
        <v>3.3571428571428572</v>
      </c>
      <c r="HT4" s="618">
        <f t="shared" ref="HT4:HT69" si="110">1-EXP(-HS4)</f>
        <v>0.96516535554658756</v>
      </c>
      <c r="HU4" s="618">
        <f>(((($AQ$45*HT4)*$AQ$34)/(Mc+ML)))*(HR4-HR3)+HU3</f>
        <v>1.2295283906127191E-2</v>
      </c>
      <c r="HW4" s="618">
        <f t="shared" ref="HW4:HW67" si="111">$HW$3-(HU4*$AQ$36)</f>
        <v>35.982540696853299</v>
      </c>
      <c r="HX4" s="618">
        <f t="shared" ref="HX4:HX18" si="112">IF(HW4&lt;0,HX3,(((HW4/$AQ$44*HT4)*$AQ$34)/(Mc+ML))*(HR4-HR3)+HX3)</f>
        <v>1.228932093143297E-2</v>
      </c>
      <c r="HY4" s="618">
        <f t="shared" si="0"/>
        <v>5.0000000000000001E-4</v>
      </c>
      <c r="IB4" s="618">
        <f t="shared" ref="IB4:IB67" si="113">IF(AND(HX4&lt;$IB$1,HY4&lt;$IC$1,$AY$31),(HX4*1000)*IF($D$45&lt;0,-1,1),IB3)</f>
        <v>12.28932093143297</v>
      </c>
      <c r="IC4" s="618">
        <f t="shared" ref="IC4:IC67" si="114">IF(AND(HX4&lt;$IB$1,HY4&lt;$IC$1,$AY$31),HY4,IC3)</f>
        <v>5.0000000000000001E-4</v>
      </c>
      <c r="IE4" s="618">
        <f t="shared" ref="IE4:IE67" si="115">IF(AND(HX4&lt;$IE$1,HY4&lt;$IF$1,$AY$31),(HX4*1000)*IF($H$45&lt;0,-1,1),IE3)</f>
        <v>0</v>
      </c>
      <c r="IF4" s="618">
        <f t="shared" ref="IF4:IF67" si="116">IF(AND(HX4&lt;$IE$1,HY4&lt;$IF$1,$AY$31),HY4+$IF$3,IF3)</f>
        <v>40.704999999999998</v>
      </c>
      <c r="IH4" s="618">
        <f t="shared" ref="IH4:IH67" si="117">IF(AND(HX4&lt;$IH$1,HY4&lt;$II$1,$AY$31),(HX4*1000)*IF($L$45&lt;0,-1,1),IH3)</f>
        <v>0</v>
      </c>
      <c r="II4" s="618">
        <f t="shared" ref="II4:II67" si="118">IF(AND(HX4&lt;$IH$1,HY4&lt;$II$1,$AY$31),HY4+$II$3,II3)</f>
        <v>40.704999999999998</v>
      </c>
      <c r="IK4" s="618">
        <f t="shared" ref="IK4:IK67" si="119">IF(AND(HX4&lt;$IK$1,HY4&lt;$IL$1,$AY$31),(HX4*1000)*IF($P$45&lt;0,-1,1),IK3)</f>
        <v>0</v>
      </c>
      <c r="IL4" s="618">
        <f t="shared" ref="IL4:IL67" si="120">IF(AND(HX4&lt;$IK$1,HY4&lt;$IL$1,$AY$31),HY4+$IL$3,IL3)</f>
        <v>40.704999999999998</v>
      </c>
      <c r="IN4" s="618">
        <f t="shared" ref="IN4:IN67" si="121">IF(AND(HX4&lt;$IN$1,HY4&lt;$IO$1,$AY$31),(HX4*1000)*IF($T$45&lt;0,-1,1),IN3)</f>
        <v>0</v>
      </c>
      <c r="IO4" s="618">
        <f t="shared" ref="IO4:IO67" si="122">IF(AND(HX4&lt;$IN$1,HY4&lt;$IO$1,$AY$31),HY4+$IO$3,IO3)</f>
        <v>40.704999999999998</v>
      </c>
      <c r="IQ4" s="618">
        <f t="shared" ref="IQ4:IQ67" si="123">IF(AND(HX4&lt;$IQ$1,HY4&lt;$IR$1,$AY$31),(HX4*1000)*IF($X$45&lt;0,-1,1),IQ3)</f>
        <v>0</v>
      </c>
      <c r="IR4" s="618">
        <f t="shared" ref="IR4:IR67" si="124">IF(AND(HX4&lt;$IQ$1,HY4&lt;$IR$1,$AY$31),HY4+$IR$3,IR3)</f>
        <v>40.704999999999998</v>
      </c>
      <c r="IT4" s="660" t="str">
        <f t="shared" ref="IT4:IT35" si="125">CQ4</f>
        <v>S040D</v>
      </c>
      <c r="IU4" s="628"/>
      <c r="IV4" s="439">
        <f t="shared" ref="IV4:IV35" si="126">(ML+($CY4*2))*$AC$7+$IW4-IF(AND($Z$4,$V$11),Fl,0)</f>
        <v>0.5354580000000001</v>
      </c>
      <c r="IW4" s="440">
        <f t="shared" ref="IW4:IW35" si="127">(ML+($CY4*2))*(9.81*IF($W$11&gt;0,1,-1))*((SIN(a)*IF($W$11&gt;0,1,-1))+u*COS(a))+IF($V$11,Fl,0)+Fr</f>
        <v>0.41005800000000009</v>
      </c>
      <c r="IX4" s="439">
        <f t="shared" ref="IX4:IX35" si="128">(ML+($CY4*2))*$AC$10-$IW4+IF(AND($Z$4,$V$11),Fl,0)</f>
        <v>-0.28465800000000008</v>
      </c>
      <c r="IY4" s="439">
        <f t="shared" ref="IY4:IY35" si="129">(ML+($CY4*2))*9.81*SIN(a)+IF($V$11,Fl,0)-IF(AND($Z$4,$V$11),Fl,0)</f>
        <v>0</v>
      </c>
      <c r="IZ4" s="439">
        <f t="shared" ref="IZ4:IZ35" si="130">IF($P$13,(ML+($CY4*2))*$AC$15+$JA4,0)</f>
        <v>0</v>
      </c>
      <c r="JA4" s="439">
        <f t="shared" ref="JA4:JA35" si="131">IF($P$13,(ML+($CY4*2))*(9.81*IF($W$19&gt;0,1,-1))*((SIN(a)*IF($W$19&gt;0,1,-1))+u*COS(a))+IF($V$19,Fl,0)+Fr,0)</f>
        <v>0</v>
      </c>
      <c r="JB4" s="439">
        <f t="shared" ref="JB4:JB35" si="132">IF($P$13,(ML+($CY4*2))*$AC$18-$JA4,0)</f>
        <v>0</v>
      </c>
      <c r="JC4" s="439">
        <f t="shared" ref="JC4:JC35" si="133">IF($P$13,(ML+($CY4*2))*9.81*SIN(a)+IF($V$19,Fl,0),0)</f>
        <v>0</v>
      </c>
      <c r="JD4" s="439">
        <f t="shared" ref="JD4:JD35" si="134">IF($P$21,(ML+($CY4*2))*$AC$23+$JE4,0)</f>
        <v>0</v>
      </c>
      <c r="JE4" s="439">
        <f t="shared" ref="JE4:JE35" si="135">IF($P$21,(ML+($CY4*2))*(9.81*IF($W$27&gt;0,1,-1))*((SIN(a)*IF($W$27&gt;0,1,-1))+u*COS(a))+IF($V$27,Fl,0)+Fr,0)</f>
        <v>0</v>
      </c>
      <c r="JF4" s="439">
        <f t="shared" ref="JF4:JF35" si="136">IF($P$21,(ML+($CY4*2))*$AC$26-$JE4,0)</f>
        <v>0</v>
      </c>
      <c r="JG4" s="439">
        <f t="shared" ref="JG4:JG35" si="137">IF($P$21,(ML+($CY4*2))*9.81*SIN(a)+IF($V$27,Fl,0),0)</f>
        <v>0</v>
      </c>
      <c r="JH4" s="439">
        <f t="shared" ref="JH4:JH35" si="138">IF($AG$5,(ML+($CY4*2))*$AT$7+$JI4,0)</f>
        <v>0</v>
      </c>
      <c r="JI4" s="439">
        <f t="shared" ref="JI4:JI35" si="139">IF($AG$5,(ML+($CY4*2))*(9.81*IF($AN$11&gt;0,1,-1))*((SIN(a)*IF($AN$11&gt;0,1,-1))+u*COS(a))+IF($AM$11,Fl,0)+Fr,0)</f>
        <v>0</v>
      </c>
      <c r="JJ4" s="442">
        <f t="shared" ref="JJ4:JJ35" si="140">IF($AG$5,(ML+($CY4*2))*$AT$10-$JI4,0)</f>
        <v>0</v>
      </c>
      <c r="JK4" s="442">
        <f t="shared" ref="JK4:JK35" si="141">IF($AG$5,(ML+($CY4*2))*9.81*SIN(a)+IF($AM$11,Fl,0),0)</f>
        <v>0</v>
      </c>
      <c r="JL4" s="439">
        <f t="shared" ref="JL4:JL35" si="142">IF($AG$13,(ML+($CY4*2))*$AT$15+$JM4,0)</f>
        <v>0</v>
      </c>
      <c r="JM4" s="439">
        <f t="shared" ref="JM4:JM35" si="143">IF($AG$13,(ML+($CY4*2))*(9.81*IF($AN$19&gt;0,1,-1))*((SIN(a)*IF($AN$19&gt;0,1,-1))+u*COS(a))+IF($AM$19,Fl,0)+Fr,0)</f>
        <v>0</v>
      </c>
      <c r="JN4" s="661">
        <f t="shared" ref="JN4:JN35" si="144">IF($AG$13,(ML+($CY4*2))*$AT$18-$JM4,0)</f>
        <v>0</v>
      </c>
      <c r="JO4" s="661">
        <f t="shared" ref="JO4:JO35" si="145">IF($AG$13,(ML+($CY4*2))*9.81*SIN(a)+IF($AM$19,Fl,0),0)</f>
        <v>0</v>
      </c>
      <c r="JP4" s="439">
        <f t="shared" ref="JP4:JP35" si="146">IF($AG$21,(ML+($CY4*2))*$AT$23+$JQ4,0)</f>
        <v>0</v>
      </c>
      <c r="JQ4" s="439">
        <f t="shared" ref="JQ4:JQ35" si="147">IF($AG$21,(ML+($CY4*2))*(9.81*IF($AN$27&gt;0,1,-1))*((SIN(a)*IF($AN$27&gt;0,1,-1))+u*COS(a))+IF($AM$27,Fl,0)+Fr,0)</f>
        <v>0</v>
      </c>
      <c r="JR4" s="439">
        <f t="shared" ref="JR4:JR35" si="148">IF($AG$21,(ML+($CY4*2))*$AT$26-$JQ4,0)</f>
        <v>0</v>
      </c>
      <c r="JS4" s="439">
        <f t="shared" ref="JS4:JS35" si="149">IF($AG$21,(ML+($CY4*2))*9.81*SIN(a)+IF($AM$27,Fl,0),0)</f>
        <v>0</v>
      </c>
      <c r="JT4" s="631" t="s">
        <v>92</v>
      </c>
      <c r="JU4" s="631">
        <f t="shared" ref="JU4:JU5" si="150">SQRT((((IF(IV4&gt;0,IV4,IV4*-1))^2*$D$38)+((IF(IW4&gt;0,IW4,IW4*-1))^2*$E$38)+((IF(IX4&gt;0,IX4,IX4*-1))^2*$F$38)+((IF(IY4&gt;0,IY4,IY4*-1))^2*$G$38)+((IF(IZ4&gt;0,IZ4,IZ4*-1))^2*$H$38)+((IF(JA4&gt;0,JA4,JA4*-1))^2*$I$38)+((IF(JB4&gt;0,JB4,JB4*-1))^2*$J$38)+((IF(JC4&gt;0,JC4,JC4*-1))^2*$K$38)+((IF(JD4&gt;0,JD4,JD4*-1))^2*$L$38)+((IF(JE4&gt;0,JE4,JE4*-1))^2*$M$38)+((IF(JF4&gt;0,JF4,JF4*-1))^2*$N$38)+((IF(JG4&gt;0,JG4,JG4*-1))^2*$O$38)+((IF(JH4&gt;0,JH4,JH4*-1))^2*$P$38)+((IF(JI4&gt;0,JI4,JI4*-1))^2*$Q$38)+((IF(JJ4&gt;0,JJ4,JJ4*-1))^2*$R$38)+((IF(JK4&gt;0,JK4,JK4*-1))^2*$S$38)+((IF(JL4&gt;0,JL4,JL4*-1))^2*$T$38)+((IF(JM4&gt;0,JM4,JM4*-1))^2*$U$38)+((IF(JN4&gt;0,JN4,JN4*-1))^2*$V$38)+((IF(JO4&gt;0,JO4,JO4*-1))^2*$W$38)+((IF(JP4&gt;0,JP4,JP4*-1))^2*$X$38)+((IF(JQ4&gt;0,JQ4,JQ4*-1))^2*$Y$38)+((IF(JR4&gt;0,JR4,JR4*-1))^2*$Z$38)+((IF(JS4&gt;0,JS4,JS4*-1))^2*$AA$38))/$AA$31)</f>
        <v>5.4535155885056801E-2</v>
      </c>
      <c r="JW4" s="522"/>
      <c r="JX4" s="522"/>
      <c r="JY4" s="522"/>
      <c r="JZ4" s="522"/>
      <c r="KA4" s="522"/>
      <c r="KB4" s="522"/>
      <c r="KC4" s="522"/>
      <c r="KD4" s="522"/>
      <c r="KE4" s="522"/>
      <c r="KF4" s="522"/>
      <c r="KG4" s="522"/>
      <c r="KH4" s="522"/>
      <c r="KI4" s="522"/>
      <c r="KJ4" s="522"/>
      <c r="KK4" s="522"/>
      <c r="KL4" s="522"/>
    </row>
    <row r="5" spans="2:298" ht="9.9499999999999993" customHeight="1">
      <c r="B5" s="697" t="s">
        <v>653</v>
      </c>
      <c r="C5" s="698"/>
      <c r="D5" s="698"/>
      <c r="E5" s="1026" t="s">
        <v>32</v>
      </c>
      <c r="F5" s="698"/>
      <c r="G5" s="698"/>
      <c r="H5" s="698"/>
      <c r="I5" s="698"/>
      <c r="J5" s="805">
        <v>400</v>
      </c>
      <c r="K5" s="805"/>
      <c r="L5" s="812" t="s">
        <v>143</v>
      </c>
      <c r="M5" s="812"/>
      <c r="N5" s="813"/>
      <c r="O5" s="306">
        <f>J5*VLOOKUP(L5,B62:C66,2,FALSE)</f>
        <v>0.4</v>
      </c>
      <c r="P5" s="534" t="b">
        <f>TRUE</f>
        <v>1</v>
      </c>
      <c r="Q5" s="535" t="s">
        <v>14</v>
      </c>
      <c r="R5" s="535"/>
      <c r="S5" s="536"/>
      <c r="T5" s="536"/>
      <c r="U5" s="827" t="s">
        <v>9</v>
      </c>
      <c r="V5" s="827"/>
      <c r="W5" s="537" t="s">
        <v>3</v>
      </c>
      <c r="X5" s="535"/>
      <c r="Y5" s="538" t="s">
        <v>127</v>
      </c>
      <c r="Z5" s="535"/>
      <c r="AA5" s="538"/>
      <c r="AB5" s="538"/>
      <c r="AC5" s="810">
        <f>IF(W11&gt;0,((W11/(U6+U7))+(W11/(U8+U7)))/2*0.001,((-W11/(U6+U7))+(-W11/(U8+U7)))/2*0.001)</f>
        <v>2.4E-2</v>
      </c>
      <c r="AD5" s="811"/>
      <c r="AE5" s="539" t="s">
        <v>108</v>
      </c>
      <c r="AF5" s="43"/>
      <c r="AG5" s="540" t="b">
        <v>0</v>
      </c>
      <c r="AH5" s="541"/>
      <c r="AI5" s="541"/>
      <c r="AJ5" s="542"/>
      <c r="AK5" s="542"/>
      <c r="AL5" s="828" t="s">
        <v>9</v>
      </c>
      <c r="AM5" s="828"/>
      <c r="AN5" s="543" t="s">
        <v>3</v>
      </c>
      <c r="AO5" s="544"/>
      <c r="AP5" s="545" t="s">
        <v>127</v>
      </c>
      <c r="AQ5" s="541"/>
      <c r="AR5" s="545"/>
      <c r="AS5" s="545"/>
      <c r="AT5" s="823">
        <f>IF(AN11&gt;0,((AN11/(AL6+AL7))+(AN11/(AL8+AL7)))/2*0.001,((-AN11/(AL6+AL7))+(-AN11/(AL8+AL7)))/2*0.001)</f>
        <v>0.125</v>
      </c>
      <c r="AU5" s="824"/>
      <c r="AV5" s="546" t="s">
        <v>108</v>
      </c>
      <c r="AW5" s="547"/>
      <c r="AX5" s="67"/>
      <c r="AY5" s="67"/>
      <c r="AZ5" s="67"/>
      <c r="BA5" s="49"/>
      <c r="BB5" s="822">
        <f>(J12-10)*0.8</f>
        <v>80</v>
      </c>
      <c r="BC5" s="785"/>
      <c r="BD5" s="786"/>
      <c r="BE5" s="779"/>
      <c r="BF5" s="779"/>
      <c r="BG5" s="761"/>
      <c r="BH5" s="795"/>
      <c r="BI5" s="780"/>
      <c r="BJ5" s="763"/>
      <c r="BK5" s="775"/>
      <c r="BL5" s="788"/>
      <c r="BM5" s="44"/>
      <c r="BN5" s="52"/>
      <c r="BO5" s="60"/>
      <c r="BP5" s="60"/>
      <c r="BQ5" s="60"/>
      <c r="BR5" s="60"/>
      <c r="BS5" s="44"/>
      <c r="BT5" s="44"/>
      <c r="BU5" s="44"/>
      <c r="BV5" s="44"/>
      <c r="BW5" s="44"/>
      <c r="BX5" s="44"/>
      <c r="BY5" s="44"/>
      <c r="BZ5" s="44"/>
      <c r="CA5" s="44"/>
      <c r="CB5" s="44"/>
      <c r="CC5" s="44"/>
      <c r="CD5" s="44"/>
      <c r="CE5" s="44"/>
      <c r="CF5" s="44"/>
      <c r="CG5" s="44"/>
      <c r="CH5" s="164"/>
      <c r="CI5" s="100"/>
      <c r="CJ5" s="420"/>
      <c r="CK5" s="172"/>
      <c r="CL5" s="153"/>
      <c r="CM5" s="155"/>
      <c r="CN5" s="377"/>
      <c r="CO5" s="689" t="str">
        <f ca="1"/>
        <v>S040T</v>
      </c>
      <c r="CP5" s="632" t="str">
        <f>IF(OR(CQ5=0,CR5="",CS5&gt;120),"",IF(HLOOKUP(CQ5,Spec_Sheet!$F$3:$ED$19,17,FALSE)&lt;$AC$46,"",CQ5))</f>
        <v>S040T</v>
      </c>
      <c r="CQ5" s="660" t="str">
        <f>IF(Spec_Sheet!A4="","",Spec_Sheet!A4)</f>
        <v>S040T</v>
      </c>
      <c r="CR5" s="660">
        <f>IF(CQ5="",0,HLOOKUP(CQ5,Spec_Sheet!$F$3:$ED$19,2,FALSE))</f>
        <v>0.45</v>
      </c>
      <c r="CS5" s="660">
        <f t="shared" si="1"/>
        <v>0.37423158349042585</v>
      </c>
      <c r="CT5" s="621">
        <f t="shared" si="2"/>
        <v>1.4199046138852727</v>
      </c>
      <c r="CU5" s="621">
        <f t="shared" si="3"/>
        <v>0.37423158349042585</v>
      </c>
      <c r="CV5" s="621">
        <f t="shared" si="4"/>
        <v>1.4130035081139369</v>
      </c>
      <c r="CW5" s="621">
        <f t="shared" si="5"/>
        <v>0.37069277042132431</v>
      </c>
      <c r="CX5" s="621" t="str">
        <f>IF(DA5="X","",((HE5/DB5)/((CR5*2)/DB5))^2*100)</f>
        <v/>
      </c>
      <c r="CY5" s="619">
        <f>HLOOKUP(CQ5,Spec_Sheet!$F$3:$ED$19,13,FALSE)</f>
        <v>1.0999999999999999E-2</v>
      </c>
      <c r="CZ5" s="619">
        <f>VLOOKUP(HH5,'Shaft Weight'!$A$6:$CD$102,HJ5,TRUE)</f>
        <v>0.01</v>
      </c>
      <c r="DA5" s="619" t="str">
        <f>VLOOKUP(HI5,'Shaft Weight'!$A$6:$CD$102,HJ5,0)</f>
        <v>X</v>
      </c>
      <c r="DB5" s="619">
        <f>HLOOKUP(CQ5,Spec_Sheet!$F$3:$ED$19,6,FALSE)</f>
        <v>1.61</v>
      </c>
      <c r="DC5" s="439">
        <f t="shared" si="6"/>
        <v>0.52649100000000004</v>
      </c>
      <c r="DD5" s="440">
        <f t="shared" si="7"/>
        <v>0.40319100000000008</v>
      </c>
      <c r="DE5" s="439">
        <f t="shared" si="8"/>
        <v>-0.27989100000000006</v>
      </c>
      <c r="DF5" s="439">
        <f t="shared" si="9"/>
        <v>0</v>
      </c>
      <c r="DG5" s="439">
        <f t="shared" si="10"/>
        <v>0</v>
      </c>
      <c r="DH5" s="439">
        <f t="shared" si="11"/>
        <v>0</v>
      </c>
      <c r="DI5" s="439">
        <f t="shared" si="12"/>
        <v>0</v>
      </c>
      <c r="DJ5" s="439">
        <f t="shared" si="13"/>
        <v>0</v>
      </c>
      <c r="DK5" s="439">
        <f t="shared" si="14"/>
        <v>0</v>
      </c>
      <c r="DL5" s="439">
        <f t="shared" si="15"/>
        <v>0</v>
      </c>
      <c r="DM5" s="439">
        <f t="shared" si="16"/>
        <v>0</v>
      </c>
      <c r="DN5" s="439">
        <f t="shared" si="17"/>
        <v>0</v>
      </c>
      <c r="DO5" s="439">
        <f t="shared" si="18"/>
        <v>0</v>
      </c>
      <c r="DP5" s="439">
        <f t="shared" si="19"/>
        <v>0</v>
      </c>
      <c r="DQ5" s="442">
        <f t="shared" si="20"/>
        <v>0</v>
      </c>
      <c r="DR5" s="442">
        <f t="shared" si="21"/>
        <v>0</v>
      </c>
      <c r="DS5" s="439">
        <f t="shared" si="22"/>
        <v>0</v>
      </c>
      <c r="DT5" s="439">
        <f t="shared" si="23"/>
        <v>0</v>
      </c>
      <c r="DU5" s="661">
        <f t="shared" si="24"/>
        <v>0</v>
      </c>
      <c r="DV5" s="661">
        <f t="shared" si="25"/>
        <v>0</v>
      </c>
      <c r="DW5" s="439">
        <f t="shared" si="26"/>
        <v>0</v>
      </c>
      <c r="DX5" s="439">
        <f t="shared" si="27"/>
        <v>0</v>
      </c>
      <c r="DY5" s="439">
        <f t="shared" si="28"/>
        <v>0</v>
      </c>
      <c r="DZ5" s="439">
        <f t="shared" si="29"/>
        <v>0</v>
      </c>
      <c r="EA5" s="631" t="s">
        <v>92</v>
      </c>
      <c r="EB5" s="631">
        <f t="shared" ref="EB5:EB68" si="151">SQRT((((IF(DC5&gt;0,DC5,DC5*-1))^2*$D$38)+((IF(DD5&gt;0,DD5,DD5*-1))^2*$E$38)+((IF(DE5&gt;0,DE5,DE5*-1))^2*$F$38)+((IF(DF5&gt;0,DF5,DF5*-1))^2*$G$38)+((IF(DG5&gt;0,DG5,DG5*-1))^2*$H$38)+((IF(DH5&gt;0,DH5,DH5*-1))^2*$I$38)+((IF(DI5&gt;0,DI5,DI5*-1))^2*$J$38)+((IF(DJ5&gt;0,DJ5,DJ5*-1))^2*$K$38)+((IF(DK5&gt;0,DK5,DK5*-1))^2*$L$38)+((IF(DL5&gt;0,DL5,DL5*-1))^2*$M$38)+((IF(DM5&gt;0,DM5,DM5*-1))^2*$N$38)+((IF(DN5&gt;0,DN5,DN5*-1))^2*$O$38)+((IF(DO5&gt;0,DO5,DO5*-1))^2*$P$38)+((IF(DP5&gt;0,DP5,DP5*-1))^2*$Q$38)+((IF(DQ5&gt;0,DQ5,DQ5*-1))^2*$R$38)+((IF(DR5&gt;0,DR5,DR5*-1))^2*$S$38)+((IF(DS5&gt;0,DS5,DS5*-1))^2*$T$38)+((IF(DT5&gt;0,DT5,DT5*-1))^2*$U$38)+((IF(DU5&gt;0,DU5,DU5*-1))^2*$V$38)+((IF(DV5&gt;0,DV5,DV5*-1))^2*$W$38)+((IF(DW5&gt;0,DW5,DW5*-1))^2*$X$38)+((IF(DX5&gt;0,DX5,DX5*-1))^2*$Y$38)+((IF(DY5&gt;0,DY5,DY5*-1))^2*$Z$38)+((IF(DZ5&gt;0,DZ5,DZ5*-1))^2*$AA$38))/$AA$31)</f>
        <v>5.3621887724302257E-2</v>
      </c>
      <c r="ED5" s="439">
        <f t="shared" si="31"/>
        <v>0.53802000000000005</v>
      </c>
      <c r="EE5" s="440">
        <f t="shared" si="32"/>
        <v>0.41202000000000005</v>
      </c>
      <c r="EF5" s="439">
        <f t="shared" si="33"/>
        <v>-0.28602000000000005</v>
      </c>
      <c r="EG5" s="441">
        <f t="shared" si="34"/>
        <v>0</v>
      </c>
      <c r="EH5" s="439">
        <f t="shared" si="35"/>
        <v>0</v>
      </c>
      <c r="EI5" s="439">
        <f t="shared" si="36"/>
        <v>0</v>
      </c>
      <c r="EJ5" s="439">
        <f t="shared" si="37"/>
        <v>0</v>
      </c>
      <c r="EK5" s="439">
        <f t="shared" si="38"/>
        <v>0</v>
      </c>
      <c r="EL5" s="439">
        <f t="shared" si="39"/>
        <v>0</v>
      </c>
      <c r="EM5" s="439">
        <f t="shared" si="40"/>
        <v>0</v>
      </c>
      <c r="EN5" s="439">
        <f t="shared" si="41"/>
        <v>0</v>
      </c>
      <c r="EO5" s="439">
        <f t="shared" si="42"/>
        <v>0</v>
      </c>
      <c r="EP5" s="439">
        <f t="shared" si="43"/>
        <v>0</v>
      </c>
      <c r="EQ5" s="439">
        <f t="shared" si="44"/>
        <v>0</v>
      </c>
      <c r="ER5" s="442">
        <f t="shared" si="45"/>
        <v>0</v>
      </c>
      <c r="ES5" s="442">
        <f t="shared" si="46"/>
        <v>0</v>
      </c>
      <c r="ET5" s="439">
        <f t="shared" si="47"/>
        <v>0</v>
      </c>
      <c r="EU5" s="439">
        <f t="shared" si="48"/>
        <v>0</v>
      </c>
      <c r="EV5" s="661">
        <f t="shared" si="49"/>
        <v>0</v>
      </c>
      <c r="EW5" s="661">
        <f t="shared" si="50"/>
        <v>0</v>
      </c>
      <c r="EX5" s="439">
        <f t="shared" si="51"/>
        <v>0</v>
      </c>
      <c r="EY5" s="439">
        <f t="shared" si="52"/>
        <v>0</v>
      </c>
      <c r="EZ5" s="439">
        <f t="shared" si="53"/>
        <v>0</v>
      </c>
      <c r="FA5" s="439">
        <f t="shared" si="54"/>
        <v>0</v>
      </c>
      <c r="FB5" s="631" t="s">
        <v>92</v>
      </c>
      <c r="FC5" s="631">
        <f t="shared" ref="FC5:FC68" si="152">SQRT((((IF(ED5&gt;0,ED5,ED5*-1))^2*$D$38)+((IF(EE5&gt;0,EE5,EE5*-1))^2*$E$38)+((IF(EF5&gt;0,EF5,EF5*-1))^2*$F$38)+((IF(EG5&gt;0,EG5,EG5*-1))^2*$G$38)+((IF(EH5&gt;0,EH5,EH5*-1))^2*$H$38)+((IF(EI5&gt;0,EI5,EI5*-1))^2*$I$38)+((IF(EJ5&gt;0,EJ5,EJ5*-1))^2*$J$38)+((IF(EK5&gt;0,EK5,EK5*-1))^2*$K$38)+((IF(EL5&gt;0,EL5,EL5*-1))^2*$L$38)+((IF(EM5&gt;0,EM5,EM5*-1))^2*$M$38)+((IF(EN5&gt;0,EN5,EN5*-1))^2*$N$38)+((IF(EO5&gt;0,EO5,EO5*-1))^2*$O$38)+((IF(EP5&gt;0,EP5,EP5*-1))^2*$P$38)+((IF(EQ5&gt;0,EQ5,EQ5*-1))^2*$Q$38)+((IF(ER5&gt;0,ER5,ER5*-1))^2*$R$38)+((IF(ES5&gt;0,ES5,ES5*-1))^2*$S$38)+((IF(ET5&gt;0,ET5,ET5*-1))^2*$T$38)+((IF(EU5&gt;0,EU5,EU5*-1))^2*$U$38)+((IF(EV5&gt;0,EV5,EV5*-1))^2*$V$38)+((IF(EW5&gt;0,EW5,EW5*-1))^2*$W$38)+((IF(EX5&gt;0,EX5,EX5*-1))^2*$X$38)+((IF(EY5&gt;0,EY5,EY5*-1))^2*$Y$38)+((IF(EZ5&gt;0,EZ5,EZ5*-1))^2*$Z$38)+((IF(FA5&gt;0,FA5,FA5*-1))^2*$AA$38))/$AA$31)</f>
        <v>5.4796089645272376E-2</v>
      </c>
      <c r="FE5" s="439">
        <f t="shared" si="56"/>
        <v>0.52521000000000018</v>
      </c>
      <c r="FF5" s="440">
        <f t="shared" si="57"/>
        <v>0.40221000000000012</v>
      </c>
      <c r="FG5" s="439">
        <f t="shared" si="58"/>
        <v>-0.27921000000000012</v>
      </c>
      <c r="FH5" s="441">
        <f t="shared" si="59"/>
        <v>0</v>
      </c>
      <c r="FI5" s="439">
        <f t="shared" si="60"/>
        <v>0</v>
      </c>
      <c r="FJ5" s="439">
        <f t="shared" si="61"/>
        <v>0</v>
      </c>
      <c r="FK5" s="439">
        <f t="shared" si="62"/>
        <v>0</v>
      </c>
      <c r="FL5" s="439">
        <f t="shared" si="63"/>
        <v>0</v>
      </c>
      <c r="FM5" s="439">
        <f t="shared" si="64"/>
        <v>0</v>
      </c>
      <c r="FN5" s="439">
        <f t="shared" si="65"/>
        <v>0</v>
      </c>
      <c r="FO5" s="439">
        <f t="shared" si="66"/>
        <v>0</v>
      </c>
      <c r="FP5" s="439">
        <f t="shared" si="67"/>
        <v>0</v>
      </c>
      <c r="FQ5" s="439">
        <f t="shared" si="68"/>
        <v>0</v>
      </c>
      <c r="FR5" s="439">
        <f t="shared" si="69"/>
        <v>0</v>
      </c>
      <c r="FS5" s="442">
        <f t="shared" si="70"/>
        <v>0</v>
      </c>
      <c r="FT5" s="442">
        <f t="shared" si="71"/>
        <v>0</v>
      </c>
      <c r="FU5" s="439">
        <f t="shared" si="72"/>
        <v>0</v>
      </c>
      <c r="FV5" s="439">
        <f t="shared" si="73"/>
        <v>0</v>
      </c>
      <c r="FW5" s="661">
        <f t="shared" si="74"/>
        <v>0</v>
      </c>
      <c r="FX5" s="661">
        <f t="shared" si="75"/>
        <v>0</v>
      </c>
      <c r="FY5" s="439">
        <f t="shared" si="76"/>
        <v>0</v>
      </c>
      <c r="FZ5" s="439">
        <f t="shared" si="77"/>
        <v>0</v>
      </c>
      <c r="GA5" s="439">
        <f t="shared" si="78"/>
        <v>0</v>
      </c>
      <c r="GB5" s="439">
        <f t="shared" si="79"/>
        <v>0</v>
      </c>
      <c r="GC5" s="631" t="s">
        <v>92</v>
      </c>
      <c r="GD5" s="631">
        <f t="shared" ref="GD5:GD68" si="153">SQRT((((IF(FE5&gt;0,FE5,FE5*-1))^2*$D$38)+((IF(FF5&gt;0,FF5,FF5*-1))^2*$E$38)+((IF(FG5&gt;0,FG5,FG5*-1))^2*$F$38)+((IF(FH5&gt;0,FH5,FH5*-1))^2*$G$38)+((IF(FI5&gt;0,FI5,FI5*-1))^2*$H$38)+((IF(FJ5&gt;0,FJ5,FJ5*-1))^2*$I$38)+((IF(FK5&gt;0,FK5,FK5*-1))^2*$J$38)+((IF(FL5&gt;0,FL5,FL5*-1))^2*$K$38)+((IF(FM5&gt;0,FM5,FM5*-1))^2*$L$38)+((IF(FN5&gt;0,FN5,FN5*-1))^2*$M$38)+((IF(FO5&gt;0,FO5,FO5*-1))^2*$N$38)+((IF(FP5&gt;0,FP5,FP5*-1))^2*$O$38)+((IF(FQ5&gt;0,FQ5,FQ5*-1))^2*$P$38)+((IF(FR5&gt;0,FR5,FR5*-1))^2*$Q$38)+((IF(FS5&gt;0,FS5,FS5*-1))^2*$R$38)+((IF(FT5&gt;0,FT5,FT5*-1))^2*$S$38)+((IF(FU5&gt;0,FU5,FU5*-1))^2*$T$38)+((IF(FV5&gt;0,FV5,FV5*-1))^2*$U$38)+((IF(FW5&gt;0,FW5,FW5*-1))^2*$V$38)+((IF(FX5&gt;0,FX5,FX5*-1))^2*$W$38)+((IF(FY5&gt;0,FY5,FY5*-1))^2*$X$38)+((IF(FZ5&gt;0,FZ5,FZ5*-1))^2*$Y$38)+((IF(GA5&gt;0,GA5,GA5*-1))^2*$Z$38)+((IF(GB5&gt;0,GB5,GB5*-1))^2*$AA$38))/$AA$31)</f>
        <v>5.3491420844194469E-2</v>
      </c>
      <c r="GF5" s="439" t="e">
        <f t="shared" si="81"/>
        <v>#VALUE!</v>
      </c>
      <c r="GG5" s="440" t="e">
        <f t="shared" si="82"/>
        <v>#VALUE!</v>
      </c>
      <c r="GH5" s="439" t="e">
        <f t="shared" si="83"/>
        <v>#VALUE!</v>
      </c>
      <c r="GI5" s="439" t="e">
        <f t="shared" si="84"/>
        <v>#VALUE!</v>
      </c>
      <c r="GJ5" s="439">
        <f t="shared" si="85"/>
        <v>0</v>
      </c>
      <c r="GK5" s="439">
        <f t="shared" si="86"/>
        <v>0</v>
      </c>
      <c r="GL5" s="439">
        <f t="shared" si="87"/>
        <v>0</v>
      </c>
      <c r="GM5" s="439">
        <f t="shared" si="88"/>
        <v>0</v>
      </c>
      <c r="GN5" s="439">
        <f t="shared" si="89"/>
        <v>0</v>
      </c>
      <c r="GO5" s="439">
        <f t="shared" si="90"/>
        <v>0</v>
      </c>
      <c r="GP5" s="439">
        <f t="shared" si="91"/>
        <v>0</v>
      </c>
      <c r="GQ5" s="439">
        <f t="shared" si="92"/>
        <v>0</v>
      </c>
      <c r="GR5" s="439">
        <f t="shared" si="93"/>
        <v>0</v>
      </c>
      <c r="GS5" s="439">
        <f t="shared" si="94"/>
        <v>0</v>
      </c>
      <c r="GT5" s="442">
        <f t="shared" si="95"/>
        <v>0</v>
      </c>
      <c r="GU5" s="442">
        <f t="shared" si="96"/>
        <v>0</v>
      </c>
      <c r="GV5" s="439">
        <f t="shared" si="97"/>
        <v>0</v>
      </c>
      <c r="GW5" s="439">
        <f t="shared" si="98"/>
        <v>0</v>
      </c>
      <c r="GX5" s="661">
        <f t="shared" si="99"/>
        <v>0</v>
      </c>
      <c r="GY5" s="661">
        <f t="shared" si="100"/>
        <v>0</v>
      </c>
      <c r="GZ5" s="439">
        <f t="shared" si="101"/>
        <v>0</v>
      </c>
      <c r="HA5" s="439">
        <f t="shared" si="102"/>
        <v>0</v>
      </c>
      <c r="HB5" s="439">
        <f t="shared" si="103"/>
        <v>0</v>
      </c>
      <c r="HC5" s="439">
        <f t="shared" si="104"/>
        <v>0</v>
      </c>
      <c r="HD5" s="631" t="s">
        <v>92</v>
      </c>
      <c r="HE5" s="631" t="e">
        <f t="shared" si="105"/>
        <v>#VALUE!</v>
      </c>
      <c r="HG5" s="618">
        <f>HLOOKUP(CQ5,Spec_Sheet!$F$3:$DV$19,11,FALSE)+HLOOKUP(CQ5,Spec_Sheet!$F$3:$DV$21,19,FALSE)</f>
        <v>36</v>
      </c>
      <c r="HH5" s="618">
        <f t="shared" ref="HH5:HH68" si="154">IF(VALUE(RIGHT(LEFT(CQ5,4),3))=40,$AC$46,IF(VALUE(RIGHT(LEFT(CQ5,4),3))&lt;120,$AC$47,IF(VALUE(RIGHT(LEFT(CQ5,4),3))=120,$AC$48,$AC$49)))</f>
        <v>20</v>
      </c>
      <c r="HI5" s="634">
        <f t="shared" ref="HI5:HI68" si="155">IF(AND((HH5+HG5)&lt;50,VALUE(RIGHT(LEFT(CQ5,4),3))=40),CEILING($AC$34+HG5,10),CEILING($AC$34+HG5,50))</f>
        <v>100</v>
      </c>
      <c r="HJ5" s="634">
        <f>HLOOKUP(IF(LEN(CQ5)&gt;6,LEFT(CQ5,5),CQ5),'LSM List Pricing'!$B$1:$BW$2,2,0)</f>
        <v>31</v>
      </c>
      <c r="HK5" s="634">
        <f>HLOOKUP(HJ5,'LSM List Pricing'!$B$2:$BW$3,2)</f>
        <v>180</v>
      </c>
      <c r="HL5" s="634">
        <f>VLOOKUP(HH5,'LSM List Pricing'!$A$7:$BW$87,HJ5,0)</f>
        <v>90</v>
      </c>
      <c r="HM5" s="627" t="str">
        <f>VLOOKUP(HI5,'LSM List Pricing'!$A$7:$BW$87,HJ5,1)</f>
        <v>n/a</v>
      </c>
      <c r="HN5" s="628">
        <f t="shared" si="106"/>
        <v>0.69230769230769229</v>
      </c>
      <c r="HO5" s="628">
        <f t="shared" si="107"/>
        <v>1.3846153846153846</v>
      </c>
      <c r="HP5" s="628" t="e">
        <f t="shared" si="108"/>
        <v>#VALUE!</v>
      </c>
      <c r="HR5" s="618">
        <v>1E-3</v>
      </c>
      <c r="HS5" s="618">
        <f t="shared" si="109"/>
        <v>6.7142857142857144</v>
      </c>
      <c r="HT5" s="618">
        <f t="shared" si="110"/>
        <v>0.99878654754580432</v>
      </c>
      <c r="HU5" s="618">
        <f t="shared" ref="HU5:HU18" si="156">(((($AQ$45*HT5)*$AQ$34)/(Mc+ML)))*(HR5-HR4)+HU4</f>
        <v>2.5018869655578084E-2</v>
      </c>
      <c r="HW5" s="618">
        <f t="shared" si="111"/>
        <v>35.964473205089078</v>
      </c>
      <c r="HX5" s="618">
        <f t="shared" si="112"/>
        <v>2.500035034139908E-2</v>
      </c>
      <c r="HY5" s="618">
        <f t="shared" si="0"/>
        <v>1E-3</v>
      </c>
      <c r="IB5" s="618">
        <f t="shared" si="113"/>
        <v>25.000350341399081</v>
      </c>
      <c r="IC5" s="618">
        <f t="shared" si="114"/>
        <v>1E-3</v>
      </c>
      <c r="IE5" s="618">
        <f t="shared" si="115"/>
        <v>0</v>
      </c>
      <c r="IF5" s="618">
        <f t="shared" si="116"/>
        <v>40.704999999999998</v>
      </c>
      <c r="IH5" s="618">
        <f t="shared" si="117"/>
        <v>0</v>
      </c>
      <c r="II5" s="618">
        <f t="shared" si="118"/>
        <v>40.704999999999998</v>
      </c>
      <c r="IK5" s="618">
        <f t="shared" si="119"/>
        <v>0</v>
      </c>
      <c r="IL5" s="618">
        <f t="shared" si="120"/>
        <v>40.704999999999998</v>
      </c>
      <c r="IN5" s="618">
        <f t="shared" si="121"/>
        <v>0</v>
      </c>
      <c r="IO5" s="618">
        <f t="shared" si="122"/>
        <v>40.704999999999998</v>
      </c>
      <c r="IQ5" s="618">
        <f t="shared" si="123"/>
        <v>0</v>
      </c>
      <c r="IR5" s="618">
        <f t="shared" si="124"/>
        <v>40.704999999999998</v>
      </c>
      <c r="IT5" s="660" t="str">
        <f t="shared" si="125"/>
        <v>S040T</v>
      </c>
      <c r="IU5" s="628"/>
      <c r="IV5" s="439">
        <f t="shared" si="126"/>
        <v>0.54058200000000012</v>
      </c>
      <c r="IW5" s="440">
        <f t="shared" si="127"/>
        <v>0.41398200000000007</v>
      </c>
      <c r="IX5" s="439">
        <f t="shared" si="128"/>
        <v>-0.28738200000000003</v>
      </c>
      <c r="IY5" s="439">
        <f t="shared" si="129"/>
        <v>0</v>
      </c>
      <c r="IZ5" s="439">
        <f t="shared" si="130"/>
        <v>0</v>
      </c>
      <c r="JA5" s="439">
        <f t="shared" si="131"/>
        <v>0</v>
      </c>
      <c r="JB5" s="439">
        <f t="shared" si="132"/>
        <v>0</v>
      </c>
      <c r="JC5" s="439">
        <f t="shared" si="133"/>
        <v>0</v>
      </c>
      <c r="JD5" s="439">
        <f t="shared" si="134"/>
        <v>0</v>
      </c>
      <c r="JE5" s="439">
        <f t="shared" si="135"/>
        <v>0</v>
      </c>
      <c r="JF5" s="439">
        <f t="shared" si="136"/>
        <v>0</v>
      </c>
      <c r="JG5" s="439">
        <f t="shared" si="137"/>
        <v>0</v>
      </c>
      <c r="JH5" s="439">
        <f t="shared" si="138"/>
        <v>0</v>
      </c>
      <c r="JI5" s="439">
        <f t="shared" si="139"/>
        <v>0</v>
      </c>
      <c r="JJ5" s="442">
        <f t="shared" si="140"/>
        <v>0</v>
      </c>
      <c r="JK5" s="442">
        <f t="shared" si="141"/>
        <v>0</v>
      </c>
      <c r="JL5" s="439">
        <f t="shared" si="142"/>
        <v>0</v>
      </c>
      <c r="JM5" s="439">
        <f t="shared" si="143"/>
        <v>0</v>
      </c>
      <c r="JN5" s="661">
        <f t="shared" si="144"/>
        <v>0</v>
      </c>
      <c r="JO5" s="661">
        <f t="shared" si="145"/>
        <v>0</v>
      </c>
      <c r="JP5" s="439">
        <f t="shared" si="146"/>
        <v>0</v>
      </c>
      <c r="JQ5" s="439">
        <f t="shared" si="147"/>
        <v>0</v>
      </c>
      <c r="JR5" s="439">
        <f t="shared" si="148"/>
        <v>0</v>
      </c>
      <c r="JS5" s="439">
        <f t="shared" si="149"/>
        <v>0</v>
      </c>
      <c r="JT5" s="631" t="s">
        <v>92</v>
      </c>
      <c r="JU5" s="631">
        <f t="shared" si="150"/>
        <v>5.5057023405487966E-2</v>
      </c>
      <c r="JW5" s="522"/>
      <c r="JX5" s="522"/>
      <c r="JY5" s="522"/>
      <c r="JZ5" s="522"/>
      <c r="KA5" s="522"/>
      <c r="KB5" s="522"/>
      <c r="KC5" s="522"/>
      <c r="KD5" s="522"/>
      <c r="KE5" s="522"/>
      <c r="KF5" s="522"/>
      <c r="KG5" s="522"/>
      <c r="KH5" s="522"/>
      <c r="KI5" s="522"/>
      <c r="KJ5" s="522"/>
      <c r="KK5" s="522"/>
      <c r="KL5" s="522"/>
    </row>
    <row r="6" spans="2:298" ht="9.9499999999999993" customHeight="1">
      <c r="B6" s="697" t="s">
        <v>657</v>
      </c>
      <c r="C6" s="698"/>
      <c r="D6" s="698"/>
      <c r="E6" s="1026" t="s">
        <v>32</v>
      </c>
      <c r="F6" s="698"/>
      <c r="G6" s="698"/>
      <c r="H6" s="698"/>
      <c r="I6" s="698"/>
      <c r="J6" s="805">
        <v>0</v>
      </c>
      <c r="K6" s="805"/>
      <c r="L6" s="803" t="s">
        <v>13</v>
      </c>
      <c r="M6" s="803"/>
      <c r="N6" s="804"/>
      <c r="O6" s="266">
        <f>RADIANS(J6)</f>
        <v>0</v>
      </c>
      <c r="P6" s="750" t="s">
        <v>307</v>
      </c>
      <c r="Q6" s="736"/>
      <c r="R6" s="736"/>
      <c r="S6" s="736"/>
      <c r="T6" s="736"/>
      <c r="U6" s="760">
        <v>0.08</v>
      </c>
      <c r="V6" s="760"/>
      <c r="W6" s="61" t="s">
        <v>120</v>
      </c>
      <c r="X6" s="62"/>
      <c r="Y6" s="333" t="str">
        <f>IF(U6&gt;=VLOOKUP(AC5,HX3:HY505,2,TRUE)+0.0005,"","X")</f>
        <v/>
      </c>
      <c r="Z6" s="46" t="str">
        <f>IF(U8&gt;=VLOOKUP(AC5,HX3:HY505,2,TRUE)+0.0005,"","X")</f>
        <v/>
      </c>
      <c r="AA6" s="46"/>
      <c r="AB6" s="63"/>
      <c r="AC6" s="748">
        <f>(AC5*1000)/VLOOKUP(AE6,H62:I68,2,FALSE)</f>
        <v>1.4399999997119999</v>
      </c>
      <c r="AD6" s="749"/>
      <c r="AE6" s="799" t="s">
        <v>150</v>
      </c>
      <c r="AF6" s="800"/>
      <c r="AG6" s="752" t="s">
        <v>307</v>
      </c>
      <c r="AH6" s="753"/>
      <c r="AI6" s="753"/>
      <c r="AJ6" s="753"/>
      <c r="AK6" s="753"/>
      <c r="AL6" s="740">
        <v>0.02</v>
      </c>
      <c r="AM6" s="740"/>
      <c r="AN6" s="65" t="s">
        <v>120</v>
      </c>
      <c r="AO6" s="66"/>
      <c r="AP6" s="100" t="str">
        <f>IF(AL6&gt;=VLOOKUP(AT5,HX3:HY505,2,TRUE)+0.0005,"","X")</f>
        <v/>
      </c>
      <c r="AQ6" s="100" t="str">
        <f>IF(AL8&gt;=VLOOKUP(AT5,HX3:HY505,2,TRUE)+0.0005,"","X")</f>
        <v/>
      </c>
      <c r="AR6" s="67"/>
      <c r="AS6" s="48"/>
      <c r="AT6" s="728">
        <f>(AT5*1000)/VLOOKUP(AV6,H62:I68,2,FALSE)</f>
        <v>125</v>
      </c>
      <c r="AU6" s="729"/>
      <c r="AV6" s="770" t="s">
        <v>296</v>
      </c>
      <c r="AW6" s="726"/>
      <c r="AX6" s="48" t="s">
        <v>287</v>
      </c>
      <c r="AY6" s="48"/>
      <c r="AZ6" s="48"/>
      <c r="BA6" s="67"/>
      <c r="BB6" s="822">
        <f>(J12-10)*0.6</f>
        <v>60</v>
      </c>
      <c r="BC6" s="785"/>
      <c r="BD6" s="786"/>
      <c r="BE6" s="779"/>
      <c r="BF6" s="779"/>
      <c r="BG6" s="761"/>
      <c r="BH6" s="795"/>
      <c r="BI6" s="780"/>
      <c r="BJ6" s="763"/>
      <c r="BK6" s="775"/>
      <c r="BL6" s="788"/>
      <c r="BM6" s="44"/>
      <c r="BN6" s="69" t="s">
        <v>96</v>
      </c>
      <c r="BO6" s="69"/>
      <c r="BP6" s="69"/>
      <c r="BQ6" s="69"/>
      <c r="BR6" s="69"/>
      <c r="BS6" s="69"/>
      <c r="BT6" s="44"/>
      <c r="BU6" s="70"/>
      <c r="BV6" s="70"/>
      <c r="BW6" s="70"/>
      <c r="BX6" s="70"/>
      <c r="BY6" s="44"/>
      <c r="BZ6" s="44"/>
      <c r="CA6" s="44"/>
      <c r="CB6" s="44"/>
      <c r="CC6" s="44"/>
      <c r="CD6" s="44"/>
      <c r="CE6" s="44"/>
      <c r="CF6" s="44"/>
      <c r="CG6" s="44"/>
      <c r="CH6" s="164"/>
      <c r="CI6" s="100"/>
      <c r="CJ6" s="420"/>
      <c r="CK6" s="172"/>
      <c r="CL6" s="153"/>
      <c r="CM6" s="155"/>
      <c r="CN6" s="377"/>
      <c r="CO6" s="689" t="str">
        <f ca="1"/>
        <v>S040Q</v>
      </c>
      <c r="CP6" s="632" t="str">
        <f>IF(OR(CQ6=0,CR6="",CS6&gt;120),"",IF(HLOOKUP(CQ6,Spec_Sheet!$F$3:$ED$19,17,FALSE)&lt;$AC$46,"",CQ6))</f>
        <v>S040Q</v>
      </c>
      <c r="CQ6" s="660" t="str">
        <f>IF(Spec_Sheet!A5="","",Spec_Sheet!A5)</f>
        <v>S040Q</v>
      </c>
      <c r="CR6" s="660">
        <f>IF(CQ6="",0,HLOOKUP(CQ6,Spec_Sheet!$F$3:$ED$19,2,FALSE))</f>
        <v>0.57999999999999996</v>
      </c>
      <c r="CS6" s="660">
        <f t="shared" si="1"/>
        <v>0.23172458538780161</v>
      </c>
      <c r="CT6" s="621">
        <f t="shared" si="2"/>
        <v>0.86725187870398424</v>
      </c>
      <c r="CU6" s="621">
        <f t="shared" si="3"/>
        <v>0.23172458538780161</v>
      </c>
      <c r="CV6" s="621">
        <f t="shared" si="4"/>
        <v>0.8505743471851136</v>
      </c>
      <c r="CW6" s="621">
        <f t="shared" si="5"/>
        <v>0.22314294295576148</v>
      </c>
      <c r="CX6" s="621" t="str">
        <f t="shared" ref="CX6:CX69" si="157">IF(DA6="X","",((HE6/DB6)/((CR6*2)/DB6))^2*100)</f>
        <v/>
      </c>
      <c r="CY6" s="619">
        <f>HLOOKUP(CQ6,Spec_Sheet!$F$3:$ED$19,13,FALSE)</f>
        <v>1.4E-2</v>
      </c>
      <c r="CZ6" s="619">
        <f>VLOOKUP(HH6,'Shaft Weight'!$A$6:$CD$102,HJ6,TRUE)</f>
        <v>0.01</v>
      </c>
      <c r="DA6" s="619" t="str">
        <f>VLOOKUP(HI6,'Shaft Weight'!$A$6:$CD$102,HJ6,0)</f>
        <v>X</v>
      </c>
      <c r="DB6" s="619">
        <f>HLOOKUP(CQ6,Spec_Sheet!$F$3:$ED$19,6,FALSE)</f>
        <v>2.0699999999999998</v>
      </c>
      <c r="DC6" s="439">
        <f t="shared" si="6"/>
        <v>0.53033400000000008</v>
      </c>
      <c r="DD6" s="440">
        <f t="shared" si="7"/>
        <v>0.40613400000000005</v>
      </c>
      <c r="DE6" s="439">
        <f t="shared" si="8"/>
        <v>-0.28193400000000002</v>
      </c>
      <c r="DF6" s="439">
        <f t="shared" si="9"/>
        <v>0</v>
      </c>
      <c r="DG6" s="439">
        <f t="shared" si="10"/>
        <v>0</v>
      </c>
      <c r="DH6" s="439">
        <f t="shared" si="11"/>
        <v>0</v>
      </c>
      <c r="DI6" s="439">
        <f t="shared" si="12"/>
        <v>0</v>
      </c>
      <c r="DJ6" s="439">
        <f t="shared" si="13"/>
        <v>0</v>
      </c>
      <c r="DK6" s="439">
        <f t="shared" si="14"/>
        <v>0</v>
      </c>
      <c r="DL6" s="439">
        <f t="shared" si="15"/>
        <v>0</v>
      </c>
      <c r="DM6" s="439">
        <f t="shared" si="16"/>
        <v>0</v>
      </c>
      <c r="DN6" s="439">
        <f t="shared" si="17"/>
        <v>0</v>
      </c>
      <c r="DO6" s="439">
        <f t="shared" si="18"/>
        <v>0</v>
      </c>
      <c r="DP6" s="439">
        <f t="shared" si="19"/>
        <v>0</v>
      </c>
      <c r="DQ6" s="442">
        <f t="shared" si="20"/>
        <v>0</v>
      </c>
      <c r="DR6" s="442">
        <f t="shared" si="21"/>
        <v>0</v>
      </c>
      <c r="DS6" s="439">
        <f t="shared" si="22"/>
        <v>0</v>
      </c>
      <c r="DT6" s="439">
        <f t="shared" si="23"/>
        <v>0</v>
      </c>
      <c r="DU6" s="661">
        <f t="shared" si="24"/>
        <v>0</v>
      </c>
      <c r="DV6" s="661">
        <f t="shared" si="25"/>
        <v>0</v>
      </c>
      <c r="DW6" s="439">
        <f t="shared" si="26"/>
        <v>0</v>
      </c>
      <c r="DX6" s="439">
        <f t="shared" si="27"/>
        <v>0</v>
      </c>
      <c r="DY6" s="439">
        <f t="shared" si="28"/>
        <v>0</v>
      </c>
      <c r="DZ6" s="439">
        <f t="shared" si="29"/>
        <v>0</v>
      </c>
      <c r="EA6" s="631" t="s">
        <v>92</v>
      </c>
      <c r="EB6" s="631">
        <f t="shared" si="151"/>
        <v>5.4013288364625635E-2</v>
      </c>
      <c r="ED6" s="439">
        <f t="shared" si="31"/>
        <v>0.53802000000000005</v>
      </c>
      <c r="EE6" s="440">
        <f t="shared" si="32"/>
        <v>0.41202000000000005</v>
      </c>
      <c r="EF6" s="439">
        <f t="shared" si="33"/>
        <v>-0.28602000000000005</v>
      </c>
      <c r="EG6" s="441">
        <f t="shared" si="34"/>
        <v>0</v>
      </c>
      <c r="EH6" s="439">
        <f t="shared" si="35"/>
        <v>0</v>
      </c>
      <c r="EI6" s="439">
        <f t="shared" si="36"/>
        <v>0</v>
      </c>
      <c r="EJ6" s="439">
        <f t="shared" si="37"/>
        <v>0</v>
      </c>
      <c r="EK6" s="439">
        <f t="shared" si="38"/>
        <v>0</v>
      </c>
      <c r="EL6" s="439">
        <f t="shared" si="39"/>
        <v>0</v>
      </c>
      <c r="EM6" s="439">
        <f t="shared" si="40"/>
        <v>0</v>
      </c>
      <c r="EN6" s="439">
        <f t="shared" si="41"/>
        <v>0</v>
      </c>
      <c r="EO6" s="439">
        <f t="shared" si="42"/>
        <v>0</v>
      </c>
      <c r="EP6" s="439">
        <f t="shared" si="43"/>
        <v>0</v>
      </c>
      <c r="EQ6" s="439">
        <f t="shared" si="44"/>
        <v>0</v>
      </c>
      <c r="ER6" s="442">
        <f t="shared" si="45"/>
        <v>0</v>
      </c>
      <c r="ES6" s="442">
        <f t="shared" si="46"/>
        <v>0</v>
      </c>
      <c r="ET6" s="439">
        <f t="shared" si="47"/>
        <v>0</v>
      </c>
      <c r="EU6" s="439">
        <f t="shared" si="48"/>
        <v>0</v>
      </c>
      <c r="EV6" s="661">
        <f t="shared" si="49"/>
        <v>0</v>
      </c>
      <c r="EW6" s="661">
        <f t="shared" si="50"/>
        <v>0</v>
      </c>
      <c r="EX6" s="439">
        <f t="shared" si="51"/>
        <v>0</v>
      </c>
      <c r="EY6" s="439">
        <f t="shared" si="52"/>
        <v>0</v>
      </c>
      <c r="EZ6" s="439">
        <f t="shared" si="53"/>
        <v>0</v>
      </c>
      <c r="FA6" s="439">
        <f t="shared" si="54"/>
        <v>0</v>
      </c>
      <c r="FB6" s="631" t="s">
        <v>92</v>
      </c>
      <c r="FC6" s="631">
        <f t="shared" si="152"/>
        <v>5.4796089645272376E-2</v>
      </c>
      <c r="FE6" s="439">
        <f t="shared" si="56"/>
        <v>0.52521000000000018</v>
      </c>
      <c r="FF6" s="440">
        <f t="shared" si="57"/>
        <v>0.40221000000000012</v>
      </c>
      <c r="FG6" s="439">
        <f t="shared" si="58"/>
        <v>-0.27921000000000012</v>
      </c>
      <c r="FH6" s="441">
        <f t="shared" si="59"/>
        <v>0</v>
      </c>
      <c r="FI6" s="439">
        <f t="shared" si="60"/>
        <v>0</v>
      </c>
      <c r="FJ6" s="439">
        <f t="shared" si="61"/>
        <v>0</v>
      </c>
      <c r="FK6" s="439">
        <f t="shared" si="62"/>
        <v>0</v>
      </c>
      <c r="FL6" s="439">
        <f t="shared" si="63"/>
        <v>0</v>
      </c>
      <c r="FM6" s="439">
        <f t="shared" si="64"/>
        <v>0</v>
      </c>
      <c r="FN6" s="439">
        <f t="shared" si="65"/>
        <v>0</v>
      </c>
      <c r="FO6" s="439">
        <f t="shared" si="66"/>
        <v>0</v>
      </c>
      <c r="FP6" s="439">
        <f t="shared" si="67"/>
        <v>0</v>
      </c>
      <c r="FQ6" s="439">
        <f t="shared" si="68"/>
        <v>0</v>
      </c>
      <c r="FR6" s="439">
        <f t="shared" si="69"/>
        <v>0</v>
      </c>
      <c r="FS6" s="442">
        <f t="shared" si="70"/>
        <v>0</v>
      </c>
      <c r="FT6" s="442">
        <f t="shared" si="71"/>
        <v>0</v>
      </c>
      <c r="FU6" s="439">
        <f t="shared" si="72"/>
        <v>0</v>
      </c>
      <c r="FV6" s="439">
        <f t="shared" si="73"/>
        <v>0</v>
      </c>
      <c r="FW6" s="661">
        <f t="shared" si="74"/>
        <v>0</v>
      </c>
      <c r="FX6" s="661">
        <f t="shared" si="75"/>
        <v>0</v>
      </c>
      <c r="FY6" s="439">
        <f t="shared" si="76"/>
        <v>0</v>
      </c>
      <c r="FZ6" s="439">
        <f t="shared" si="77"/>
        <v>0</v>
      </c>
      <c r="GA6" s="439">
        <f t="shared" si="78"/>
        <v>0</v>
      </c>
      <c r="GB6" s="439">
        <f t="shared" si="79"/>
        <v>0</v>
      </c>
      <c r="GC6" s="631" t="s">
        <v>92</v>
      </c>
      <c r="GD6" s="631">
        <f t="shared" si="153"/>
        <v>5.3491420844194469E-2</v>
      </c>
      <c r="GF6" s="439" t="e">
        <f t="shared" si="81"/>
        <v>#VALUE!</v>
      </c>
      <c r="GG6" s="440" t="e">
        <f t="shared" si="82"/>
        <v>#VALUE!</v>
      </c>
      <c r="GH6" s="439" t="e">
        <f t="shared" si="83"/>
        <v>#VALUE!</v>
      </c>
      <c r="GI6" s="439" t="e">
        <f t="shared" si="84"/>
        <v>#VALUE!</v>
      </c>
      <c r="GJ6" s="439">
        <f t="shared" si="85"/>
        <v>0</v>
      </c>
      <c r="GK6" s="439">
        <f t="shared" si="86"/>
        <v>0</v>
      </c>
      <c r="GL6" s="439">
        <f t="shared" si="87"/>
        <v>0</v>
      </c>
      <c r="GM6" s="439">
        <f t="shared" si="88"/>
        <v>0</v>
      </c>
      <c r="GN6" s="439">
        <f t="shared" si="89"/>
        <v>0</v>
      </c>
      <c r="GO6" s="439">
        <f t="shared" si="90"/>
        <v>0</v>
      </c>
      <c r="GP6" s="439">
        <f t="shared" si="91"/>
        <v>0</v>
      </c>
      <c r="GQ6" s="439">
        <f t="shared" si="92"/>
        <v>0</v>
      </c>
      <c r="GR6" s="439">
        <f t="shared" si="93"/>
        <v>0</v>
      </c>
      <c r="GS6" s="439">
        <f t="shared" si="94"/>
        <v>0</v>
      </c>
      <c r="GT6" s="442">
        <f t="shared" si="95"/>
        <v>0</v>
      </c>
      <c r="GU6" s="442">
        <f t="shared" si="96"/>
        <v>0</v>
      </c>
      <c r="GV6" s="439">
        <f t="shared" si="97"/>
        <v>0</v>
      </c>
      <c r="GW6" s="439">
        <f t="shared" si="98"/>
        <v>0</v>
      </c>
      <c r="GX6" s="661">
        <f t="shared" si="99"/>
        <v>0</v>
      </c>
      <c r="GY6" s="661">
        <f t="shared" si="100"/>
        <v>0</v>
      </c>
      <c r="GZ6" s="439">
        <f t="shared" si="101"/>
        <v>0</v>
      </c>
      <c r="HA6" s="439">
        <f t="shared" si="102"/>
        <v>0</v>
      </c>
      <c r="HB6" s="439">
        <f t="shared" si="103"/>
        <v>0</v>
      </c>
      <c r="HC6" s="439">
        <f t="shared" si="104"/>
        <v>0</v>
      </c>
      <c r="HD6" s="631" t="s">
        <v>92</v>
      </c>
      <c r="HE6" s="631" t="e">
        <f t="shared" si="105"/>
        <v>#VALUE!</v>
      </c>
      <c r="HG6" s="618">
        <f>HLOOKUP(CQ6,Spec_Sheet!$F$3:$DV$19,11,FALSE)+HLOOKUP(CQ6,Spec_Sheet!$F$3:$DV$21,19,FALSE)</f>
        <v>45</v>
      </c>
      <c r="HH6" s="618">
        <f t="shared" si="154"/>
        <v>20</v>
      </c>
      <c r="HI6" s="634">
        <f t="shared" si="155"/>
        <v>100</v>
      </c>
      <c r="HJ6" s="634">
        <f>HLOOKUP(IF(LEN(CQ6)&gt;6,LEFT(CQ6,5),CQ6),'LSM List Pricing'!$B$1:$BW$2,2,0)</f>
        <v>32</v>
      </c>
      <c r="HK6" s="634">
        <f>HLOOKUP(HJ6,'LSM List Pricing'!$B$2:$BW$3,2)</f>
        <v>220</v>
      </c>
      <c r="HL6" s="634">
        <f>VLOOKUP(HH6,'LSM List Pricing'!$A$7:$BW$87,HJ6,0)</f>
        <v>100</v>
      </c>
      <c r="HM6" s="627" t="str">
        <f>VLOOKUP(HI6,'LSM List Pricing'!$A$7:$BW$87,HJ6,1)</f>
        <v>n/a</v>
      </c>
      <c r="HN6" s="628">
        <f t="shared" si="106"/>
        <v>0.82051282051282048</v>
      </c>
      <c r="HO6" s="628">
        <f t="shared" si="107"/>
        <v>1.641025641025641</v>
      </c>
      <c r="HP6" s="628" t="e">
        <f t="shared" si="108"/>
        <v>#VALUE!</v>
      </c>
      <c r="HR6" s="618">
        <v>1.5E-3</v>
      </c>
      <c r="HS6" s="618">
        <f t="shared" si="109"/>
        <v>10.071428571428571</v>
      </c>
      <c r="HT6" s="618">
        <f t="shared" si="110"/>
        <v>0.99995772981519693</v>
      </c>
      <c r="HU6" s="618">
        <f t="shared" si="156"/>
        <v>3.7757375147459901E-2</v>
      </c>
      <c r="HW6" s="618">
        <f t="shared" si="111"/>
        <v>35.946384527290604</v>
      </c>
      <c r="HX6" s="618">
        <f t="shared" si="112"/>
        <v>3.7719884139015385E-2</v>
      </c>
      <c r="HY6" s="618">
        <f t="shared" si="0"/>
        <v>1.5E-3</v>
      </c>
      <c r="IB6" s="618">
        <f t="shared" si="113"/>
        <v>25.000350341399081</v>
      </c>
      <c r="IC6" s="618">
        <f t="shared" si="114"/>
        <v>1E-3</v>
      </c>
      <c r="IE6" s="618">
        <f t="shared" si="115"/>
        <v>0</v>
      </c>
      <c r="IF6" s="618">
        <f t="shared" si="116"/>
        <v>40.704999999999998</v>
      </c>
      <c r="IH6" s="618">
        <f t="shared" si="117"/>
        <v>0</v>
      </c>
      <c r="II6" s="618">
        <f t="shared" si="118"/>
        <v>40.704999999999998</v>
      </c>
      <c r="IK6" s="618">
        <f t="shared" si="119"/>
        <v>0</v>
      </c>
      <c r="IL6" s="618">
        <f t="shared" si="120"/>
        <v>40.704999999999998</v>
      </c>
      <c r="IN6" s="618">
        <f t="shared" si="121"/>
        <v>0</v>
      </c>
      <c r="IO6" s="618">
        <f t="shared" si="122"/>
        <v>40.704999999999998</v>
      </c>
      <c r="IQ6" s="618">
        <f t="shared" si="123"/>
        <v>0</v>
      </c>
      <c r="IR6" s="618">
        <f t="shared" si="124"/>
        <v>40.704999999999998</v>
      </c>
      <c r="IT6" s="660" t="str">
        <f t="shared" si="125"/>
        <v>S040Q</v>
      </c>
      <c r="IU6" s="628"/>
      <c r="IV6" s="439">
        <f t="shared" si="126"/>
        <v>0.54826800000000009</v>
      </c>
      <c r="IW6" s="440">
        <f t="shared" si="127"/>
        <v>0.41986800000000007</v>
      </c>
      <c r="IX6" s="439">
        <f t="shared" si="128"/>
        <v>-0.29146800000000006</v>
      </c>
      <c r="IY6" s="439">
        <f t="shared" si="129"/>
        <v>0</v>
      </c>
      <c r="IZ6" s="439">
        <f t="shared" si="130"/>
        <v>0</v>
      </c>
      <c r="JA6" s="439">
        <f t="shared" si="131"/>
        <v>0</v>
      </c>
      <c r="JB6" s="439">
        <f t="shared" si="132"/>
        <v>0</v>
      </c>
      <c r="JC6" s="439">
        <f t="shared" si="133"/>
        <v>0</v>
      </c>
      <c r="JD6" s="439">
        <f t="shared" si="134"/>
        <v>0</v>
      </c>
      <c r="JE6" s="439">
        <f t="shared" si="135"/>
        <v>0</v>
      </c>
      <c r="JF6" s="439">
        <f t="shared" si="136"/>
        <v>0</v>
      </c>
      <c r="JG6" s="439">
        <f t="shared" si="137"/>
        <v>0</v>
      </c>
      <c r="JH6" s="439">
        <f t="shared" si="138"/>
        <v>0</v>
      </c>
      <c r="JI6" s="439">
        <f t="shared" si="139"/>
        <v>0</v>
      </c>
      <c r="JJ6" s="442">
        <f t="shared" si="140"/>
        <v>0</v>
      </c>
      <c r="JK6" s="442">
        <f t="shared" si="141"/>
        <v>0</v>
      </c>
      <c r="JL6" s="439">
        <f t="shared" si="142"/>
        <v>0</v>
      </c>
      <c r="JM6" s="439">
        <f t="shared" si="143"/>
        <v>0</v>
      </c>
      <c r="JN6" s="661">
        <f t="shared" si="144"/>
        <v>0</v>
      </c>
      <c r="JO6" s="661">
        <f t="shared" si="145"/>
        <v>0</v>
      </c>
      <c r="JP6" s="439">
        <f t="shared" si="146"/>
        <v>0</v>
      </c>
      <c r="JQ6" s="439">
        <f t="shared" si="147"/>
        <v>0</v>
      </c>
      <c r="JR6" s="439">
        <f t="shared" si="148"/>
        <v>0</v>
      </c>
      <c r="JS6" s="439">
        <f t="shared" si="149"/>
        <v>0</v>
      </c>
      <c r="JT6" s="631" t="s">
        <v>92</v>
      </c>
      <c r="JU6" s="631">
        <f t="shared" ref="JU6:JU69" si="158">SQRT((((IF(IV6&gt;0,IV6,IV6*-1))^2*$D$38)+((IF(IW6&gt;0,IW6,IW6*-1))^2*$E$38)+((IF(IX6&gt;0,IX6,IX6*-1))^2*$F$38)+((IF(IY6&gt;0,IY6,IY6*-1))^2*$G$38)+((IF(IZ6&gt;0,IZ6,IZ6*-1))^2*$H$38)+((IF(JA6&gt;0,JA6,JA6*-1))^2*$I$38)+((IF(JB6&gt;0,JB6,JB6*-1))^2*$J$38)+((IF(JC6&gt;0,JC6,JC6*-1))^2*$K$38)+((IF(JD6&gt;0,JD6,JD6*-1))^2*$L$38)+((IF(JE6&gt;0,JE6,JE6*-1))^2*$M$38)+((IF(JF6&gt;0,JF6,JF6*-1))^2*$N$38)+((IF(JG6&gt;0,JG6,JG6*-1))^2*$O$38)+((IF(JH6&gt;0,JH6,JH6*-1))^2*$P$38)+((IF(JI6&gt;0,JI6,JI6*-1))^2*$Q$38)+((IF(JJ6&gt;0,JJ6,JJ6*-1))^2*$R$38)+((IF(JK6&gt;0,JK6,JK6*-1))^2*$S$38)+((IF(JL6&gt;0,JL6,JL6*-1))^2*$T$38)+((IF(JM6&gt;0,JM6,JM6*-1))^2*$U$38)+((IF(JN6&gt;0,JN6,JN6*-1))^2*$V$38)+((IF(JO6&gt;0,JO6,JO6*-1))^2*$W$38)+((IF(JP6&gt;0,JP6,JP6*-1))^2*$X$38)+((IF(JQ6&gt;0,JQ6,JQ6*-1))^2*$Y$38)+((IF(JR6&gt;0,JR6,JR6*-1))^2*$Z$38)+((IF(JS6&gt;0,JS6,JS6*-1))^2*$AA$38))/$AA$31)</f>
        <v>5.5839824686134708E-2</v>
      </c>
      <c r="JW6" s="522"/>
      <c r="JX6" s="522"/>
      <c r="JY6" s="522"/>
      <c r="JZ6" s="522"/>
      <c r="KA6" s="522"/>
      <c r="KB6" s="522"/>
      <c r="KC6" s="522"/>
      <c r="KD6" s="522"/>
      <c r="KE6" s="522"/>
      <c r="KF6" s="522"/>
      <c r="KG6" s="522"/>
      <c r="KH6" s="522"/>
      <c r="KI6" s="522"/>
      <c r="KJ6" s="522"/>
      <c r="KK6" s="522"/>
      <c r="KL6" s="522"/>
    </row>
    <row r="7" spans="2:298" ht="9.9499999999999993" customHeight="1">
      <c r="B7" s="806" t="s">
        <v>552</v>
      </c>
      <c r="C7" s="803"/>
      <c r="D7" s="803"/>
      <c r="E7" s="803"/>
      <c r="F7" s="803"/>
      <c r="G7" s="803"/>
      <c r="H7" s="803"/>
      <c r="I7" s="803"/>
      <c r="J7" s="807">
        <v>0.1</v>
      </c>
      <c r="K7" s="807"/>
      <c r="L7" s="808" t="s">
        <v>15</v>
      </c>
      <c r="M7" s="808"/>
      <c r="N7" s="809"/>
      <c r="O7" s="329">
        <f>IF(LEFT(AJ49,3)="SCR",0.003,IF(LEFT(AJ49,3)="SLP",0.1,J7))</f>
        <v>0.1</v>
      </c>
      <c r="P7" s="750" t="s">
        <v>18</v>
      </c>
      <c r="Q7" s="736"/>
      <c r="R7" s="736"/>
      <c r="S7" s="736"/>
      <c r="T7" s="736"/>
      <c r="U7" s="760">
        <v>0.54500000000000004</v>
      </c>
      <c r="V7" s="760"/>
      <c r="W7" s="61" t="s">
        <v>120</v>
      </c>
      <c r="X7" s="62"/>
      <c r="Y7" s="71" t="s">
        <v>129</v>
      </c>
      <c r="Z7" s="72"/>
      <c r="AA7" s="73"/>
      <c r="AB7" s="73"/>
      <c r="AC7" s="754">
        <f>AC5/U6</f>
        <v>0.3</v>
      </c>
      <c r="AD7" s="755">
        <v>1.4</v>
      </c>
      <c r="AE7" s="74" t="s">
        <v>126</v>
      </c>
      <c r="AF7" s="73"/>
      <c r="AG7" s="752" t="s">
        <v>18</v>
      </c>
      <c r="AH7" s="753"/>
      <c r="AI7" s="753"/>
      <c r="AJ7" s="753"/>
      <c r="AK7" s="753"/>
      <c r="AL7" s="740">
        <v>0.02</v>
      </c>
      <c r="AM7" s="740"/>
      <c r="AN7" s="65" t="s">
        <v>120</v>
      </c>
      <c r="AO7" s="66"/>
      <c r="AP7" s="71" t="s">
        <v>129</v>
      </c>
      <c r="AQ7" s="72"/>
      <c r="AR7" s="73"/>
      <c r="AS7" s="73"/>
      <c r="AT7" s="754">
        <f>AT5/AL6</f>
        <v>6.25</v>
      </c>
      <c r="AU7" s="755">
        <v>1.4</v>
      </c>
      <c r="AV7" s="74" t="s">
        <v>126</v>
      </c>
      <c r="AW7" s="548"/>
      <c r="AX7" s="283" t="s">
        <v>288</v>
      </c>
      <c r="AY7" s="716">
        <f>CD9</f>
        <v>0.05</v>
      </c>
      <c r="AZ7" s="716"/>
      <c r="BA7" s="48"/>
      <c r="BB7" s="784">
        <f>(J12-10)*0.4</f>
        <v>40</v>
      </c>
      <c r="BC7" s="785"/>
      <c r="BD7" s="786"/>
      <c r="BE7" s="779"/>
      <c r="BF7" s="779"/>
      <c r="BG7" s="761"/>
      <c r="BH7" s="795"/>
      <c r="BI7" s="780"/>
      <c r="BJ7" s="763"/>
      <c r="BK7" s="775"/>
      <c r="BL7" s="788"/>
      <c r="BM7" s="44"/>
      <c r="BN7" s="75"/>
      <c r="BO7" s="69" t="s">
        <v>102</v>
      </c>
      <c r="BP7" s="76"/>
      <c r="BQ7" s="75"/>
      <c r="BR7" s="75"/>
      <c r="BS7" s="75"/>
      <c r="BT7" s="44"/>
      <c r="BU7" s="44"/>
      <c r="BV7" s="44"/>
      <c r="BW7" s="44"/>
      <c r="BX7" s="44"/>
      <c r="BY7" s="44"/>
      <c r="BZ7" s="44"/>
      <c r="CA7" s="44"/>
      <c r="CB7" s="44"/>
      <c r="CC7" s="44"/>
      <c r="CD7" s="44"/>
      <c r="CE7" s="44"/>
      <c r="CF7" s="44"/>
      <c r="CG7" s="44"/>
      <c r="CH7" s="164"/>
      <c r="CI7" s="100"/>
      <c r="CJ7" s="420"/>
      <c r="CK7" s="152"/>
      <c r="CL7" s="153"/>
      <c r="CM7" s="155"/>
      <c r="CN7" s="377"/>
      <c r="CO7" s="689" t="str">
        <f ca="1"/>
        <v>S040X</v>
      </c>
      <c r="CP7" s="632" t="str">
        <f>IF(OR(CQ7=0,CR7="",CS7&gt;120),"",IF(HLOOKUP(CQ7,Spec_Sheet!$F$3:$ED$19,17,FALSE)&lt;$AC$46,"",CQ7))</f>
        <v>S040X</v>
      </c>
      <c r="CQ7" s="660" t="str">
        <f>IF(Spec_Sheet!A6="","",Spec_Sheet!A6)</f>
        <v>S040X</v>
      </c>
      <c r="CR7" s="660">
        <f>IF(CQ7="",0,HLOOKUP(CQ7,Spec_Sheet!$F$3:$ED$19,2,FALSE))</f>
        <v>0.94</v>
      </c>
      <c r="CS7" s="660">
        <f>IF(CR7=0,500,IF(IFERROR(CV7,TRUE),SMALL(CT7:CU7,1),SMALL(CT7:CX7,1)))</f>
        <v>0.10638504253163004</v>
      </c>
      <c r="CT7" s="621">
        <f t="shared" si="2"/>
        <v>0.36452167809955099</v>
      </c>
      <c r="CU7" s="621">
        <f t="shared" si="3"/>
        <v>0.10638504253163004</v>
      </c>
      <c r="CV7" s="621" t="e">
        <f t="shared" si="4"/>
        <v>#REF!</v>
      </c>
      <c r="CW7" s="621" t="e">
        <f t="shared" si="5"/>
        <v>#REF!</v>
      </c>
      <c r="CX7" s="621" t="e">
        <f t="shared" si="157"/>
        <v>#REF!</v>
      </c>
      <c r="CY7" s="619">
        <f>HLOOKUP(CQ7,Spec_Sheet!$F$3:$ED$19,13,FALSE)</f>
        <v>3.5000000000000003E-2</v>
      </c>
      <c r="CZ7" s="619" t="e">
        <f>VLOOKUP(HH7,'Shaft Weight'!$A$6:$CD$102,HJ7,TRUE)</f>
        <v>#REF!</v>
      </c>
      <c r="DA7" s="619" t="e">
        <f>VLOOKUP(HI7,'Shaft Weight'!$A$6:$CD$102,HJ7,0)</f>
        <v>#REF!</v>
      </c>
      <c r="DB7" s="619">
        <f>HLOOKUP(CQ7,Spec_Sheet!$F$3:$ED$19,6,FALSE)</f>
        <v>1.68</v>
      </c>
      <c r="DC7" s="439">
        <f t="shared" si="6"/>
        <v>0.55723500000000015</v>
      </c>
      <c r="DD7" s="440">
        <f t="shared" si="7"/>
        <v>0.42673500000000009</v>
      </c>
      <c r="DE7" s="439">
        <f t="shared" si="8"/>
        <v>-0.29623500000000008</v>
      </c>
      <c r="DF7" s="439">
        <f t="shared" si="9"/>
        <v>0</v>
      </c>
      <c r="DG7" s="439">
        <f t="shared" si="10"/>
        <v>0</v>
      </c>
      <c r="DH7" s="439">
        <f t="shared" si="11"/>
        <v>0</v>
      </c>
      <c r="DI7" s="439">
        <f t="shared" si="12"/>
        <v>0</v>
      </c>
      <c r="DJ7" s="439">
        <f t="shared" si="13"/>
        <v>0</v>
      </c>
      <c r="DK7" s="439">
        <f t="shared" si="14"/>
        <v>0</v>
      </c>
      <c r="DL7" s="439">
        <f t="shared" si="15"/>
        <v>0</v>
      </c>
      <c r="DM7" s="439">
        <f t="shared" si="16"/>
        <v>0</v>
      </c>
      <c r="DN7" s="439">
        <f t="shared" si="17"/>
        <v>0</v>
      </c>
      <c r="DO7" s="439">
        <f t="shared" si="18"/>
        <v>0</v>
      </c>
      <c r="DP7" s="439">
        <f t="shared" si="19"/>
        <v>0</v>
      </c>
      <c r="DQ7" s="442">
        <f t="shared" si="20"/>
        <v>0</v>
      </c>
      <c r="DR7" s="442">
        <f t="shared" si="21"/>
        <v>0</v>
      </c>
      <c r="DS7" s="439">
        <f t="shared" si="22"/>
        <v>0</v>
      </c>
      <c r="DT7" s="439">
        <f t="shared" si="23"/>
        <v>0</v>
      </c>
      <c r="DU7" s="661">
        <f t="shared" si="24"/>
        <v>0</v>
      </c>
      <c r="DV7" s="661">
        <f t="shared" si="25"/>
        <v>0</v>
      </c>
      <c r="DW7" s="439">
        <f t="shared" si="26"/>
        <v>0</v>
      </c>
      <c r="DX7" s="439">
        <f t="shared" si="27"/>
        <v>0</v>
      </c>
      <c r="DY7" s="439">
        <f t="shared" si="28"/>
        <v>0</v>
      </c>
      <c r="DZ7" s="439">
        <f t="shared" si="29"/>
        <v>0</v>
      </c>
      <c r="EA7" s="631" t="s">
        <v>92</v>
      </c>
      <c r="EB7" s="631">
        <f t="shared" si="151"/>
        <v>5.6753092846889251E-2</v>
      </c>
      <c r="ED7" s="439" t="e">
        <f t="shared" si="31"/>
        <v>#REF!</v>
      </c>
      <c r="EE7" s="440" t="e">
        <f t="shared" si="32"/>
        <v>#REF!</v>
      </c>
      <c r="EF7" s="439" t="e">
        <f t="shared" si="33"/>
        <v>#REF!</v>
      </c>
      <c r="EG7" s="441" t="e">
        <f t="shared" si="34"/>
        <v>#REF!</v>
      </c>
      <c r="EH7" s="439">
        <f t="shared" si="35"/>
        <v>0</v>
      </c>
      <c r="EI7" s="439">
        <f t="shared" si="36"/>
        <v>0</v>
      </c>
      <c r="EJ7" s="439">
        <f t="shared" si="37"/>
        <v>0</v>
      </c>
      <c r="EK7" s="439">
        <f t="shared" si="38"/>
        <v>0</v>
      </c>
      <c r="EL7" s="439">
        <f t="shared" si="39"/>
        <v>0</v>
      </c>
      <c r="EM7" s="439">
        <f t="shared" si="40"/>
        <v>0</v>
      </c>
      <c r="EN7" s="439">
        <f t="shared" si="41"/>
        <v>0</v>
      </c>
      <c r="EO7" s="439">
        <f t="shared" si="42"/>
        <v>0</v>
      </c>
      <c r="EP7" s="439">
        <f t="shared" si="43"/>
        <v>0</v>
      </c>
      <c r="EQ7" s="439">
        <f t="shared" si="44"/>
        <v>0</v>
      </c>
      <c r="ER7" s="442">
        <f t="shared" si="45"/>
        <v>0</v>
      </c>
      <c r="ES7" s="442">
        <f t="shared" si="46"/>
        <v>0</v>
      </c>
      <c r="ET7" s="439">
        <f t="shared" si="47"/>
        <v>0</v>
      </c>
      <c r="EU7" s="439">
        <f t="shared" si="48"/>
        <v>0</v>
      </c>
      <c r="EV7" s="661">
        <f t="shared" si="49"/>
        <v>0</v>
      </c>
      <c r="EW7" s="661">
        <f t="shared" si="50"/>
        <v>0</v>
      </c>
      <c r="EX7" s="439">
        <f t="shared" si="51"/>
        <v>0</v>
      </c>
      <c r="EY7" s="439">
        <f t="shared" si="52"/>
        <v>0</v>
      </c>
      <c r="EZ7" s="439">
        <f t="shared" si="53"/>
        <v>0</v>
      </c>
      <c r="FA7" s="439">
        <f t="shared" si="54"/>
        <v>0</v>
      </c>
      <c r="FB7" s="631" t="s">
        <v>92</v>
      </c>
      <c r="FC7" s="631" t="e">
        <f t="shared" si="152"/>
        <v>#REF!</v>
      </c>
      <c r="FE7" s="439" t="e">
        <f t="shared" si="56"/>
        <v>#REF!</v>
      </c>
      <c r="FF7" s="440" t="e">
        <f t="shared" si="57"/>
        <v>#REF!</v>
      </c>
      <c r="FG7" s="439" t="e">
        <f t="shared" si="58"/>
        <v>#REF!</v>
      </c>
      <c r="FH7" s="441" t="e">
        <f t="shared" si="59"/>
        <v>#REF!</v>
      </c>
      <c r="FI7" s="439">
        <f t="shared" si="60"/>
        <v>0</v>
      </c>
      <c r="FJ7" s="439">
        <f t="shared" si="61"/>
        <v>0</v>
      </c>
      <c r="FK7" s="439">
        <f t="shared" si="62"/>
        <v>0</v>
      </c>
      <c r="FL7" s="439">
        <f t="shared" si="63"/>
        <v>0</v>
      </c>
      <c r="FM7" s="439">
        <f t="shared" si="64"/>
        <v>0</v>
      </c>
      <c r="FN7" s="439">
        <f t="shared" si="65"/>
        <v>0</v>
      </c>
      <c r="FO7" s="439">
        <f t="shared" si="66"/>
        <v>0</v>
      </c>
      <c r="FP7" s="439">
        <f t="shared" si="67"/>
        <v>0</v>
      </c>
      <c r="FQ7" s="439">
        <f t="shared" si="68"/>
        <v>0</v>
      </c>
      <c r="FR7" s="439">
        <f t="shared" si="69"/>
        <v>0</v>
      </c>
      <c r="FS7" s="442">
        <f t="shared" si="70"/>
        <v>0</v>
      </c>
      <c r="FT7" s="442">
        <f t="shared" si="71"/>
        <v>0</v>
      </c>
      <c r="FU7" s="439">
        <f t="shared" si="72"/>
        <v>0</v>
      </c>
      <c r="FV7" s="439">
        <f t="shared" si="73"/>
        <v>0</v>
      </c>
      <c r="FW7" s="661">
        <f t="shared" si="74"/>
        <v>0</v>
      </c>
      <c r="FX7" s="661">
        <f t="shared" si="75"/>
        <v>0</v>
      </c>
      <c r="FY7" s="439">
        <f t="shared" si="76"/>
        <v>0</v>
      </c>
      <c r="FZ7" s="439">
        <f t="shared" si="77"/>
        <v>0</v>
      </c>
      <c r="GA7" s="439">
        <f t="shared" si="78"/>
        <v>0</v>
      </c>
      <c r="GB7" s="439">
        <f t="shared" si="79"/>
        <v>0</v>
      </c>
      <c r="GC7" s="631" t="s">
        <v>92</v>
      </c>
      <c r="GD7" s="631" t="e">
        <f t="shared" si="153"/>
        <v>#REF!</v>
      </c>
      <c r="GF7" s="439" t="e">
        <f t="shared" si="81"/>
        <v>#REF!</v>
      </c>
      <c r="GG7" s="440" t="e">
        <f t="shared" si="82"/>
        <v>#REF!</v>
      </c>
      <c r="GH7" s="439" t="e">
        <f t="shared" si="83"/>
        <v>#REF!</v>
      </c>
      <c r="GI7" s="439" t="e">
        <f t="shared" si="84"/>
        <v>#REF!</v>
      </c>
      <c r="GJ7" s="439">
        <f t="shared" si="85"/>
        <v>0</v>
      </c>
      <c r="GK7" s="439">
        <f t="shared" si="86"/>
        <v>0</v>
      </c>
      <c r="GL7" s="439">
        <f t="shared" si="87"/>
        <v>0</v>
      </c>
      <c r="GM7" s="439">
        <f t="shared" si="88"/>
        <v>0</v>
      </c>
      <c r="GN7" s="439">
        <f t="shared" si="89"/>
        <v>0</v>
      </c>
      <c r="GO7" s="439">
        <f t="shared" si="90"/>
        <v>0</v>
      </c>
      <c r="GP7" s="439">
        <f t="shared" si="91"/>
        <v>0</v>
      </c>
      <c r="GQ7" s="439">
        <f t="shared" si="92"/>
        <v>0</v>
      </c>
      <c r="GR7" s="439">
        <f t="shared" si="93"/>
        <v>0</v>
      </c>
      <c r="GS7" s="439">
        <f t="shared" si="94"/>
        <v>0</v>
      </c>
      <c r="GT7" s="442">
        <f t="shared" si="95"/>
        <v>0</v>
      </c>
      <c r="GU7" s="442">
        <f t="shared" si="96"/>
        <v>0</v>
      </c>
      <c r="GV7" s="439">
        <f t="shared" si="97"/>
        <v>0</v>
      </c>
      <c r="GW7" s="439">
        <f t="shared" si="98"/>
        <v>0</v>
      </c>
      <c r="GX7" s="661">
        <f t="shared" si="99"/>
        <v>0</v>
      </c>
      <c r="GY7" s="661">
        <f t="shared" si="100"/>
        <v>0</v>
      </c>
      <c r="GZ7" s="439">
        <f t="shared" si="101"/>
        <v>0</v>
      </c>
      <c r="HA7" s="439">
        <f t="shared" si="102"/>
        <v>0</v>
      </c>
      <c r="HB7" s="439">
        <f t="shared" si="103"/>
        <v>0</v>
      </c>
      <c r="HC7" s="439">
        <f t="shared" si="104"/>
        <v>0</v>
      </c>
      <c r="HD7" s="631" t="s">
        <v>92</v>
      </c>
      <c r="HE7" s="631" t="e">
        <f t="shared" si="105"/>
        <v>#REF!</v>
      </c>
      <c r="HG7" s="618">
        <f>HLOOKUP(CQ7,Spec_Sheet!$F$3:$DV$19,11,FALSE)+HLOOKUP(CQ7,Spec_Sheet!$F$3:$DV$21,19,FALSE)</f>
        <v>81</v>
      </c>
      <c r="HH7" s="618">
        <f t="shared" si="154"/>
        <v>20</v>
      </c>
      <c r="HI7" s="634">
        <f t="shared" si="155"/>
        <v>100</v>
      </c>
      <c r="HJ7" s="634" t="e">
        <f>HLOOKUP(IF(LEN(CQ7)&gt;6,LEFT(CQ7,5),CQ7),'LSM List Pricing'!$B$1:$BW$2,2,0)</f>
        <v>#N/A</v>
      </c>
      <c r="HK7" s="634" t="e">
        <f>HLOOKUP(HJ7,'LSM List Pricing'!$B$2:$BW$3,2)</f>
        <v>#N/A</v>
      </c>
      <c r="HL7" s="634" t="e">
        <f>VLOOKUP(HH7,'LSM List Pricing'!$A$7:$BW$87,HJ7,0)</f>
        <v>#REF!</v>
      </c>
      <c r="HM7" s="627" t="e">
        <f>VLOOKUP(HI7,'LSM List Pricing'!$A$7:$BW$87,HJ7,1)</f>
        <v>#REF!</v>
      </c>
      <c r="HN7" s="628" t="e">
        <f t="shared" si="106"/>
        <v>#N/A</v>
      </c>
      <c r="HO7" s="628" t="e">
        <f t="shared" si="107"/>
        <v>#N/A</v>
      </c>
      <c r="HP7" s="628" t="e">
        <f t="shared" si="108"/>
        <v>#N/A</v>
      </c>
      <c r="HR7" s="618">
        <v>2E-3</v>
      </c>
      <c r="HS7" s="618">
        <f t="shared" si="109"/>
        <v>13.428571428571429</v>
      </c>
      <c r="HT7" s="618">
        <f t="shared" si="110"/>
        <v>0.99999852753314145</v>
      </c>
      <c r="HU7" s="618">
        <f t="shared" si="156"/>
        <v>5.0496400363264637E-2</v>
      </c>
      <c r="HW7" s="618">
        <f t="shared" si="111"/>
        <v>35.928295111484161</v>
      </c>
      <c r="HX7" s="618">
        <f t="shared" si="112"/>
        <v>5.0433535733072903E-2</v>
      </c>
      <c r="HY7" s="618">
        <f t="shared" si="0"/>
        <v>2E-3</v>
      </c>
      <c r="IB7" s="618">
        <f t="shared" si="113"/>
        <v>25.000350341399081</v>
      </c>
      <c r="IC7" s="618">
        <f t="shared" si="114"/>
        <v>1E-3</v>
      </c>
      <c r="IE7" s="618">
        <f t="shared" si="115"/>
        <v>0</v>
      </c>
      <c r="IF7" s="618">
        <f t="shared" si="116"/>
        <v>40.704999999999998</v>
      </c>
      <c r="IH7" s="618">
        <f t="shared" si="117"/>
        <v>0</v>
      </c>
      <c r="II7" s="618">
        <f t="shared" si="118"/>
        <v>40.704999999999998</v>
      </c>
      <c r="IK7" s="618">
        <f t="shared" si="119"/>
        <v>0</v>
      </c>
      <c r="IL7" s="618">
        <f t="shared" si="120"/>
        <v>40.704999999999998</v>
      </c>
      <c r="IN7" s="618">
        <f t="shared" si="121"/>
        <v>0</v>
      </c>
      <c r="IO7" s="618">
        <f t="shared" si="122"/>
        <v>40.704999999999998</v>
      </c>
      <c r="IQ7" s="618">
        <f t="shared" si="123"/>
        <v>0</v>
      </c>
      <c r="IR7" s="618">
        <f t="shared" si="124"/>
        <v>40.704999999999998</v>
      </c>
      <c r="IT7" s="660" t="str">
        <f t="shared" si="125"/>
        <v>S040X</v>
      </c>
      <c r="IU7" s="628"/>
      <c r="IV7" s="439">
        <f t="shared" si="126"/>
        <v>0.60207000000000011</v>
      </c>
      <c r="IW7" s="440">
        <f t="shared" si="127"/>
        <v>0.46107000000000009</v>
      </c>
      <c r="IX7" s="439">
        <f t="shared" si="128"/>
        <v>-0.32007000000000008</v>
      </c>
      <c r="IY7" s="439">
        <f t="shared" si="129"/>
        <v>0</v>
      </c>
      <c r="IZ7" s="439">
        <f t="shared" si="130"/>
        <v>0</v>
      </c>
      <c r="JA7" s="439">
        <f t="shared" si="131"/>
        <v>0</v>
      </c>
      <c r="JB7" s="439">
        <f t="shared" si="132"/>
        <v>0</v>
      </c>
      <c r="JC7" s="439">
        <f t="shared" si="133"/>
        <v>0</v>
      </c>
      <c r="JD7" s="439">
        <f t="shared" si="134"/>
        <v>0</v>
      </c>
      <c r="JE7" s="439">
        <f t="shared" si="135"/>
        <v>0</v>
      </c>
      <c r="JF7" s="439">
        <f t="shared" si="136"/>
        <v>0</v>
      </c>
      <c r="JG7" s="439">
        <f t="shared" si="137"/>
        <v>0</v>
      </c>
      <c r="JH7" s="439">
        <f t="shared" si="138"/>
        <v>0</v>
      </c>
      <c r="JI7" s="439">
        <f t="shared" si="139"/>
        <v>0</v>
      </c>
      <c r="JJ7" s="442">
        <f t="shared" si="140"/>
        <v>0</v>
      </c>
      <c r="JK7" s="442">
        <f t="shared" si="141"/>
        <v>0</v>
      </c>
      <c r="JL7" s="439">
        <f t="shared" si="142"/>
        <v>0</v>
      </c>
      <c r="JM7" s="439">
        <f t="shared" si="143"/>
        <v>0</v>
      </c>
      <c r="JN7" s="661">
        <f t="shared" si="144"/>
        <v>0</v>
      </c>
      <c r="JO7" s="661">
        <f t="shared" si="145"/>
        <v>0</v>
      </c>
      <c r="JP7" s="439">
        <f t="shared" si="146"/>
        <v>0</v>
      </c>
      <c r="JQ7" s="439">
        <f t="shared" si="147"/>
        <v>0</v>
      </c>
      <c r="JR7" s="439">
        <f t="shared" si="148"/>
        <v>0</v>
      </c>
      <c r="JS7" s="439">
        <f t="shared" si="149"/>
        <v>0</v>
      </c>
      <c r="JT7" s="631" t="s">
        <v>92</v>
      </c>
      <c r="JU7" s="631">
        <f t="shared" si="158"/>
        <v>6.1319433650661948E-2</v>
      </c>
      <c r="JW7" s="522"/>
      <c r="JX7" s="522"/>
      <c r="JY7" s="522"/>
      <c r="JZ7" s="522"/>
      <c r="KA7" s="522"/>
      <c r="KB7" s="522"/>
      <c r="KC7" s="522"/>
      <c r="KD7" s="522"/>
      <c r="KE7" s="522"/>
      <c r="KF7" s="522"/>
      <c r="KG7" s="522"/>
      <c r="KH7" s="522"/>
      <c r="KI7" s="522"/>
      <c r="KJ7" s="522"/>
      <c r="KK7" s="522"/>
      <c r="KL7" s="522"/>
    </row>
    <row r="8" spans="2:298" ht="9.9499999999999993" customHeight="1">
      <c r="B8" s="697" t="s">
        <v>662</v>
      </c>
      <c r="C8" s="698"/>
      <c r="D8" s="698"/>
      <c r="E8" s="1026" t="s">
        <v>32</v>
      </c>
      <c r="F8" s="698"/>
      <c r="G8" s="698"/>
      <c r="H8" s="698"/>
      <c r="I8" s="698"/>
      <c r="J8" s="805">
        <v>0</v>
      </c>
      <c r="K8" s="805"/>
      <c r="L8" s="812"/>
      <c r="M8" s="812"/>
      <c r="N8" s="813"/>
      <c r="O8" s="292" t="e">
        <f>J8*VLOOKUP(L8,E62:F66,2,FALSE)</f>
        <v>#N/A</v>
      </c>
      <c r="P8" s="750" t="s">
        <v>306</v>
      </c>
      <c r="Q8" s="736"/>
      <c r="R8" s="736"/>
      <c r="S8" s="736"/>
      <c r="T8" s="736"/>
      <c r="U8" s="760">
        <v>0.08</v>
      </c>
      <c r="V8" s="760"/>
      <c r="W8" s="61" t="s">
        <v>120</v>
      </c>
      <c r="X8" s="62"/>
      <c r="Y8" s="321" t="str">
        <f>IF(G42&gt;U9,"Settling time ?",IF(Y6="X","▲ Acc Time",IF(Z6="X","▲ Decl Time","")))</f>
        <v/>
      </c>
      <c r="Z8" s="322"/>
      <c r="AA8" s="323"/>
      <c r="AB8" s="73"/>
      <c r="AC8" s="754">
        <f>AC7*39.37007874</f>
        <v>11.811023621999999</v>
      </c>
      <c r="AD8" s="755">
        <v>55.118110236</v>
      </c>
      <c r="AE8" s="74" t="s">
        <v>128</v>
      </c>
      <c r="AF8" s="73"/>
      <c r="AG8" s="752" t="s">
        <v>306</v>
      </c>
      <c r="AH8" s="753"/>
      <c r="AI8" s="753"/>
      <c r="AJ8" s="753"/>
      <c r="AK8" s="753"/>
      <c r="AL8" s="740">
        <v>0.02</v>
      </c>
      <c r="AM8" s="740"/>
      <c r="AN8" s="65" t="s">
        <v>120</v>
      </c>
      <c r="AO8" s="66"/>
      <c r="AP8" s="321" t="e">
        <f>IF(S42&gt;AL9,"Settling time ?",IF(AP6="X","▲ Acc Time",IF(AQ6="X","▲ Decl Time","")))</f>
        <v>#DIV/0!</v>
      </c>
      <c r="AQ8" s="322"/>
      <c r="AR8" s="323"/>
      <c r="AS8" s="323"/>
      <c r="AT8" s="754">
        <f>AT7*39.37007874</f>
        <v>246.06299212499999</v>
      </c>
      <c r="AU8" s="755">
        <v>55.118110236</v>
      </c>
      <c r="AV8" s="74" t="s">
        <v>128</v>
      </c>
      <c r="AW8" s="548"/>
      <c r="AX8" s="283" t="s">
        <v>289</v>
      </c>
      <c r="AY8" s="716">
        <f>CD10</f>
        <v>0</v>
      </c>
      <c r="AZ8" s="716"/>
      <c r="BA8" s="48"/>
      <c r="BB8" s="784">
        <f>IF(BB7/2&lt;2,0,BB7/2)</f>
        <v>20</v>
      </c>
      <c r="BC8" s="785"/>
      <c r="BD8" s="786"/>
      <c r="BE8" s="779"/>
      <c r="BF8" s="779"/>
      <c r="BG8" s="761"/>
      <c r="BH8" s="796"/>
      <c r="BI8" s="780"/>
      <c r="BJ8" s="763"/>
      <c r="BK8" s="775"/>
      <c r="BL8" s="788"/>
      <c r="BM8" s="44"/>
      <c r="BN8" s="44"/>
      <c r="BO8" s="70" t="s">
        <v>99</v>
      </c>
      <c r="BP8" s="70"/>
      <c r="BQ8" s="70"/>
      <c r="BR8" s="70"/>
      <c r="BS8" s="70"/>
      <c r="BT8" s="70"/>
      <c r="BU8" s="70"/>
      <c r="BV8" s="79" t="s">
        <v>101</v>
      </c>
      <c r="BW8" s="70"/>
      <c r="BX8" s="70"/>
      <c r="BY8" s="44"/>
      <c r="BZ8" s="44"/>
      <c r="CA8" s="44"/>
      <c r="CB8" s="44"/>
      <c r="CC8" s="44"/>
      <c r="CD8" s="44"/>
      <c r="CE8" s="44"/>
      <c r="CF8" s="44"/>
      <c r="CG8" s="44"/>
      <c r="CH8" s="164"/>
      <c r="CI8" s="174"/>
      <c r="CJ8" s="420"/>
      <c r="CK8" s="152"/>
      <c r="CL8" s="153"/>
      <c r="CM8" s="155"/>
      <c r="CN8" s="377"/>
      <c r="CO8" s="689" t="str">
        <f ca="1"/>
        <v>S080D 1S</v>
      </c>
      <c r="CP8" s="632" t="str">
        <f>IF(OR(CQ8=0,CR8="",CS8&gt;120),"",IF(HLOOKUP(CQ8,Spec_Sheet!$F$3:$ED$19,17,FALSE)&lt;$AC$46,"",CQ8))</f>
        <v/>
      </c>
      <c r="CQ8" s="660" t="str">
        <f>IF(Spec_Sheet!A7="","",Spec_Sheet!A7)</f>
        <v>S060D</v>
      </c>
      <c r="CR8" s="660">
        <f>IF(CQ8="",0,HLOOKUP(CQ8,Spec_Sheet!$F$3:$ED$19,2,FALSE))</f>
        <v>0</v>
      </c>
      <c r="CS8" s="660">
        <f t="shared" ref="CS8:CS9" si="159">IF(CR8=0,500,IF(IFERROR(CV8,TRUE),SMALL(CT8:CU8,1),SMALL(CT8:CX8,1)))</f>
        <v>500</v>
      </c>
      <c r="CT8" s="621" t="e">
        <f t="shared" si="2"/>
        <v>#DIV/0!</v>
      </c>
      <c r="CU8" s="621" t="e">
        <f t="shared" si="3"/>
        <v>#DIV/0!</v>
      </c>
      <c r="CV8" s="621" t="e">
        <f t="shared" si="4"/>
        <v>#DIV/0!</v>
      </c>
      <c r="CW8" s="621" t="e">
        <f t="shared" si="5"/>
        <v>#DIV/0!</v>
      </c>
      <c r="CX8" s="621" t="e">
        <f t="shared" si="157"/>
        <v>#DIV/0!</v>
      </c>
      <c r="CY8" s="619">
        <f>HLOOKUP(CQ8,Spec_Sheet!$F$3:$ED$19,13,FALSE)</f>
        <v>0</v>
      </c>
      <c r="CZ8" s="619">
        <f>VLOOKUP(HH8,'Shaft Weight'!$A$6:$CD$102,HJ8,TRUE)</f>
        <v>0.02</v>
      </c>
      <c r="DA8" s="619">
        <f>VLOOKUP(HI8,'Shaft Weight'!$A$6:$CD$102,HJ8,0)</f>
        <v>0.03</v>
      </c>
      <c r="DB8" s="619">
        <f>HLOOKUP(CQ8,Spec_Sheet!$F$3:$ED$19,6,FALSE)</f>
        <v>0</v>
      </c>
      <c r="DC8" s="439">
        <f t="shared" si="6"/>
        <v>0.51240000000000008</v>
      </c>
      <c r="DD8" s="440">
        <f t="shared" si="7"/>
        <v>0.39240000000000008</v>
      </c>
      <c r="DE8" s="439">
        <f t="shared" si="8"/>
        <v>-0.27240000000000009</v>
      </c>
      <c r="DF8" s="439">
        <f t="shared" si="9"/>
        <v>0</v>
      </c>
      <c r="DG8" s="439">
        <f t="shared" si="10"/>
        <v>0</v>
      </c>
      <c r="DH8" s="439">
        <f t="shared" si="11"/>
        <v>0</v>
      </c>
      <c r="DI8" s="439">
        <f t="shared" si="12"/>
        <v>0</v>
      </c>
      <c r="DJ8" s="439">
        <f t="shared" si="13"/>
        <v>0</v>
      </c>
      <c r="DK8" s="439">
        <f t="shared" si="14"/>
        <v>0</v>
      </c>
      <c r="DL8" s="439">
        <f t="shared" si="15"/>
        <v>0</v>
      </c>
      <c r="DM8" s="439">
        <f t="shared" si="16"/>
        <v>0</v>
      </c>
      <c r="DN8" s="439">
        <f t="shared" si="17"/>
        <v>0</v>
      </c>
      <c r="DO8" s="439">
        <f t="shared" si="18"/>
        <v>0</v>
      </c>
      <c r="DP8" s="439">
        <f t="shared" si="19"/>
        <v>0</v>
      </c>
      <c r="DQ8" s="442">
        <f t="shared" si="20"/>
        <v>0</v>
      </c>
      <c r="DR8" s="442">
        <f t="shared" si="21"/>
        <v>0</v>
      </c>
      <c r="DS8" s="439">
        <f t="shared" si="22"/>
        <v>0</v>
      </c>
      <c r="DT8" s="439">
        <f t="shared" si="23"/>
        <v>0</v>
      </c>
      <c r="DU8" s="661">
        <f t="shared" si="24"/>
        <v>0</v>
      </c>
      <c r="DV8" s="661">
        <f t="shared" si="25"/>
        <v>0</v>
      </c>
      <c r="DW8" s="439">
        <f t="shared" si="26"/>
        <v>0</v>
      </c>
      <c r="DX8" s="439">
        <f t="shared" si="27"/>
        <v>0</v>
      </c>
      <c r="DY8" s="439">
        <f t="shared" si="28"/>
        <v>0</v>
      </c>
      <c r="DZ8" s="439">
        <f t="shared" si="29"/>
        <v>0</v>
      </c>
      <c r="EA8" s="631" t="s">
        <v>92</v>
      </c>
      <c r="EB8" s="631">
        <f t="shared" si="151"/>
        <v>5.2186752043116555E-2</v>
      </c>
      <c r="ED8" s="439">
        <f t="shared" si="31"/>
        <v>0.56364000000000014</v>
      </c>
      <c r="EE8" s="440">
        <f t="shared" si="32"/>
        <v>0.43164000000000008</v>
      </c>
      <c r="EF8" s="439">
        <f t="shared" si="33"/>
        <v>-0.29964000000000007</v>
      </c>
      <c r="EG8" s="441">
        <f t="shared" si="34"/>
        <v>0</v>
      </c>
      <c r="EH8" s="439">
        <f t="shared" si="35"/>
        <v>0</v>
      </c>
      <c r="EI8" s="439">
        <f t="shared" si="36"/>
        <v>0</v>
      </c>
      <c r="EJ8" s="439">
        <f t="shared" si="37"/>
        <v>0</v>
      </c>
      <c r="EK8" s="439">
        <f t="shared" si="38"/>
        <v>0</v>
      </c>
      <c r="EL8" s="439">
        <f t="shared" si="39"/>
        <v>0</v>
      </c>
      <c r="EM8" s="439">
        <f t="shared" si="40"/>
        <v>0</v>
      </c>
      <c r="EN8" s="439">
        <f t="shared" si="41"/>
        <v>0</v>
      </c>
      <c r="EO8" s="439">
        <f t="shared" si="42"/>
        <v>0</v>
      </c>
      <c r="EP8" s="439">
        <f t="shared" si="43"/>
        <v>0</v>
      </c>
      <c r="EQ8" s="439">
        <f t="shared" si="44"/>
        <v>0</v>
      </c>
      <c r="ER8" s="442">
        <f t="shared" si="45"/>
        <v>0</v>
      </c>
      <c r="ES8" s="442">
        <f t="shared" si="46"/>
        <v>0</v>
      </c>
      <c r="ET8" s="439">
        <f t="shared" si="47"/>
        <v>0</v>
      </c>
      <c r="EU8" s="439">
        <f t="shared" si="48"/>
        <v>0</v>
      </c>
      <c r="EV8" s="661">
        <f t="shared" si="49"/>
        <v>0</v>
      </c>
      <c r="EW8" s="661">
        <f t="shared" si="50"/>
        <v>0</v>
      </c>
      <c r="EX8" s="439">
        <f t="shared" si="51"/>
        <v>0</v>
      </c>
      <c r="EY8" s="439">
        <f t="shared" si="52"/>
        <v>0</v>
      </c>
      <c r="EZ8" s="439">
        <f t="shared" si="53"/>
        <v>0</v>
      </c>
      <c r="FA8" s="439">
        <f t="shared" si="54"/>
        <v>0</v>
      </c>
      <c r="FB8" s="631" t="s">
        <v>92</v>
      </c>
      <c r="FC8" s="631">
        <f t="shared" si="152"/>
        <v>5.7405427247428212E-2</v>
      </c>
      <c r="FE8" s="439">
        <f t="shared" si="56"/>
        <v>0.53802000000000005</v>
      </c>
      <c r="FF8" s="440">
        <f t="shared" si="57"/>
        <v>0.41202000000000005</v>
      </c>
      <c r="FG8" s="439">
        <f t="shared" si="58"/>
        <v>-0.28602000000000005</v>
      </c>
      <c r="FH8" s="441">
        <f t="shared" si="59"/>
        <v>0</v>
      </c>
      <c r="FI8" s="439">
        <f t="shared" si="60"/>
        <v>0</v>
      </c>
      <c r="FJ8" s="439">
        <f t="shared" si="61"/>
        <v>0</v>
      </c>
      <c r="FK8" s="439">
        <f t="shared" si="62"/>
        <v>0</v>
      </c>
      <c r="FL8" s="439">
        <f t="shared" si="63"/>
        <v>0</v>
      </c>
      <c r="FM8" s="439">
        <f t="shared" si="64"/>
        <v>0</v>
      </c>
      <c r="FN8" s="439">
        <f t="shared" si="65"/>
        <v>0</v>
      </c>
      <c r="FO8" s="439">
        <f t="shared" si="66"/>
        <v>0</v>
      </c>
      <c r="FP8" s="439">
        <f t="shared" si="67"/>
        <v>0</v>
      </c>
      <c r="FQ8" s="439">
        <f t="shared" si="68"/>
        <v>0</v>
      </c>
      <c r="FR8" s="439">
        <f t="shared" si="69"/>
        <v>0</v>
      </c>
      <c r="FS8" s="442">
        <f t="shared" si="70"/>
        <v>0</v>
      </c>
      <c r="FT8" s="442">
        <f t="shared" si="71"/>
        <v>0</v>
      </c>
      <c r="FU8" s="439">
        <f t="shared" si="72"/>
        <v>0</v>
      </c>
      <c r="FV8" s="439">
        <f t="shared" si="73"/>
        <v>0</v>
      </c>
      <c r="FW8" s="661">
        <f t="shared" si="74"/>
        <v>0</v>
      </c>
      <c r="FX8" s="661">
        <f t="shared" si="75"/>
        <v>0</v>
      </c>
      <c r="FY8" s="439">
        <f t="shared" si="76"/>
        <v>0</v>
      </c>
      <c r="FZ8" s="439">
        <f t="shared" si="77"/>
        <v>0</v>
      </c>
      <c r="GA8" s="439">
        <f t="shared" si="78"/>
        <v>0</v>
      </c>
      <c r="GB8" s="439">
        <f t="shared" si="79"/>
        <v>0</v>
      </c>
      <c r="GC8" s="631" t="s">
        <v>92</v>
      </c>
      <c r="GD8" s="631">
        <f t="shared" si="153"/>
        <v>5.4796089645272376E-2</v>
      </c>
      <c r="GF8" s="439">
        <f t="shared" si="81"/>
        <v>0.55083000000000015</v>
      </c>
      <c r="GG8" s="440">
        <f t="shared" si="82"/>
        <v>0.42183000000000015</v>
      </c>
      <c r="GH8" s="439">
        <f t="shared" si="83"/>
        <v>-0.29283000000000015</v>
      </c>
      <c r="GI8" s="439">
        <f t="shared" si="84"/>
        <v>0</v>
      </c>
      <c r="GJ8" s="439">
        <f t="shared" si="85"/>
        <v>0</v>
      </c>
      <c r="GK8" s="439">
        <f t="shared" si="86"/>
        <v>0</v>
      </c>
      <c r="GL8" s="439">
        <f t="shared" si="87"/>
        <v>0</v>
      </c>
      <c r="GM8" s="439">
        <f t="shared" si="88"/>
        <v>0</v>
      </c>
      <c r="GN8" s="439">
        <f t="shared" si="89"/>
        <v>0</v>
      </c>
      <c r="GO8" s="439">
        <f t="shared" si="90"/>
        <v>0</v>
      </c>
      <c r="GP8" s="439">
        <f t="shared" si="91"/>
        <v>0</v>
      </c>
      <c r="GQ8" s="439">
        <f t="shared" si="92"/>
        <v>0</v>
      </c>
      <c r="GR8" s="439">
        <f t="shared" si="93"/>
        <v>0</v>
      </c>
      <c r="GS8" s="439">
        <f t="shared" si="94"/>
        <v>0</v>
      </c>
      <c r="GT8" s="442">
        <f t="shared" si="95"/>
        <v>0</v>
      </c>
      <c r="GU8" s="442">
        <f t="shared" si="96"/>
        <v>0</v>
      </c>
      <c r="GV8" s="439">
        <f t="shared" si="97"/>
        <v>0</v>
      </c>
      <c r="GW8" s="439">
        <f t="shared" si="98"/>
        <v>0</v>
      </c>
      <c r="GX8" s="661">
        <f t="shared" si="99"/>
        <v>0</v>
      </c>
      <c r="GY8" s="661">
        <f t="shared" si="100"/>
        <v>0</v>
      </c>
      <c r="GZ8" s="439">
        <f t="shared" si="101"/>
        <v>0</v>
      </c>
      <c r="HA8" s="439">
        <f t="shared" si="102"/>
        <v>0</v>
      </c>
      <c r="HB8" s="439">
        <f t="shared" si="103"/>
        <v>0</v>
      </c>
      <c r="HC8" s="439">
        <f t="shared" si="104"/>
        <v>0</v>
      </c>
      <c r="HD8" s="631" t="s">
        <v>92</v>
      </c>
      <c r="HE8" s="631">
        <f t="shared" si="105"/>
        <v>5.6100758446350311E-2</v>
      </c>
      <c r="HG8" s="618">
        <f>HLOOKUP(CQ8,Spec_Sheet!$F$3:$DV$19,11,FALSE)+HLOOKUP(CQ8,Spec_Sheet!$F$3:$DV$21,19,FALSE)</f>
        <v>0</v>
      </c>
      <c r="HH8" s="618">
        <f t="shared" si="154"/>
        <v>25</v>
      </c>
      <c r="HI8" s="634">
        <f t="shared" si="155"/>
        <v>50</v>
      </c>
      <c r="HJ8" s="634">
        <f>HLOOKUP(IF(LEN(CQ8)&gt;6,LEFT(CQ8,5),CQ8),'LSM List Pricing'!$B$1:$BW$2,2,0)</f>
        <v>33</v>
      </c>
      <c r="HK8" s="634">
        <f>HLOOKUP(HJ8,'LSM List Pricing'!$B$2:$BW$3,2)</f>
        <v>360</v>
      </c>
      <c r="HL8" s="634">
        <f>VLOOKUP(HH8,'LSM List Pricing'!$A$7:$BW$87,HJ8,0)</f>
        <v>100</v>
      </c>
      <c r="HM8" s="627">
        <f>VLOOKUP(HI8,'LSM List Pricing'!$A$7:$BW$87,HJ8,1)</f>
        <v>130</v>
      </c>
      <c r="HN8" s="628">
        <f t="shared" si="106"/>
        <v>1.1794871794871795</v>
      </c>
      <c r="HO8" s="628">
        <f t="shared" si="107"/>
        <v>2.358974358974359</v>
      </c>
      <c r="HP8" s="628">
        <f t="shared" si="108"/>
        <v>2.1794871794871793</v>
      </c>
      <c r="HR8" s="618">
        <v>2.5000000000000001E-3</v>
      </c>
      <c r="HS8" s="618">
        <f t="shared" si="109"/>
        <v>16.785714285714285</v>
      </c>
      <c r="HT8" s="618">
        <f t="shared" si="110"/>
        <v>0.99999994870714048</v>
      </c>
      <c r="HU8" s="618">
        <f t="shared" si="156"/>
        <v>6.3235443683467438E-2</v>
      </c>
      <c r="HW8" s="618">
        <f t="shared" si="111"/>
        <v>35.910205669969478</v>
      </c>
      <c r="HX8" s="618">
        <f t="shared" si="112"/>
        <v>6.3140804223826605E-2</v>
      </c>
      <c r="HY8" s="618">
        <f t="shared" si="0"/>
        <v>2.5000000000000001E-3</v>
      </c>
      <c r="IB8" s="618">
        <f t="shared" si="113"/>
        <v>25.000350341399081</v>
      </c>
      <c r="IC8" s="618">
        <f t="shared" si="114"/>
        <v>1E-3</v>
      </c>
      <c r="IE8" s="618">
        <f t="shared" si="115"/>
        <v>0</v>
      </c>
      <c r="IF8" s="618">
        <f t="shared" si="116"/>
        <v>40.704999999999998</v>
      </c>
      <c r="IH8" s="618">
        <f t="shared" si="117"/>
        <v>0</v>
      </c>
      <c r="II8" s="618">
        <f t="shared" si="118"/>
        <v>40.704999999999998</v>
      </c>
      <c r="IK8" s="618">
        <f t="shared" si="119"/>
        <v>0</v>
      </c>
      <c r="IL8" s="618">
        <f t="shared" si="120"/>
        <v>40.704999999999998</v>
      </c>
      <c r="IN8" s="618">
        <f t="shared" si="121"/>
        <v>0</v>
      </c>
      <c r="IO8" s="618">
        <f t="shared" si="122"/>
        <v>40.704999999999998</v>
      </c>
      <c r="IQ8" s="618">
        <f t="shared" si="123"/>
        <v>0</v>
      </c>
      <c r="IR8" s="618">
        <f t="shared" si="124"/>
        <v>40.704999999999998</v>
      </c>
      <c r="IT8" s="660" t="str">
        <f t="shared" si="125"/>
        <v>S060D</v>
      </c>
      <c r="IU8" s="628"/>
      <c r="IV8" s="439">
        <f t="shared" si="126"/>
        <v>0.51240000000000008</v>
      </c>
      <c r="IW8" s="440">
        <f t="shared" si="127"/>
        <v>0.39240000000000008</v>
      </c>
      <c r="IX8" s="439">
        <f t="shared" si="128"/>
        <v>-0.27240000000000009</v>
      </c>
      <c r="IY8" s="439">
        <f t="shared" si="129"/>
        <v>0</v>
      </c>
      <c r="IZ8" s="439">
        <f t="shared" si="130"/>
        <v>0</v>
      </c>
      <c r="JA8" s="439">
        <f t="shared" si="131"/>
        <v>0</v>
      </c>
      <c r="JB8" s="439">
        <f t="shared" si="132"/>
        <v>0</v>
      </c>
      <c r="JC8" s="439">
        <f t="shared" si="133"/>
        <v>0</v>
      </c>
      <c r="JD8" s="439">
        <f t="shared" si="134"/>
        <v>0</v>
      </c>
      <c r="JE8" s="439">
        <f t="shared" si="135"/>
        <v>0</v>
      </c>
      <c r="JF8" s="439">
        <f t="shared" si="136"/>
        <v>0</v>
      </c>
      <c r="JG8" s="439">
        <f t="shared" si="137"/>
        <v>0</v>
      </c>
      <c r="JH8" s="439">
        <f t="shared" si="138"/>
        <v>0</v>
      </c>
      <c r="JI8" s="439">
        <f t="shared" si="139"/>
        <v>0</v>
      </c>
      <c r="JJ8" s="442">
        <f t="shared" si="140"/>
        <v>0</v>
      </c>
      <c r="JK8" s="442">
        <f t="shared" si="141"/>
        <v>0</v>
      </c>
      <c r="JL8" s="439">
        <f t="shared" si="142"/>
        <v>0</v>
      </c>
      <c r="JM8" s="439">
        <f t="shared" si="143"/>
        <v>0</v>
      </c>
      <c r="JN8" s="661">
        <f t="shared" si="144"/>
        <v>0</v>
      </c>
      <c r="JO8" s="661">
        <f t="shared" si="145"/>
        <v>0</v>
      </c>
      <c r="JP8" s="439">
        <f t="shared" si="146"/>
        <v>0</v>
      </c>
      <c r="JQ8" s="439">
        <f t="shared" si="147"/>
        <v>0</v>
      </c>
      <c r="JR8" s="439">
        <f t="shared" si="148"/>
        <v>0</v>
      </c>
      <c r="JS8" s="439">
        <f t="shared" si="149"/>
        <v>0</v>
      </c>
      <c r="JT8" s="631" t="s">
        <v>92</v>
      </c>
      <c r="JU8" s="631">
        <f t="shared" si="158"/>
        <v>5.2186752043116555E-2</v>
      </c>
      <c r="JW8" s="522"/>
      <c r="JX8" s="522"/>
      <c r="JY8" s="522"/>
      <c r="JZ8" s="522"/>
      <c r="KA8" s="522"/>
      <c r="KB8" s="522"/>
      <c r="KC8" s="522"/>
      <c r="KD8" s="522"/>
      <c r="KE8" s="522"/>
      <c r="KF8" s="522"/>
      <c r="KG8" s="522"/>
      <c r="KH8" s="522"/>
      <c r="KI8" s="522"/>
      <c r="KJ8" s="522"/>
      <c r="KK8" s="522"/>
      <c r="KL8" s="522"/>
    </row>
    <row r="9" spans="2:298" ht="9.9499999999999993" customHeight="1">
      <c r="B9" s="697" t="s">
        <v>667</v>
      </c>
      <c r="C9" s="698"/>
      <c r="D9" s="698"/>
      <c r="E9" s="1026" t="s">
        <v>32</v>
      </c>
      <c r="F9" s="698"/>
      <c r="G9" s="698"/>
      <c r="H9" s="698"/>
      <c r="I9" s="698"/>
      <c r="J9" s="805">
        <v>0</v>
      </c>
      <c r="K9" s="805"/>
      <c r="L9" s="812" t="s">
        <v>17</v>
      </c>
      <c r="M9" s="812"/>
      <c r="N9" s="813"/>
      <c r="O9" s="306">
        <f>J9*VLOOKUP(L9,E62:F66,2,FALSE)+IF(I16=Custom!J13,Custom!L11*u,0)</f>
        <v>0</v>
      </c>
      <c r="P9" s="750" t="s">
        <v>21</v>
      </c>
      <c r="Q9" s="736"/>
      <c r="R9" s="736"/>
      <c r="S9" s="736"/>
      <c r="T9" s="736"/>
      <c r="U9" s="760">
        <v>50</v>
      </c>
      <c r="V9" s="760"/>
      <c r="W9" s="61" t="s">
        <v>120</v>
      </c>
      <c r="X9" s="62"/>
      <c r="Y9" s="739" t="str">
        <f>IF(G42&gt;U9,G42,IF(Y6="X",VLOOKUP(AC5,HX3:HY505,2,TRUE)+0.0005,IF(Z6="X",VLOOKUP(AC5,HX3:HY505,2,TRUE)+0.0005,"")))</f>
        <v/>
      </c>
      <c r="Z9" s="835"/>
      <c r="AA9" s="835"/>
      <c r="AB9" s="77"/>
      <c r="AC9" s="754">
        <f>AC7*0.1019716213</f>
        <v>3.0591486389999999E-2</v>
      </c>
      <c r="AD9" s="755">
        <v>0.14276026982000001</v>
      </c>
      <c r="AE9" s="80" t="s">
        <v>110</v>
      </c>
      <c r="AF9" s="73"/>
      <c r="AG9" s="752" t="s">
        <v>21</v>
      </c>
      <c r="AH9" s="753"/>
      <c r="AI9" s="753"/>
      <c r="AJ9" s="753"/>
      <c r="AK9" s="753"/>
      <c r="AL9" s="740">
        <v>4.0000000000000001E-3</v>
      </c>
      <c r="AM9" s="740"/>
      <c r="AN9" s="65" t="s">
        <v>120</v>
      </c>
      <c r="AO9" s="66"/>
      <c r="AP9" s="739" t="e">
        <f>IF(S42&gt;AL9,S42,IF(AP6="X",VLOOKUP(AT5,HX3:HY505,2,TRUE)+0.0005,IF(AQ6="X",VLOOKUP(AT5,HX3:HY505,2,TRUE)+0.0005,"")))</f>
        <v>#DIV/0!</v>
      </c>
      <c r="AQ9" s="739"/>
      <c r="AR9" s="739"/>
      <c r="AS9" s="739"/>
      <c r="AT9" s="754">
        <f>AT7*0.1019716213</f>
        <v>0.63732263312499993</v>
      </c>
      <c r="AU9" s="755">
        <v>0.14276026982000001</v>
      </c>
      <c r="AV9" s="80" t="s">
        <v>110</v>
      </c>
      <c r="AW9" s="548"/>
      <c r="AX9" s="283" t="s">
        <v>290</v>
      </c>
      <c r="AY9" s="716">
        <f>CD11</f>
        <v>0.05</v>
      </c>
      <c r="AZ9" s="716"/>
      <c r="BA9" s="48"/>
      <c r="BB9" s="791" t="s">
        <v>320</v>
      </c>
      <c r="BC9" s="792"/>
      <c r="BD9" s="792"/>
      <c r="BE9" s="792"/>
      <c r="BF9" s="792"/>
      <c r="BG9" s="793"/>
      <c r="BH9" s="793"/>
      <c r="BI9" s="794"/>
      <c r="BJ9" s="763"/>
      <c r="BK9" s="775"/>
      <c r="BL9" s="788"/>
      <c r="BM9" s="46">
        <f>COUNTBLANK(BO9)</f>
        <v>1</v>
      </c>
      <c r="BN9" s="46">
        <f>BO9*VLOOKUP(BQ9,$K$62:$L$65,2,FALSE)</f>
        <v>0</v>
      </c>
      <c r="BO9" s="717"/>
      <c r="BP9" s="717"/>
      <c r="BQ9" s="721" t="s">
        <v>24</v>
      </c>
      <c r="BR9" s="722"/>
      <c r="BS9" s="70" t="s">
        <v>25</v>
      </c>
      <c r="BT9" s="70"/>
      <c r="BU9" s="70"/>
      <c r="BV9" s="81">
        <f>IF(BN9&lt;&gt;0,BN9,IF(BN12&lt;&gt;0,IF(BN10=0,(1/4)*(BN11*1000)*BN12^2,(1/2)*BN10*BN12),BN10^2/(BN11*1000)))</f>
        <v>70</v>
      </c>
      <c r="BW9" s="82"/>
      <c r="BX9" s="70"/>
      <c r="BY9" s="736" t="s">
        <v>307</v>
      </c>
      <c r="BZ9" s="736"/>
      <c r="CA9" s="736"/>
      <c r="CB9" s="736"/>
      <c r="CC9" s="736"/>
      <c r="CD9" s="766">
        <f>BV12/2</f>
        <v>0.05</v>
      </c>
      <c r="CE9" s="766"/>
      <c r="CF9" s="83" t="s">
        <v>120</v>
      </c>
      <c r="CG9" s="84"/>
      <c r="CH9" s="164"/>
      <c r="CI9" s="174"/>
      <c r="CJ9" s="173"/>
      <c r="CK9" s="422"/>
      <c r="CL9" s="422"/>
      <c r="CM9" s="284"/>
      <c r="CN9" s="377"/>
      <c r="CO9" s="689" t="str">
        <f ca="1"/>
        <v>S080D</v>
      </c>
      <c r="CP9" s="632" t="str">
        <f>IF(OR(CQ9=0,CR9="",CS9&gt;120),"",IF(HLOOKUP(CQ9,Spec_Sheet!$F$3:$ED$19,17,FALSE)&lt;$AC$46,"",CQ9))</f>
        <v/>
      </c>
      <c r="CQ9" s="660" t="str">
        <f>IF(Spec_Sheet!A8="","",Spec_Sheet!A8)</f>
        <v>S060T</v>
      </c>
      <c r="CR9" s="660">
        <f>IF(CQ9="",0,HLOOKUP(CQ9,Spec_Sheet!$F$3:$ED$19,2,FALSE))</f>
        <v>0</v>
      </c>
      <c r="CS9" s="660">
        <f t="shared" si="159"/>
        <v>500</v>
      </c>
      <c r="CT9" s="621" t="e">
        <f t="shared" si="2"/>
        <v>#DIV/0!</v>
      </c>
      <c r="CU9" s="621" t="e">
        <f t="shared" si="3"/>
        <v>#DIV/0!</v>
      </c>
      <c r="CV9" s="621" t="e">
        <f t="shared" si="4"/>
        <v>#DIV/0!</v>
      </c>
      <c r="CW9" s="621" t="e">
        <f t="shared" si="5"/>
        <v>#DIV/0!</v>
      </c>
      <c r="CX9" s="621" t="e">
        <f t="shared" si="157"/>
        <v>#DIV/0!</v>
      </c>
      <c r="CY9" s="619">
        <f>HLOOKUP(CQ9,Spec_Sheet!$F$3:$ED$19,13,FALSE)</f>
        <v>0</v>
      </c>
      <c r="CZ9" s="619">
        <f>VLOOKUP(HH9,'Shaft Weight'!$A$6:$CD$102,HJ9,TRUE)</f>
        <v>0.03</v>
      </c>
      <c r="DA9" s="619">
        <f>VLOOKUP(HI9,'Shaft Weight'!$A$6:$CD$102,HJ9,0)</f>
        <v>0.04</v>
      </c>
      <c r="DB9" s="619">
        <f>HLOOKUP(CQ9,Spec_Sheet!$F$3:$ED$19,6,FALSE)</f>
        <v>0</v>
      </c>
      <c r="DC9" s="439">
        <f t="shared" si="6"/>
        <v>0.51240000000000008</v>
      </c>
      <c r="DD9" s="440">
        <f t="shared" si="7"/>
        <v>0.39240000000000008</v>
      </c>
      <c r="DE9" s="439">
        <f t="shared" si="8"/>
        <v>-0.27240000000000009</v>
      </c>
      <c r="DF9" s="439">
        <f t="shared" si="9"/>
        <v>0</v>
      </c>
      <c r="DG9" s="439">
        <f t="shared" si="10"/>
        <v>0</v>
      </c>
      <c r="DH9" s="439">
        <f t="shared" si="11"/>
        <v>0</v>
      </c>
      <c r="DI9" s="439">
        <f t="shared" si="12"/>
        <v>0</v>
      </c>
      <c r="DJ9" s="439">
        <f t="shared" si="13"/>
        <v>0</v>
      </c>
      <c r="DK9" s="439">
        <f t="shared" si="14"/>
        <v>0</v>
      </c>
      <c r="DL9" s="439">
        <f t="shared" si="15"/>
        <v>0</v>
      </c>
      <c r="DM9" s="439">
        <f t="shared" si="16"/>
        <v>0</v>
      </c>
      <c r="DN9" s="439">
        <f t="shared" si="17"/>
        <v>0</v>
      </c>
      <c r="DO9" s="439">
        <f t="shared" si="18"/>
        <v>0</v>
      </c>
      <c r="DP9" s="439">
        <f t="shared" si="19"/>
        <v>0</v>
      </c>
      <c r="DQ9" s="442">
        <f t="shared" si="20"/>
        <v>0</v>
      </c>
      <c r="DR9" s="442">
        <f t="shared" si="21"/>
        <v>0</v>
      </c>
      <c r="DS9" s="439">
        <f t="shared" si="22"/>
        <v>0</v>
      </c>
      <c r="DT9" s="439">
        <f t="shared" si="23"/>
        <v>0</v>
      </c>
      <c r="DU9" s="661">
        <f t="shared" si="24"/>
        <v>0</v>
      </c>
      <c r="DV9" s="661">
        <f t="shared" si="25"/>
        <v>0</v>
      </c>
      <c r="DW9" s="439">
        <f t="shared" si="26"/>
        <v>0</v>
      </c>
      <c r="DX9" s="439">
        <f t="shared" si="27"/>
        <v>0</v>
      </c>
      <c r="DY9" s="439">
        <f t="shared" si="28"/>
        <v>0</v>
      </c>
      <c r="DZ9" s="439">
        <f t="shared" si="29"/>
        <v>0</v>
      </c>
      <c r="EA9" s="631" t="s">
        <v>92</v>
      </c>
      <c r="EB9" s="631">
        <f t="shared" si="151"/>
        <v>5.2186752043116555E-2</v>
      </c>
      <c r="ED9" s="439">
        <f t="shared" si="31"/>
        <v>0.58926000000000012</v>
      </c>
      <c r="EE9" s="440">
        <f t="shared" si="32"/>
        <v>0.45126000000000011</v>
      </c>
      <c r="EF9" s="439">
        <f t="shared" si="33"/>
        <v>-0.31326000000000009</v>
      </c>
      <c r="EG9" s="441">
        <f t="shared" si="34"/>
        <v>0</v>
      </c>
      <c r="EH9" s="439">
        <f t="shared" si="35"/>
        <v>0</v>
      </c>
      <c r="EI9" s="439">
        <f t="shared" si="36"/>
        <v>0</v>
      </c>
      <c r="EJ9" s="439">
        <f t="shared" si="37"/>
        <v>0</v>
      </c>
      <c r="EK9" s="439">
        <f t="shared" si="38"/>
        <v>0</v>
      </c>
      <c r="EL9" s="439">
        <f t="shared" si="39"/>
        <v>0</v>
      </c>
      <c r="EM9" s="439">
        <f t="shared" si="40"/>
        <v>0</v>
      </c>
      <c r="EN9" s="439">
        <f t="shared" si="41"/>
        <v>0</v>
      </c>
      <c r="EO9" s="439">
        <f t="shared" si="42"/>
        <v>0</v>
      </c>
      <c r="EP9" s="439">
        <f t="shared" si="43"/>
        <v>0</v>
      </c>
      <c r="EQ9" s="439">
        <f t="shared" si="44"/>
        <v>0</v>
      </c>
      <c r="ER9" s="442">
        <f t="shared" si="45"/>
        <v>0</v>
      </c>
      <c r="ES9" s="442">
        <f t="shared" si="46"/>
        <v>0</v>
      </c>
      <c r="ET9" s="439">
        <f t="shared" si="47"/>
        <v>0</v>
      </c>
      <c r="EU9" s="439">
        <f t="shared" si="48"/>
        <v>0</v>
      </c>
      <c r="EV9" s="661">
        <f t="shared" si="49"/>
        <v>0</v>
      </c>
      <c r="EW9" s="661">
        <f t="shared" si="50"/>
        <v>0</v>
      </c>
      <c r="EX9" s="439">
        <f t="shared" si="51"/>
        <v>0</v>
      </c>
      <c r="EY9" s="439">
        <f t="shared" si="52"/>
        <v>0</v>
      </c>
      <c r="EZ9" s="439">
        <f t="shared" si="53"/>
        <v>0</v>
      </c>
      <c r="FA9" s="439">
        <f t="shared" si="54"/>
        <v>0</v>
      </c>
      <c r="FB9" s="631" t="s">
        <v>92</v>
      </c>
      <c r="FC9" s="631">
        <f t="shared" si="152"/>
        <v>6.001476484958404E-2</v>
      </c>
      <c r="FE9" s="439">
        <f t="shared" si="56"/>
        <v>0.55083000000000015</v>
      </c>
      <c r="FF9" s="440">
        <f t="shared" si="57"/>
        <v>0.42183000000000015</v>
      </c>
      <c r="FG9" s="439">
        <f t="shared" si="58"/>
        <v>-0.29283000000000015</v>
      </c>
      <c r="FH9" s="441">
        <f t="shared" si="59"/>
        <v>0</v>
      </c>
      <c r="FI9" s="439">
        <f t="shared" si="60"/>
        <v>0</v>
      </c>
      <c r="FJ9" s="439">
        <f t="shared" si="61"/>
        <v>0</v>
      </c>
      <c r="FK9" s="439">
        <f t="shared" si="62"/>
        <v>0</v>
      </c>
      <c r="FL9" s="439">
        <f t="shared" si="63"/>
        <v>0</v>
      </c>
      <c r="FM9" s="439">
        <f t="shared" si="64"/>
        <v>0</v>
      </c>
      <c r="FN9" s="439">
        <f t="shared" si="65"/>
        <v>0</v>
      </c>
      <c r="FO9" s="439">
        <f t="shared" si="66"/>
        <v>0</v>
      </c>
      <c r="FP9" s="439">
        <f t="shared" si="67"/>
        <v>0</v>
      </c>
      <c r="FQ9" s="439">
        <f t="shared" si="68"/>
        <v>0</v>
      </c>
      <c r="FR9" s="439">
        <f t="shared" si="69"/>
        <v>0</v>
      </c>
      <c r="FS9" s="442">
        <f t="shared" si="70"/>
        <v>0</v>
      </c>
      <c r="FT9" s="442">
        <f t="shared" si="71"/>
        <v>0</v>
      </c>
      <c r="FU9" s="439">
        <f t="shared" si="72"/>
        <v>0</v>
      </c>
      <c r="FV9" s="439">
        <f t="shared" si="73"/>
        <v>0</v>
      </c>
      <c r="FW9" s="661">
        <f t="shared" si="74"/>
        <v>0</v>
      </c>
      <c r="FX9" s="661">
        <f t="shared" si="75"/>
        <v>0</v>
      </c>
      <c r="FY9" s="439">
        <f t="shared" si="76"/>
        <v>0</v>
      </c>
      <c r="FZ9" s="439">
        <f t="shared" si="77"/>
        <v>0</v>
      </c>
      <c r="GA9" s="439">
        <f t="shared" si="78"/>
        <v>0</v>
      </c>
      <c r="GB9" s="439">
        <f t="shared" si="79"/>
        <v>0</v>
      </c>
      <c r="GC9" s="631" t="s">
        <v>92</v>
      </c>
      <c r="GD9" s="631">
        <f t="shared" si="153"/>
        <v>5.6100758446350311E-2</v>
      </c>
      <c r="GF9" s="439">
        <f t="shared" si="81"/>
        <v>0.56364000000000014</v>
      </c>
      <c r="GG9" s="440">
        <f t="shared" si="82"/>
        <v>0.43164000000000008</v>
      </c>
      <c r="GH9" s="439">
        <f t="shared" si="83"/>
        <v>-0.29964000000000007</v>
      </c>
      <c r="GI9" s="439">
        <f t="shared" si="84"/>
        <v>0</v>
      </c>
      <c r="GJ9" s="439">
        <f t="shared" si="85"/>
        <v>0</v>
      </c>
      <c r="GK9" s="439">
        <f t="shared" si="86"/>
        <v>0</v>
      </c>
      <c r="GL9" s="439">
        <f t="shared" si="87"/>
        <v>0</v>
      </c>
      <c r="GM9" s="439">
        <f t="shared" si="88"/>
        <v>0</v>
      </c>
      <c r="GN9" s="439">
        <f t="shared" si="89"/>
        <v>0</v>
      </c>
      <c r="GO9" s="439">
        <f t="shared" si="90"/>
        <v>0</v>
      </c>
      <c r="GP9" s="439">
        <f t="shared" si="91"/>
        <v>0</v>
      </c>
      <c r="GQ9" s="439">
        <f t="shared" si="92"/>
        <v>0</v>
      </c>
      <c r="GR9" s="439">
        <f t="shared" si="93"/>
        <v>0</v>
      </c>
      <c r="GS9" s="439">
        <f t="shared" si="94"/>
        <v>0</v>
      </c>
      <c r="GT9" s="442">
        <f t="shared" si="95"/>
        <v>0</v>
      </c>
      <c r="GU9" s="442">
        <f t="shared" si="96"/>
        <v>0</v>
      </c>
      <c r="GV9" s="439">
        <f t="shared" si="97"/>
        <v>0</v>
      </c>
      <c r="GW9" s="439">
        <f t="shared" si="98"/>
        <v>0</v>
      </c>
      <c r="GX9" s="661">
        <f t="shared" si="99"/>
        <v>0</v>
      </c>
      <c r="GY9" s="661">
        <f t="shared" si="100"/>
        <v>0</v>
      </c>
      <c r="GZ9" s="439">
        <f t="shared" si="101"/>
        <v>0</v>
      </c>
      <c r="HA9" s="439">
        <f t="shared" si="102"/>
        <v>0</v>
      </c>
      <c r="HB9" s="439">
        <f t="shared" si="103"/>
        <v>0</v>
      </c>
      <c r="HC9" s="439">
        <f t="shared" si="104"/>
        <v>0</v>
      </c>
      <c r="HD9" s="631" t="s">
        <v>92</v>
      </c>
      <c r="HE9" s="631">
        <f t="shared" si="105"/>
        <v>5.7405427247428212E-2</v>
      </c>
      <c r="HG9" s="618">
        <f>HLOOKUP(CQ9,Spec_Sheet!$F$3:$DV$19,11,FALSE)+HLOOKUP(CQ9,Spec_Sheet!$F$3:$DV$21,19,FALSE)</f>
        <v>0</v>
      </c>
      <c r="HH9" s="618">
        <f t="shared" si="154"/>
        <v>25</v>
      </c>
      <c r="HI9" s="634">
        <f t="shared" si="155"/>
        <v>50</v>
      </c>
      <c r="HJ9" s="634">
        <f>HLOOKUP(IF(LEN(CQ9)&gt;6,LEFT(CQ9,5),CQ9),'LSM List Pricing'!$B$1:$BW$2,2,0)</f>
        <v>34</v>
      </c>
      <c r="HK9" s="634">
        <f>HLOOKUP(HJ9,'LSM List Pricing'!$B$2:$BW$3,2)</f>
        <v>420</v>
      </c>
      <c r="HL9" s="634">
        <f>VLOOKUP(HH9,'LSM List Pricing'!$A$7:$BW$87,HJ9,0)</f>
        <v>120</v>
      </c>
      <c r="HM9" s="627">
        <f>VLOOKUP(HI9,'LSM List Pricing'!$A$7:$BW$87,HJ9,1)</f>
        <v>140</v>
      </c>
      <c r="HN9" s="628">
        <f t="shared" si="106"/>
        <v>1.3846153846153846</v>
      </c>
      <c r="HO9" s="628">
        <f t="shared" si="107"/>
        <v>2.7692307692307692</v>
      </c>
      <c r="HP9" s="628">
        <f t="shared" si="108"/>
        <v>2.5128205128205128</v>
      </c>
      <c r="HR9" s="618">
        <v>3.0000000000000001E-3</v>
      </c>
      <c r="HS9" s="618">
        <f t="shared" si="109"/>
        <v>20.142857142857142</v>
      </c>
      <c r="HT9" s="618">
        <f t="shared" si="110"/>
        <v>0.99999999821323149</v>
      </c>
      <c r="HU9" s="618">
        <f t="shared" si="156"/>
        <v>7.5974487634330512E-2</v>
      </c>
      <c r="HW9" s="618">
        <f t="shared" si="111"/>
        <v>35.892116227559249</v>
      </c>
      <c r="HX9" s="618">
        <f t="shared" si="112"/>
        <v>7.5841672171392246E-2</v>
      </c>
      <c r="HY9" s="618">
        <f t="shared" si="0"/>
        <v>3.0000000000000001E-3</v>
      </c>
      <c r="IB9" s="618">
        <f t="shared" si="113"/>
        <v>25.000350341399081</v>
      </c>
      <c r="IC9" s="618">
        <f t="shared" si="114"/>
        <v>1E-3</v>
      </c>
      <c r="IE9" s="618">
        <f t="shared" si="115"/>
        <v>0</v>
      </c>
      <c r="IF9" s="618">
        <f t="shared" si="116"/>
        <v>40.704999999999998</v>
      </c>
      <c r="IH9" s="618">
        <f t="shared" si="117"/>
        <v>0</v>
      </c>
      <c r="II9" s="618">
        <f t="shared" si="118"/>
        <v>40.704999999999998</v>
      </c>
      <c r="IK9" s="618">
        <f t="shared" si="119"/>
        <v>0</v>
      </c>
      <c r="IL9" s="618">
        <f t="shared" si="120"/>
        <v>40.704999999999998</v>
      </c>
      <c r="IN9" s="618">
        <f t="shared" si="121"/>
        <v>0</v>
      </c>
      <c r="IO9" s="618">
        <f t="shared" si="122"/>
        <v>40.704999999999998</v>
      </c>
      <c r="IQ9" s="618">
        <f t="shared" si="123"/>
        <v>0</v>
      </c>
      <c r="IR9" s="618">
        <f t="shared" si="124"/>
        <v>40.704999999999998</v>
      </c>
      <c r="IT9" s="660" t="str">
        <f t="shared" si="125"/>
        <v>S060T</v>
      </c>
      <c r="IU9" s="628"/>
      <c r="IV9" s="439">
        <f t="shared" si="126"/>
        <v>0.51240000000000008</v>
      </c>
      <c r="IW9" s="440">
        <f t="shared" si="127"/>
        <v>0.39240000000000008</v>
      </c>
      <c r="IX9" s="439">
        <f t="shared" si="128"/>
        <v>-0.27240000000000009</v>
      </c>
      <c r="IY9" s="439">
        <f t="shared" si="129"/>
        <v>0</v>
      </c>
      <c r="IZ9" s="439">
        <f t="shared" si="130"/>
        <v>0</v>
      </c>
      <c r="JA9" s="439">
        <f t="shared" si="131"/>
        <v>0</v>
      </c>
      <c r="JB9" s="439">
        <f t="shared" si="132"/>
        <v>0</v>
      </c>
      <c r="JC9" s="439">
        <f t="shared" si="133"/>
        <v>0</v>
      </c>
      <c r="JD9" s="439">
        <f t="shared" si="134"/>
        <v>0</v>
      </c>
      <c r="JE9" s="439">
        <f t="shared" si="135"/>
        <v>0</v>
      </c>
      <c r="JF9" s="439">
        <f t="shared" si="136"/>
        <v>0</v>
      </c>
      <c r="JG9" s="439">
        <f t="shared" si="137"/>
        <v>0</v>
      </c>
      <c r="JH9" s="439">
        <f t="shared" si="138"/>
        <v>0</v>
      </c>
      <c r="JI9" s="439">
        <f t="shared" si="139"/>
        <v>0</v>
      </c>
      <c r="JJ9" s="442">
        <f t="shared" si="140"/>
        <v>0</v>
      </c>
      <c r="JK9" s="442">
        <f t="shared" si="141"/>
        <v>0</v>
      </c>
      <c r="JL9" s="439">
        <f t="shared" si="142"/>
        <v>0</v>
      </c>
      <c r="JM9" s="439">
        <f t="shared" si="143"/>
        <v>0</v>
      </c>
      <c r="JN9" s="661">
        <f t="shared" si="144"/>
        <v>0</v>
      </c>
      <c r="JO9" s="661">
        <f t="shared" si="145"/>
        <v>0</v>
      </c>
      <c r="JP9" s="439">
        <f t="shared" si="146"/>
        <v>0</v>
      </c>
      <c r="JQ9" s="439">
        <f t="shared" si="147"/>
        <v>0</v>
      </c>
      <c r="JR9" s="439">
        <f t="shared" si="148"/>
        <v>0</v>
      </c>
      <c r="JS9" s="439">
        <f t="shared" si="149"/>
        <v>0</v>
      </c>
      <c r="JT9" s="631" t="s">
        <v>92</v>
      </c>
      <c r="JU9" s="631">
        <f t="shared" si="158"/>
        <v>5.2186752043116555E-2</v>
      </c>
      <c r="JW9" s="522"/>
      <c r="JX9" s="522"/>
      <c r="JY9" s="522"/>
      <c r="JZ9" s="522"/>
      <c r="KA9" s="522"/>
      <c r="KB9" s="522"/>
      <c r="KC9" s="522"/>
      <c r="KD9" s="522"/>
      <c r="KE9" s="522"/>
      <c r="KF9" s="522"/>
      <c r="KG9" s="522"/>
      <c r="KH9" s="522"/>
      <c r="KI9" s="522"/>
      <c r="KJ9" s="522"/>
      <c r="KK9" s="522"/>
      <c r="KL9" s="522"/>
    </row>
    <row r="10" spans="2:298" ht="9.9499999999999993" customHeight="1">
      <c r="B10" s="806" t="s">
        <v>19</v>
      </c>
      <c r="C10" s="803"/>
      <c r="D10" s="803"/>
      <c r="E10" s="803"/>
      <c r="F10" s="803"/>
      <c r="G10" s="803"/>
      <c r="H10" s="803"/>
      <c r="I10" s="803"/>
      <c r="J10" s="805">
        <v>25</v>
      </c>
      <c r="K10" s="805"/>
      <c r="L10" s="812" t="s">
        <v>20</v>
      </c>
      <c r="M10" s="812"/>
      <c r="N10" s="813"/>
      <c r="O10" s="306">
        <f>IF(L10="°C",J10,(J10-32)/1.8)</f>
        <v>25</v>
      </c>
      <c r="P10" s="750" t="s">
        <v>23</v>
      </c>
      <c r="Q10" s="736"/>
      <c r="R10" s="736"/>
      <c r="S10" s="736"/>
      <c r="T10" s="736"/>
      <c r="U10" s="760">
        <v>15</v>
      </c>
      <c r="V10" s="760"/>
      <c r="W10" s="751" t="s">
        <v>24</v>
      </c>
      <c r="X10" s="751"/>
      <c r="Y10" s="85" t="s">
        <v>309</v>
      </c>
      <c r="Z10" s="44"/>
      <c r="AA10" s="44"/>
      <c r="AB10" s="44"/>
      <c r="AC10" s="748">
        <f>AC5/U8</f>
        <v>0.3</v>
      </c>
      <c r="AD10" s="834">
        <v>1.4</v>
      </c>
      <c r="AE10" s="86" t="s">
        <v>126</v>
      </c>
      <c r="AF10" s="63"/>
      <c r="AG10" s="752" t="s">
        <v>23</v>
      </c>
      <c r="AH10" s="753"/>
      <c r="AI10" s="753"/>
      <c r="AJ10" s="753"/>
      <c r="AK10" s="753"/>
      <c r="AL10" s="740">
        <v>5</v>
      </c>
      <c r="AM10" s="740"/>
      <c r="AN10" s="724" t="s">
        <v>24</v>
      </c>
      <c r="AO10" s="724"/>
      <c r="AP10" s="87" t="s">
        <v>309</v>
      </c>
      <c r="AQ10" s="67"/>
      <c r="AR10" s="67"/>
      <c r="AS10" s="67"/>
      <c r="AT10" s="728">
        <f>AT5/AL8</f>
        <v>6.25</v>
      </c>
      <c r="AU10" s="729">
        <v>1.4</v>
      </c>
      <c r="AV10" s="88" t="s">
        <v>126</v>
      </c>
      <c r="AW10" s="549"/>
      <c r="AX10" s="283" t="s">
        <v>291</v>
      </c>
      <c r="AY10" s="716">
        <f>CD12</f>
        <v>70</v>
      </c>
      <c r="AZ10" s="716"/>
      <c r="BA10" s="48"/>
      <c r="BB10" s="708" t="str">
        <f ca="1">IF(CO4="","",CO4)</f>
        <v>S040D</v>
      </c>
      <c r="BC10" s="709"/>
      <c r="BD10" s="710"/>
      <c r="BE10" s="342">
        <f t="shared" ref="BE10:BE53" ca="1" si="160">INDIRECT(ADDRESS(MATCH(BB10,CQ:CQ,0),98))</f>
        <v>3.3857210558351705</v>
      </c>
      <c r="BF10" s="78">
        <f t="shared" ref="BF10:BF53" ca="1" si="161">INDIRECT(ADDRESS(MATCH(BB10,CQ:CQ,0),99))</f>
        <v>0.88409132800459145</v>
      </c>
      <c r="BG10" s="489">
        <f t="shared" ref="BG10:BG53" ca="1" si="162">INDIRECT(ADDRESS(MATCH(BB10,CQ:CQ,0),100))</f>
        <v>3.4022973887404557</v>
      </c>
      <c r="BH10" s="482">
        <f t="shared" ref="BH10:BH53" ca="1" si="163">INDIRECT(ADDRESS(MATCH(BB10,CQ:CQ,0),101))</f>
        <v>0.89257177182304626</v>
      </c>
      <c r="BI10" s="482" t="str">
        <f t="shared" ref="BI10:BI53" ca="1" si="164">INDIRECT(ADDRESS(MATCH(BB10,CQ:CQ,0),102))</f>
        <v/>
      </c>
      <c r="BJ10" s="528">
        <f t="shared" ref="BJ10:BJ54" ca="1" si="165">IF(BB10="","",IF(OR(BE10&lt;100,BG10&lt;100),IF(INDIRECT(ADDRESS(MATCH(BB10,CQ:CQ,0),222))&gt;9.9,"",INDIRECT(ADDRESS(MATCH(BB10,CQ:CQ,0),222))),""))</f>
        <v>0.53846153846153844</v>
      </c>
      <c r="BK10" s="529">
        <f t="shared" ref="BK10:BK54" ca="1" si="166">IF(BB10="","",IF(OR(BF10&lt;100,BH10&lt;100),IF(INDIRECT(ADDRESS(MATCH(BB10,CQ:CQ,0),223))&gt;9.9,"",INDIRECT(ADDRESS(MATCH(BB10,CQ:CQ,0),223))),""))</f>
        <v>1.0769230769230769</v>
      </c>
      <c r="BL10" s="530" t="str">
        <f t="shared" ref="BL10:BL54" ca="1" si="167">IF(BB10="","",IF(HM4="n/a","",IF(OR(BF10&lt;100,BI10&lt;100),IF(INDIRECT(ADDRESS(MATCH(BB10,CQ:CQ,0),224))&gt;9.9,"",INDIRECT(ADDRESS(MATCH(BB10,CQ:CQ,0),224))),"")))</f>
        <v/>
      </c>
      <c r="BM10" s="46">
        <f>COUNTBLANK(BO10)</f>
        <v>0</v>
      </c>
      <c r="BN10" s="46">
        <f>BO10*VLOOKUP(BQ10,$H$62:$I$68,2,FALSE)</f>
        <v>1400</v>
      </c>
      <c r="BO10" s="717">
        <v>1.4</v>
      </c>
      <c r="BP10" s="717"/>
      <c r="BQ10" s="721" t="s">
        <v>108</v>
      </c>
      <c r="BR10" s="722"/>
      <c r="BS10" s="70" t="s">
        <v>47</v>
      </c>
      <c r="BT10" s="70"/>
      <c r="BU10" s="70"/>
      <c r="BV10" s="79"/>
      <c r="BW10" s="70"/>
      <c r="BX10" s="70"/>
      <c r="BY10" s="736" t="s">
        <v>18</v>
      </c>
      <c r="BZ10" s="736"/>
      <c r="CA10" s="736"/>
      <c r="CB10" s="736"/>
      <c r="CC10" s="736"/>
      <c r="CD10" s="766">
        <v>0</v>
      </c>
      <c r="CE10" s="766"/>
      <c r="CF10" s="83" t="s">
        <v>120</v>
      </c>
      <c r="CG10" s="84"/>
      <c r="CH10" s="164"/>
      <c r="CI10" s="100"/>
      <c r="CJ10" s="173"/>
      <c r="CK10" s="422"/>
      <c r="CL10" s="422"/>
      <c r="CM10" s="284"/>
      <c r="CN10" s="377"/>
      <c r="CO10" s="689" t="str">
        <f ca="1"/>
        <v>S080T 1S</v>
      </c>
      <c r="CP10" s="632" t="str">
        <f>IF(OR(CQ10=0,CR10="",CS10&gt;120),"",IF(HLOOKUP(CQ10,Spec_Sheet!$F$3:$ED$19,17,FALSE)&lt;$AC$46,"",CQ10))</f>
        <v/>
      </c>
      <c r="CQ10" s="660" t="str">
        <f>IF(Spec_Sheet!A9="","",Spec_Sheet!A9)</f>
        <v>S060Q</v>
      </c>
      <c r="CR10" s="660">
        <f>IF(CQ10="",0,HLOOKUP(CQ10,Spec_Sheet!$F$3:$ED$19,2,FALSE))</f>
        <v>0</v>
      </c>
      <c r="CS10" s="660">
        <f>IF(CR10=0,500,IF(IFERROR(CV10,TRUE),SMALL(CT10:CU10,1),SMALL(CT10:CX10,1)))</f>
        <v>500</v>
      </c>
      <c r="CT10" s="621" t="e">
        <f t="shared" si="2"/>
        <v>#DIV/0!</v>
      </c>
      <c r="CU10" s="621" t="e">
        <f t="shared" si="3"/>
        <v>#DIV/0!</v>
      </c>
      <c r="CV10" s="621" t="e">
        <f t="shared" si="4"/>
        <v>#DIV/0!</v>
      </c>
      <c r="CW10" s="621" t="e">
        <f t="shared" si="5"/>
        <v>#DIV/0!</v>
      </c>
      <c r="CX10" s="621" t="e">
        <f t="shared" si="157"/>
        <v>#DIV/0!</v>
      </c>
      <c r="CY10" s="619">
        <f>HLOOKUP(CQ10,Spec_Sheet!$F$3:$ED$19,13,FALSE)</f>
        <v>0</v>
      </c>
      <c r="CZ10" s="619">
        <f>VLOOKUP(HH10,'Shaft Weight'!$A$6:$CD$102,HJ10,TRUE)</f>
        <v>0.03</v>
      </c>
      <c r="DA10" s="619">
        <f>VLOOKUP(HI10,'Shaft Weight'!$A$6:$CD$102,HJ10,0)</f>
        <v>0.04</v>
      </c>
      <c r="DB10" s="619">
        <f>HLOOKUP(CQ10,Spec_Sheet!$F$3:$ED$19,6,FALSE)</f>
        <v>0</v>
      </c>
      <c r="DC10" s="439">
        <f t="shared" si="6"/>
        <v>0.51240000000000008</v>
      </c>
      <c r="DD10" s="440">
        <f t="shared" si="7"/>
        <v>0.39240000000000008</v>
      </c>
      <c r="DE10" s="439">
        <f t="shared" si="8"/>
        <v>-0.27240000000000009</v>
      </c>
      <c r="DF10" s="439">
        <f t="shared" si="9"/>
        <v>0</v>
      </c>
      <c r="DG10" s="439">
        <f t="shared" si="10"/>
        <v>0</v>
      </c>
      <c r="DH10" s="439">
        <f t="shared" si="11"/>
        <v>0</v>
      </c>
      <c r="DI10" s="439">
        <f t="shared" si="12"/>
        <v>0</v>
      </c>
      <c r="DJ10" s="439">
        <f t="shared" si="13"/>
        <v>0</v>
      </c>
      <c r="DK10" s="439">
        <f t="shared" si="14"/>
        <v>0</v>
      </c>
      <c r="DL10" s="439">
        <f t="shared" si="15"/>
        <v>0</v>
      </c>
      <c r="DM10" s="439">
        <f t="shared" si="16"/>
        <v>0</v>
      </c>
      <c r="DN10" s="439">
        <f t="shared" si="17"/>
        <v>0</v>
      </c>
      <c r="DO10" s="439">
        <f t="shared" si="18"/>
        <v>0</v>
      </c>
      <c r="DP10" s="439">
        <f t="shared" si="19"/>
        <v>0</v>
      </c>
      <c r="DQ10" s="442">
        <f t="shared" si="20"/>
        <v>0</v>
      </c>
      <c r="DR10" s="442">
        <f t="shared" si="21"/>
        <v>0</v>
      </c>
      <c r="DS10" s="439">
        <f t="shared" si="22"/>
        <v>0</v>
      </c>
      <c r="DT10" s="439">
        <f t="shared" si="23"/>
        <v>0</v>
      </c>
      <c r="DU10" s="661">
        <f t="shared" si="24"/>
        <v>0</v>
      </c>
      <c r="DV10" s="661">
        <f t="shared" si="25"/>
        <v>0</v>
      </c>
      <c r="DW10" s="439">
        <f t="shared" si="26"/>
        <v>0</v>
      </c>
      <c r="DX10" s="439">
        <f t="shared" si="27"/>
        <v>0</v>
      </c>
      <c r="DY10" s="439">
        <f t="shared" si="28"/>
        <v>0</v>
      </c>
      <c r="DZ10" s="439">
        <f t="shared" si="29"/>
        <v>0</v>
      </c>
      <c r="EA10" s="631" t="s">
        <v>92</v>
      </c>
      <c r="EB10" s="631">
        <f t="shared" si="151"/>
        <v>5.2186752043116555E-2</v>
      </c>
      <c r="ED10" s="439">
        <f t="shared" si="31"/>
        <v>0.58926000000000012</v>
      </c>
      <c r="EE10" s="440">
        <f t="shared" si="32"/>
        <v>0.45126000000000011</v>
      </c>
      <c r="EF10" s="439">
        <f t="shared" si="33"/>
        <v>-0.31326000000000009</v>
      </c>
      <c r="EG10" s="441">
        <f t="shared" si="34"/>
        <v>0</v>
      </c>
      <c r="EH10" s="439">
        <f t="shared" si="35"/>
        <v>0</v>
      </c>
      <c r="EI10" s="439">
        <f t="shared" si="36"/>
        <v>0</v>
      </c>
      <c r="EJ10" s="439">
        <f t="shared" si="37"/>
        <v>0</v>
      </c>
      <c r="EK10" s="439">
        <f t="shared" si="38"/>
        <v>0</v>
      </c>
      <c r="EL10" s="439">
        <f t="shared" si="39"/>
        <v>0</v>
      </c>
      <c r="EM10" s="439">
        <f t="shared" si="40"/>
        <v>0</v>
      </c>
      <c r="EN10" s="439">
        <f t="shared" si="41"/>
        <v>0</v>
      </c>
      <c r="EO10" s="439">
        <f t="shared" si="42"/>
        <v>0</v>
      </c>
      <c r="EP10" s="439">
        <f t="shared" si="43"/>
        <v>0</v>
      </c>
      <c r="EQ10" s="439">
        <f t="shared" si="44"/>
        <v>0</v>
      </c>
      <c r="ER10" s="442">
        <f t="shared" si="45"/>
        <v>0</v>
      </c>
      <c r="ES10" s="442">
        <f t="shared" si="46"/>
        <v>0</v>
      </c>
      <c r="ET10" s="439">
        <f t="shared" si="47"/>
        <v>0</v>
      </c>
      <c r="EU10" s="439">
        <f t="shared" si="48"/>
        <v>0</v>
      </c>
      <c r="EV10" s="661">
        <f t="shared" si="49"/>
        <v>0</v>
      </c>
      <c r="EW10" s="661">
        <f t="shared" si="50"/>
        <v>0</v>
      </c>
      <c r="EX10" s="439">
        <f t="shared" si="51"/>
        <v>0</v>
      </c>
      <c r="EY10" s="439">
        <f t="shared" si="52"/>
        <v>0</v>
      </c>
      <c r="EZ10" s="439">
        <f t="shared" si="53"/>
        <v>0</v>
      </c>
      <c r="FA10" s="439">
        <f t="shared" si="54"/>
        <v>0</v>
      </c>
      <c r="FB10" s="631" t="s">
        <v>92</v>
      </c>
      <c r="FC10" s="631">
        <f t="shared" si="152"/>
        <v>6.001476484958404E-2</v>
      </c>
      <c r="FE10" s="439">
        <f t="shared" si="56"/>
        <v>0.55083000000000015</v>
      </c>
      <c r="FF10" s="440">
        <f t="shared" si="57"/>
        <v>0.42183000000000015</v>
      </c>
      <c r="FG10" s="439">
        <f t="shared" si="58"/>
        <v>-0.29283000000000015</v>
      </c>
      <c r="FH10" s="441">
        <f t="shared" si="59"/>
        <v>0</v>
      </c>
      <c r="FI10" s="439">
        <f t="shared" si="60"/>
        <v>0</v>
      </c>
      <c r="FJ10" s="439">
        <f t="shared" si="61"/>
        <v>0</v>
      </c>
      <c r="FK10" s="439">
        <f t="shared" si="62"/>
        <v>0</v>
      </c>
      <c r="FL10" s="439">
        <f t="shared" si="63"/>
        <v>0</v>
      </c>
      <c r="FM10" s="439">
        <f t="shared" si="64"/>
        <v>0</v>
      </c>
      <c r="FN10" s="439">
        <f t="shared" si="65"/>
        <v>0</v>
      </c>
      <c r="FO10" s="439">
        <f t="shared" si="66"/>
        <v>0</v>
      </c>
      <c r="FP10" s="439">
        <f t="shared" si="67"/>
        <v>0</v>
      </c>
      <c r="FQ10" s="439">
        <f t="shared" si="68"/>
        <v>0</v>
      </c>
      <c r="FR10" s="439">
        <f t="shared" si="69"/>
        <v>0</v>
      </c>
      <c r="FS10" s="442">
        <f t="shared" si="70"/>
        <v>0</v>
      </c>
      <c r="FT10" s="442">
        <f t="shared" si="71"/>
        <v>0</v>
      </c>
      <c r="FU10" s="439">
        <f t="shared" si="72"/>
        <v>0</v>
      </c>
      <c r="FV10" s="439">
        <f t="shared" si="73"/>
        <v>0</v>
      </c>
      <c r="FW10" s="661">
        <f t="shared" si="74"/>
        <v>0</v>
      </c>
      <c r="FX10" s="661">
        <f t="shared" si="75"/>
        <v>0</v>
      </c>
      <c r="FY10" s="439">
        <f t="shared" si="76"/>
        <v>0</v>
      </c>
      <c r="FZ10" s="439">
        <f t="shared" si="77"/>
        <v>0</v>
      </c>
      <c r="GA10" s="439">
        <f t="shared" si="78"/>
        <v>0</v>
      </c>
      <c r="GB10" s="439">
        <f t="shared" si="79"/>
        <v>0</v>
      </c>
      <c r="GC10" s="631" t="s">
        <v>92</v>
      </c>
      <c r="GD10" s="631">
        <f t="shared" si="153"/>
        <v>5.6100758446350311E-2</v>
      </c>
      <c r="GF10" s="439">
        <f t="shared" si="81"/>
        <v>0.56364000000000014</v>
      </c>
      <c r="GG10" s="440">
        <f t="shared" si="82"/>
        <v>0.43164000000000008</v>
      </c>
      <c r="GH10" s="439">
        <f t="shared" si="83"/>
        <v>-0.29964000000000007</v>
      </c>
      <c r="GI10" s="439">
        <f t="shared" si="84"/>
        <v>0</v>
      </c>
      <c r="GJ10" s="439">
        <f t="shared" si="85"/>
        <v>0</v>
      </c>
      <c r="GK10" s="439">
        <f t="shared" si="86"/>
        <v>0</v>
      </c>
      <c r="GL10" s="439">
        <f t="shared" si="87"/>
        <v>0</v>
      </c>
      <c r="GM10" s="439">
        <f t="shared" si="88"/>
        <v>0</v>
      </c>
      <c r="GN10" s="439">
        <f t="shared" si="89"/>
        <v>0</v>
      </c>
      <c r="GO10" s="439">
        <f t="shared" si="90"/>
        <v>0</v>
      </c>
      <c r="GP10" s="439">
        <f t="shared" si="91"/>
        <v>0</v>
      </c>
      <c r="GQ10" s="439">
        <f t="shared" si="92"/>
        <v>0</v>
      </c>
      <c r="GR10" s="439">
        <f t="shared" si="93"/>
        <v>0</v>
      </c>
      <c r="GS10" s="439">
        <f t="shared" si="94"/>
        <v>0</v>
      </c>
      <c r="GT10" s="442">
        <f t="shared" si="95"/>
        <v>0</v>
      </c>
      <c r="GU10" s="442">
        <f t="shared" si="96"/>
        <v>0</v>
      </c>
      <c r="GV10" s="439">
        <f t="shared" si="97"/>
        <v>0</v>
      </c>
      <c r="GW10" s="439">
        <f t="shared" si="98"/>
        <v>0</v>
      </c>
      <c r="GX10" s="661">
        <f t="shared" si="99"/>
        <v>0</v>
      </c>
      <c r="GY10" s="661">
        <f t="shared" si="100"/>
        <v>0</v>
      </c>
      <c r="GZ10" s="439">
        <f t="shared" si="101"/>
        <v>0</v>
      </c>
      <c r="HA10" s="439">
        <f t="shared" si="102"/>
        <v>0</v>
      </c>
      <c r="HB10" s="439">
        <f t="shared" si="103"/>
        <v>0</v>
      </c>
      <c r="HC10" s="439">
        <f t="shared" si="104"/>
        <v>0</v>
      </c>
      <c r="HD10" s="631" t="s">
        <v>92</v>
      </c>
      <c r="HE10" s="631">
        <f t="shared" si="105"/>
        <v>5.7405427247428212E-2</v>
      </c>
      <c r="HG10" s="618">
        <f>HLOOKUP(CQ10,Spec_Sheet!$F$3:$DV$19,11,FALSE)+HLOOKUP(CQ10,Spec_Sheet!$F$3:$DV$21,19,FALSE)</f>
        <v>0</v>
      </c>
      <c r="HH10" s="618">
        <f t="shared" si="154"/>
        <v>25</v>
      </c>
      <c r="HI10" s="634">
        <f t="shared" si="155"/>
        <v>50</v>
      </c>
      <c r="HJ10" s="634">
        <f>HLOOKUP(IF(LEN(CQ10)&gt;6,LEFT(CQ10,5),CQ10),'LSM List Pricing'!$B$1:$BW$2,2,0)</f>
        <v>35</v>
      </c>
      <c r="HK10" s="634">
        <f>HLOOKUP(HJ10,'LSM List Pricing'!$B$2:$BW$3,2)</f>
        <v>480</v>
      </c>
      <c r="HL10" s="634">
        <f>VLOOKUP(HH10,'LSM List Pricing'!$A$7:$BW$87,HJ10,0)</f>
        <v>130</v>
      </c>
      <c r="HM10" s="627">
        <f>VLOOKUP(HI10,'LSM List Pricing'!$A$7:$BW$87,HJ10,1)</f>
        <v>160</v>
      </c>
      <c r="HN10" s="628">
        <f t="shared" si="106"/>
        <v>1.5641025641025641</v>
      </c>
      <c r="HO10" s="628">
        <f t="shared" si="107"/>
        <v>3.1282051282051282</v>
      </c>
      <c r="HP10" s="628">
        <f t="shared" si="108"/>
        <v>2.8717948717948718</v>
      </c>
      <c r="HR10" s="618">
        <v>3.5000000000000001E-3</v>
      </c>
      <c r="HS10" s="618">
        <f t="shared" si="109"/>
        <v>23.5</v>
      </c>
      <c r="HT10" s="618">
        <f t="shared" si="110"/>
        <v>0.99999999993775857</v>
      </c>
      <c r="HU10" s="618">
        <f t="shared" si="156"/>
        <v>8.8713531607162416E-2</v>
      </c>
      <c r="HW10" s="618">
        <f t="shared" si="111"/>
        <v>35.874026785117827</v>
      </c>
      <c r="HX10" s="618">
        <f t="shared" si="112"/>
        <v>8.8536138968563508E-2</v>
      </c>
      <c r="HY10" s="618">
        <f t="shared" si="0"/>
        <v>3.5000000000000001E-3</v>
      </c>
      <c r="IB10" s="618">
        <f t="shared" si="113"/>
        <v>25.000350341399081</v>
      </c>
      <c r="IC10" s="618">
        <f t="shared" si="114"/>
        <v>1E-3</v>
      </c>
      <c r="IE10" s="618">
        <f t="shared" si="115"/>
        <v>0</v>
      </c>
      <c r="IF10" s="618">
        <f t="shared" si="116"/>
        <v>40.704999999999998</v>
      </c>
      <c r="IH10" s="618">
        <f t="shared" si="117"/>
        <v>0</v>
      </c>
      <c r="II10" s="618">
        <f t="shared" si="118"/>
        <v>40.704999999999998</v>
      </c>
      <c r="IK10" s="618">
        <f t="shared" si="119"/>
        <v>0</v>
      </c>
      <c r="IL10" s="618">
        <f t="shared" si="120"/>
        <v>40.704999999999998</v>
      </c>
      <c r="IN10" s="618">
        <f t="shared" si="121"/>
        <v>0</v>
      </c>
      <c r="IO10" s="618">
        <f t="shared" si="122"/>
        <v>40.704999999999998</v>
      </c>
      <c r="IQ10" s="618">
        <f t="shared" si="123"/>
        <v>0</v>
      </c>
      <c r="IR10" s="618">
        <f t="shared" si="124"/>
        <v>40.704999999999998</v>
      </c>
      <c r="IT10" s="660" t="str">
        <f t="shared" si="125"/>
        <v>S060Q</v>
      </c>
      <c r="IU10" s="628"/>
      <c r="IV10" s="439">
        <f t="shared" si="126"/>
        <v>0.51240000000000008</v>
      </c>
      <c r="IW10" s="440">
        <f t="shared" si="127"/>
        <v>0.39240000000000008</v>
      </c>
      <c r="IX10" s="439">
        <f t="shared" si="128"/>
        <v>-0.27240000000000009</v>
      </c>
      <c r="IY10" s="439">
        <f t="shared" si="129"/>
        <v>0</v>
      </c>
      <c r="IZ10" s="439">
        <f t="shared" si="130"/>
        <v>0</v>
      </c>
      <c r="JA10" s="439">
        <f t="shared" si="131"/>
        <v>0</v>
      </c>
      <c r="JB10" s="439">
        <f t="shared" si="132"/>
        <v>0</v>
      </c>
      <c r="JC10" s="439">
        <f t="shared" si="133"/>
        <v>0</v>
      </c>
      <c r="JD10" s="439">
        <f t="shared" si="134"/>
        <v>0</v>
      </c>
      <c r="JE10" s="439">
        <f t="shared" si="135"/>
        <v>0</v>
      </c>
      <c r="JF10" s="439">
        <f t="shared" si="136"/>
        <v>0</v>
      </c>
      <c r="JG10" s="439">
        <f t="shared" si="137"/>
        <v>0</v>
      </c>
      <c r="JH10" s="439">
        <f t="shared" si="138"/>
        <v>0</v>
      </c>
      <c r="JI10" s="439">
        <f t="shared" si="139"/>
        <v>0</v>
      </c>
      <c r="JJ10" s="442">
        <f t="shared" si="140"/>
        <v>0</v>
      </c>
      <c r="JK10" s="442">
        <f t="shared" si="141"/>
        <v>0</v>
      </c>
      <c r="JL10" s="439">
        <f t="shared" si="142"/>
        <v>0</v>
      </c>
      <c r="JM10" s="439">
        <f t="shared" si="143"/>
        <v>0</v>
      </c>
      <c r="JN10" s="661">
        <f t="shared" si="144"/>
        <v>0</v>
      </c>
      <c r="JO10" s="661">
        <f t="shared" si="145"/>
        <v>0</v>
      </c>
      <c r="JP10" s="439">
        <f t="shared" si="146"/>
        <v>0</v>
      </c>
      <c r="JQ10" s="439">
        <f t="shared" si="147"/>
        <v>0</v>
      </c>
      <c r="JR10" s="439">
        <f t="shared" si="148"/>
        <v>0</v>
      </c>
      <c r="JS10" s="439">
        <f t="shared" si="149"/>
        <v>0</v>
      </c>
      <c r="JT10" s="631" t="s">
        <v>92</v>
      </c>
      <c r="JU10" s="631">
        <f t="shared" si="158"/>
        <v>5.2186752043116555E-2</v>
      </c>
      <c r="JW10" s="522"/>
      <c r="JX10" s="522"/>
      <c r="JY10" s="522"/>
      <c r="JZ10" s="522"/>
      <c r="KA10" s="522"/>
      <c r="KB10" s="522"/>
      <c r="KC10" s="522"/>
      <c r="KD10" s="522"/>
      <c r="KE10" s="522"/>
      <c r="KF10" s="522"/>
      <c r="KG10" s="522"/>
      <c r="KH10" s="522"/>
      <c r="KI10" s="522"/>
      <c r="KJ10" s="522"/>
      <c r="KK10" s="522"/>
      <c r="KL10" s="522"/>
    </row>
    <row r="11" spans="2:298" ht="9.9499999999999993" customHeight="1">
      <c r="B11" s="806" t="s">
        <v>22</v>
      </c>
      <c r="C11" s="803"/>
      <c r="D11" s="803"/>
      <c r="E11" s="803"/>
      <c r="F11" s="803"/>
      <c r="G11" s="803"/>
      <c r="H11" s="803"/>
      <c r="I11" s="803"/>
      <c r="J11" s="805">
        <v>135</v>
      </c>
      <c r="K11" s="805"/>
      <c r="L11" s="812" t="s">
        <v>20</v>
      </c>
      <c r="M11" s="812"/>
      <c r="N11" s="813"/>
      <c r="O11" s="306">
        <f>IF(I16=Custom!J13,IF(IF(L11="°C",J11,(J11-32)/1.8)&gt;Custom!K11,Custom!K11,IF(L11="°C",J11,(J11-32)/1.8)),IF(L11="°C",J11,(J11-32)/1.8))</f>
        <v>135</v>
      </c>
      <c r="P11" s="550"/>
      <c r="Q11" s="90"/>
      <c r="R11" s="90"/>
      <c r="S11" s="90"/>
      <c r="T11" s="90"/>
      <c r="U11" s="91"/>
      <c r="V11" s="92" t="b">
        <v>0</v>
      </c>
      <c r="W11" s="93">
        <f>U10*VLOOKUP(W10,K62:L65,2,FALSE)</f>
        <v>15</v>
      </c>
      <c r="X11" s="90"/>
      <c r="Y11" s="90"/>
      <c r="Z11" s="90"/>
      <c r="AA11" s="64"/>
      <c r="AB11" s="44"/>
      <c r="AC11" s="748">
        <f>AC10*39.37007874</f>
        <v>11.811023621999999</v>
      </c>
      <c r="AD11" s="749">
        <v>55.118110236</v>
      </c>
      <c r="AE11" s="86" t="s">
        <v>128</v>
      </c>
      <c r="AF11" s="44"/>
      <c r="AG11" s="94"/>
      <c r="AH11" s="49"/>
      <c r="AI11" s="49"/>
      <c r="AJ11" s="49"/>
      <c r="AK11" s="49"/>
      <c r="AL11" s="50"/>
      <c r="AM11" s="158" t="b">
        <v>0</v>
      </c>
      <c r="AN11" s="95">
        <f>AL$10*VLOOKUP(AN10,K62:L65,2,FALSE)</f>
        <v>5</v>
      </c>
      <c r="AO11" s="95"/>
      <c r="AP11" s="49"/>
      <c r="AQ11" s="49"/>
      <c r="AR11" s="68"/>
      <c r="AS11" s="67"/>
      <c r="AT11" s="728">
        <f>AT10*39.37007874</f>
        <v>246.06299212499999</v>
      </c>
      <c r="AU11" s="729">
        <v>55.118110236</v>
      </c>
      <c r="AV11" s="88" t="s">
        <v>128</v>
      </c>
      <c r="AW11" s="551"/>
      <c r="AX11" s="67"/>
      <c r="AY11" s="67"/>
      <c r="AZ11" s="67"/>
      <c r="BA11" s="48"/>
      <c r="BB11" s="708" t="str">
        <f t="shared" ref="BB11:BB54" ca="1" si="168">IF(CO5="","",CO5)</f>
        <v>S040T</v>
      </c>
      <c r="BC11" s="709"/>
      <c r="BD11" s="710"/>
      <c r="BE11" s="342">
        <f t="shared" ca="1" si="160"/>
        <v>1.4199046138852727</v>
      </c>
      <c r="BF11" s="78">
        <f t="shared" ca="1" si="161"/>
        <v>0.37423158349042585</v>
      </c>
      <c r="BG11" s="490">
        <f t="shared" ca="1" si="162"/>
        <v>1.4130035081139369</v>
      </c>
      <c r="BH11" s="78">
        <f t="shared" ca="1" si="163"/>
        <v>0.37069277042132431</v>
      </c>
      <c r="BI11" s="617" t="str">
        <f t="shared" ca="1" si="164"/>
        <v/>
      </c>
      <c r="BJ11" s="528">
        <f t="shared" ca="1" si="165"/>
        <v>0.69230769230769229</v>
      </c>
      <c r="BK11" s="529">
        <f t="shared" ca="1" si="166"/>
        <v>1.3846153846153846</v>
      </c>
      <c r="BL11" s="530" t="str">
        <f t="shared" ca="1" si="167"/>
        <v/>
      </c>
      <c r="BM11" s="46">
        <f>COUNTBLANK(BO11)</f>
        <v>1</v>
      </c>
      <c r="BN11" s="46">
        <f>BO11*VLOOKUP(BQ11,$Q$62:$R$67,2,FALSE)</f>
        <v>0</v>
      </c>
      <c r="BO11" s="717"/>
      <c r="BP11" s="717"/>
      <c r="BQ11" s="721" t="s">
        <v>110</v>
      </c>
      <c r="BR11" s="722"/>
      <c r="BS11" s="70" t="s">
        <v>100</v>
      </c>
      <c r="BT11" s="70"/>
      <c r="BU11" s="70"/>
      <c r="BV11" s="79"/>
      <c r="BW11" s="70"/>
      <c r="BX11" s="70"/>
      <c r="BY11" s="736" t="s">
        <v>306</v>
      </c>
      <c r="BZ11" s="736"/>
      <c r="CA11" s="736"/>
      <c r="CB11" s="736"/>
      <c r="CC11" s="736"/>
      <c r="CD11" s="766">
        <f>BV12/2</f>
        <v>0.05</v>
      </c>
      <c r="CE11" s="766"/>
      <c r="CF11" s="83" t="s">
        <v>120</v>
      </c>
      <c r="CG11" s="84"/>
      <c r="CH11" s="165">
        <v>0</v>
      </c>
      <c r="CI11" s="174">
        <v>0</v>
      </c>
      <c r="CJ11" s="173">
        <f>IF(BN19&lt;&gt;0,BN19,IF(BN21&lt;&gt;0,IF(BN20&lt;&gt;0,2*(BN20^2/(BN21*1000)),(1/4.5)*(BN21*1000)*BN22^2),(2/3)*BN20*BN22))</f>
        <v>60</v>
      </c>
      <c r="CK11" s="422"/>
      <c r="CL11" s="422"/>
      <c r="CM11" s="284"/>
      <c r="CN11" s="377"/>
      <c r="CO11" s="689" t="str">
        <f ca="1"/>
        <v>S080T</v>
      </c>
      <c r="CP11" s="632" t="str">
        <f>IF(OR(CQ11=0,CR11="",CS11&gt;120),"",IF(HLOOKUP(CQ11,Spec_Sheet!$F$3:$ED$19,17,FALSE)&lt;$AC$46,"",CQ11))</f>
        <v>S080D 1S</v>
      </c>
      <c r="CQ11" s="660" t="str">
        <f>IF(Spec_Sheet!A10="","",Spec_Sheet!A10)</f>
        <v>S080D 1S</v>
      </c>
      <c r="CR11" s="660">
        <f>IF(CQ11="",0,HLOOKUP(CQ11,Spec_Sheet!$F$3:$ED$19,2,FALSE))</f>
        <v>1.7891999999999999</v>
      </c>
      <c r="CS11" s="660">
        <f t="shared" ref="CS11:CS74" si="169">IF(CR11=0,500,IF(IFERROR(CV11,TRUE),SMALL(CT11:CU11,1),SMALL(CT11:CX11,1)))</f>
        <v>3.3232483098041152E-2</v>
      </c>
      <c r="CT11" s="621">
        <f t="shared" si="2"/>
        <v>0.1076732452376534</v>
      </c>
      <c r="CU11" s="621">
        <f t="shared" si="3"/>
        <v>3.3232483098041152E-2</v>
      </c>
      <c r="CV11" s="621">
        <f t="shared" si="4"/>
        <v>9.3795360295911373E-2</v>
      </c>
      <c r="CW11" s="621">
        <f t="shared" si="5"/>
        <v>2.5735234911123079E-2</v>
      </c>
      <c r="CX11" s="621">
        <f t="shared" si="157"/>
        <v>2.6918311309413349E-2</v>
      </c>
      <c r="CY11" s="619">
        <f>HLOOKUP(CQ11,Spec_Sheet!$F$3:$ED$19,13,FALSE)</f>
        <v>0.05</v>
      </c>
      <c r="CZ11" s="619">
        <f>VLOOKUP(HH11,'Shaft Weight'!$A$6:$CD$102,HJ11,TRUE)</f>
        <v>0.02</v>
      </c>
      <c r="DA11" s="619">
        <f>VLOOKUP(HI11,'Shaft Weight'!$A$6:$CD$102,HJ11,0)</f>
        <v>0.05</v>
      </c>
      <c r="DB11" s="619">
        <f>HLOOKUP(CQ11,Spec_Sheet!$F$3:$ED$19,6,FALSE)</f>
        <v>1.0649999999999999</v>
      </c>
      <c r="DC11" s="439">
        <f t="shared" si="6"/>
        <v>0.57645000000000013</v>
      </c>
      <c r="DD11" s="440">
        <f t="shared" si="7"/>
        <v>0.44145000000000006</v>
      </c>
      <c r="DE11" s="439">
        <f t="shared" si="8"/>
        <v>-0.30645000000000006</v>
      </c>
      <c r="DF11" s="439">
        <f t="shared" si="9"/>
        <v>0</v>
      </c>
      <c r="DG11" s="439">
        <f t="shared" si="10"/>
        <v>0</v>
      </c>
      <c r="DH11" s="439">
        <f t="shared" si="11"/>
        <v>0</v>
      </c>
      <c r="DI11" s="439">
        <f t="shared" si="12"/>
        <v>0</v>
      </c>
      <c r="DJ11" s="439">
        <f t="shared" si="13"/>
        <v>0</v>
      </c>
      <c r="DK11" s="439">
        <f t="shared" si="14"/>
        <v>0</v>
      </c>
      <c r="DL11" s="439">
        <f t="shared" si="15"/>
        <v>0</v>
      </c>
      <c r="DM11" s="439">
        <f t="shared" si="16"/>
        <v>0</v>
      </c>
      <c r="DN11" s="439">
        <f t="shared" si="17"/>
        <v>0</v>
      </c>
      <c r="DO11" s="439">
        <f t="shared" si="18"/>
        <v>0</v>
      </c>
      <c r="DP11" s="439">
        <f t="shared" si="19"/>
        <v>0</v>
      </c>
      <c r="DQ11" s="442">
        <f t="shared" si="20"/>
        <v>0</v>
      </c>
      <c r="DR11" s="442">
        <f t="shared" si="21"/>
        <v>0</v>
      </c>
      <c r="DS11" s="439">
        <f t="shared" si="22"/>
        <v>0</v>
      </c>
      <c r="DT11" s="439">
        <f t="shared" si="23"/>
        <v>0</v>
      </c>
      <c r="DU11" s="661">
        <f t="shared" si="24"/>
        <v>0</v>
      </c>
      <c r="DV11" s="661">
        <f t="shared" si="25"/>
        <v>0</v>
      </c>
      <c r="DW11" s="439">
        <f t="shared" si="26"/>
        <v>0</v>
      </c>
      <c r="DX11" s="439">
        <f t="shared" si="27"/>
        <v>0</v>
      </c>
      <c r="DY11" s="439">
        <f t="shared" si="28"/>
        <v>0</v>
      </c>
      <c r="DZ11" s="439">
        <f t="shared" si="29"/>
        <v>0</v>
      </c>
      <c r="EA11" s="631" t="s">
        <v>92</v>
      </c>
      <c r="EB11" s="631">
        <f t="shared" si="151"/>
        <v>5.8710096048506126E-2</v>
      </c>
      <c r="ED11" s="439">
        <f t="shared" si="31"/>
        <v>0.56364000000000014</v>
      </c>
      <c r="EE11" s="440">
        <f t="shared" si="32"/>
        <v>0.43164000000000008</v>
      </c>
      <c r="EF11" s="439">
        <f t="shared" si="33"/>
        <v>-0.29964000000000007</v>
      </c>
      <c r="EG11" s="441">
        <f t="shared" si="34"/>
        <v>0</v>
      </c>
      <c r="EH11" s="439">
        <f t="shared" si="35"/>
        <v>0</v>
      </c>
      <c r="EI11" s="439">
        <f t="shared" si="36"/>
        <v>0</v>
      </c>
      <c r="EJ11" s="439">
        <f t="shared" si="37"/>
        <v>0</v>
      </c>
      <c r="EK11" s="439">
        <f t="shared" si="38"/>
        <v>0</v>
      </c>
      <c r="EL11" s="439">
        <f t="shared" si="39"/>
        <v>0</v>
      </c>
      <c r="EM11" s="439">
        <f t="shared" si="40"/>
        <v>0</v>
      </c>
      <c r="EN11" s="439">
        <f t="shared" si="41"/>
        <v>0</v>
      </c>
      <c r="EO11" s="439">
        <f t="shared" si="42"/>
        <v>0</v>
      </c>
      <c r="EP11" s="439">
        <f t="shared" si="43"/>
        <v>0</v>
      </c>
      <c r="EQ11" s="439">
        <f t="shared" si="44"/>
        <v>0</v>
      </c>
      <c r="ER11" s="442">
        <f t="shared" si="45"/>
        <v>0</v>
      </c>
      <c r="ES11" s="442">
        <f t="shared" si="46"/>
        <v>0</v>
      </c>
      <c r="ET11" s="439">
        <f t="shared" si="47"/>
        <v>0</v>
      </c>
      <c r="EU11" s="439">
        <f t="shared" si="48"/>
        <v>0</v>
      </c>
      <c r="EV11" s="661">
        <f t="shared" si="49"/>
        <v>0</v>
      </c>
      <c r="EW11" s="661">
        <f t="shared" si="50"/>
        <v>0</v>
      </c>
      <c r="EX11" s="439">
        <f t="shared" si="51"/>
        <v>0</v>
      </c>
      <c r="EY11" s="439">
        <f t="shared" si="52"/>
        <v>0</v>
      </c>
      <c r="EZ11" s="439">
        <f t="shared" si="53"/>
        <v>0</v>
      </c>
      <c r="FA11" s="439">
        <f t="shared" si="54"/>
        <v>0</v>
      </c>
      <c r="FB11" s="631" t="s">
        <v>92</v>
      </c>
      <c r="FC11" s="631">
        <f t="shared" si="152"/>
        <v>5.7405427247428212E-2</v>
      </c>
      <c r="FE11" s="439">
        <f t="shared" si="56"/>
        <v>0.53802000000000005</v>
      </c>
      <c r="FF11" s="440">
        <f t="shared" si="57"/>
        <v>0.41202000000000005</v>
      </c>
      <c r="FG11" s="439">
        <f t="shared" si="58"/>
        <v>-0.28602000000000005</v>
      </c>
      <c r="FH11" s="441">
        <f t="shared" si="59"/>
        <v>0</v>
      </c>
      <c r="FI11" s="439">
        <f t="shared" si="60"/>
        <v>0</v>
      </c>
      <c r="FJ11" s="439">
        <f t="shared" si="61"/>
        <v>0</v>
      </c>
      <c r="FK11" s="439">
        <f t="shared" si="62"/>
        <v>0</v>
      </c>
      <c r="FL11" s="439">
        <f t="shared" si="63"/>
        <v>0</v>
      </c>
      <c r="FM11" s="439">
        <f t="shared" si="64"/>
        <v>0</v>
      </c>
      <c r="FN11" s="439">
        <f t="shared" si="65"/>
        <v>0</v>
      </c>
      <c r="FO11" s="439">
        <f t="shared" si="66"/>
        <v>0</v>
      </c>
      <c r="FP11" s="439">
        <f t="shared" si="67"/>
        <v>0</v>
      </c>
      <c r="FQ11" s="439">
        <f t="shared" si="68"/>
        <v>0</v>
      </c>
      <c r="FR11" s="439">
        <f t="shared" si="69"/>
        <v>0</v>
      </c>
      <c r="FS11" s="442">
        <f t="shared" si="70"/>
        <v>0</v>
      </c>
      <c r="FT11" s="442">
        <f t="shared" si="71"/>
        <v>0</v>
      </c>
      <c r="FU11" s="439">
        <f t="shared" si="72"/>
        <v>0</v>
      </c>
      <c r="FV11" s="439">
        <f t="shared" si="73"/>
        <v>0</v>
      </c>
      <c r="FW11" s="661">
        <f t="shared" si="74"/>
        <v>0</v>
      </c>
      <c r="FX11" s="661">
        <f t="shared" si="75"/>
        <v>0</v>
      </c>
      <c r="FY11" s="439">
        <f t="shared" si="76"/>
        <v>0</v>
      </c>
      <c r="FZ11" s="439">
        <f t="shared" si="77"/>
        <v>0</v>
      </c>
      <c r="GA11" s="439">
        <f t="shared" si="78"/>
        <v>0</v>
      </c>
      <c r="GB11" s="439">
        <f t="shared" si="79"/>
        <v>0</v>
      </c>
      <c r="GC11" s="631" t="s">
        <v>92</v>
      </c>
      <c r="GD11" s="631">
        <f t="shared" si="153"/>
        <v>5.4796089645272376E-2</v>
      </c>
      <c r="GF11" s="439">
        <f t="shared" si="81"/>
        <v>0.57645000000000013</v>
      </c>
      <c r="GG11" s="440">
        <f t="shared" si="82"/>
        <v>0.44145000000000006</v>
      </c>
      <c r="GH11" s="439">
        <f t="shared" si="83"/>
        <v>-0.30645000000000006</v>
      </c>
      <c r="GI11" s="439">
        <f t="shared" si="84"/>
        <v>0</v>
      </c>
      <c r="GJ11" s="439">
        <f t="shared" si="85"/>
        <v>0</v>
      </c>
      <c r="GK11" s="439">
        <f t="shared" si="86"/>
        <v>0</v>
      </c>
      <c r="GL11" s="439">
        <f t="shared" si="87"/>
        <v>0</v>
      </c>
      <c r="GM11" s="439">
        <f t="shared" si="88"/>
        <v>0</v>
      </c>
      <c r="GN11" s="439">
        <f t="shared" si="89"/>
        <v>0</v>
      </c>
      <c r="GO11" s="439">
        <f t="shared" si="90"/>
        <v>0</v>
      </c>
      <c r="GP11" s="439">
        <f t="shared" si="91"/>
        <v>0</v>
      </c>
      <c r="GQ11" s="439">
        <f t="shared" si="92"/>
        <v>0</v>
      </c>
      <c r="GR11" s="439">
        <f t="shared" si="93"/>
        <v>0</v>
      </c>
      <c r="GS11" s="439">
        <f t="shared" si="94"/>
        <v>0</v>
      </c>
      <c r="GT11" s="442">
        <f t="shared" si="95"/>
        <v>0</v>
      </c>
      <c r="GU11" s="442">
        <f t="shared" si="96"/>
        <v>0</v>
      </c>
      <c r="GV11" s="439">
        <f t="shared" si="97"/>
        <v>0</v>
      </c>
      <c r="GW11" s="439">
        <f t="shared" si="98"/>
        <v>0</v>
      </c>
      <c r="GX11" s="661">
        <f t="shared" si="99"/>
        <v>0</v>
      </c>
      <c r="GY11" s="661">
        <f t="shared" si="100"/>
        <v>0</v>
      </c>
      <c r="GZ11" s="439">
        <f t="shared" si="101"/>
        <v>0</v>
      </c>
      <c r="HA11" s="439">
        <f t="shared" si="102"/>
        <v>0</v>
      </c>
      <c r="HB11" s="439">
        <f t="shared" si="103"/>
        <v>0</v>
      </c>
      <c r="HC11" s="439">
        <f t="shared" si="104"/>
        <v>0</v>
      </c>
      <c r="HD11" s="631" t="s">
        <v>92</v>
      </c>
      <c r="HE11" s="631">
        <f t="shared" si="105"/>
        <v>5.8710096048506126E-2</v>
      </c>
      <c r="HG11" s="618">
        <f>HLOOKUP(CQ11,Spec_Sheet!$F$3:$DV$19,11,FALSE)+HLOOKUP(CQ11,Spec_Sheet!$F$3:$DV$21,19,FALSE)</f>
        <v>45</v>
      </c>
      <c r="HH11" s="618">
        <f t="shared" si="154"/>
        <v>25</v>
      </c>
      <c r="HI11" s="634">
        <f t="shared" si="155"/>
        <v>100</v>
      </c>
      <c r="HJ11" s="634">
        <f>HLOOKUP(IF(LEN(CQ11)&gt;6,LEFT(CQ11,5),CQ11),'LSM List Pricing'!$B$1:$BW$2,2,0)</f>
        <v>36</v>
      </c>
      <c r="HK11" s="634">
        <f>HLOOKUP(HJ11,'LSM List Pricing'!$B$2:$BW$3,2)</f>
        <v>340</v>
      </c>
      <c r="HL11" s="634">
        <f>VLOOKUP(HH11,'LSM List Pricing'!$A$7:$BW$87,HJ11,0)</f>
        <v>50</v>
      </c>
      <c r="HM11" s="627">
        <f>VLOOKUP(HI11,'LSM List Pricing'!$A$7:$BW$87,HJ11,1)</f>
        <v>100</v>
      </c>
      <c r="HN11" s="628">
        <f t="shared" si="106"/>
        <v>1</v>
      </c>
      <c r="HO11" s="628">
        <f t="shared" si="107"/>
        <v>2</v>
      </c>
      <c r="HP11" s="628">
        <f t="shared" si="108"/>
        <v>2</v>
      </c>
      <c r="HR11" s="618">
        <v>4.0000000000000001E-3</v>
      </c>
      <c r="HS11" s="618">
        <f t="shared" si="109"/>
        <v>26.857142857142858</v>
      </c>
      <c r="HT11" s="618">
        <f t="shared" si="110"/>
        <v>0.99999999999783185</v>
      </c>
      <c r="HU11" s="618">
        <f t="shared" si="156"/>
        <v>0.1014525755807596</v>
      </c>
      <c r="HW11" s="618">
        <f t="shared" si="111"/>
        <v>35.855937342675318</v>
      </c>
      <c r="HX11" s="618">
        <f t="shared" si="112"/>
        <v>0.10122420459419923</v>
      </c>
      <c r="HY11" s="618">
        <f t="shared" si="0"/>
        <v>4.0000000000000001E-3</v>
      </c>
      <c r="IB11" s="618">
        <f t="shared" si="113"/>
        <v>25.000350341399081</v>
      </c>
      <c r="IC11" s="618">
        <f t="shared" si="114"/>
        <v>1E-3</v>
      </c>
      <c r="IE11" s="618">
        <f t="shared" si="115"/>
        <v>0</v>
      </c>
      <c r="IF11" s="618">
        <f t="shared" si="116"/>
        <v>40.704999999999998</v>
      </c>
      <c r="IH11" s="618">
        <f t="shared" si="117"/>
        <v>0</v>
      </c>
      <c r="II11" s="618">
        <f t="shared" si="118"/>
        <v>40.704999999999998</v>
      </c>
      <c r="IK11" s="618">
        <f t="shared" si="119"/>
        <v>0</v>
      </c>
      <c r="IL11" s="618">
        <f t="shared" si="120"/>
        <v>40.704999999999998</v>
      </c>
      <c r="IN11" s="618">
        <f t="shared" si="121"/>
        <v>0</v>
      </c>
      <c r="IO11" s="618">
        <f t="shared" si="122"/>
        <v>40.704999999999998</v>
      </c>
      <c r="IQ11" s="618">
        <f t="shared" si="123"/>
        <v>0</v>
      </c>
      <c r="IR11" s="618">
        <f t="shared" si="124"/>
        <v>40.704999999999998</v>
      </c>
      <c r="IT11" s="660" t="str">
        <f t="shared" si="125"/>
        <v>S080D 1S</v>
      </c>
      <c r="IU11" s="628"/>
      <c r="IV11" s="439">
        <f t="shared" si="126"/>
        <v>0.64050000000000007</v>
      </c>
      <c r="IW11" s="440">
        <f t="shared" si="127"/>
        <v>0.49050000000000005</v>
      </c>
      <c r="IX11" s="439">
        <f t="shared" si="128"/>
        <v>-0.34050000000000002</v>
      </c>
      <c r="IY11" s="439">
        <f t="shared" si="129"/>
        <v>0</v>
      </c>
      <c r="IZ11" s="439">
        <f t="shared" si="130"/>
        <v>0</v>
      </c>
      <c r="JA11" s="439">
        <f t="shared" si="131"/>
        <v>0</v>
      </c>
      <c r="JB11" s="439">
        <f t="shared" si="132"/>
        <v>0</v>
      </c>
      <c r="JC11" s="439">
        <f t="shared" si="133"/>
        <v>0</v>
      </c>
      <c r="JD11" s="439">
        <f t="shared" si="134"/>
        <v>0</v>
      </c>
      <c r="JE11" s="439">
        <f t="shared" si="135"/>
        <v>0</v>
      </c>
      <c r="JF11" s="439">
        <f t="shared" si="136"/>
        <v>0</v>
      </c>
      <c r="JG11" s="439">
        <f t="shared" si="137"/>
        <v>0</v>
      </c>
      <c r="JH11" s="439">
        <f t="shared" si="138"/>
        <v>0</v>
      </c>
      <c r="JI11" s="439">
        <f t="shared" si="139"/>
        <v>0</v>
      </c>
      <c r="JJ11" s="442">
        <f t="shared" si="140"/>
        <v>0</v>
      </c>
      <c r="JK11" s="442">
        <f t="shared" si="141"/>
        <v>0</v>
      </c>
      <c r="JL11" s="439">
        <f t="shared" si="142"/>
        <v>0</v>
      </c>
      <c r="JM11" s="439">
        <f t="shared" si="143"/>
        <v>0</v>
      </c>
      <c r="JN11" s="661">
        <f t="shared" si="144"/>
        <v>0</v>
      </c>
      <c r="JO11" s="661">
        <f t="shared" si="145"/>
        <v>0</v>
      </c>
      <c r="JP11" s="439">
        <f t="shared" si="146"/>
        <v>0</v>
      </c>
      <c r="JQ11" s="439">
        <f t="shared" si="147"/>
        <v>0</v>
      </c>
      <c r="JR11" s="439">
        <f t="shared" si="148"/>
        <v>0</v>
      </c>
      <c r="JS11" s="439">
        <f t="shared" si="149"/>
        <v>0</v>
      </c>
      <c r="JT11" s="631" t="s">
        <v>92</v>
      </c>
      <c r="JU11" s="631">
        <f t="shared" si="158"/>
        <v>6.5233440053895683E-2</v>
      </c>
      <c r="JW11" s="522"/>
      <c r="JX11" s="522"/>
      <c r="JY11" s="522"/>
      <c r="JZ11" s="522"/>
      <c r="KA11" s="522"/>
      <c r="KB11" s="522"/>
      <c r="KC11" s="522"/>
      <c r="KD11" s="522"/>
      <c r="KE11" s="522"/>
      <c r="KF11" s="522"/>
      <c r="KG11" s="522"/>
      <c r="KH11" s="522"/>
      <c r="KI11" s="522"/>
      <c r="KJ11" s="522"/>
      <c r="KK11" s="522"/>
      <c r="KL11" s="522"/>
    </row>
    <row r="12" spans="2:298" ht="9.9499999999999993" customHeight="1">
      <c r="B12" s="837" t="s">
        <v>266</v>
      </c>
      <c r="C12" s="838"/>
      <c r="D12" s="838"/>
      <c r="E12" s="838"/>
      <c r="F12" s="838"/>
      <c r="G12" s="838"/>
      <c r="H12" s="838"/>
      <c r="I12" s="838"/>
      <c r="J12" s="839">
        <f>O11-O10</f>
        <v>110</v>
      </c>
      <c r="K12" s="839"/>
      <c r="L12" s="840" t="s">
        <v>180</v>
      </c>
      <c r="M12" s="840"/>
      <c r="N12" s="841"/>
      <c r="O12" s="306"/>
      <c r="P12" s="552"/>
      <c r="Q12" s="97"/>
      <c r="R12" s="90"/>
      <c r="S12" s="90"/>
      <c r="T12" s="90"/>
      <c r="U12" s="91"/>
      <c r="V12" s="91"/>
      <c r="W12" s="90"/>
      <c r="X12" s="90"/>
      <c r="Y12" s="90"/>
      <c r="Z12" s="90"/>
      <c r="AA12" s="90"/>
      <c r="AB12" s="44"/>
      <c r="AC12" s="748">
        <f>AC10*0.1019716213</f>
        <v>3.0591486389999999E-2</v>
      </c>
      <c r="AD12" s="749">
        <v>0.14276026982000001</v>
      </c>
      <c r="AE12" s="64" t="s">
        <v>110</v>
      </c>
      <c r="AF12" s="44"/>
      <c r="AG12" s="98"/>
      <c r="AH12" s="49"/>
      <c r="AI12" s="49"/>
      <c r="AJ12" s="49"/>
      <c r="AK12" s="49"/>
      <c r="AL12" s="50"/>
      <c r="AM12" s="99"/>
      <c r="AN12" s="95"/>
      <c r="AO12" s="95"/>
      <c r="AP12" s="49"/>
      <c r="AQ12" s="49"/>
      <c r="AR12" s="49"/>
      <c r="AS12" s="67"/>
      <c r="AT12" s="728">
        <f>AT10*0.1019716213</f>
        <v>0.63732263312499993</v>
      </c>
      <c r="AU12" s="729">
        <v>0.14276026982000001</v>
      </c>
      <c r="AV12" s="68" t="s">
        <v>110</v>
      </c>
      <c r="AW12" s="551"/>
      <c r="AX12" s="48" t="s">
        <v>292</v>
      </c>
      <c r="AY12" s="48"/>
      <c r="AZ12" s="48"/>
      <c r="BA12" s="67"/>
      <c r="BB12" s="708" t="str">
        <f t="shared" ca="1" si="168"/>
        <v>S040Q</v>
      </c>
      <c r="BC12" s="709"/>
      <c r="BD12" s="710"/>
      <c r="BE12" s="342">
        <f t="shared" ca="1" si="160"/>
        <v>0.86725187870398424</v>
      </c>
      <c r="BF12" s="78">
        <f t="shared" ca="1" si="161"/>
        <v>0.23172458538780161</v>
      </c>
      <c r="BG12" s="490">
        <f t="shared" ca="1" si="162"/>
        <v>0.8505743471851136</v>
      </c>
      <c r="BH12" s="78">
        <f t="shared" ca="1" si="163"/>
        <v>0.22314294295576148</v>
      </c>
      <c r="BI12" s="617" t="str">
        <f t="shared" ca="1" si="164"/>
        <v/>
      </c>
      <c r="BJ12" s="528">
        <f t="shared" ca="1" si="165"/>
        <v>0.82051282051282048</v>
      </c>
      <c r="BK12" s="529">
        <f t="shared" ca="1" si="166"/>
        <v>1.641025641025641</v>
      </c>
      <c r="BL12" s="530" t="str">
        <f t="shared" ca="1" si="167"/>
        <v/>
      </c>
      <c r="BM12" s="46">
        <f>COUNTBLANK(BO12)</f>
        <v>0</v>
      </c>
      <c r="BN12" s="46">
        <f>BO12*VLOOKUP(BQ12,$N$62:$O$64,2,FALSE)</f>
        <v>0.1</v>
      </c>
      <c r="BO12" s="717">
        <v>0.1</v>
      </c>
      <c r="BP12" s="717"/>
      <c r="BQ12" s="721" t="s">
        <v>120</v>
      </c>
      <c r="BR12" s="722"/>
      <c r="BS12" s="70" t="s">
        <v>46</v>
      </c>
      <c r="BT12" s="70"/>
      <c r="BU12" s="70"/>
      <c r="BV12" s="79">
        <f>IF(BN12&lt;&gt;0,BN12,IF(BN9=0,BN10*2/(BN11*1000),IF(BN10&lt;&gt;0,BN10*2/((BN10^2/BN9)),IF(BO13="",SQRT((BN11*1000)*BN9)*2/(BN11*1000),1/(BO13*2)))))</f>
        <v>0.1</v>
      </c>
      <c r="BW12" s="70"/>
      <c r="BX12" s="70"/>
      <c r="BY12" s="736" t="s">
        <v>23</v>
      </c>
      <c r="BZ12" s="736"/>
      <c r="CA12" s="736"/>
      <c r="CB12" s="736"/>
      <c r="CC12" s="736"/>
      <c r="CD12" s="766">
        <f>BV9</f>
        <v>70</v>
      </c>
      <c r="CE12" s="766"/>
      <c r="CF12" s="797" t="s">
        <v>24</v>
      </c>
      <c r="CG12" s="797"/>
      <c r="CH12" s="165">
        <f>CD9</f>
        <v>0.05</v>
      </c>
      <c r="CI12" s="174">
        <f>((CD12/(CD9+CD10))+(CD12/(CD11+CD10)))/2</f>
        <v>1400</v>
      </c>
      <c r="CJ12" s="173" t="e">
        <f>2*(BN20^2/(BN21*1000))</f>
        <v>#DIV/0!</v>
      </c>
      <c r="CK12" s="422" t="s">
        <v>394</v>
      </c>
      <c r="CL12" s="422"/>
      <c r="CM12" s="284"/>
      <c r="CN12" s="377"/>
      <c r="CO12" s="689" t="str">
        <f ca="1"/>
        <v>S080Q</v>
      </c>
      <c r="CP12" s="632" t="str">
        <f>IF(OR(CQ12=0,CR12="",CS12&gt;120),"",IF(HLOOKUP(CQ12,Spec_Sheet!$F$3:$ED$19,17,FALSE)&lt;$AC$46,"",CQ12))</f>
        <v>S080D</v>
      </c>
      <c r="CQ12" s="660" t="str">
        <f>IF(Spec_Sheet!A11="","",Spec_Sheet!A11)</f>
        <v>S080D</v>
      </c>
      <c r="CR12" s="660">
        <f>IF(CQ12="",0,HLOOKUP(CQ12,Spec_Sheet!$F$3:$ED$19,2,FALSE))</f>
        <v>1.8</v>
      </c>
      <c r="CS12" s="660">
        <f t="shared" si="169"/>
        <v>3.2834889670256183E-2</v>
      </c>
      <c r="CT12" s="621">
        <f t="shared" si="2"/>
        <v>0.10638504253163009</v>
      </c>
      <c r="CU12" s="621">
        <f t="shared" si="3"/>
        <v>3.2834889670256183E-2</v>
      </c>
      <c r="CV12" s="621">
        <f t="shared" si="4"/>
        <v>9.2673192605331051E-2</v>
      </c>
      <c r="CW12" s="621">
        <f t="shared" si="5"/>
        <v>2.5427338560646398E-2</v>
      </c>
      <c r="CX12" s="621">
        <f t="shared" si="157"/>
        <v>2.6596260632907522E-2</v>
      </c>
      <c r="CY12" s="619">
        <f>HLOOKUP(CQ12,Spec_Sheet!$F$3:$ED$19,13,FALSE)</f>
        <v>0.05</v>
      </c>
      <c r="CZ12" s="619">
        <f>VLOOKUP(HH12,'Shaft Weight'!$A$6:$CD$102,HJ12,TRUE)</f>
        <v>0.02</v>
      </c>
      <c r="DA12" s="619">
        <f>VLOOKUP(HI12,'Shaft Weight'!$A$6:$CD$102,HJ12,0)</f>
        <v>0.05</v>
      </c>
      <c r="DB12" s="619">
        <f>HLOOKUP(CQ12,Spec_Sheet!$F$3:$ED$19,6,FALSE)</f>
        <v>2.13</v>
      </c>
      <c r="DC12" s="439">
        <f t="shared" si="6"/>
        <v>0.57645000000000013</v>
      </c>
      <c r="DD12" s="440">
        <f t="shared" si="7"/>
        <v>0.44145000000000006</v>
      </c>
      <c r="DE12" s="439">
        <f t="shared" si="8"/>
        <v>-0.30645000000000006</v>
      </c>
      <c r="DF12" s="439">
        <f t="shared" si="9"/>
        <v>0</v>
      </c>
      <c r="DG12" s="439">
        <f t="shared" si="10"/>
        <v>0</v>
      </c>
      <c r="DH12" s="439">
        <f t="shared" si="11"/>
        <v>0</v>
      </c>
      <c r="DI12" s="439">
        <f t="shared" si="12"/>
        <v>0</v>
      </c>
      <c r="DJ12" s="439">
        <f t="shared" si="13"/>
        <v>0</v>
      </c>
      <c r="DK12" s="439">
        <f t="shared" si="14"/>
        <v>0</v>
      </c>
      <c r="DL12" s="439">
        <f t="shared" si="15"/>
        <v>0</v>
      </c>
      <c r="DM12" s="439">
        <f t="shared" si="16"/>
        <v>0</v>
      </c>
      <c r="DN12" s="439">
        <f t="shared" si="17"/>
        <v>0</v>
      </c>
      <c r="DO12" s="439">
        <f t="shared" si="18"/>
        <v>0</v>
      </c>
      <c r="DP12" s="439">
        <f t="shared" si="19"/>
        <v>0</v>
      </c>
      <c r="DQ12" s="442">
        <f t="shared" si="20"/>
        <v>0</v>
      </c>
      <c r="DR12" s="442">
        <f t="shared" si="21"/>
        <v>0</v>
      </c>
      <c r="DS12" s="439">
        <f t="shared" si="22"/>
        <v>0</v>
      </c>
      <c r="DT12" s="439">
        <f t="shared" si="23"/>
        <v>0</v>
      </c>
      <c r="DU12" s="661">
        <f t="shared" si="24"/>
        <v>0</v>
      </c>
      <c r="DV12" s="661">
        <f t="shared" si="25"/>
        <v>0</v>
      </c>
      <c r="DW12" s="439">
        <f t="shared" si="26"/>
        <v>0</v>
      </c>
      <c r="DX12" s="439">
        <f t="shared" si="27"/>
        <v>0</v>
      </c>
      <c r="DY12" s="439">
        <f t="shared" si="28"/>
        <v>0</v>
      </c>
      <c r="DZ12" s="439">
        <f t="shared" si="29"/>
        <v>0</v>
      </c>
      <c r="EA12" s="631" t="s">
        <v>92</v>
      </c>
      <c r="EB12" s="631">
        <f t="shared" si="151"/>
        <v>5.8710096048506126E-2</v>
      </c>
      <c r="ED12" s="439">
        <f t="shared" si="31"/>
        <v>0.56364000000000014</v>
      </c>
      <c r="EE12" s="440">
        <f t="shared" si="32"/>
        <v>0.43164000000000008</v>
      </c>
      <c r="EF12" s="439">
        <f t="shared" si="33"/>
        <v>-0.29964000000000007</v>
      </c>
      <c r="EG12" s="441">
        <f t="shared" si="34"/>
        <v>0</v>
      </c>
      <c r="EH12" s="439">
        <f t="shared" si="35"/>
        <v>0</v>
      </c>
      <c r="EI12" s="439">
        <f t="shared" si="36"/>
        <v>0</v>
      </c>
      <c r="EJ12" s="439">
        <f t="shared" si="37"/>
        <v>0</v>
      </c>
      <c r="EK12" s="439">
        <f t="shared" si="38"/>
        <v>0</v>
      </c>
      <c r="EL12" s="439">
        <f t="shared" si="39"/>
        <v>0</v>
      </c>
      <c r="EM12" s="439">
        <f t="shared" si="40"/>
        <v>0</v>
      </c>
      <c r="EN12" s="439">
        <f t="shared" si="41"/>
        <v>0</v>
      </c>
      <c r="EO12" s="439">
        <f t="shared" si="42"/>
        <v>0</v>
      </c>
      <c r="EP12" s="439">
        <f t="shared" si="43"/>
        <v>0</v>
      </c>
      <c r="EQ12" s="439">
        <f t="shared" si="44"/>
        <v>0</v>
      </c>
      <c r="ER12" s="442">
        <f t="shared" si="45"/>
        <v>0</v>
      </c>
      <c r="ES12" s="442">
        <f t="shared" si="46"/>
        <v>0</v>
      </c>
      <c r="ET12" s="439">
        <f t="shared" si="47"/>
        <v>0</v>
      </c>
      <c r="EU12" s="439">
        <f t="shared" si="48"/>
        <v>0</v>
      </c>
      <c r="EV12" s="661">
        <f t="shared" si="49"/>
        <v>0</v>
      </c>
      <c r="EW12" s="661">
        <f t="shared" si="50"/>
        <v>0</v>
      </c>
      <c r="EX12" s="439">
        <f t="shared" si="51"/>
        <v>0</v>
      </c>
      <c r="EY12" s="439">
        <f t="shared" si="52"/>
        <v>0</v>
      </c>
      <c r="EZ12" s="439">
        <f t="shared" si="53"/>
        <v>0</v>
      </c>
      <c r="FA12" s="439">
        <f t="shared" si="54"/>
        <v>0</v>
      </c>
      <c r="FB12" s="631" t="s">
        <v>92</v>
      </c>
      <c r="FC12" s="631">
        <f t="shared" si="152"/>
        <v>5.7405427247428212E-2</v>
      </c>
      <c r="FE12" s="439">
        <f t="shared" si="56"/>
        <v>0.53802000000000005</v>
      </c>
      <c r="FF12" s="440">
        <f t="shared" si="57"/>
        <v>0.41202000000000005</v>
      </c>
      <c r="FG12" s="439">
        <f t="shared" si="58"/>
        <v>-0.28602000000000005</v>
      </c>
      <c r="FH12" s="441">
        <f t="shared" si="59"/>
        <v>0</v>
      </c>
      <c r="FI12" s="439">
        <f t="shared" si="60"/>
        <v>0</v>
      </c>
      <c r="FJ12" s="439">
        <f t="shared" si="61"/>
        <v>0</v>
      </c>
      <c r="FK12" s="439">
        <f t="shared" si="62"/>
        <v>0</v>
      </c>
      <c r="FL12" s="439">
        <f t="shared" si="63"/>
        <v>0</v>
      </c>
      <c r="FM12" s="439">
        <f t="shared" si="64"/>
        <v>0</v>
      </c>
      <c r="FN12" s="439">
        <f t="shared" si="65"/>
        <v>0</v>
      </c>
      <c r="FO12" s="439">
        <f t="shared" si="66"/>
        <v>0</v>
      </c>
      <c r="FP12" s="439">
        <f t="shared" si="67"/>
        <v>0</v>
      </c>
      <c r="FQ12" s="439">
        <f t="shared" si="68"/>
        <v>0</v>
      </c>
      <c r="FR12" s="439">
        <f t="shared" si="69"/>
        <v>0</v>
      </c>
      <c r="FS12" s="442">
        <f t="shared" si="70"/>
        <v>0</v>
      </c>
      <c r="FT12" s="442">
        <f t="shared" si="71"/>
        <v>0</v>
      </c>
      <c r="FU12" s="439">
        <f t="shared" si="72"/>
        <v>0</v>
      </c>
      <c r="FV12" s="439">
        <f t="shared" si="73"/>
        <v>0</v>
      </c>
      <c r="FW12" s="661">
        <f t="shared" si="74"/>
        <v>0</v>
      </c>
      <c r="FX12" s="661">
        <f t="shared" si="75"/>
        <v>0</v>
      </c>
      <c r="FY12" s="439">
        <f t="shared" si="76"/>
        <v>0</v>
      </c>
      <c r="FZ12" s="439">
        <f t="shared" si="77"/>
        <v>0</v>
      </c>
      <c r="GA12" s="439">
        <f t="shared" si="78"/>
        <v>0</v>
      </c>
      <c r="GB12" s="439">
        <f t="shared" si="79"/>
        <v>0</v>
      </c>
      <c r="GC12" s="631" t="s">
        <v>92</v>
      </c>
      <c r="GD12" s="631">
        <f t="shared" si="153"/>
        <v>5.4796089645272376E-2</v>
      </c>
      <c r="GF12" s="439">
        <f t="shared" si="81"/>
        <v>0.57645000000000013</v>
      </c>
      <c r="GG12" s="440">
        <f t="shared" si="82"/>
        <v>0.44145000000000006</v>
      </c>
      <c r="GH12" s="439">
        <f t="shared" si="83"/>
        <v>-0.30645000000000006</v>
      </c>
      <c r="GI12" s="439">
        <f t="shared" si="84"/>
        <v>0</v>
      </c>
      <c r="GJ12" s="439">
        <f t="shared" si="85"/>
        <v>0</v>
      </c>
      <c r="GK12" s="439">
        <f t="shared" si="86"/>
        <v>0</v>
      </c>
      <c r="GL12" s="439">
        <f t="shared" si="87"/>
        <v>0</v>
      </c>
      <c r="GM12" s="439">
        <f t="shared" si="88"/>
        <v>0</v>
      </c>
      <c r="GN12" s="439">
        <f t="shared" si="89"/>
        <v>0</v>
      </c>
      <c r="GO12" s="439">
        <f t="shared" si="90"/>
        <v>0</v>
      </c>
      <c r="GP12" s="439">
        <f t="shared" si="91"/>
        <v>0</v>
      </c>
      <c r="GQ12" s="439">
        <f t="shared" si="92"/>
        <v>0</v>
      </c>
      <c r="GR12" s="439">
        <f t="shared" si="93"/>
        <v>0</v>
      </c>
      <c r="GS12" s="439">
        <f t="shared" si="94"/>
        <v>0</v>
      </c>
      <c r="GT12" s="442">
        <f t="shared" si="95"/>
        <v>0</v>
      </c>
      <c r="GU12" s="442">
        <f t="shared" si="96"/>
        <v>0</v>
      </c>
      <c r="GV12" s="439">
        <f t="shared" si="97"/>
        <v>0</v>
      </c>
      <c r="GW12" s="439">
        <f t="shared" si="98"/>
        <v>0</v>
      </c>
      <c r="GX12" s="661">
        <f t="shared" si="99"/>
        <v>0</v>
      </c>
      <c r="GY12" s="661">
        <f t="shared" si="100"/>
        <v>0</v>
      </c>
      <c r="GZ12" s="439">
        <f t="shared" si="101"/>
        <v>0</v>
      </c>
      <c r="HA12" s="439">
        <f t="shared" si="102"/>
        <v>0</v>
      </c>
      <c r="HB12" s="439">
        <f t="shared" si="103"/>
        <v>0</v>
      </c>
      <c r="HC12" s="439">
        <f t="shared" si="104"/>
        <v>0</v>
      </c>
      <c r="HD12" s="631" t="s">
        <v>92</v>
      </c>
      <c r="HE12" s="631">
        <f t="shared" si="105"/>
        <v>5.8710096048506126E-2</v>
      </c>
      <c r="HG12" s="618">
        <f>HLOOKUP(CQ12,Spec_Sheet!$F$3:$DV$19,11,FALSE)+HLOOKUP(CQ12,Spec_Sheet!$F$3:$DV$21,19,FALSE)</f>
        <v>45</v>
      </c>
      <c r="HH12" s="618">
        <f t="shared" si="154"/>
        <v>25</v>
      </c>
      <c r="HI12" s="634">
        <f t="shared" si="155"/>
        <v>100</v>
      </c>
      <c r="HJ12" s="634">
        <f>HLOOKUP(IF(LEN(CQ12)&gt;6,LEFT(CQ12,5),CQ12),'LSM List Pricing'!$B$1:$BW$2,2,0)</f>
        <v>36</v>
      </c>
      <c r="HK12" s="634">
        <f>HLOOKUP(HJ12,'LSM List Pricing'!$B$2:$BW$3,2)</f>
        <v>340</v>
      </c>
      <c r="HL12" s="634">
        <f>VLOOKUP(HH12,'LSM List Pricing'!$A$7:$BW$87,HJ12,0)</f>
        <v>50</v>
      </c>
      <c r="HM12" s="627">
        <f>VLOOKUP(HI12,'LSM List Pricing'!$A$7:$BW$87,HJ12,1)</f>
        <v>100</v>
      </c>
      <c r="HN12" s="628">
        <f t="shared" si="106"/>
        <v>1</v>
      </c>
      <c r="HO12" s="628">
        <f t="shared" si="107"/>
        <v>2</v>
      </c>
      <c r="HP12" s="628">
        <f t="shared" si="108"/>
        <v>2</v>
      </c>
      <c r="HR12" s="618">
        <v>4.4999999999999997E-3</v>
      </c>
      <c r="HS12" s="618">
        <f t="shared" si="109"/>
        <v>30.214285714285712</v>
      </c>
      <c r="HT12" s="618">
        <f t="shared" si="110"/>
        <v>0.9999999999999245</v>
      </c>
      <c r="HU12" s="618">
        <f t="shared" si="156"/>
        <v>0.11419161955438342</v>
      </c>
      <c r="HW12" s="618">
        <f t="shared" si="111"/>
        <v>35.837847900232774</v>
      </c>
      <c r="HX12" s="618">
        <f t="shared" si="112"/>
        <v>0.11390586904756334</v>
      </c>
      <c r="HY12" s="618">
        <f t="shared" si="0"/>
        <v>4.4999999999999997E-3</v>
      </c>
      <c r="IB12" s="618">
        <f t="shared" si="113"/>
        <v>25.000350341399081</v>
      </c>
      <c r="IC12" s="618">
        <f t="shared" si="114"/>
        <v>1E-3</v>
      </c>
      <c r="IE12" s="618">
        <f t="shared" si="115"/>
        <v>0</v>
      </c>
      <c r="IF12" s="618">
        <f t="shared" si="116"/>
        <v>40.704999999999998</v>
      </c>
      <c r="IH12" s="618">
        <f t="shared" si="117"/>
        <v>0</v>
      </c>
      <c r="II12" s="618">
        <f t="shared" si="118"/>
        <v>40.704999999999998</v>
      </c>
      <c r="IK12" s="618">
        <f t="shared" si="119"/>
        <v>0</v>
      </c>
      <c r="IL12" s="618">
        <f t="shared" si="120"/>
        <v>40.704999999999998</v>
      </c>
      <c r="IN12" s="618">
        <f t="shared" si="121"/>
        <v>0</v>
      </c>
      <c r="IO12" s="618">
        <f t="shared" si="122"/>
        <v>40.704999999999998</v>
      </c>
      <c r="IQ12" s="618">
        <f t="shared" si="123"/>
        <v>0</v>
      </c>
      <c r="IR12" s="618">
        <f t="shared" si="124"/>
        <v>40.704999999999998</v>
      </c>
      <c r="IT12" s="660" t="str">
        <f t="shared" si="125"/>
        <v>S080D</v>
      </c>
      <c r="IU12" s="628"/>
      <c r="IV12" s="439">
        <f t="shared" si="126"/>
        <v>0.64050000000000007</v>
      </c>
      <c r="IW12" s="440">
        <f t="shared" si="127"/>
        <v>0.49050000000000005</v>
      </c>
      <c r="IX12" s="439">
        <f t="shared" si="128"/>
        <v>-0.34050000000000002</v>
      </c>
      <c r="IY12" s="439">
        <f t="shared" si="129"/>
        <v>0</v>
      </c>
      <c r="IZ12" s="439">
        <f t="shared" si="130"/>
        <v>0</v>
      </c>
      <c r="JA12" s="439">
        <f t="shared" si="131"/>
        <v>0</v>
      </c>
      <c r="JB12" s="439">
        <f t="shared" si="132"/>
        <v>0</v>
      </c>
      <c r="JC12" s="439">
        <f t="shared" si="133"/>
        <v>0</v>
      </c>
      <c r="JD12" s="439">
        <f t="shared" si="134"/>
        <v>0</v>
      </c>
      <c r="JE12" s="439">
        <f t="shared" si="135"/>
        <v>0</v>
      </c>
      <c r="JF12" s="439">
        <f t="shared" si="136"/>
        <v>0</v>
      </c>
      <c r="JG12" s="439">
        <f t="shared" si="137"/>
        <v>0</v>
      </c>
      <c r="JH12" s="439">
        <f t="shared" si="138"/>
        <v>0</v>
      </c>
      <c r="JI12" s="439">
        <f t="shared" si="139"/>
        <v>0</v>
      </c>
      <c r="JJ12" s="442">
        <f t="shared" si="140"/>
        <v>0</v>
      </c>
      <c r="JK12" s="442">
        <f t="shared" si="141"/>
        <v>0</v>
      </c>
      <c r="JL12" s="439">
        <f t="shared" si="142"/>
        <v>0</v>
      </c>
      <c r="JM12" s="439">
        <f t="shared" si="143"/>
        <v>0</v>
      </c>
      <c r="JN12" s="661">
        <f t="shared" si="144"/>
        <v>0</v>
      </c>
      <c r="JO12" s="661">
        <f t="shared" si="145"/>
        <v>0</v>
      </c>
      <c r="JP12" s="439">
        <f t="shared" si="146"/>
        <v>0</v>
      </c>
      <c r="JQ12" s="439">
        <f t="shared" si="147"/>
        <v>0</v>
      </c>
      <c r="JR12" s="439">
        <f t="shared" si="148"/>
        <v>0</v>
      </c>
      <c r="JS12" s="439">
        <f t="shared" si="149"/>
        <v>0</v>
      </c>
      <c r="JT12" s="631" t="s">
        <v>92</v>
      </c>
      <c r="JU12" s="631">
        <f t="shared" si="158"/>
        <v>6.5233440053895683E-2</v>
      </c>
      <c r="JW12" s="522"/>
      <c r="JX12" s="522"/>
      <c r="JY12" s="522"/>
      <c r="JZ12" s="522"/>
      <c r="KA12" s="522"/>
      <c r="KB12" s="522"/>
      <c r="KC12" s="522"/>
      <c r="KD12" s="522"/>
      <c r="KE12" s="522"/>
      <c r="KF12" s="522"/>
      <c r="KG12" s="522"/>
      <c r="KH12" s="522"/>
      <c r="KI12" s="522"/>
      <c r="KJ12" s="522"/>
      <c r="KK12" s="522"/>
      <c r="KL12" s="522"/>
    </row>
    <row r="13" spans="2:298" ht="9.9499999999999993" customHeight="1">
      <c r="B13" s="699" t="s">
        <v>670</v>
      </c>
      <c r="C13" s="700"/>
      <c r="D13" s="700"/>
      <c r="E13" s="1028" t="s">
        <v>32</v>
      </c>
      <c r="F13" s="700"/>
      <c r="G13" s="700"/>
      <c r="H13" s="700"/>
      <c r="I13" s="700"/>
      <c r="J13" s="829">
        <v>36</v>
      </c>
      <c r="K13" s="829"/>
      <c r="L13" s="830" t="s">
        <v>34</v>
      </c>
      <c r="M13" s="830"/>
      <c r="N13" s="831"/>
      <c r="O13" s="175">
        <f>J13*VLOOKUP(L13,T62:U63,2,FALSE)</f>
        <v>36</v>
      </c>
      <c r="P13" s="553" t="b">
        <v>0</v>
      </c>
      <c r="Q13" s="56"/>
      <c r="R13" s="56"/>
      <c r="S13" s="57"/>
      <c r="T13" s="57"/>
      <c r="U13" s="798" t="s">
        <v>9</v>
      </c>
      <c r="V13" s="798"/>
      <c r="W13" s="58" t="s">
        <v>3</v>
      </c>
      <c r="X13" s="56"/>
      <c r="Y13" s="101" t="s">
        <v>127</v>
      </c>
      <c r="Z13" s="102"/>
      <c r="AA13" s="101"/>
      <c r="AB13" s="101"/>
      <c r="AC13" s="768">
        <f>IF(W19&gt;0,((W19/(U14+U15))+(W19/(U16+U15)))/2*0.001,((-W19/(U14+U15))+(-W19/(U16+U15)))/2*0.001)</f>
        <v>0.3033333333333334</v>
      </c>
      <c r="AD13" s="769"/>
      <c r="AE13" s="103" t="s">
        <v>108</v>
      </c>
      <c r="AF13" s="104"/>
      <c r="AG13" s="160" t="b">
        <v>0</v>
      </c>
      <c r="AH13" s="53"/>
      <c r="AI13" s="53"/>
      <c r="AJ13" s="54"/>
      <c r="AK13" s="54"/>
      <c r="AL13" s="801" t="s">
        <v>9</v>
      </c>
      <c r="AM13" s="801"/>
      <c r="AN13" s="55" t="s">
        <v>3</v>
      </c>
      <c r="AO13" s="53"/>
      <c r="AP13" s="101" t="s">
        <v>127</v>
      </c>
      <c r="AQ13" s="102"/>
      <c r="AR13" s="101"/>
      <c r="AS13" s="101"/>
      <c r="AT13" s="768">
        <f>IF(AN19&gt;0,((AN19/(AL14+AL15))+(AN19/(AL16+AL15)))/2*0.001,((-AN19/(AL14+AL15))+(-AN19/(AL16+AL15)))/2*0.001)</f>
        <v>1</v>
      </c>
      <c r="AU13" s="769"/>
      <c r="AV13" s="103" t="s">
        <v>108</v>
      </c>
      <c r="AW13" s="554"/>
      <c r="AX13" s="283" t="s">
        <v>288</v>
      </c>
      <c r="AY13" s="716">
        <f>CD19</f>
        <v>2.1428571428571425E-2</v>
      </c>
      <c r="AZ13" s="716"/>
      <c r="BA13" s="67"/>
      <c r="BB13" s="708" t="str">
        <f t="shared" ca="1" si="168"/>
        <v>S040X</v>
      </c>
      <c r="BC13" s="709"/>
      <c r="BD13" s="710"/>
      <c r="BE13" s="342">
        <f t="shared" ca="1" si="160"/>
        <v>0.36452167809955099</v>
      </c>
      <c r="BF13" s="78">
        <f t="shared" ca="1" si="161"/>
        <v>0.10638504253163004</v>
      </c>
      <c r="BG13" s="490" t="e">
        <f t="shared" ca="1" si="162"/>
        <v>#REF!</v>
      </c>
      <c r="BH13" s="78" t="e">
        <f t="shared" ca="1" si="163"/>
        <v>#REF!</v>
      </c>
      <c r="BI13" s="617" t="e">
        <f t="shared" ca="1" si="164"/>
        <v>#REF!</v>
      </c>
      <c r="BJ13" s="528" t="e">
        <f t="shared" ca="1" si="165"/>
        <v>#REF!</v>
      </c>
      <c r="BK13" s="529" t="e">
        <f t="shared" ca="1" si="166"/>
        <v>#REF!</v>
      </c>
      <c r="BL13" s="530" t="e">
        <f t="shared" ca="1" si="167"/>
        <v>#REF!</v>
      </c>
      <c r="BM13" s="46">
        <f>COUNTBLANK(BO13)</f>
        <v>1</v>
      </c>
      <c r="BN13" s="46"/>
      <c r="BO13" s="734"/>
      <c r="BP13" s="737"/>
      <c r="BQ13" s="721" t="s">
        <v>253</v>
      </c>
      <c r="BR13" s="767"/>
      <c r="BS13" s="70" t="s">
        <v>305</v>
      </c>
      <c r="BT13" s="70"/>
      <c r="BU13" s="70"/>
      <c r="BV13" s="79"/>
      <c r="BW13" s="70"/>
      <c r="BX13" s="70"/>
      <c r="BY13" s="61"/>
      <c r="BZ13" s="61"/>
      <c r="CA13" s="61"/>
      <c r="CB13" s="61"/>
      <c r="CC13" s="61"/>
      <c r="CD13" s="179"/>
      <c r="CE13" s="179"/>
      <c r="CF13" s="83"/>
      <c r="CG13" s="83"/>
      <c r="CH13" s="166">
        <f>CH12+CD10</f>
        <v>0.05</v>
      </c>
      <c r="CI13" s="175">
        <f>CI12</f>
        <v>1400</v>
      </c>
      <c r="CJ13" s="173">
        <f>(2/3)*BN20*BN22</f>
        <v>0</v>
      </c>
      <c r="CK13" s="422" t="s">
        <v>395</v>
      </c>
      <c r="CL13" s="422"/>
      <c r="CM13" s="284"/>
      <c r="CN13" s="377"/>
      <c r="CO13" s="689" t="str">
        <f ca="1"/>
        <v>S080Q 1S</v>
      </c>
      <c r="CP13" s="632" t="str">
        <f>IF(OR(CQ13=0,CR13="",CS13&gt;120),"",IF(HLOOKUP(CQ13,Spec_Sheet!$F$3:$ED$19,17,FALSE)&lt;$AC$46,"",CQ13))</f>
        <v>S080T 1S</v>
      </c>
      <c r="CQ13" s="660" t="str">
        <f>IF(Spec_Sheet!A12="","",Spec_Sheet!A12)</f>
        <v>S080T 1S</v>
      </c>
      <c r="CR13" s="660">
        <f>IF(CQ13="",0,HLOOKUP(CQ13,Spec_Sheet!$F$3:$ED$19,2,FALSE))</f>
        <v>2.6880000000000002</v>
      </c>
      <c r="CS13" s="660">
        <f t="shared" si="169"/>
        <v>1.5925340302442494E-2</v>
      </c>
      <c r="CT13" s="621">
        <f t="shared" si="2"/>
        <v>4.9849142130130669E-2</v>
      </c>
      <c r="CU13" s="621">
        <f t="shared" si="3"/>
        <v>1.5925340302442494E-2</v>
      </c>
      <c r="CV13" s="621">
        <f t="shared" si="4"/>
        <v>4.355910387458016E-2</v>
      </c>
      <c r="CW13" s="621">
        <f t="shared" si="5"/>
        <v>1.2462285532532667E-2</v>
      </c>
      <c r="CX13" s="621">
        <f t="shared" si="157"/>
        <v>1.1926336580046623E-2</v>
      </c>
      <c r="CY13" s="619">
        <f>HLOOKUP(CQ13,Spec_Sheet!$F$3:$ED$19,13,FALSE)</f>
        <v>0.06</v>
      </c>
      <c r="CZ13" s="619">
        <f>VLOOKUP(HH13,'Shaft Weight'!$A$6:$CD$102,HJ13,TRUE)</f>
        <v>0.03</v>
      </c>
      <c r="DA13" s="619">
        <f>VLOOKUP(HI13,'Shaft Weight'!$A$6:$CD$102,HJ13,0)</f>
        <v>0.05</v>
      </c>
      <c r="DB13" s="619">
        <f>HLOOKUP(CQ13,Spec_Sheet!$F$3:$ED$19,6,FALSE)</f>
        <v>1.0666666666666667</v>
      </c>
      <c r="DC13" s="439">
        <f t="shared" si="6"/>
        <v>0.58926000000000012</v>
      </c>
      <c r="DD13" s="440">
        <f t="shared" si="7"/>
        <v>0.45126000000000011</v>
      </c>
      <c r="DE13" s="439">
        <f t="shared" si="8"/>
        <v>-0.31326000000000009</v>
      </c>
      <c r="DF13" s="439">
        <f t="shared" si="9"/>
        <v>0</v>
      </c>
      <c r="DG13" s="439">
        <f t="shared" si="10"/>
        <v>0</v>
      </c>
      <c r="DH13" s="439">
        <f t="shared" si="11"/>
        <v>0</v>
      </c>
      <c r="DI13" s="439">
        <f t="shared" si="12"/>
        <v>0</v>
      </c>
      <c r="DJ13" s="439">
        <f t="shared" si="13"/>
        <v>0</v>
      </c>
      <c r="DK13" s="439">
        <f t="shared" si="14"/>
        <v>0</v>
      </c>
      <c r="DL13" s="439">
        <f t="shared" si="15"/>
        <v>0</v>
      </c>
      <c r="DM13" s="439">
        <f t="shared" si="16"/>
        <v>0</v>
      </c>
      <c r="DN13" s="439">
        <f t="shared" si="17"/>
        <v>0</v>
      </c>
      <c r="DO13" s="439">
        <f t="shared" si="18"/>
        <v>0</v>
      </c>
      <c r="DP13" s="439">
        <f t="shared" si="19"/>
        <v>0</v>
      </c>
      <c r="DQ13" s="442">
        <f t="shared" si="20"/>
        <v>0</v>
      </c>
      <c r="DR13" s="442">
        <f t="shared" si="21"/>
        <v>0</v>
      </c>
      <c r="DS13" s="439">
        <f t="shared" si="22"/>
        <v>0</v>
      </c>
      <c r="DT13" s="439">
        <f t="shared" si="23"/>
        <v>0</v>
      </c>
      <c r="DU13" s="661">
        <f t="shared" si="24"/>
        <v>0</v>
      </c>
      <c r="DV13" s="661">
        <f t="shared" si="25"/>
        <v>0</v>
      </c>
      <c r="DW13" s="439">
        <f t="shared" si="26"/>
        <v>0</v>
      </c>
      <c r="DX13" s="439">
        <f t="shared" si="27"/>
        <v>0</v>
      </c>
      <c r="DY13" s="439">
        <f t="shared" si="28"/>
        <v>0</v>
      </c>
      <c r="DZ13" s="439">
        <f t="shared" si="29"/>
        <v>0</v>
      </c>
      <c r="EA13" s="631" t="s">
        <v>92</v>
      </c>
      <c r="EB13" s="631">
        <f t="shared" si="151"/>
        <v>6.001476484958404E-2</v>
      </c>
      <c r="ED13" s="439">
        <f t="shared" si="31"/>
        <v>0.58926000000000012</v>
      </c>
      <c r="EE13" s="440">
        <f t="shared" si="32"/>
        <v>0.45126000000000011</v>
      </c>
      <c r="EF13" s="439">
        <f t="shared" si="33"/>
        <v>-0.31326000000000009</v>
      </c>
      <c r="EG13" s="441">
        <f t="shared" si="34"/>
        <v>0</v>
      </c>
      <c r="EH13" s="439">
        <f t="shared" si="35"/>
        <v>0</v>
      </c>
      <c r="EI13" s="439">
        <f t="shared" si="36"/>
        <v>0</v>
      </c>
      <c r="EJ13" s="439">
        <f t="shared" si="37"/>
        <v>0</v>
      </c>
      <c r="EK13" s="439">
        <f t="shared" si="38"/>
        <v>0</v>
      </c>
      <c r="EL13" s="439">
        <f t="shared" si="39"/>
        <v>0</v>
      </c>
      <c r="EM13" s="439">
        <f t="shared" si="40"/>
        <v>0</v>
      </c>
      <c r="EN13" s="439">
        <f t="shared" si="41"/>
        <v>0</v>
      </c>
      <c r="EO13" s="439">
        <f t="shared" si="42"/>
        <v>0</v>
      </c>
      <c r="EP13" s="439">
        <f t="shared" si="43"/>
        <v>0</v>
      </c>
      <c r="EQ13" s="439">
        <f t="shared" si="44"/>
        <v>0</v>
      </c>
      <c r="ER13" s="442">
        <f t="shared" si="45"/>
        <v>0</v>
      </c>
      <c r="ES13" s="442">
        <f t="shared" si="46"/>
        <v>0</v>
      </c>
      <c r="ET13" s="439">
        <f t="shared" si="47"/>
        <v>0</v>
      </c>
      <c r="EU13" s="439">
        <f t="shared" si="48"/>
        <v>0</v>
      </c>
      <c r="EV13" s="661">
        <f t="shared" si="49"/>
        <v>0</v>
      </c>
      <c r="EW13" s="661">
        <f t="shared" si="50"/>
        <v>0</v>
      </c>
      <c r="EX13" s="439">
        <f t="shared" si="51"/>
        <v>0</v>
      </c>
      <c r="EY13" s="439">
        <f t="shared" si="52"/>
        <v>0</v>
      </c>
      <c r="EZ13" s="439">
        <f t="shared" si="53"/>
        <v>0</v>
      </c>
      <c r="FA13" s="439">
        <f t="shared" si="54"/>
        <v>0</v>
      </c>
      <c r="FB13" s="631" t="s">
        <v>92</v>
      </c>
      <c r="FC13" s="631">
        <f t="shared" si="152"/>
        <v>6.001476484958404E-2</v>
      </c>
      <c r="FE13" s="439">
        <f t="shared" si="56"/>
        <v>0.55083000000000015</v>
      </c>
      <c r="FF13" s="440">
        <f t="shared" si="57"/>
        <v>0.42183000000000015</v>
      </c>
      <c r="FG13" s="439">
        <f t="shared" si="58"/>
        <v>-0.29283000000000015</v>
      </c>
      <c r="FH13" s="441">
        <f t="shared" si="59"/>
        <v>0</v>
      </c>
      <c r="FI13" s="439">
        <f t="shared" si="60"/>
        <v>0</v>
      </c>
      <c r="FJ13" s="439">
        <f t="shared" si="61"/>
        <v>0</v>
      </c>
      <c r="FK13" s="439">
        <f t="shared" si="62"/>
        <v>0</v>
      </c>
      <c r="FL13" s="439">
        <f t="shared" si="63"/>
        <v>0</v>
      </c>
      <c r="FM13" s="439">
        <f t="shared" si="64"/>
        <v>0</v>
      </c>
      <c r="FN13" s="439">
        <f t="shared" si="65"/>
        <v>0</v>
      </c>
      <c r="FO13" s="439">
        <f t="shared" si="66"/>
        <v>0</v>
      </c>
      <c r="FP13" s="439">
        <f t="shared" si="67"/>
        <v>0</v>
      </c>
      <c r="FQ13" s="439">
        <f t="shared" si="68"/>
        <v>0</v>
      </c>
      <c r="FR13" s="439">
        <f t="shared" si="69"/>
        <v>0</v>
      </c>
      <c r="FS13" s="442">
        <f t="shared" si="70"/>
        <v>0</v>
      </c>
      <c r="FT13" s="442">
        <f t="shared" si="71"/>
        <v>0</v>
      </c>
      <c r="FU13" s="439">
        <f t="shared" si="72"/>
        <v>0</v>
      </c>
      <c r="FV13" s="439">
        <f t="shared" si="73"/>
        <v>0</v>
      </c>
      <c r="FW13" s="661">
        <f t="shared" si="74"/>
        <v>0</v>
      </c>
      <c r="FX13" s="661">
        <f t="shared" si="75"/>
        <v>0</v>
      </c>
      <c r="FY13" s="439">
        <f t="shared" si="76"/>
        <v>0</v>
      </c>
      <c r="FZ13" s="439">
        <f t="shared" si="77"/>
        <v>0</v>
      </c>
      <c r="GA13" s="439">
        <f t="shared" si="78"/>
        <v>0</v>
      </c>
      <c r="GB13" s="439">
        <f t="shared" si="79"/>
        <v>0</v>
      </c>
      <c r="GC13" s="631" t="s">
        <v>92</v>
      </c>
      <c r="GD13" s="631">
        <f t="shared" si="153"/>
        <v>5.6100758446350311E-2</v>
      </c>
      <c r="GF13" s="439">
        <f t="shared" si="81"/>
        <v>0.57645000000000013</v>
      </c>
      <c r="GG13" s="440">
        <f t="shared" si="82"/>
        <v>0.44145000000000006</v>
      </c>
      <c r="GH13" s="439">
        <f t="shared" si="83"/>
        <v>-0.30645000000000006</v>
      </c>
      <c r="GI13" s="439">
        <f t="shared" si="84"/>
        <v>0</v>
      </c>
      <c r="GJ13" s="439">
        <f t="shared" si="85"/>
        <v>0</v>
      </c>
      <c r="GK13" s="439">
        <f t="shared" si="86"/>
        <v>0</v>
      </c>
      <c r="GL13" s="439">
        <f t="shared" si="87"/>
        <v>0</v>
      </c>
      <c r="GM13" s="439">
        <f t="shared" si="88"/>
        <v>0</v>
      </c>
      <c r="GN13" s="439">
        <f t="shared" si="89"/>
        <v>0</v>
      </c>
      <c r="GO13" s="439">
        <f t="shared" si="90"/>
        <v>0</v>
      </c>
      <c r="GP13" s="439">
        <f t="shared" si="91"/>
        <v>0</v>
      </c>
      <c r="GQ13" s="439">
        <f t="shared" si="92"/>
        <v>0</v>
      </c>
      <c r="GR13" s="439">
        <f t="shared" si="93"/>
        <v>0</v>
      </c>
      <c r="GS13" s="439">
        <f t="shared" si="94"/>
        <v>0</v>
      </c>
      <c r="GT13" s="442">
        <f t="shared" si="95"/>
        <v>0</v>
      </c>
      <c r="GU13" s="442">
        <f t="shared" si="96"/>
        <v>0</v>
      </c>
      <c r="GV13" s="439">
        <f t="shared" si="97"/>
        <v>0</v>
      </c>
      <c r="GW13" s="439">
        <f t="shared" si="98"/>
        <v>0</v>
      </c>
      <c r="GX13" s="661">
        <f t="shared" si="99"/>
        <v>0</v>
      </c>
      <c r="GY13" s="661">
        <f t="shared" si="100"/>
        <v>0</v>
      </c>
      <c r="GZ13" s="439">
        <f t="shared" si="101"/>
        <v>0</v>
      </c>
      <c r="HA13" s="439">
        <f t="shared" si="102"/>
        <v>0</v>
      </c>
      <c r="HB13" s="439">
        <f t="shared" si="103"/>
        <v>0</v>
      </c>
      <c r="HC13" s="439">
        <f t="shared" si="104"/>
        <v>0</v>
      </c>
      <c r="HD13" s="631" t="s">
        <v>92</v>
      </c>
      <c r="HE13" s="631">
        <f t="shared" si="105"/>
        <v>5.8710096048506126E-2</v>
      </c>
      <c r="HG13" s="618">
        <f>HLOOKUP(CQ13,Spec_Sheet!$F$3:$DV$19,11,FALSE)+HLOOKUP(CQ13,Spec_Sheet!$F$3:$DV$21,19,FALSE)</f>
        <v>60</v>
      </c>
      <c r="HH13" s="618">
        <f t="shared" si="154"/>
        <v>25</v>
      </c>
      <c r="HI13" s="634">
        <f t="shared" si="155"/>
        <v>100</v>
      </c>
      <c r="HJ13" s="634">
        <f>HLOOKUP(IF(LEN(CQ13)&gt;6,LEFT(CQ13,5),CQ13),'LSM List Pricing'!$B$1:$BW$2,2,0)</f>
        <v>37</v>
      </c>
      <c r="HK13" s="634">
        <f>HLOOKUP(HJ13,'LSM List Pricing'!$B$2:$BW$3,2)</f>
        <v>420</v>
      </c>
      <c r="HL13" s="634">
        <f>VLOOKUP(HH13,'LSM List Pricing'!$A$7:$BW$87,HJ13,0)</f>
        <v>60</v>
      </c>
      <c r="HM13" s="627">
        <f>VLOOKUP(HI13,'LSM List Pricing'!$A$7:$BW$87,HJ13,1)</f>
        <v>110</v>
      </c>
      <c r="HN13" s="628">
        <f t="shared" si="106"/>
        <v>1.2307692307692308</v>
      </c>
      <c r="HO13" s="628">
        <f t="shared" si="107"/>
        <v>2.4615384615384617</v>
      </c>
      <c r="HP13" s="628">
        <f t="shared" si="108"/>
        <v>2.4358974358974357</v>
      </c>
      <c r="HR13" s="618">
        <v>5.0000000000000001E-3</v>
      </c>
      <c r="HS13" s="618">
        <f t="shared" si="109"/>
        <v>33.571428571428569</v>
      </c>
      <c r="HT13" s="618">
        <f t="shared" si="110"/>
        <v>0.99999999999999734</v>
      </c>
      <c r="HU13" s="618">
        <f t="shared" si="156"/>
        <v>0.12693066352800819</v>
      </c>
      <c r="HW13" s="618">
        <f t="shared" si="111"/>
        <v>35.819758457790229</v>
      </c>
      <c r="HX13" s="618">
        <f t="shared" si="112"/>
        <v>0.12658113232863022</v>
      </c>
      <c r="HY13" s="618">
        <f t="shared" si="0"/>
        <v>5.0000000000000001E-3</v>
      </c>
      <c r="IB13" s="618">
        <f t="shared" si="113"/>
        <v>25.000350341399081</v>
      </c>
      <c r="IC13" s="618">
        <f t="shared" si="114"/>
        <v>1E-3</v>
      </c>
      <c r="IE13" s="618">
        <f t="shared" si="115"/>
        <v>0</v>
      </c>
      <c r="IF13" s="618">
        <f t="shared" si="116"/>
        <v>40.704999999999998</v>
      </c>
      <c r="IH13" s="618">
        <f t="shared" si="117"/>
        <v>0</v>
      </c>
      <c r="II13" s="618">
        <f t="shared" si="118"/>
        <v>40.704999999999998</v>
      </c>
      <c r="IK13" s="618">
        <f t="shared" si="119"/>
        <v>0</v>
      </c>
      <c r="IL13" s="618">
        <f t="shared" si="120"/>
        <v>40.704999999999998</v>
      </c>
      <c r="IN13" s="618">
        <f t="shared" si="121"/>
        <v>0</v>
      </c>
      <c r="IO13" s="618">
        <f t="shared" si="122"/>
        <v>40.704999999999998</v>
      </c>
      <c r="IQ13" s="618">
        <f t="shared" si="123"/>
        <v>0</v>
      </c>
      <c r="IR13" s="618">
        <f t="shared" si="124"/>
        <v>40.704999999999998</v>
      </c>
      <c r="IT13" s="660" t="str">
        <f t="shared" si="125"/>
        <v>S080T 1S</v>
      </c>
      <c r="IU13" s="628"/>
      <c r="IV13" s="439">
        <f t="shared" si="126"/>
        <v>0.66612000000000005</v>
      </c>
      <c r="IW13" s="440">
        <f t="shared" si="127"/>
        <v>0.51012000000000002</v>
      </c>
      <c r="IX13" s="439">
        <f t="shared" si="128"/>
        <v>-0.35411999999999999</v>
      </c>
      <c r="IY13" s="439">
        <f t="shared" si="129"/>
        <v>0</v>
      </c>
      <c r="IZ13" s="439">
        <f t="shared" si="130"/>
        <v>0</v>
      </c>
      <c r="JA13" s="439">
        <f t="shared" si="131"/>
        <v>0</v>
      </c>
      <c r="JB13" s="439">
        <f t="shared" si="132"/>
        <v>0</v>
      </c>
      <c r="JC13" s="439">
        <f t="shared" si="133"/>
        <v>0</v>
      </c>
      <c r="JD13" s="439">
        <f t="shared" si="134"/>
        <v>0</v>
      </c>
      <c r="JE13" s="439">
        <f t="shared" si="135"/>
        <v>0</v>
      </c>
      <c r="JF13" s="439">
        <f t="shared" si="136"/>
        <v>0</v>
      </c>
      <c r="JG13" s="439">
        <f t="shared" si="137"/>
        <v>0</v>
      </c>
      <c r="JH13" s="439">
        <f t="shared" si="138"/>
        <v>0</v>
      </c>
      <c r="JI13" s="439">
        <f t="shared" si="139"/>
        <v>0</v>
      </c>
      <c r="JJ13" s="442">
        <f t="shared" si="140"/>
        <v>0</v>
      </c>
      <c r="JK13" s="442">
        <f t="shared" si="141"/>
        <v>0</v>
      </c>
      <c r="JL13" s="439">
        <f t="shared" si="142"/>
        <v>0</v>
      </c>
      <c r="JM13" s="439">
        <f t="shared" si="143"/>
        <v>0</v>
      </c>
      <c r="JN13" s="661">
        <f t="shared" si="144"/>
        <v>0</v>
      </c>
      <c r="JO13" s="661">
        <f t="shared" si="145"/>
        <v>0</v>
      </c>
      <c r="JP13" s="439">
        <f t="shared" si="146"/>
        <v>0</v>
      </c>
      <c r="JQ13" s="439">
        <f t="shared" si="147"/>
        <v>0</v>
      </c>
      <c r="JR13" s="439">
        <f t="shared" si="148"/>
        <v>0</v>
      </c>
      <c r="JS13" s="439">
        <f t="shared" si="149"/>
        <v>0</v>
      </c>
      <c r="JT13" s="631" t="s">
        <v>92</v>
      </c>
      <c r="JU13" s="631">
        <f t="shared" si="158"/>
        <v>6.7842777656051512E-2</v>
      </c>
      <c r="JW13" s="522"/>
      <c r="JX13" s="522"/>
      <c r="JY13" s="522"/>
      <c r="JZ13" s="522"/>
      <c r="KA13" s="522"/>
      <c r="KB13" s="522"/>
      <c r="KC13" s="522"/>
      <c r="KD13" s="522"/>
      <c r="KE13" s="522"/>
      <c r="KF13" s="522"/>
      <c r="KG13" s="522"/>
      <c r="KH13" s="522"/>
      <c r="KI13" s="522"/>
      <c r="KJ13" s="522"/>
      <c r="KK13" s="522"/>
      <c r="KL13" s="522"/>
    </row>
    <row r="14" spans="2:298" ht="9.9499999999999993" customHeight="1">
      <c r="B14" s="267"/>
      <c r="C14" s="267"/>
      <c r="D14" s="267"/>
      <c r="E14" s="267"/>
      <c r="F14" s="267"/>
      <c r="G14" s="267"/>
      <c r="H14" s="267"/>
      <c r="I14" s="267"/>
      <c r="J14" s="267"/>
      <c r="K14" s="267"/>
      <c r="L14" s="67"/>
      <c r="M14" s="67"/>
      <c r="N14" s="67"/>
      <c r="O14" s="515" t="b">
        <v>0</v>
      </c>
      <c r="P14" s="842" t="s">
        <v>307</v>
      </c>
      <c r="Q14" s="753"/>
      <c r="R14" s="753"/>
      <c r="S14" s="753"/>
      <c r="T14" s="753"/>
      <c r="U14" s="740">
        <v>0.6</v>
      </c>
      <c r="V14" s="740"/>
      <c r="W14" s="65" t="s">
        <v>120</v>
      </c>
      <c r="X14" s="66"/>
      <c r="Y14" s="334" t="str">
        <f>IF(U14&gt;=VLOOKUP(AC13,HX3:HY505,2,TRUE)+0.0005,"","X")</f>
        <v/>
      </c>
      <c r="Z14" s="334" t="str">
        <f>IF(U16&gt;=VLOOKUP(AC13,HX3:HY505,2,TRUE)+0.0005,"","X")</f>
        <v/>
      </c>
      <c r="AA14" s="77"/>
      <c r="AB14" s="73"/>
      <c r="AC14" s="754">
        <f>(AC13*1000)/VLOOKUP(AE14,H62:I68,2,FALSE)</f>
        <v>303.33333333333337</v>
      </c>
      <c r="AD14" s="755"/>
      <c r="AE14" s="771" t="s">
        <v>296</v>
      </c>
      <c r="AF14" s="772"/>
      <c r="AG14" s="773" t="s">
        <v>307</v>
      </c>
      <c r="AH14" s="736"/>
      <c r="AI14" s="736"/>
      <c r="AJ14" s="736"/>
      <c r="AK14" s="736"/>
      <c r="AL14" s="760">
        <v>0.05</v>
      </c>
      <c r="AM14" s="760"/>
      <c r="AN14" s="61" t="s">
        <v>120</v>
      </c>
      <c r="AO14" s="62"/>
      <c r="AP14" s="334" t="str">
        <f>IF(AL14&gt;=VLOOKUP(AT13,HX3:HY505,2,TRUE)+0.0005,"","X")</f>
        <v/>
      </c>
      <c r="AQ14" s="334" t="str">
        <f>IF(AL16&gt;=VLOOKUP(AT13,HX3:HY505,2,TRUE)+0.0005,"","X")</f>
        <v/>
      </c>
      <c r="AR14" s="77"/>
      <c r="AS14" s="73"/>
      <c r="AT14" s="754">
        <f>(AT13*1000)/VLOOKUP(AV14,H62:I68,2,FALSE)</f>
        <v>1000</v>
      </c>
      <c r="AU14" s="755"/>
      <c r="AV14" s="725" t="s">
        <v>296</v>
      </c>
      <c r="AW14" s="726"/>
      <c r="AX14" s="283" t="s">
        <v>289</v>
      </c>
      <c r="AY14" s="716">
        <f>CD20</f>
        <v>2.1428571428571425E-2</v>
      </c>
      <c r="AZ14" s="716"/>
      <c r="BA14" s="67"/>
      <c r="BB14" s="708" t="str">
        <f t="shared" ca="1" si="168"/>
        <v>S080D 1S</v>
      </c>
      <c r="BC14" s="709"/>
      <c r="BD14" s="710"/>
      <c r="BE14" s="342">
        <f t="shared" ca="1" si="160"/>
        <v>0.1076732452376534</v>
      </c>
      <c r="BF14" s="78">
        <f t="shared" ca="1" si="161"/>
        <v>3.3232483098041152E-2</v>
      </c>
      <c r="BG14" s="490">
        <f t="shared" ca="1" si="162"/>
        <v>9.3795360295911373E-2</v>
      </c>
      <c r="BH14" s="78">
        <f t="shared" ca="1" si="163"/>
        <v>2.5735234911123079E-2</v>
      </c>
      <c r="BI14" s="617">
        <f t="shared" ca="1" si="164"/>
        <v>2.6918311309413349E-2</v>
      </c>
      <c r="BJ14" s="528">
        <f t="shared" ca="1" si="165"/>
        <v>1</v>
      </c>
      <c r="BK14" s="529">
        <f t="shared" ca="1" si="166"/>
        <v>2</v>
      </c>
      <c r="BL14" s="530">
        <f t="shared" ca="1" si="167"/>
        <v>2</v>
      </c>
      <c r="BM14" s="46"/>
      <c r="BN14" s="129"/>
      <c r="BO14" s="70"/>
      <c r="BP14" s="70"/>
      <c r="BQ14" s="105"/>
      <c r="BR14" s="105"/>
      <c r="BS14" s="70"/>
      <c r="BT14" s="70"/>
      <c r="BU14" s="70"/>
      <c r="BV14" s="79"/>
      <c r="BW14" s="70"/>
      <c r="BX14" s="70"/>
      <c r="BY14" s="61"/>
      <c r="BZ14" s="61"/>
      <c r="CA14" s="61"/>
      <c r="CB14" s="61"/>
      <c r="CC14" s="61"/>
      <c r="CD14" s="179"/>
      <c r="CE14" s="179"/>
      <c r="CF14" s="83"/>
      <c r="CG14" s="83"/>
      <c r="CH14" s="165">
        <f>CH13+CD11</f>
        <v>0.1</v>
      </c>
      <c r="CI14" s="175">
        <v>0</v>
      </c>
      <c r="CJ14" s="173">
        <f>(1/4.5)*(BN21*1000)*BN22^2</f>
        <v>0</v>
      </c>
      <c r="CK14" s="422" t="s">
        <v>125</v>
      </c>
      <c r="CL14" s="422"/>
      <c r="CM14" s="284"/>
      <c r="CN14" s="377"/>
      <c r="CO14" s="689" t="str">
        <f ca="1"/>
        <v>S080Q 2S</v>
      </c>
      <c r="CP14" s="632" t="str">
        <f>IF(OR(CQ14=0,CR14="",CS14&gt;120),"",IF(HLOOKUP(CQ14,Spec_Sheet!$F$3:$ED$19,17,FALSE)&lt;$AC$46,"",CQ14))</f>
        <v>S080T</v>
      </c>
      <c r="CQ14" s="660" t="str">
        <f>IF(Spec_Sheet!A13="","",Spec_Sheet!A13)</f>
        <v>S080T</v>
      </c>
      <c r="CR14" s="660">
        <f>IF(CQ14="",0,HLOOKUP(CQ14,Spec_Sheet!$F$3:$ED$19,2,FALSE))</f>
        <v>2.7</v>
      </c>
      <c r="CS14" s="660">
        <f t="shared" si="169"/>
        <v>1.5784096296599597E-2</v>
      </c>
      <c r="CT14" s="621">
        <f t="shared" si="2"/>
        <v>4.9407023318941937E-2</v>
      </c>
      <c r="CU14" s="621">
        <f t="shared" si="3"/>
        <v>1.5784096296599597E-2</v>
      </c>
      <c r="CV14" s="621">
        <f t="shared" si="4"/>
        <v>4.3172772266882653E-2</v>
      </c>
      <c r="CW14" s="621">
        <f t="shared" si="5"/>
        <v>1.2351755829735484E-2</v>
      </c>
      <c r="CX14" s="621">
        <f t="shared" si="157"/>
        <v>1.182056028129223E-2</v>
      </c>
      <c r="CY14" s="619">
        <f>HLOOKUP(CQ14,Spec_Sheet!$F$3:$ED$19,13,FALSE)</f>
        <v>0.06</v>
      </c>
      <c r="CZ14" s="619">
        <f>VLOOKUP(HH14,'Shaft Weight'!$A$6:$CD$102,HJ14,TRUE)</f>
        <v>0.03</v>
      </c>
      <c r="DA14" s="619">
        <f>VLOOKUP(HI14,'Shaft Weight'!$A$6:$CD$102,HJ14,0)</f>
        <v>0.05</v>
      </c>
      <c r="DB14" s="619">
        <f>HLOOKUP(CQ14,Spec_Sheet!$F$3:$ED$19,6,FALSE)</f>
        <v>3.2</v>
      </c>
      <c r="DC14" s="439">
        <f t="shared" si="6"/>
        <v>0.58926000000000012</v>
      </c>
      <c r="DD14" s="440">
        <f t="shared" si="7"/>
        <v>0.45126000000000011</v>
      </c>
      <c r="DE14" s="439">
        <f t="shared" si="8"/>
        <v>-0.31326000000000009</v>
      </c>
      <c r="DF14" s="439">
        <f t="shared" si="9"/>
        <v>0</v>
      </c>
      <c r="DG14" s="439">
        <f t="shared" si="10"/>
        <v>0</v>
      </c>
      <c r="DH14" s="439">
        <f t="shared" si="11"/>
        <v>0</v>
      </c>
      <c r="DI14" s="439">
        <f t="shared" si="12"/>
        <v>0</v>
      </c>
      <c r="DJ14" s="439">
        <f t="shared" si="13"/>
        <v>0</v>
      </c>
      <c r="DK14" s="439">
        <f t="shared" si="14"/>
        <v>0</v>
      </c>
      <c r="DL14" s="439">
        <f t="shared" si="15"/>
        <v>0</v>
      </c>
      <c r="DM14" s="439">
        <f t="shared" si="16"/>
        <v>0</v>
      </c>
      <c r="DN14" s="439">
        <f t="shared" si="17"/>
        <v>0</v>
      </c>
      <c r="DO14" s="439">
        <f t="shared" si="18"/>
        <v>0</v>
      </c>
      <c r="DP14" s="439">
        <f t="shared" si="19"/>
        <v>0</v>
      </c>
      <c r="DQ14" s="442">
        <f t="shared" si="20"/>
        <v>0</v>
      </c>
      <c r="DR14" s="442">
        <f t="shared" si="21"/>
        <v>0</v>
      </c>
      <c r="DS14" s="439">
        <f t="shared" si="22"/>
        <v>0</v>
      </c>
      <c r="DT14" s="439">
        <f t="shared" si="23"/>
        <v>0</v>
      </c>
      <c r="DU14" s="661">
        <f t="shared" si="24"/>
        <v>0</v>
      </c>
      <c r="DV14" s="661">
        <f t="shared" si="25"/>
        <v>0</v>
      </c>
      <c r="DW14" s="439">
        <f t="shared" si="26"/>
        <v>0</v>
      </c>
      <c r="DX14" s="439">
        <f t="shared" si="27"/>
        <v>0</v>
      </c>
      <c r="DY14" s="439">
        <f t="shared" si="28"/>
        <v>0</v>
      </c>
      <c r="DZ14" s="439">
        <f t="shared" si="29"/>
        <v>0</v>
      </c>
      <c r="EA14" s="631" t="s">
        <v>92</v>
      </c>
      <c r="EB14" s="631">
        <f t="shared" si="151"/>
        <v>6.001476484958404E-2</v>
      </c>
      <c r="ED14" s="439">
        <f t="shared" si="31"/>
        <v>0.58926000000000012</v>
      </c>
      <c r="EE14" s="440">
        <f t="shared" si="32"/>
        <v>0.45126000000000011</v>
      </c>
      <c r="EF14" s="439">
        <f t="shared" si="33"/>
        <v>-0.31326000000000009</v>
      </c>
      <c r="EG14" s="441">
        <f t="shared" si="34"/>
        <v>0</v>
      </c>
      <c r="EH14" s="439">
        <f t="shared" si="35"/>
        <v>0</v>
      </c>
      <c r="EI14" s="439">
        <f t="shared" si="36"/>
        <v>0</v>
      </c>
      <c r="EJ14" s="439">
        <f t="shared" si="37"/>
        <v>0</v>
      </c>
      <c r="EK14" s="439">
        <f t="shared" si="38"/>
        <v>0</v>
      </c>
      <c r="EL14" s="439">
        <f t="shared" si="39"/>
        <v>0</v>
      </c>
      <c r="EM14" s="439">
        <f t="shared" si="40"/>
        <v>0</v>
      </c>
      <c r="EN14" s="439">
        <f t="shared" si="41"/>
        <v>0</v>
      </c>
      <c r="EO14" s="439">
        <f t="shared" si="42"/>
        <v>0</v>
      </c>
      <c r="EP14" s="439">
        <f t="shared" si="43"/>
        <v>0</v>
      </c>
      <c r="EQ14" s="439">
        <f t="shared" si="44"/>
        <v>0</v>
      </c>
      <c r="ER14" s="442">
        <f t="shared" si="45"/>
        <v>0</v>
      </c>
      <c r="ES14" s="442">
        <f t="shared" si="46"/>
        <v>0</v>
      </c>
      <c r="ET14" s="439">
        <f t="shared" si="47"/>
        <v>0</v>
      </c>
      <c r="EU14" s="439">
        <f t="shared" si="48"/>
        <v>0</v>
      </c>
      <c r="EV14" s="661">
        <f t="shared" si="49"/>
        <v>0</v>
      </c>
      <c r="EW14" s="661">
        <f t="shared" si="50"/>
        <v>0</v>
      </c>
      <c r="EX14" s="439">
        <f t="shared" si="51"/>
        <v>0</v>
      </c>
      <c r="EY14" s="439">
        <f t="shared" si="52"/>
        <v>0</v>
      </c>
      <c r="EZ14" s="439">
        <f t="shared" si="53"/>
        <v>0</v>
      </c>
      <c r="FA14" s="439">
        <f t="shared" si="54"/>
        <v>0</v>
      </c>
      <c r="FB14" s="631" t="s">
        <v>92</v>
      </c>
      <c r="FC14" s="631">
        <f t="shared" si="152"/>
        <v>6.001476484958404E-2</v>
      </c>
      <c r="FE14" s="439">
        <f t="shared" si="56"/>
        <v>0.55083000000000015</v>
      </c>
      <c r="FF14" s="440">
        <f t="shared" si="57"/>
        <v>0.42183000000000015</v>
      </c>
      <c r="FG14" s="439">
        <f t="shared" si="58"/>
        <v>-0.29283000000000015</v>
      </c>
      <c r="FH14" s="441">
        <f t="shared" si="59"/>
        <v>0</v>
      </c>
      <c r="FI14" s="439">
        <f t="shared" si="60"/>
        <v>0</v>
      </c>
      <c r="FJ14" s="439">
        <f t="shared" si="61"/>
        <v>0</v>
      </c>
      <c r="FK14" s="439">
        <f t="shared" si="62"/>
        <v>0</v>
      </c>
      <c r="FL14" s="439">
        <f t="shared" si="63"/>
        <v>0</v>
      </c>
      <c r="FM14" s="439">
        <f t="shared" si="64"/>
        <v>0</v>
      </c>
      <c r="FN14" s="439">
        <f t="shared" si="65"/>
        <v>0</v>
      </c>
      <c r="FO14" s="439">
        <f t="shared" si="66"/>
        <v>0</v>
      </c>
      <c r="FP14" s="439">
        <f t="shared" si="67"/>
        <v>0</v>
      </c>
      <c r="FQ14" s="439">
        <f t="shared" si="68"/>
        <v>0</v>
      </c>
      <c r="FR14" s="439">
        <f t="shared" si="69"/>
        <v>0</v>
      </c>
      <c r="FS14" s="442">
        <f t="shared" si="70"/>
        <v>0</v>
      </c>
      <c r="FT14" s="442">
        <f t="shared" si="71"/>
        <v>0</v>
      </c>
      <c r="FU14" s="439">
        <f t="shared" si="72"/>
        <v>0</v>
      </c>
      <c r="FV14" s="439">
        <f t="shared" si="73"/>
        <v>0</v>
      </c>
      <c r="FW14" s="661">
        <f t="shared" si="74"/>
        <v>0</v>
      </c>
      <c r="FX14" s="661">
        <f t="shared" si="75"/>
        <v>0</v>
      </c>
      <c r="FY14" s="439">
        <f t="shared" si="76"/>
        <v>0</v>
      </c>
      <c r="FZ14" s="439">
        <f t="shared" si="77"/>
        <v>0</v>
      </c>
      <c r="GA14" s="439">
        <f t="shared" si="78"/>
        <v>0</v>
      </c>
      <c r="GB14" s="439">
        <f t="shared" si="79"/>
        <v>0</v>
      </c>
      <c r="GC14" s="631" t="s">
        <v>92</v>
      </c>
      <c r="GD14" s="631">
        <f t="shared" si="153"/>
        <v>5.6100758446350311E-2</v>
      </c>
      <c r="GF14" s="439">
        <f t="shared" si="81"/>
        <v>0.57645000000000013</v>
      </c>
      <c r="GG14" s="440">
        <f t="shared" si="82"/>
        <v>0.44145000000000006</v>
      </c>
      <c r="GH14" s="439">
        <f t="shared" si="83"/>
        <v>-0.30645000000000006</v>
      </c>
      <c r="GI14" s="439">
        <f t="shared" si="84"/>
        <v>0</v>
      </c>
      <c r="GJ14" s="439">
        <f t="shared" si="85"/>
        <v>0</v>
      </c>
      <c r="GK14" s="439">
        <f t="shared" si="86"/>
        <v>0</v>
      </c>
      <c r="GL14" s="439">
        <f t="shared" si="87"/>
        <v>0</v>
      </c>
      <c r="GM14" s="439">
        <f t="shared" si="88"/>
        <v>0</v>
      </c>
      <c r="GN14" s="439">
        <f t="shared" si="89"/>
        <v>0</v>
      </c>
      <c r="GO14" s="439">
        <f t="shared" si="90"/>
        <v>0</v>
      </c>
      <c r="GP14" s="439">
        <f t="shared" si="91"/>
        <v>0</v>
      </c>
      <c r="GQ14" s="439">
        <f t="shared" si="92"/>
        <v>0</v>
      </c>
      <c r="GR14" s="439">
        <f t="shared" si="93"/>
        <v>0</v>
      </c>
      <c r="GS14" s="439">
        <f t="shared" si="94"/>
        <v>0</v>
      </c>
      <c r="GT14" s="442">
        <f t="shared" si="95"/>
        <v>0</v>
      </c>
      <c r="GU14" s="442">
        <f t="shared" si="96"/>
        <v>0</v>
      </c>
      <c r="GV14" s="439">
        <f t="shared" si="97"/>
        <v>0</v>
      </c>
      <c r="GW14" s="439">
        <f t="shared" si="98"/>
        <v>0</v>
      </c>
      <c r="GX14" s="661">
        <f t="shared" si="99"/>
        <v>0</v>
      </c>
      <c r="GY14" s="661">
        <f t="shared" si="100"/>
        <v>0</v>
      </c>
      <c r="GZ14" s="439">
        <f t="shared" si="101"/>
        <v>0</v>
      </c>
      <c r="HA14" s="439">
        <f t="shared" si="102"/>
        <v>0</v>
      </c>
      <c r="HB14" s="439">
        <f t="shared" si="103"/>
        <v>0</v>
      </c>
      <c r="HC14" s="439">
        <f t="shared" si="104"/>
        <v>0</v>
      </c>
      <c r="HD14" s="631" t="s">
        <v>92</v>
      </c>
      <c r="HE14" s="631">
        <f t="shared" si="105"/>
        <v>5.8710096048506126E-2</v>
      </c>
      <c r="HG14" s="618">
        <f>HLOOKUP(CQ14,Spec_Sheet!$F$3:$DV$19,11,FALSE)+HLOOKUP(CQ14,Spec_Sheet!$F$3:$DV$21,19,FALSE)</f>
        <v>60</v>
      </c>
      <c r="HH14" s="618">
        <f t="shared" si="154"/>
        <v>25</v>
      </c>
      <c r="HI14" s="634">
        <f t="shared" si="155"/>
        <v>100</v>
      </c>
      <c r="HJ14" s="634">
        <f>HLOOKUP(IF(LEN(CQ14)&gt;6,LEFT(CQ14,5),CQ14),'LSM List Pricing'!$B$1:$BW$2,2,0)</f>
        <v>37</v>
      </c>
      <c r="HK14" s="634">
        <f>HLOOKUP(HJ14,'LSM List Pricing'!$B$2:$BW$3,2)</f>
        <v>420</v>
      </c>
      <c r="HL14" s="634">
        <f>VLOOKUP(HH14,'LSM List Pricing'!$A$7:$BW$87,HJ14,0)</f>
        <v>60</v>
      </c>
      <c r="HM14" s="627">
        <f>VLOOKUP(HI14,'LSM List Pricing'!$A$7:$BW$87,HJ14,1)</f>
        <v>110</v>
      </c>
      <c r="HN14" s="628">
        <f t="shared" si="106"/>
        <v>1.2307692307692308</v>
      </c>
      <c r="HO14" s="628">
        <f t="shared" si="107"/>
        <v>2.4615384615384617</v>
      </c>
      <c r="HP14" s="628">
        <f t="shared" si="108"/>
        <v>2.4358974358974357</v>
      </c>
      <c r="HR14" s="618">
        <v>5.4999999999999997E-3</v>
      </c>
      <c r="HS14" s="618">
        <f t="shared" si="109"/>
        <v>36.928571428571423</v>
      </c>
      <c r="HT14" s="618">
        <f t="shared" si="110"/>
        <v>0.99999999999999989</v>
      </c>
      <c r="HU14" s="618">
        <f t="shared" si="156"/>
        <v>0.13966970750163299</v>
      </c>
      <c r="HW14" s="618">
        <f t="shared" si="111"/>
        <v>35.801669015347684</v>
      </c>
      <c r="HX14" s="618">
        <f t="shared" si="112"/>
        <v>0.13924999443739894</v>
      </c>
      <c r="HY14" s="618">
        <f t="shared" si="0"/>
        <v>5.4999999999999997E-3</v>
      </c>
      <c r="IB14" s="618">
        <f t="shared" si="113"/>
        <v>25.000350341399081</v>
      </c>
      <c r="IC14" s="618">
        <f t="shared" si="114"/>
        <v>1E-3</v>
      </c>
      <c r="IE14" s="618">
        <f t="shared" si="115"/>
        <v>0</v>
      </c>
      <c r="IF14" s="618">
        <f t="shared" si="116"/>
        <v>40.704999999999998</v>
      </c>
      <c r="IH14" s="618">
        <f t="shared" si="117"/>
        <v>0</v>
      </c>
      <c r="II14" s="618">
        <f t="shared" si="118"/>
        <v>40.704999999999998</v>
      </c>
      <c r="IK14" s="618">
        <f t="shared" si="119"/>
        <v>0</v>
      </c>
      <c r="IL14" s="618">
        <f t="shared" si="120"/>
        <v>40.704999999999998</v>
      </c>
      <c r="IN14" s="618">
        <f t="shared" si="121"/>
        <v>0</v>
      </c>
      <c r="IO14" s="618">
        <f t="shared" si="122"/>
        <v>40.704999999999998</v>
      </c>
      <c r="IQ14" s="618">
        <f t="shared" si="123"/>
        <v>0</v>
      </c>
      <c r="IR14" s="618">
        <f t="shared" si="124"/>
        <v>40.704999999999998</v>
      </c>
      <c r="IT14" s="660" t="str">
        <f t="shared" si="125"/>
        <v>S080T</v>
      </c>
      <c r="IU14" s="628"/>
      <c r="IV14" s="439">
        <f t="shared" si="126"/>
        <v>0.66612000000000005</v>
      </c>
      <c r="IW14" s="440">
        <f t="shared" si="127"/>
        <v>0.51012000000000002</v>
      </c>
      <c r="IX14" s="439">
        <f t="shared" si="128"/>
        <v>-0.35411999999999999</v>
      </c>
      <c r="IY14" s="439">
        <f t="shared" si="129"/>
        <v>0</v>
      </c>
      <c r="IZ14" s="439">
        <f t="shared" si="130"/>
        <v>0</v>
      </c>
      <c r="JA14" s="439">
        <f t="shared" si="131"/>
        <v>0</v>
      </c>
      <c r="JB14" s="439">
        <f t="shared" si="132"/>
        <v>0</v>
      </c>
      <c r="JC14" s="439">
        <f t="shared" si="133"/>
        <v>0</v>
      </c>
      <c r="JD14" s="439">
        <f t="shared" si="134"/>
        <v>0</v>
      </c>
      <c r="JE14" s="439">
        <f t="shared" si="135"/>
        <v>0</v>
      </c>
      <c r="JF14" s="439">
        <f t="shared" si="136"/>
        <v>0</v>
      </c>
      <c r="JG14" s="439">
        <f t="shared" si="137"/>
        <v>0</v>
      </c>
      <c r="JH14" s="439">
        <f t="shared" si="138"/>
        <v>0</v>
      </c>
      <c r="JI14" s="439">
        <f t="shared" si="139"/>
        <v>0</v>
      </c>
      <c r="JJ14" s="442">
        <f t="shared" si="140"/>
        <v>0</v>
      </c>
      <c r="JK14" s="442">
        <f t="shared" si="141"/>
        <v>0</v>
      </c>
      <c r="JL14" s="439">
        <f t="shared" si="142"/>
        <v>0</v>
      </c>
      <c r="JM14" s="439">
        <f t="shared" si="143"/>
        <v>0</v>
      </c>
      <c r="JN14" s="661">
        <f t="shared" si="144"/>
        <v>0</v>
      </c>
      <c r="JO14" s="661">
        <f t="shared" si="145"/>
        <v>0</v>
      </c>
      <c r="JP14" s="439">
        <f t="shared" si="146"/>
        <v>0</v>
      </c>
      <c r="JQ14" s="439">
        <f t="shared" si="147"/>
        <v>0</v>
      </c>
      <c r="JR14" s="439">
        <f t="shared" si="148"/>
        <v>0</v>
      </c>
      <c r="JS14" s="439">
        <f t="shared" si="149"/>
        <v>0</v>
      </c>
      <c r="JT14" s="631" t="s">
        <v>92</v>
      </c>
      <c r="JU14" s="631">
        <f t="shared" si="158"/>
        <v>6.7842777656051512E-2</v>
      </c>
      <c r="JW14" s="522"/>
      <c r="JX14" s="522"/>
      <c r="JY14" s="522"/>
      <c r="JZ14" s="522"/>
      <c r="KA14" s="522"/>
      <c r="KB14" s="522"/>
      <c r="KC14" s="522"/>
      <c r="KD14" s="522"/>
      <c r="KE14" s="522"/>
      <c r="KF14" s="522"/>
      <c r="KG14" s="522"/>
      <c r="KH14" s="522"/>
      <c r="KI14" s="522"/>
      <c r="KJ14" s="522"/>
      <c r="KK14" s="522"/>
      <c r="KL14" s="522"/>
    </row>
    <row r="15" spans="2:298" ht="9.9499999999999993" customHeight="1">
      <c r="B15" s="850" t="s">
        <v>27</v>
      </c>
      <c r="C15" s="851"/>
      <c r="D15" s="851"/>
      <c r="E15" s="851"/>
      <c r="F15" s="851"/>
      <c r="G15" s="851"/>
      <c r="H15" s="851"/>
      <c r="I15" s="851"/>
      <c r="J15" s="851"/>
      <c r="K15" s="268" t="s">
        <v>28</v>
      </c>
      <c r="L15" s="267"/>
      <c r="M15" s="67"/>
      <c r="N15" s="67"/>
      <c r="O15" s="284"/>
      <c r="P15" s="842" t="s">
        <v>18</v>
      </c>
      <c r="Q15" s="753"/>
      <c r="R15" s="753"/>
      <c r="S15" s="753"/>
      <c r="T15" s="753"/>
      <c r="U15" s="740"/>
      <c r="V15" s="740"/>
      <c r="W15" s="65" t="s">
        <v>120</v>
      </c>
      <c r="X15" s="66"/>
      <c r="Y15" s="87" t="s">
        <v>129</v>
      </c>
      <c r="Z15" s="106"/>
      <c r="AA15" s="48"/>
      <c r="AB15" s="48"/>
      <c r="AC15" s="728">
        <f>AC13/U14</f>
        <v>0.50555555555555565</v>
      </c>
      <c r="AD15" s="729">
        <v>1.4</v>
      </c>
      <c r="AE15" s="88" t="s">
        <v>126</v>
      </c>
      <c r="AF15" s="48"/>
      <c r="AG15" s="773" t="s">
        <v>18</v>
      </c>
      <c r="AH15" s="736"/>
      <c r="AI15" s="736"/>
      <c r="AJ15" s="736"/>
      <c r="AK15" s="736"/>
      <c r="AL15" s="760">
        <v>0.05</v>
      </c>
      <c r="AM15" s="760"/>
      <c r="AN15" s="61" t="s">
        <v>120</v>
      </c>
      <c r="AO15" s="62"/>
      <c r="AP15" s="85" t="s">
        <v>129</v>
      </c>
      <c r="AQ15" s="107"/>
      <c r="AR15" s="63"/>
      <c r="AS15" s="63"/>
      <c r="AT15" s="748">
        <f>AT13/AL14</f>
        <v>20</v>
      </c>
      <c r="AU15" s="749">
        <v>1.4</v>
      </c>
      <c r="AV15" s="86" t="s">
        <v>126</v>
      </c>
      <c r="AW15" s="555"/>
      <c r="AX15" s="283" t="s">
        <v>290</v>
      </c>
      <c r="AY15" s="716">
        <f>CD21</f>
        <v>2.1428571428571425E-2</v>
      </c>
      <c r="AZ15" s="716"/>
      <c r="BA15" s="48"/>
      <c r="BB15" s="708" t="str">
        <f t="shared" ca="1" si="168"/>
        <v>S080D</v>
      </c>
      <c r="BC15" s="709"/>
      <c r="BD15" s="710"/>
      <c r="BE15" s="342">
        <f t="shared" ca="1" si="160"/>
        <v>0.10638504253163009</v>
      </c>
      <c r="BF15" s="78">
        <f t="shared" ca="1" si="161"/>
        <v>3.2834889670256183E-2</v>
      </c>
      <c r="BG15" s="490">
        <f t="shared" ca="1" si="162"/>
        <v>9.2673192605331051E-2</v>
      </c>
      <c r="BH15" s="78">
        <f t="shared" ca="1" si="163"/>
        <v>2.5427338560646398E-2</v>
      </c>
      <c r="BI15" s="617">
        <f t="shared" ca="1" si="164"/>
        <v>2.6596260632907522E-2</v>
      </c>
      <c r="BJ15" s="528">
        <f t="shared" ca="1" si="165"/>
        <v>1</v>
      </c>
      <c r="BK15" s="529">
        <f t="shared" ca="1" si="166"/>
        <v>2</v>
      </c>
      <c r="BL15" s="530">
        <f t="shared" ca="1" si="167"/>
        <v>2</v>
      </c>
      <c r="BM15" s="44"/>
      <c r="BN15" s="70"/>
      <c r="BO15" s="70"/>
      <c r="BP15" s="70"/>
      <c r="BQ15" s="70"/>
      <c r="BR15" s="70"/>
      <c r="BS15" s="70"/>
      <c r="BT15" s="70"/>
      <c r="BU15" s="70"/>
      <c r="BV15" s="70"/>
      <c r="BW15" s="70"/>
      <c r="BX15" s="70"/>
      <c r="BY15" s="44"/>
      <c r="BZ15" s="44"/>
      <c r="CA15" s="44"/>
      <c r="CB15" s="44"/>
      <c r="CC15" s="44"/>
      <c r="CD15" s="108"/>
      <c r="CE15" s="108"/>
      <c r="CF15" s="109"/>
      <c r="CG15" s="109"/>
      <c r="CH15" s="167"/>
      <c r="CI15" s="100"/>
      <c r="CJ15" s="422"/>
      <c r="CK15" s="422"/>
      <c r="CL15" s="422"/>
      <c r="CM15" s="284"/>
      <c r="CN15" s="377"/>
      <c r="CO15" s="689" t="str">
        <f ca="1"/>
        <v>S120D 1S</v>
      </c>
      <c r="CP15" s="632" t="str">
        <f>IF(OR(CQ15=0,CR15="",CS15&gt;120),"",IF(HLOOKUP(CQ15,Spec_Sheet!$F$3:$ED$19,17,FALSE)&lt;$AC$46,"",CQ15))</f>
        <v>S080Q</v>
      </c>
      <c r="CQ15" s="660" t="str">
        <f>IF(Spec_Sheet!A14="","",Spec_Sheet!A14)</f>
        <v>S080Q</v>
      </c>
      <c r="CR15" s="660">
        <f>IF(CQ15="",0,HLOOKUP(CQ15,Spec_Sheet!$F$3:$ED$19,2,FALSE))</f>
        <v>3.5</v>
      </c>
      <c r="CS15" s="660">
        <f t="shared" si="169"/>
        <v>1.0893828355238918E-2</v>
      </c>
      <c r="CT15" s="621">
        <f t="shared" si="2"/>
        <v>3.2014515982742957E-2</v>
      </c>
      <c r="CU15" s="621">
        <f t="shared" si="3"/>
        <v>1.0893828355238918E-2</v>
      </c>
      <c r="CV15" s="621">
        <f t="shared" si="4"/>
        <v>2.5692204883720374E-2</v>
      </c>
      <c r="CW15" s="621">
        <f t="shared" si="5"/>
        <v>7.3505551019405488E-3</v>
      </c>
      <c r="CX15" s="621">
        <f t="shared" si="157"/>
        <v>7.3505551019405488E-3</v>
      </c>
      <c r="CY15" s="619">
        <f>HLOOKUP(CQ15,Spec_Sheet!$F$3:$ED$19,13,FALSE)</f>
        <v>0.08</v>
      </c>
      <c r="CZ15" s="619">
        <f>VLOOKUP(HH15,'Shaft Weight'!$A$6:$CD$102,HJ15,TRUE)</f>
        <v>0.03</v>
      </c>
      <c r="DA15" s="619">
        <f>VLOOKUP(HI15,'Shaft Weight'!$A$6:$CD$102,HJ15,0)</f>
        <v>0.06</v>
      </c>
      <c r="DB15" s="619">
        <f>HLOOKUP(CQ15,Spec_Sheet!$F$3:$ED$19,6,FALSE)</f>
        <v>4.17</v>
      </c>
      <c r="DC15" s="439">
        <f t="shared" si="6"/>
        <v>0.61488000000000009</v>
      </c>
      <c r="DD15" s="440">
        <f t="shared" si="7"/>
        <v>0.47088000000000013</v>
      </c>
      <c r="DE15" s="439">
        <f t="shared" si="8"/>
        <v>-0.32688000000000011</v>
      </c>
      <c r="DF15" s="439">
        <f t="shared" si="9"/>
        <v>0</v>
      </c>
      <c r="DG15" s="439">
        <f t="shared" si="10"/>
        <v>0</v>
      </c>
      <c r="DH15" s="439">
        <f t="shared" si="11"/>
        <v>0</v>
      </c>
      <c r="DI15" s="439">
        <f t="shared" si="12"/>
        <v>0</v>
      </c>
      <c r="DJ15" s="439">
        <f t="shared" si="13"/>
        <v>0</v>
      </c>
      <c r="DK15" s="439">
        <f t="shared" si="14"/>
        <v>0</v>
      </c>
      <c r="DL15" s="439">
        <f t="shared" si="15"/>
        <v>0</v>
      </c>
      <c r="DM15" s="439">
        <f t="shared" si="16"/>
        <v>0</v>
      </c>
      <c r="DN15" s="439">
        <f t="shared" si="17"/>
        <v>0</v>
      </c>
      <c r="DO15" s="439">
        <f t="shared" si="18"/>
        <v>0</v>
      </c>
      <c r="DP15" s="439">
        <f t="shared" si="19"/>
        <v>0</v>
      </c>
      <c r="DQ15" s="442">
        <f t="shared" si="20"/>
        <v>0</v>
      </c>
      <c r="DR15" s="442">
        <f t="shared" si="21"/>
        <v>0</v>
      </c>
      <c r="DS15" s="439">
        <f t="shared" si="22"/>
        <v>0</v>
      </c>
      <c r="DT15" s="439">
        <f t="shared" si="23"/>
        <v>0</v>
      </c>
      <c r="DU15" s="661">
        <f t="shared" si="24"/>
        <v>0</v>
      </c>
      <c r="DV15" s="661">
        <f t="shared" si="25"/>
        <v>0</v>
      </c>
      <c r="DW15" s="439">
        <f t="shared" si="26"/>
        <v>0</v>
      </c>
      <c r="DX15" s="439">
        <f t="shared" si="27"/>
        <v>0</v>
      </c>
      <c r="DY15" s="439">
        <f t="shared" si="28"/>
        <v>0</v>
      </c>
      <c r="DZ15" s="439">
        <f t="shared" si="29"/>
        <v>0</v>
      </c>
      <c r="EA15" s="631" t="s">
        <v>92</v>
      </c>
      <c r="EB15" s="631">
        <f t="shared" si="151"/>
        <v>6.2624102451739869E-2</v>
      </c>
      <c r="ED15" s="439">
        <f t="shared" si="31"/>
        <v>0.58926000000000012</v>
      </c>
      <c r="EE15" s="440">
        <f t="shared" si="32"/>
        <v>0.45126000000000011</v>
      </c>
      <c r="EF15" s="439">
        <f t="shared" si="33"/>
        <v>-0.31326000000000009</v>
      </c>
      <c r="EG15" s="441">
        <f t="shared" si="34"/>
        <v>0</v>
      </c>
      <c r="EH15" s="439">
        <f t="shared" si="35"/>
        <v>0</v>
      </c>
      <c r="EI15" s="439">
        <f t="shared" si="36"/>
        <v>0</v>
      </c>
      <c r="EJ15" s="439">
        <f t="shared" si="37"/>
        <v>0</v>
      </c>
      <c r="EK15" s="439">
        <f t="shared" si="38"/>
        <v>0</v>
      </c>
      <c r="EL15" s="439">
        <f t="shared" si="39"/>
        <v>0</v>
      </c>
      <c r="EM15" s="439">
        <f t="shared" si="40"/>
        <v>0</v>
      </c>
      <c r="EN15" s="439">
        <f t="shared" si="41"/>
        <v>0</v>
      </c>
      <c r="EO15" s="439">
        <f t="shared" si="42"/>
        <v>0</v>
      </c>
      <c r="EP15" s="439">
        <f t="shared" si="43"/>
        <v>0</v>
      </c>
      <c r="EQ15" s="439">
        <f t="shared" si="44"/>
        <v>0</v>
      </c>
      <c r="ER15" s="442">
        <f t="shared" si="45"/>
        <v>0</v>
      </c>
      <c r="ES15" s="442">
        <f t="shared" si="46"/>
        <v>0</v>
      </c>
      <c r="ET15" s="439">
        <f t="shared" si="47"/>
        <v>0</v>
      </c>
      <c r="EU15" s="439">
        <f t="shared" si="48"/>
        <v>0</v>
      </c>
      <c r="EV15" s="661">
        <f t="shared" si="49"/>
        <v>0</v>
      </c>
      <c r="EW15" s="661">
        <f t="shared" si="50"/>
        <v>0</v>
      </c>
      <c r="EX15" s="439">
        <f t="shared" si="51"/>
        <v>0</v>
      </c>
      <c r="EY15" s="439">
        <f t="shared" si="52"/>
        <v>0</v>
      </c>
      <c r="EZ15" s="439">
        <f t="shared" si="53"/>
        <v>0</v>
      </c>
      <c r="FA15" s="439">
        <f t="shared" si="54"/>
        <v>0</v>
      </c>
      <c r="FB15" s="631" t="s">
        <v>92</v>
      </c>
      <c r="FC15" s="631">
        <f t="shared" si="152"/>
        <v>6.001476484958404E-2</v>
      </c>
      <c r="FE15" s="439">
        <f t="shared" si="56"/>
        <v>0.55083000000000015</v>
      </c>
      <c r="FF15" s="440">
        <f t="shared" si="57"/>
        <v>0.42183000000000015</v>
      </c>
      <c r="FG15" s="439">
        <f t="shared" si="58"/>
        <v>-0.29283000000000015</v>
      </c>
      <c r="FH15" s="441">
        <f t="shared" si="59"/>
        <v>0</v>
      </c>
      <c r="FI15" s="439">
        <f t="shared" si="60"/>
        <v>0</v>
      </c>
      <c r="FJ15" s="439">
        <f t="shared" si="61"/>
        <v>0</v>
      </c>
      <c r="FK15" s="439">
        <f t="shared" si="62"/>
        <v>0</v>
      </c>
      <c r="FL15" s="439">
        <f t="shared" si="63"/>
        <v>0</v>
      </c>
      <c r="FM15" s="439">
        <f t="shared" si="64"/>
        <v>0</v>
      </c>
      <c r="FN15" s="439">
        <f t="shared" si="65"/>
        <v>0</v>
      </c>
      <c r="FO15" s="439">
        <f t="shared" si="66"/>
        <v>0</v>
      </c>
      <c r="FP15" s="439">
        <f t="shared" si="67"/>
        <v>0</v>
      </c>
      <c r="FQ15" s="439">
        <f t="shared" si="68"/>
        <v>0</v>
      </c>
      <c r="FR15" s="439">
        <f t="shared" si="69"/>
        <v>0</v>
      </c>
      <c r="FS15" s="442">
        <f t="shared" si="70"/>
        <v>0</v>
      </c>
      <c r="FT15" s="442">
        <f t="shared" si="71"/>
        <v>0</v>
      </c>
      <c r="FU15" s="439">
        <f t="shared" si="72"/>
        <v>0</v>
      </c>
      <c r="FV15" s="439">
        <f t="shared" si="73"/>
        <v>0</v>
      </c>
      <c r="FW15" s="661">
        <f t="shared" si="74"/>
        <v>0</v>
      </c>
      <c r="FX15" s="661">
        <f t="shared" si="75"/>
        <v>0</v>
      </c>
      <c r="FY15" s="439">
        <f t="shared" si="76"/>
        <v>0</v>
      </c>
      <c r="FZ15" s="439">
        <f t="shared" si="77"/>
        <v>0</v>
      </c>
      <c r="GA15" s="439">
        <f t="shared" si="78"/>
        <v>0</v>
      </c>
      <c r="GB15" s="439">
        <f t="shared" si="79"/>
        <v>0</v>
      </c>
      <c r="GC15" s="631" t="s">
        <v>92</v>
      </c>
      <c r="GD15" s="631">
        <f t="shared" si="153"/>
        <v>5.6100758446350311E-2</v>
      </c>
      <c r="GF15" s="439">
        <f t="shared" si="81"/>
        <v>0.58926000000000012</v>
      </c>
      <c r="GG15" s="440">
        <f t="shared" si="82"/>
        <v>0.45126000000000011</v>
      </c>
      <c r="GH15" s="439">
        <f t="shared" si="83"/>
        <v>-0.31326000000000009</v>
      </c>
      <c r="GI15" s="439">
        <f t="shared" si="84"/>
        <v>0</v>
      </c>
      <c r="GJ15" s="439">
        <f t="shared" si="85"/>
        <v>0</v>
      </c>
      <c r="GK15" s="439">
        <f t="shared" si="86"/>
        <v>0</v>
      </c>
      <c r="GL15" s="439">
        <f t="shared" si="87"/>
        <v>0</v>
      </c>
      <c r="GM15" s="439">
        <f t="shared" si="88"/>
        <v>0</v>
      </c>
      <c r="GN15" s="439">
        <f t="shared" si="89"/>
        <v>0</v>
      </c>
      <c r="GO15" s="439">
        <f t="shared" si="90"/>
        <v>0</v>
      </c>
      <c r="GP15" s="439">
        <f t="shared" si="91"/>
        <v>0</v>
      </c>
      <c r="GQ15" s="439">
        <f t="shared" si="92"/>
        <v>0</v>
      </c>
      <c r="GR15" s="439">
        <f t="shared" si="93"/>
        <v>0</v>
      </c>
      <c r="GS15" s="439">
        <f t="shared" si="94"/>
        <v>0</v>
      </c>
      <c r="GT15" s="442">
        <f t="shared" si="95"/>
        <v>0</v>
      </c>
      <c r="GU15" s="442">
        <f t="shared" si="96"/>
        <v>0</v>
      </c>
      <c r="GV15" s="439">
        <f t="shared" si="97"/>
        <v>0</v>
      </c>
      <c r="GW15" s="439">
        <f t="shared" si="98"/>
        <v>0</v>
      </c>
      <c r="GX15" s="661">
        <f t="shared" si="99"/>
        <v>0</v>
      </c>
      <c r="GY15" s="661">
        <f t="shared" si="100"/>
        <v>0</v>
      </c>
      <c r="GZ15" s="439">
        <f t="shared" si="101"/>
        <v>0</v>
      </c>
      <c r="HA15" s="439">
        <f t="shared" si="102"/>
        <v>0</v>
      </c>
      <c r="HB15" s="439">
        <f t="shared" si="103"/>
        <v>0</v>
      </c>
      <c r="HC15" s="439">
        <f t="shared" si="104"/>
        <v>0</v>
      </c>
      <c r="HD15" s="631" t="s">
        <v>92</v>
      </c>
      <c r="HE15" s="631">
        <f t="shared" si="105"/>
        <v>6.001476484958404E-2</v>
      </c>
      <c r="HG15" s="618">
        <f>HLOOKUP(CQ15,Spec_Sheet!$F$3:$DV$19,11,FALSE)+HLOOKUP(CQ15,Spec_Sheet!$F$3:$DV$21,19,FALSE)</f>
        <v>75</v>
      </c>
      <c r="HH15" s="618">
        <f t="shared" si="154"/>
        <v>25</v>
      </c>
      <c r="HI15" s="634">
        <f t="shared" si="155"/>
        <v>100</v>
      </c>
      <c r="HJ15" s="634">
        <f>HLOOKUP(IF(LEN(CQ15)&gt;6,LEFT(CQ15,5),CQ15),'LSM List Pricing'!$B$1:$BW$2,2,0)</f>
        <v>38</v>
      </c>
      <c r="HK15" s="634">
        <f>HLOOKUP(HJ15,'LSM List Pricing'!$B$2:$BW$3,2)</f>
        <v>500</v>
      </c>
      <c r="HL15" s="634">
        <f>VLOOKUP(HH15,'LSM List Pricing'!$A$7:$BW$87,HJ15,0)</f>
        <v>70</v>
      </c>
      <c r="HM15" s="627">
        <f>VLOOKUP(HI15,'LSM List Pricing'!$A$7:$BW$87,HJ15,1)</f>
        <v>120</v>
      </c>
      <c r="HN15" s="628">
        <f t="shared" si="106"/>
        <v>1.4615384615384615</v>
      </c>
      <c r="HO15" s="628">
        <f t="shared" si="107"/>
        <v>2.9230769230769229</v>
      </c>
      <c r="HP15" s="628">
        <f t="shared" si="108"/>
        <v>2.8717948717948718</v>
      </c>
      <c r="HR15" s="618">
        <v>6.0000000000000001E-3</v>
      </c>
      <c r="HS15" s="618">
        <f t="shared" si="109"/>
        <v>40.285714285714285</v>
      </c>
      <c r="HT15" s="618">
        <f t="shared" si="110"/>
        <v>1</v>
      </c>
      <c r="HU15" s="618">
        <f t="shared" si="156"/>
        <v>0.15240875147525779</v>
      </c>
      <c r="HW15" s="618">
        <f t="shared" si="111"/>
        <v>35.783579572905133</v>
      </c>
      <c r="HX15" s="618">
        <f t="shared" si="112"/>
        <v>0.15191245537386952</v>
      </c>
      <c r="HY15" s="618">
        <f t="shared" si="0"/>
        <v>6.0000000000000001E-3</v>
      </c>
      <c r="IB15" s="618">
        <f t="shared" si="113"/>
        <v>25.000350341399081</v>
      </c>
      <c r="IC15" s="618">
        <f t="shared" si="114"/>
        <v>1E-3</v>
      </c>
      <c r="IE15" s="618">
        <f t="shared" si="115"/>
        <v>0</v>
      </c>
      <c r="IF15" s="618">
        <f t="shared" si="116"/>
        <v>40.704999999999998</v>
      </c>
      <c r="IH15" s="618">
        <f t="shared" si="117"/>
        <v>0</v>
      </c>
      <c r="II15" s="618">
        <f t="shared" si="118"/>
        <v>40.704999999999998</v>
      </c>
      <c r="IK15" s="618">
        <f t="shared" si="119"/>
        <v>0</v>
      </c>
      <c r="IL15" s="618">
        <f t="shared" si="120"/>
        <v>40.704999999999998</v>
      </c>
      <c r="IN15" s="618">
        <f t="shared" si="121"/>
        <v>0</v>
      </c>
      <c r="IO15" s="618">
        <f t="shared" si="122"/>
        <v>40.704999999999998</v>
      </c>
      <c r="IQ15" s="618">
        <f t="shared" si="123"/>
        <v>0</v>
      </c>
      <c r="IR15" s="618">
        <f t="shared" si="124"/>
        <v>40.704999999999998</v>
      </c>
      <c r="IT15" s="660" t="str">
        <f t="shared" si="125"/>
        <v>S080Q</v>
      </c>
      <c r="IU15" s="628"/>
      <c r="IV15" s="439">
        <f t="shared" si="126"/>
        <v>0.71736000000000011</v>
      </c>
      <c r="IW15" s="440">
        <f t="shared" si="127"/>
        <v>0.54936000000000007</v>
      </c>
      <c r="IX15" s="439">
        <f t="shared" si="128"/>
        <v>-0.38136000000000003</v>
      </c>
      <c r="IY15" s="439">
        <f t="shared" si="129"/>
        <v>0</v>
      </c>
      <c r="IZ15" s="439">
        <f t="shared" si="130"/>
        <v>0</v>
      </c>
      <c r="JA15" s="439">
        <f t="shared" si="131"/>
        <v>0</v>
      </c>
      <c r="JB15" s="439">
        <f t="shared" si="132"/>
        <v>0</v>
      </c>
      <c r="JC15" s="439">
        <f t="shared" si="133"/>
        <v>0</v>
      </c>
      <c r="JD15" s="439">
        <f t="shared" si="134"/>
        <v>0</v>
      </c>
      <c r="JE15" s="439">
        <f t="shared" si="135"/>
        <v>0</v>
      </c>
      <c r="JF15" s="439">
        <f t="shared" si="136"/>
        <v>0</v>
      </c>
      <c r="JG15" s="439">
        <f t="shared" si="137"/>
        <v>0</v>
      </c>
      <c r="JH15" s="439">
        <f t="shared" si="138"/>
        <v>0</v>
      </c>
      <c r="JI15" s="439">
        <f t="shared" si="139"/>
        <v>0</v>
      </c>
      <c r="JJ15" s="442">
        <f t="shared" si="140"/>
        <v>0</v>
      </c>
      <c r="JK15" s="442">
        <f t="shared" si="141"/>
        <v>0</v>
      </c>
      <c r="JL15" s="439">
        <f t="shared" si="142"/>
        <v>0</v>
      </c>
      <c r="JM15" s="439">
        <f t="shared" si="143"/>
        <v>0</v>
      </c>
      <c r="JN15" s="661">
        <f t="shared" si="144"/>
        <v>0</v>
      </c>
      <c r="JO15" s="661">
        <f t="shared" si="145"/>
        <v>0</v>
      </c>
      <c r="JP15" s="439">
        <f t="shared" si="146"/>
        <v>0</v>
      </c>
      <c r="JQ15" s="439">
        <f t="shared" si="147"/>
        <v>0</v>
      </c>
      <c r="JR15" s="439">
        <f t="shared" si="148"/>
        <v>0</v>
      </c>
      <c r="JS15" s="439">
        <f t="shared" si="149"/>
        <v>0</v>
      </c>
      <c r="JT15" s="631" t="s">
        <v>92</v>
      </c>
      <c r="JU15" s="631">
        <f t="shared" si="158"/>
        <v>7.3061452860363169E-2</v>
      </c>
      <c r="JW15" s="522"/>
      <c r="JX15" s="522"/>
      <c r="JY15" s="522"/>
      <c r="JZ15" s="522"/>
      <c r="KA15" s="522"/>
      <c r="KB15" s="522"/>
      <c r="KC15" s="522"/>
      <c r="KD15" s="522"/>
      <c r="KE15" s="522"/>
      <c r="KF15" s="522"/>
      <c r="KG15" s="522"/>
      <c r="KH15" s="522"/>
      <c r="KI15" s="522"/>
      <c r="KJ15" s="522"/>
      <c r="KK15" s="522"/>
      <c r="KL15" s="522"/>
    </row>
    <row r="16" spans="2:298" ht="9.9499999999999993" customHeight="1">
      <c r="B16" s="267"/>
      <c r="C16" s="267"/>
      <c r="D16" s="859" t="s">
        <v>30</v>
      </c>
      <c r="E16" s="859"/>
      <c r="F16" s="859"/>
      <c r="G16" s="859"/>
      <c r="H16" s="859"/>
      <c r="I16" s="844" t="s">
        <v>488</v>
      </c>
      <c r="J16" s="844"/>
      <c r="K16" s="844"/>
      <c r="L16" s="843" t="str">
        <f>"- "&amp;AC50</f>
        <v>- 25</v>
      </c>
      <c r="M16" s="843"/>
      <c r="N16" s="843"/>
      <c r="O16" s="843"/>
      <c r="P16" s="842" t="s">
        <v>306</v>
      </c>
      <c r="Q16" s="753"/>
      <c r="R16" s="753"/>
      <c r="S16" s="753"/>
      <c r="T16" s="753"/>
      <c r="U16" s="740">
        <v>0.6</v>
      </c>
      <c r="V16" s="740"/>
      <c r="W16" s="65" t="s">
        <v>120</v>
      </c>
      <c r="X16" s="66"/>
      <c r="Y16" s="299" t="e">
        <f>IF(K42&gt;U17,"Settling time ?",IF(Y14="X","▲ Acc Time",IF(Z14="X","▲ Decl Time","")))</f>
        <v>#DIV/0!</v>
      </c>
      <c r="Z16" s="300"/>
      <c r="AA16" s="301"/>
      <c r="AB16" s="48"/>
      <c r="AC16" s="728">
        <f>AC15*39.37007874</f>
        <v>19.90376202966667</v>
      </c>
      <c r="AD16" s="729">
        <v>55.118110236</v>
      </c>
      <c r="AE16" s="88" t="s">
        <v>128</v>
      </c>
      <c r="AF16" s="48"/>
      <c r="AG16" s="773" t="s">
        <v>306</v>
      </c>
      <c r="AH16" s="736"/>
      <c r="AI16" s="736"/>
      <c r="AJ16" s="736"/>
      <c r="AK16" s="736"/>
      <c r="AL16" s="760">
        <v>0.05</v>
      </c>
      <c r="AM16" s="760"/>
      <c r="AN16" s="61" t="s">
        <v>120</v>
      </c>
      <c r="AO16" s="62"/>
      <c r="AP16" s="324" t="e">
        <f>IF(W42&gt;AL17,"Settling time ?",IF(AP14="X","▲ Acc Time",IF(AQ14="X","▲ Decl Time","")))</f>
        <v>#DIV/0!</v>
      </c>
      <c r="AQ16" s="302"/>
      <c r="AR16" s="303"/>
      <c r="AS16" s="303"/>
      <c r="AT16" s="748">
        <f>AT15*39.37007874</f>
        <v>787.40157479999993</v>
      </c>
      <c r="AU16" s="749">
        <v>55.118110236</v>
      </c>
      <c r="AV16" s="86" t="s">
        <v>128</v>
      </c>
      <c r="AW16" s="555"/>
      <c r="AX16" s="283" t="s">
        <v>291</v>
      </c>
      <c r="AY16" s="716">
        <f>CD22</f>
        <v>60</v>
      </c>
      <c r="AZ16" s="716"/>
      <c r="BA16" s="48"/>
      <c r="BB16" s="708" t="str">
        <f t="shared" ca="1" si="168"/>
        <v>S080T 1S</v>
      </c>
      <c r="BC16" s="709"/>
      <c r="BD16" s="710"/>
      <c r="BE16" s="342">
        <f t="shared" ca="1" si="160"/>
        <v>4.9849142130130669E-2</v>
      </c>
      <c r="BF16" s="78">
        <f t="shared" ca="1" si="161"/>
        <v>1.5925340302442494E-2</v>
      </c>
      <c r="BG16" s="490">
        <f t="shared" ca="1" si="162"/>
        <v>4.355910387458016E-2</v>
      </c>
      <c r="BH16" s="78">
        <f t="shared" ca="1" si="163"/>
        <v>1.2462285532532667E-2</v>
      </c>
      <c r="BI16" s="617">
        <f t="shared" ca="1" si="164"/>
        <v>1.1926336580046623E-2</v>
      </c>
      <c r="BJ16" s="528">
        <f t="shared" ca="1" si="165"/>
        <v>1.2307692307692308</v>
      </c>
      <c r="BK16" s="529">
        <f t="shared" ca="1" si="166"/>
        <v>2.4615384615384617</v>
      </c>
      <c r="BL16" s="530">
        <f t="shared" ca="1" si="167"/>
        <v>2.4358974358974357</v>
      </c>
      <c r="BM16" s="44"/>
      <c r="BN16" s="69" t="s">
        <v>98</v>
      </c>
      <c r="BO16" s="69"/>
      <c r="BP16" s="69"/>
      <c r="BQ16" s="69"/>
      <c r="BR16" s="69"/>
      <c r="BS16" s="69"/>
      <c r="BT16" s="69"/>
      <c r="BU16" s="69"/>
      <c r="BV16" s="70"/>
      <c r="BW16" s="70"/>
      <c r="BX16" s="70"/>
      <c r="BY16" s="44"/>
      <c r="BZ16" s="44"/>
      <c r="CA16" s="44"/>
      <c r="CB16" s="44"/>
      <c r="CC16" s="44"/>
      <c r="CD16" s="108"/>
      <c r="CE16" s="108"/>
      <c r="CF16" s="109"/>
      <c r="CG16" s="109"/>
      <c r="CH16" s="167"/>
      <c r="CI16" s="100"/>
      <c r="CJ16" s="422"/>
      <c r="CK16" s="422"/>
      <c r="CL16" s="422"/>
      <c r="CM16" s="284"/>
      <c r="CN16" s="377"/>
      <c r="CO16" s="689" t="str">
        <f ca="1"/>
        <v>S120D</v>
      </c>
      <c r="CP16" s="632" t="str">
        <f>IF(OR(CQ16=0,CR16="",CS16&gt;120),"",IF(HLOOKUP(CQ16,Spec_Sheet!$F$3:$ED$19,17,FALSE)&lt;$AC$46,"",CQ16))</f>
        <v>S080Q 1S</v>
      </c>
      <c r="CQ16" s="660" t="str">
        <f>IF(Spec_Sheet!A15="","",Spec_Sheet!A15)</f>
        <v>S080Q 1S</v>
      </c>
      <c r="CR16" s="660">
        <f>IF(CQ16="",0,HLOOKUP(CQ16,Spec_Sheet!$F$3:$ED$19,2,FALSE))</f>
        <v>3.5027999999999997</v>
      </c>
      <c r="CS16" s="660">
        <f t="shared" si="169"/>
        <v>1.0876419123732706E-2</v>
      </c>
      <c r="CT16" s="621">
        <f t="shared" si="2"/>
        <v>3.1963354159541026E-2</v>
      </c>
      <c r="CU16" s="621">
        <f t="shared" si="3"/>
        <v>1.0876419123732706E-2</v>
      </c>
      <c r="CV16" s="621">
        <f t="shared" si="4"/>
        <v>2.5651146632374736E-2</v>
      </c>
      <c r="CW16" s="621">
        <f t="shared" si="5"/>
        <v>7.3388083118043406E-3</v>
      </c>
      <c r="CX16" s="621">
        <f t="shared" si="157"/>
        <v>7.3388083118043406E-3</v>
      </c>
      <c r="CY16" s="619">
        <f>HLOOKUP(CQ16,Spec_Sheet!$F$3:$ED$19,13,FALSE)</f>
        <v>0.08</v>
      </c>
      <c r="CZ16" s="619">
        <f>VLOOKUP(HH16,'Shaft Weight'!$A$6:$CD$102,HJ16,TRUE)</f>
        <v>0.03</v>
      </c>
      <c r="DA16" s="619">
        <f>VLOOKUP(HI16,'Shaft Weight'!$A$6:$CD$102,HJ16,0)</f>
        <v>0.06</v>
      </c>
      <c r="DB16" s="619">
        <f>HLOOKUP(CQ16,Spec_Sheet!$F$3:$ED$19,6,FALSE)</f>
        <v>1.0425</v>
      </c>
      <c r="DC16" s="439">
        <f t="shared" si="6"/>
        <v>0.61488000000000009</v>
      </c>
      <c r="DD16" s="440">
        <f t="shared" si="7"/>
        <v>0.47088000000000013</v>
      </c>
      <c r="DE16" s="439">
        <f t="shared" si="8"/>
        <v>-0.32688000000000011</v>
      </c>
      <c r="DF16" s="439">
        <f t="shared" si="9"/>
        <v>0</v>
      </c>
      <c r="DG16" s="439">
        <f t="shared" si="10"/>
        <v>0</v>
      </c>
      <c r="DH16" s="439">
        <f t="shared" si="11"/>
        <v>0</v>
      </c>
      <c r="DI16" s="439">
        <f t="shared" si="12"/>
        <v>0</v>
      </c>
      <c r="DJ16" s="439">
        <f t="shared" si="13"/>
        <v>0</v>
      </c>
      <c r="DK16" s="439">
        <f t="shared" si="14"/>
        <v>0</v>
      </c>
      <c r="DL16" s="439">
        <f t="shared" si="15"/>
        <v>0</v>
      </c>
      <c r="DM16" s="439">
        <f t="shared" si="16"/>
        <v>0</v>
      </c>
      <c r="DN16" s="439">
        <f t="shared" si="17"/>
        <v>0</v>
      </c>
      <c r="DO16" s="439">
        <f t="shared" si="18"/>
        <v>0</v>
      </c>
      <c r="DP16" s="439">
        <f t="shared" si="19"/>
        <v>0</v>
      </c>
      <c r="DQ16" s="442">
        <f t="shared" si="20"/>
        <v>0</v>
      </c>
      <c r="DR16" s="442">
        <f t="shared" si="21"/>
        <v>0</v>
      </c>
      <c r="DS16" s="439">
        <f t="shared" si="22"/>
        <v>0</v>
      </c>
      <c r="DT16" s="439">
        <f t="shared" si="23"/>
        <v>0</v>
      </c>
      <c r="DU16" s="661">
        <f t="shared" si="24"/>
        <v>0</v>
      </c>
      <c r="DV16" s="661">
        <f t="shared" si="25"/>
        <v>0</v>
      </c>
      <c r="DW16" s="439">
        <f t="shared" si="26"/>
        <v>0</v>
      </c>
      <c r="DX16" s="439">
        <f t="shared" si="27"/>
        <v>0</v>
      </c>
      <c r="DY16" s="439">
        <f t="shared" si="28"/>
        <v>0</v>
      </c>
      <c r="DZ16" s="439">
        <f t="shared" si="29"/>
        <v>0</v>
      </c>
      <c r="EA16" s="631" t="s">
        <v>92</v>
      </c>
      <c r="EB16" s="631">
        <f t="shared" si="151"/>
        <v>6.2624102451739869E-2</v>
      </c>
      <c r="ED16" s="439">
        <f t="shared" si="31"/>
        <v>0.58926000000000012</v>
      </c>
      <c r="EE16" s="440">
        <f t="shared" si="32"/>
        <v>0.45126000000000011</v>
      </c>
      <c r="EF16" s="439">
        <f t="shared" si="33"/>
        <v>-0.31326000000000009</v>
      </c>
      <c r="EG16" s="441">
        <f t="shared" si="34"/>
        <v>0</v>
      </c>
      <c r="EH16" s="439">
        <f t="shared" si="35"/>
        <v>0</v>
      </c>
      <c r="EI16" s="439">
        <f t="shared" si="36"/>
        <v>0</v>
      </c>
      <c r="EJ16" s="439">
        <f t="shared" si="37"/>
        <v>0</v>
      </c>
      <c r="EK16" s="439">
        <f t="shared" si="38"/>
        <v>0</v>
      </c>
      <c r="EL16" s="439">
        <f t="shared" si="39"/>
        <v>0</v>
      </c>
      <c r="EM16" s="439">
        <f t="shared" si="40"/>
        <v>0</v>
      </c>
      <c r="EN16" s="439">
        <f t="shared" si="41"/>
        <v>0</v>
      </c>
      <c r="EO16" s="439">
        <f t="shared" si="42"/>
        <v>0</v>
      </c>
      <c r="EP16" s="439">
        <f t="shared" si="43"/>
        <v>0</v>
      </c>
      <c r="EQ16" s="439">
        <f t="shared" si="44"/>
        <v>0</v>
      </c>
      <c r="ER16" s="442">
        <f t="shared" si="45"/>
        <v>0</v>
      </c>
      <c r="ES16" s="442">
        <f t="shared" si="46"/>
        <v>0</v>
      </c>
      <c r="ET16" s="439">
        <f t="shared" si="47"/>
        <v>0</v>
      </c>
      <c r="EU16" s="439">
        <f t="shared" si="48"/>
        <v>0</v>
      </c>
      <c r="EV16" s="661">
        <f t="shared" si="49"/>
        <v>0</v>
      </c>
      <c r="EW16" s="661">
        <f t="shared" si="50"/>
        <v>0</v>
      </c>
      <c r="EX16" s="439">
        <f t="shared" si="51"/>
        <v>0</v>
      </c>
      <c r="EY16" s="439">
        <f t="shared" si="52"/>
        <v>0</v>
      </c>
      <c r="EZ16" s="439">
        <f t="shared" si="53"/>
        <v>0</v>
      </c>
      <c r="FA16" s="439">
        <f t="shared" si="54"/>
        <v>0</v>
      </c>
      <c r="FB16" s="631" t="s">
        <v>92</v>
      </c>
      <c r="FC16" s="631">
        <f t="shared" si="152"/>
        <v>6.001476484958404E-2</v>
      </c>
      <c r="FE16" s="439">
        <f t="shared" si="56"/>
        <v>0.55083000000000015</v>
      </c>
      <c r="FF16" s="440">
        <f t="shared" si="57"/>
        <v>0.42183000000000015</v>
      </c>
      <c r="FG16" s="439">
        <f t="shared" si="58"/>
        <v>-0.29283000000000015</v>
      </c>
      <c r="FH16" s="441">
        <f t="shared" si="59"/>
        <v>0</v>
      </c>
      <c r="FI16" s="439">
        <f t="shared" si="60"/>
        <v>0</v>
      </c>
      <c r="FJ16" s="439">
        <f t="shared" si="61"/>
        <v>0</v>
      </c>
      <c r="FK16" s="439">
        <f t="shared" si="62"/>
        <v>0</v>
      </c>
      <c r="FL16" s="439">
        <f t="shared" si="63"/>
        <v>0</v>
      </c>
      <c r="FM16" s="439">
        <f t="shared" si="64"/>
        <v>0</v>
      </c>
      <c r="FN16" s="439">
        <f t="shared" si="65"/>
        <v>0</v>
      </c>
      <c r="FO16" s="439">
        <f t="shared" si="66"/>
        <v>0</v>
      </c>
      <c r="FP16" s="439">
        <f t="shared" si="67"/>
        <v>0</v>
      </c>
      <c r="FQ16" s="439">
        <f t="shared" si="68"/>
        <v>0</v>
      </c>
      <c r="FR16" s="439">
        <f t="shared" si="69"/>
        <v>0</v>
      </c>
      <c r="FS16" s="442">
        <f t="shared" si="70"/>
        <v>0</v>
      </c>
      <c r="FT16" s="442">
        <f t="shared" si="71"/>
        <v>0</v>
      </c>
      <c r="FU16" s="439">
        <f t="shared" si="72"/>
        <v>0</v>
      </c>
      <c r="FV16" s="439">
        <f t="shared" si="73"/>
        <v>0</v>
      </c>
      <c r="FW16" s="661">
        <f t="shared" si="74"/>
        <v>0</v>
      </c>
      <c r="FX16" s="661">
        <f t="shared" si="75"/>
        <v>0</v>
      </c>
      <c r="FY16" s="439">
        <f t="shared" si="76"/>
        <v>0</v>
      </c>
      <c r="FZ16" s="439">
        <f t="shared" si="77"/>
        <v>0</v>
      </c>
      <c r="GA16" s="439">
        <f t="shared" si="78"/>
        <v>0</v>
      </c>
      <c r="GB16" s="439">
        <f t="shared" si="79"/>
        <v>0</v>
      </c>
      <c r="GC16" s="631" t="s">
        <v>92</v>
      </c>
      <c r="GD16" s="631">
        <f t="shared" si="153"/>
        <v>5.6100758446350311E-2</v>
      </c>
      <c r="GF16" s="439">
        <f t="shared" si="81"/>
        <v>0.58926000000000012</v>
      </c>
      <c r="GG16" s="440">
        <f t="shared" si="82"/>
        <v>0.45126000000000011</v>
      </c>
      <c r="GH16" s="439">
        <f t="shared" si="83"/>
        <v>-0.31326000000000009</v>
      </c>
      <c r="GI16" s="439">
        <f t="shared" si="84"/>
        <v>0</v>
      </c>
      <c r="GJ16" s="439">
        <f t="shared" si="85"/>
        <v>0</v>
      </c>
      <c r="GK16" s="439">
        <f t="shared" si="86"/>
        <v>0</v>
      </c>
      <c r="GL16" s="439">
        <f t="shared" si="87"/>
        <v>0</v>
      </c>
      <c r="GM16" s="439">
        <f t="shared" si="88"/>
        <v>0</v>
      </c>
      <c r="GN16" s="439">
        <f t="shared" si="89"/>
        <v>0</v>
      </c>
      <c r="GO16" s="439">
        <f t="shared" si="90"/>
        <v>0</v>
      </c>
      <c r="GP16" s="439">
        <f t="shared" si="91"/>
        <v>0</v>
      </c>
      <c r="GQ16" s="439">
        <f t="shared" si="92"/>
        <v>0</v>
      </c>
      <c r="GR16" s="439">
        <f t="shared" si="93"/>
        <v>0</v>
      </c>
      <c r="GS16" s="439">
        <f t="shared" si="94"/>
        <v>0</v>
      </c>
      <c r="GT16" s="442">
        <f t="shared" si="95"/>
        <v>0</v>
      </c>
      <c r="GU16" s="442">
        <f t="shared" si="96"/>
        <v>0</v>
      </c>
      <c r="GV16" s="439">
        <f t="shared" si="97"/>
        <v>0</v>
      </c>
      <c r="GW16" s="439">
        <f t="shared" si="98"/>
        <v>0</v>
      </c>
      <c r="GX16" s="661">
        <f t="shared" si="99"/>
        <v>0</v>
      </c>
      <c r="GY16" s="661">
        <f t="shared" si="100"/>
        <v>0</v>
      </c>
      <c r="GZ16" s="439">
        <f t="shared" si="101"/>
        <v>0</v>
      </c>
      <c r="HA16" s="439">
        <f t="shared" si="102"/>
        <v>0</v>
      </c>
      <c r="HB16" s="439">
        <f t="shared" si="103"/>
        <v>0</v>
      </c>
      <c r="HC16" s="439">
        <f t="shared" si="104"/>
        <v>0</v>
      </c>
      <c r="HD16" s="631" t="s">
        <v>92</v>
      </c>
      <c r="HE16" s="631">
        <f t="shared" si="105"/>
        <v>6.001476484958404E-2</v>
      </c>
      <c r="HG16" s="618">
        <f>HLOOKUP(CQ16,Spec_Sheet!$F$3:$DV$19,11,FALSE)+HLOOKUP(CQ16,Spec_Sheet!$F$3:$DV$21,19,FALSE)</f>
        <v>75</v>
      </c>
      <c r="HH16" s="618">
        <f t="shared" si="154"/>
        <v>25</v>
      </c>
      <c r="HI16" s="634">
        <f t="shared" si="155"/>
        <v>100</v>
      </c>
      <c r="HJ16" s="634">
        <f>HLOOKUP(IF(LEN(CQ16)&gt;6,LEFT(CQ16,5),CQ16),'LSM List Pricing'!$B$1:$BW$2,2,0)</f>
        <v>38</v>
      </c>
      <c r="HK16" s="634">
        <f>HLOOKUP(HJ16,'LSM List Pricing'!$B$2:$BW$3,2)</f>
        <v>500</v>
      </c>
      <c r="HL16" s="634">
        <f>VLOOKUP(HH16,'LSM List Pricing'!$A$7:$BW$87,HJ16,0)</f>
        <v>70</v>
      </c>
      <c r="HM16" s="627">
        <f>VLOOKUP(HI16,'LSM List Pricing'!$A$7:$BW$87,HJ16,1)</f>
        <v>120</v>
      </c>
      <c r="HN16" s="628">
        <f t="shared" si="106"/>
        <v>1.4615384615384615</v>
      </c>
      <c r="HO16" s="628">
        <f t="shared" si="107"/>
        <v>2.9230769230769229</v>
      </c>
      <c r="HP16" s="628">
        <f t="shared" si="108"/>
        <v>2.8717948717948718</v>
      </c>
      <c r="HR16" s="618">
        <v>6.4999999999999997E-3</v>
      </c>
      <c r="HS16" s="618">
        <f t="shared" si="109"/>
        <v>43.642857142857139</v>
      </c>
      <c r="HT16" s="618">
        <f t="shared" si="110"/>
        <v>1</v>
      </c>
      <c r="HU16" s="618">
        <f t="shared" si="156"/>
        <v>0.16514779544888258</v>
      </c>
      <c r="HW16" s="618">
        <f t="shared" si="111"/>
        <v>35.765490130462588</v>
      </c>
      <c r="HX16" s="618">
        <f t="shared" si="112"/>
        <v>0.16456851513804191</v>
      </c>
      <c r="HY16" s="618">
        <f t="shared" si="0"/>
        <v>6.4999999999999997E-3</v>
      </c>
      <c r="IB16" s="618">
        <f t="shared" si="113"/>
        <v>25.000350341399081</v>
      </c>
      <c r="IC16" s="618">
        <f t="shared" si="114"/>
        <v>1E-3</v>
      </c>
      <c r="IE16" s="618">
        <f t="shared" si="115"/>
        <v>0</v>
      </c>
      <c r="IF16" s="618">
        <f t="shared" si="116"/>
        <v>40.704999999999998</v>
      </c>
      <c r="IH16" s="618">
        <f t="shared" si="117"/>
        <v>0</v>
      </c>
      <c r="II16" s="618">
        <f t="shared" si="118"/>
        <v>40.704999999999998</v>
      </c>
      <c r="IK16" s="618">
        <f t="shared" si="119"/>
        <v>0</v>
      </c>
      <c r="IL16" s="618">
        <f t="shared" si="120"/>
        <v>40.704999999999998</v>
      </c>
      <c r="IN16" s="618">
        <f t="shared" si="121"/>
        <v>0</v>
      </c>
      <c r="IO16" s="618">
        <f t="shared" si="122"/>
        <v>40.704999999999998</v>
      </c>
      <c r="IQ16" s="618">
        <f t="shared" si="123"/>
        <v>0</v>
      </c>
      <c r="IR16" s="618">
        <f t="shared" si="124"/>
        <v>40.704999999999998</v>
      </c>
      <c r="IT16" s="660" t="str">
        <f t="shared" si="125"/>
        <v>S080Q 1S</v>
      </c>
      <c r="IU16" s="628"/>
      <c r="IV16" s="439">
        <f t="shared" si="126"/>
        <v>0.71736000000000011</v>
      </c>
      <c r="IW16" s="440">
        <f t="shared" si="127"/>
        <v>0.54936000000000007</v>
      </c>
      <c r="IX16" s="439">
        <f t="shared" si="128"/>
        <v>-0.38136000000000003</v>
      </c>
      <c r="IY16" s="439">
        <f t="shared" si="129"/>
        <v>0</v>
      </c>
      <c r="IZ16" s="439">
        <f t="shared" si="130"/>
        <v>0</v>
      </c>
      <c r="JA16" s="439">
        <f t="shared" si="131"/>
        <v>0</v>
      </c>
      <c r="JB16" s="439">
        <f t="shared" si="132"/>
        <v>0</v>
      </c>
      <c r="JC16" s="439">
        <f t="shared" si="133"/>
        <v>0</v>
      </c>
      <c r="JD16" s="439">
        <f t="shared" si="134"/>
        <v>0</v>
      </c>
      <c r="JE16" s="439">
        <f t="shared" si="135"/>
        <v>0</v>
      </c>
      <c r="JF16" s="439">
        <f t="shared" si="136"/>
        <v>0</v>
      </c>
      <c r="JG16" s="439">
        <f t="shared" si="137"/>
        <v>0</v>
      </c>
      <c r="JH16" s="439">
        <f t="shared" si="138"/>
        <v>0</v>
      </c>
      <c r="JI16" s="439">
        <f t="shared" si="139"/>
        <v>0</v>
      </c>
      <c r="JJ16" s="442">
        <f t="shared" si="140"/>
        <v>0</v>
      </c>
      <c r="JK16" s="442">
        <f t="shared" si="141"/>
        <v>0</v>
      </c>
      <c r="JL16" s="439">
        <f t="shared" si="142"/>
        <v>0</v>
      </c>
      <c r="JM16" s="439">
        <f t="shared" si="143"/>
        <v>0</v>
      </c>
      <c r="JN16" s="661">
        <f t="shared" si="144"/>
        <v>0</v>
      </c>
      <c r="JO16" s="661">
        <f t="shared" si="145"/>
        <v>0</v>
      </c>
      <c r="JP16" s="439">
        <f t="shared" si="146"/>
        <v>0</v>
      </c>
      <c r="JQ16" s="439">
        <f t="shared" si="147"/>
        <v>0</v>
      </c>
      <c r="JR16" s="439">
        <f t="shared" si="148"/>
        <v>0</v>
      </c>
      <c r="JS16" s="439">
        <f t="shared" si="149"/>
        <v>0</v>
      </c>
      <c r="JT16" s="631" t="s">
        <v>92</v>
      </c>
      <c r="JU16" s="631">
        <f t="shared" si="158"/>
        <v>7.3061452860363169E-2</v>
      </c>
      <c r="JW16" s="522"/>
      <c r="JX16" s="522"/>
      <c r="JY16" s="522"/>
      <c r="JZ16" s="522"/>
      <c r="KA16" s="522"/>
      <c r="KB16" s="522"/>
      <c r="KC16" s="522"/>
      <c r="KD16" s="522"/>
      <c r="KE16" s="522"/>
      <c r="KF16" s="522"/>
      <c r="KG16" s="522"/>
      <c r="KH16" s="522"/>
      <c r="KI16" s="522"/>
      <c r="KJ16" s="522"/>
      <c r="KK16" s="522"/>
      <c r="KL16" s="522"/>
    </row>
    <row r="17" spans="1:298" ht="9.9499999999999993" customHeight="1">
      <c r="B17" s="335">
        <f>IF(AG41="X",IF(C17=2,1,C17),C17)</f>
        <v>3</v>
      </c>
      <c r="C17" s="335">
        <v>3</v>
      </c>
      <c r="D17" s="267"/>
      <c r="E17" s="270"/>
      <c r="F17" s="267"/>
      <c r="G17" s="1029" t="s">
        <v>32</v>
      </c>
      <c r="H17" s="271"/>
      <c r="I17" s="844"/>
      <c r="J17" s="844"/>
      <c r="K17" s="844"/>
      <c r="L17" s="843"/>
      <c r="M17" s="843"/>
      <c r="N17" s="843"/>
      <c r="O17" s="843"/>
      <c r="P17" s="842" t="s">
        <v>21</v>
      </c>
      <c r="Q17" s="753"/>
      <c r="R17" s="753"/>
      <c r="S17" s="753"/>
      <c r="T17" s="753"/>
      <c r="U17" s="740">
        <v>0.5</v>
      </c>
      <c r="V17" s="740"/>
      <c r="W17" s="65" t="s">
        <v>120</v>
      </c>
      <c r="X17" s="66"/>
      <c r="Y17" s="862" t="e">
        <f>IF(K42&gt;U17,K42,IF(Y14="X",VLOOKUP(AC13,HX3:HY505,2,TRUE)+0.0005,IF(Z14="X",VLOOKUP(AC5,HX3:HY505,2,TRUE)+0.0005,"")))</f>
        <v>#DIV/0!</v>
      </c>
      <c r="Z17" s="835"/>
      <c r="AA17" s="835"/>
      <c r="AB17" s="67"/>
      <c r="AC17" s="728">
        <f>AC15*0.1019716213</f>
        <v>5.1552319657222227E-2</v>
      </c>
      <c r="AD17" s="729">
        <v>0.14276026982000001</v>
      </c>
      <c r="AE17" s="68" t="s">
        <v>110</v>
      </c>
      <c r="AF17" s="48"/>
      <c r="AG17" s="773" t="s">
        <v>21</v>
      </c>
      <c r="AH17" s="736"/>
      <c r="AI17" s="736"/>
      <c r="AJ17" s="736"/>
      <c r="AK17" s="736"/>
      <c r="AL17" s="760">
        <v>0.21</v>
      </c>
      <c r="AM17" s="760"/>
      <c r="AN17" s="61" t="s">
        <v>120</v>
      </c>
      <c r="AO17" s="62"/>
      <c r="AP17" s="802" t="e">
        <f>IF(W42&gt;AL17,W42,IF(AP14="X",VLOOKUP(AT13,HX3:HY505,2,TRUE)+0.0005,IF(AQ14="X",VLOOKUP(AT13,HX3:HY505,2,TRUE)+0.0005,"")))</f>
        <v>#DIV/0!</v>
      </c>
      <c r="AQ17" s="802"/>
      <c r="AR17" s="802"/>
      <c r="AS17" s="802"/>
      <c r="AT17" s="748">
        <f>AT15*0.1019716213</f>
        <v>2.0394324259999999</v>
      </c>
      <c r="AU17" s="749">
        <v>0.14276026982000001</v>
      </c>
      <c r="AV17" s="64" t="s">
        <v>110</v>
      </c>
      <c r="AW17" s="555"/>
      <c r="AX17" s="48"/>
      <c r="AY17" s="48"/>
      <c r="AZ17" s="48"/>
      <c r="BA17" s="48"/>
      <c r="BB17" s="708" t="str">
        <f t="shared" ca="1" si="168"/>
        <v>S080T</v>
      </c>
      <c r="BC17" s="709"/>
      <c r="BD17" s="710"/>
      <c r="BE17" s="342">
        <f t="shared" ca="1" si="160"/>
        <v>4.9407023318941937E-2</v>
      </c>
      <c r="BF17" s="78">
        <f t="shared" ca="1" si="161"/>
        <v>1.5784096296599597E-2</v>
      </c>
      <c r="BG17" s="490">
        <f t="shared" ca="1" si="162"/>
        <v>4.3172772266882653E-2</v>
      </c>
      <c r="BH17" s="78">
        <f t="shared" ca="1" si="163"/>
        <v>1.2351755829735484E-2</v>
      </c>
      <c r="BI17" s="617">
        <f t="shared" ca="1" si="164"/>
        <v>1.182056028129223E-2</v>
      </c>
      <c r="BJ17" s="528">
        <f t="shared" ca="1" si="165"/>
        <v>1.2307692307692308</v>
      </c>
      <c r="BK17" s="529">
        <f t="shared" ca="1" si="166"/>
        <v>2.4615384615384617</v>
      </c>
      <c r="BL17" s="530">
        <f t="shared" ca="1" si="167"/>
        <v>2.4358974358974357</v>
      </c>
      <c r="BM17" s="44"/>
      <c r="BN17" s="75"/>
      <c r="BO17" s="69" t="s">
        <v>102</v>
      </c>
      <c r="BP17" s="76"/>
      <c r="BQ17" s="76"/>
      <c r="BR17" s="76"/>
      <c r="BS17" s="75"/>
      <c r="BT17" s="75"/>
      <c r="BU17" s="75"/>
      <c r="BV17" s="129"/>
      <c r="BW17" s="44"/>
      <c r="BX17" s="44"/>
      <c r="BY17" s="44"/>
      <c r="BZ17" s="44"/>
      <c r="CA17" s="44"/>
      <c r="CB17" s="44"/>
      <c r="CC17" s="44"/>
      <c r="CD17" s="108"/>
      <c r="CE17" s="108"/>
      <c r="CF17" s="109"/>
      <c r="CG17" s="109"/>
      <c r="CH17" s="167"/>
      <c r="CI17" s="100"/>
      <c r="CJ17" s="422"/>
      <c r="CK17" s="422"/>
      <c r="CL17" s="422"/>
      <c r="CM17" s="284"/>
      <c r="CN17" s="377"/>
      <c r="CO17" s="689" t="str">
        <f ca="1"/>
        <v>S120T</v>
      </c>
      <c r="CP17" s="632" t="str">
        <f>IF(OR(CQ17=0,CR17="",CS17&gt;120),"",IF(HLOOKUP(CQ17,Spec_Sheet!$F$3:$ED$19,17,FALSE)&lt;$AC$46,"",CQ17))</f>
        <v>S080Q 2S</v>
      </c>
      <c r="CQ17" s="660" t="str">
        <f>IF(Spec_Sheet!A16="","",Spec_Sheet!A16)</f>
        <v>S080Q 2S</v>
      </c>
      <c r="CR17" s="660">
        <f>IF(CQ17="",0,HLOOKUP(CQ17,Spec_Sheet!$F$3:$ED$19,2,FALSE))</f>
        <v>3.5027999999999997</v>
      </c>
      <c r="CS17" s="660">
        <f t="shared" si="169"/>
        <v>1.0876419123732706E-2</v>
      </c>
      <c r="CT17" s="621">
        <f t="shared" si="2"/>
        <v>3.1963354159541026E-2</v>
      </c>
      <c r="CU17" s="621">
        <f t="shared" si="3"/>
        <v>1.0876419123732706E-2</v>
      </c>
      <c r="CV17" s="621">
        <f t="shared" si="4"/>
        <v>2.5651146632374736E-2</v>
      </c>
      <c r="CW17" s="621">
        <f t="shared" si="5"/>
        <v>7.3388083118043406E-3</v>
      </c>
      <c r="CX17" s="621">
        <f t="shared" si="157"/>
        <v>7.3388083118043406E-3</v>
      </c>
      <c r="CY17" s="619">
        <f>HLOOKUP(CQ17,Spec_Sheet!$F$3:$ED$19,13,FALSE)</f>
        <v>0.08</v>
      </c>
      <c r="CZ17" s="619">
        <f>VLOOKUP(HH17,'Shaft Weight'!$A$6:$CD$102,HJ17,TRUE)</f>
        <v>0.03</v>
      </c>
      <c r="DA17" s="619">
        <f>VLOOKUP(HI17,'Shaft Weight'!$A$6:$CD$102,HJ17,0)</f>
        <v>0.06</v>
      </c>
      <c r="DB17" s="619">
        <f>HLOOKUP(CQ17,Spec_Sheet!$F$3:$ED$19,6,FALSE)</f>
        <v>2.085</v>
      </c>
      <c r="DC17" s="439">
        <f t="shared" si="6"/>
        <v>0.61488000000000009</v>
      </c>
      <c r="DD17" s="440">
        <f t="shared" si="7"/>
        <v>0.47088000000000013</v>
      </c>
      <c r="DE17" s="439">
        <f t="shared" si="8"/>
        <v>-0.32688000000000011</v>
      </c>
      <c r="DF17" s="439">
        <f t="shared" si="9"/>
        <v>0</v>
      </c>
      <c r="DG17" s="439">
        <f t="shared" si="10"/>
        <v>0</v>
      </c>
      <c r="DH17" s="439">
        <f t="shared" si="11"/>
        <v>0</v>
      </c>
      <c r="DI17" s="439">
        <f t="shared" si="12"/>
        <v>0</v>
      </c>
      <c r="DJ17" s="439">
        <f t="shared" si="13"/>
        <v>0</v>
      </c>
      <c r="DK17" s="439">
        <f t="shared" si="14"/>
        <v>0</v>
      </c>
      <c r="DL17" s="439">
        <f t="shared" si="15"/>
        <v>0</v>
      </c>
      <c r="DM17" s="439">
        <f t="shared" si="16"/>
        <v>0</v>
      </c>
      <c r="DN17" s="439">
        <f t="shared" si="17"/>
        <v>0</v>
      </c>
      <c r="DO17" s="439">
        <f t="shared" si="18"/>
        <v>0</v>
      </c>
      <c r="DP17" s="439">
        <f t="shared" si="19"/>
        <v>0</v>
      </c>
      <c r="DQ17" s="442">
        <f t="shared" si="20"/>
        <v>0</v>
      </c>
      <c r="DR17" s="442">
        <f t="shared" si="21"/>
        <v>0</v>
      </c>
      <c r="DS17" s="439">
        <f t="shared" si="22"/>
        <v>0</v>
      </c>
      <c r="DT17" s="439">
        <f t="shared" si="23"/>
        <v>0</v>
      </c>
      <c r="DU17" s="661">
        <f t="shared" si="24"/>
        <v>0</v>
      </c>
      <c r="DV17" s="661">
        <f t="shared" si="25"/>
        <v>0</v>
      </c>
      <c r="DW17" s="439">
        <f t="shared" si="26"/>
        <v>0</v>
      </c>
      <c r="DX17" s="439">
        <f t="shared" si="27"/>
        <v>0</v>
      </c>
      <c r="DY17" s="439">
        <f t="shared" si="28"/>
        <v>0</v>
      </c>
      <c r="DZ17" s="439">
        <f t="shared" si="29"/>
        <v>0</v>
      </c>
      <c r="EA17" s="631" t="s">
        <v>92</v>
      </c>
      <c r="EB17" s="631">
        <f t="shared" si="151"/>
        <v>6.2624102451739869E-2</v>
      </c>
      <c r="ED17" s="439">
        <f t="shared" si="31"/>
        <v>0.58926000000000012</v>
      </c>
      <c r="EE17" s="440">
        <f t="shared" si="32"/>
        <v>0.45126000000000011</v>
      </c>
      <c r="EF17" s="439">
        <f t="shared" si="33"/>
        <v>-0.31326000000000009</v>
      </c>
      <c r="EG17" s="441">
        <f t="shared" si="34"/>
        <v>0</v>
      </c>
      <c r="EH17" s="439">
        <f t="shared" si="35"/>
        <v>0</v>
      </c>
      <c r="EI17" s="439">
        <f t="shared" si="36"/>
        <v>0</v>
      </c>
      <c r="EJ17" s="439">
        <f t="shared" si="37"/>
        <v>0</v>
      </c>
      <c r="EK17" s="439">
        <f t="shared" si="38"/>
        <v>0</v>
      </c>
      <c r="EL17" s="439">
        <f t="shared" si="39"/>
        <v>0</v>
      </c>
      <c r="EM17" s="439">
        <f t="shared" si="40"/>
        <v>0</v>
      </c>
      <c r="EN17" s="439">
        <f t="shared" si="41"/>
        <v>0</v>
      </c>
      <c r="EO17" s="439">
        <f t="shared" si="42"/>
        <v>0</v>
      </c>
      <c r="EP17" s="439">
        <f t="shared" si="43"/>
        <v>0</v>
      </c>
      <c r="EQ17" s="439">
        <f t="shared" si="44"/>
        <v>0</v>
      </c>
      <c r="ER17" s="442">
        <f t="shared" si="45"/>
        <v>0</v>
      </c>
      <c r="ES17" s="442">
        <f t="shared" si="46"/>
        <v>0</v>
      </c>
      <c r="ET17" s="439">
        <f t="shared" si="47"/>
        <v>0</v>
      </c>
      <c r="EU17" s="439">
        <f t="shared" si="48"/>
        <v>0</v>
      </c>
      <c r="EV17" s="661">
        <f t="shared" si="49"/>
        <v>0</v>
      </c>
      <c r="EW17" s="661">
        <f t="shared" si="50"/>
        <v>0</v>
      </c>
      <c r="EX17" s="439">
        <f t="shared" si="51"/>
        <v>0</v>
      </c>
      <c r="EY17" s="439">
        <f t="shared" si="52"/>
        <v>0</v>
      </c>
      <c r="EZ17" s="439">
        <f t="shared" si="53"/>
        <v>0</v>
      </c>
      <c r="FA17" s="439">
        <f t="shared" si="54"/>
        <v>0</v>
      </c>
      <c r="FB17" s="631" t="s">
        <v>92</v>
      </c>
      <c r="FC17" s="631">
        <f t="shared" si="152"/>
        <v>6.001476484958404E-2</v>
      </c>
      <c r="FE17" s="439">
        <f t="shared" si="56"/>
        <v>0.55083000000000015</v>
      </c>
      <c r="FF17" s="440">
        <f t="shared" si="57"/>
        <v>0.42183000000000015</v>
      </c>
      <c r="FG17" s="439">
        <f t="shared" si="58"/>
        <v>-0.29283000000000015</v>
      </c>
      <c r="FH17" s="441">
        <f t="shared" si="59"/>
        <v>0</v>
      </c>
      <c r="FI17" s="439">
        <f t="shared" si="60"/>
        <v>0</v>
      </c>
      <c r="FJ17" s="439">
        <f t="shared" si="61"/>
        <v>0</v>
      </c>
      <c r="FK17" s="439">
        <f t="shared" si="62"/>
        <v>0</v>
      </c>
      <c r="FL17" s="439">
        <f t="shared" si="63"/>
        <v>0</v>
      </c>
      <c r="FM17" s="439">
        <f t="shared" si="64"/>
        <v>0</v>
      </c>
      <c r="FN17" s="439">
        <f t="shared" si="65"/>
        <v>0</v>
      </c>
      <c r="FO17" s="439">
        <f t="shared" si="66"/>
        <v>0</v>
      </c>
      <c r="FP17" s="439">
        <f t="shared" si="67"/>
        <v>0</v>
      </c>
      <c r="FQ17" s="439">
        <f t="shared" si="68"/>
        <v>0</v>
      </c>
      <c r="FR17" s="439">
        <f t="shared" si="69"/>
        <v>0</v>
      </c>
      <c r="FS17" s="442">
        <f t="shared" si="70"/>
        <v>0</v>
      </c>
      <c r="FT17" s="442">
        <f t="shared" si="71"/>
        <v>0</v>
      </c>
      <c r="FU17" s="439">
        <f t="shared" si="72"/>
        <v>0</v>
      </c>
      <c r="FV17" s="439">
        <f t="shared" si="73"/>
        <v>0</v>
      </c>
      <c r="FW17" s="661">
        <f t="shared" si="74"/>
        <v>0</v>
      </c>
      <c r="FX17" s="661">
        <f t="shared" si="75"/>
        <v>0</v>
      </c>
      <c r="FY17" s="439">
        <f t="shared" si="76"/>
        <v>0</v>
      </c>
      <c r="FZ17" s="439">
        <f t="shared" si="77"/>
        <v>0</v>
      </c>
      <c r="GA17" s="439">
        <f t="shared" si="78"/>
        <v>0</v>
      </c>
      <c r="GB17" s="439">
        <f t="shared" si="79"/>
        <v>0</v>
      </c>
      <c r="GC17" s="631" t="s">
        <v>92</v>
      </c>
      <c r="GD17" s="631">
        <f t="shared" si="153"/>
        <v>5.6100758446350311E-2</v>
      </c>
      <c r="GF17" s="439">
        <f t="shared" si="81"/>
        <v>0.58926000000000012</v>
      </c>
      <c r="GG17" s="440">
        <f t="shared" si="82"/>
        <v>0.45126000000000011</v>
      </c>
      <c r="GH17" s="439">
        <f t="shared" si="83"/>
        <v>-0.31326000000000009</v>
      </c>
      <c r="GI17" s="439">
        <f t="shared" si="84"/>
        <v>0</v>
      </c>
      <c r="GJ17" s="439">
        <f t="shared" si="85"/>
        <v>0</v>
      </c>
      <c r="GK17" s="439">
        <f t="shared" si="86"/>
        <v>0</v>
      </c>
      <c r="GL17" s="439">
        <f t="shared" si="87"/>
        <v>0</v>
      </c>
      <c r="GM17" s="439">
        <f t="shared" si="88"/>
        <v>0</v>
      </c>
      <c r="GN17" s="439">
        <f t="shared" si="89"/>
        <v>0</v>
      </c>
      <c r="GO17" s="439">
        <f t="shared" si="90"/>
        <v>0</v>
      </c>
      <c r="GP17" s="439">
        <f t="shared" si="91"/>
        <v>0</v>
      </c>
      <c r="GQ17" s="439">
        <f t="shared" si="92"/>
        <v>0</v>
      </c>
      <c r="GR17" s="439">
        <f t="shared" si="93"/>
        <v>0</v>
      </c>
      <c r="GS17" s="439">
        <f t="shared" si="94"/>
        <v>0</v>
      </c>
      <c r="GT17" s="442">
        <f t="shared" si="95"/>
        <v>0</v>
      </c>
      <c r="GU17" s="442">
        <f t="shared" si="96"/>
        <v>0</v>
      </c>
      <c r="GV17" s="439">
        <f t="shared" si="97"/>
        <v>0</v>
      </c>
      <c r="GW17" s="439">
        <f t="shared" si="98"/>
        <v>0</v>
      </c>
      <c r="GX17" s="661">
        <f t="shared" si="99"/>
        <v>0</v>
      </c>
      <c r="GY17" s="661">
        <f t="shared" si="100"/>
        <v>0</v>
      </c>
      <c r="GZ17" s="439">
        <f t="shared" si="101"/>
        <v>0</v>
      </c>
      <c r="HA17" s="439">
        <f t="shared" si="102"/>
        <v>0</v>
      </c>
      <c r="HB17" s="439">
        <f t="shared" si="103"/>
        <v>0</v>
      </c>
      <c r="HC17" s="439">
        <f t="shared" si="104"/>
        <v>0</v>
      </c>
      <c r="HD17" s="631" t="s">
        <v>92</v>
      </c>
      <c r="HE17" s="631">
        <f t="shared" si="105"/>
        <v>6.001476484958404E-2</v>
      </c>
      <c r="HG17" s="618">
        <f>HLOOKUP(CQ17,Spec_Sheet!$F$3:$DV$19,11,FALSE)+HLOOKUP(CQ17,Spec_Sheet!$F$3:$DV$21,19,FALSE)</f>
        <v>75</v>
      </c>
      <c r="HH17" s="618">
        <f t="shared" si="154"/>
        <v>25</v>
      </c>
      <c r="HI17" s="634">
        <f t="shared" si="155"/>
        <v>100</v>
      </c>
      <c r="HJ17" s="634">
        <f>HLOOKUP(IF(LEN(CQ17)&gt;6,LEFT(CQ17,5),CQ17),'LSM List Pricing'!$B$1:$BW$2,2,0)</f>
        <v>38</v>
      </c>
      <c r="HK17" s="634">
        <f>HLOOKUP(HJ17,'LSM List Pricing'!$B$2:$BW$3,2)</f>
        <v>500</v>
      </c>
      <c r="HL17" s="634">
        <f>VLOOKUP(HH17,'LSM List Pricing'!$A$7:$BW$87,HJ17,0)</f>
        <v>70</v>
      </c>
      <c r="HM17" s="627">
        <f>VLOOKUP(HI17,'LSM List Pricing'!$A$7:$BW$87,HJ17,1)</f>
        <v>120</v>
      </c>
      <c r="HN17" s="628">
        <f t="shared" si="106"/>
        <v>1.4615384615384615</v>
      </c>
      <c r="HO17" s="628">
        <f t="shared" si="107"/>
        <v>2.9230769230769229</v>
      </c>
      <c r="HP17" s="628">
        <f t="shared" si="108"/>
        <v>2.8717948717948718</v>
      </c>
      <c r="HR17" s="618">
        <v>7.0000000000000001E-3</v>
      </c>
      <c r="HS17" s="618">
        <f t="shared" si="109"/>
        <v>47</v>
      </c>
      <c r="HT17" s="618">
        <f t="shared" si="110"/>
        <v>1</v>
      </c>
      <c r="HU17" s="618">
        <f t="shared" si="156"/>
        <v>0.17788683942250738</v>
      </c>
      <c r="HW17" s="618">
        <f t="shared" si="111"/>
        <v>35.747400688020036</v>
      </c>
      <c r="HX17" s="618">
        <f t="shared" si="112"/>
        <v>0.17721817372991616</v>
      </c>
      <c r="HY17" s="618">
        <f t="shared" si="0"/>
        <v>7.0000000000000001E-3</v>
      </c>
      <c r="IB17" s="618">
        <f t="shared" si="113"/>
        <v>25.000350341399081</v>
      </c>
      <c r="IC17" s="618">
        <f t="shared" si="114"/>
        <v>1E-3</v>
      </c>
      <c r="IE17" s="618">
        <f t="shared" si="115"/>
        <v>0</v>
      </c>
      <c r="IF17" s="618">
        <f t="shared" si="116"/>
        <v>40.704999999999998</v>
      </c>
      <c r="IH17" s="618">
        <f t="shared" si="117"/>
        <v>0</v>
      </c>
      <c r="II17" s="618">
        <f t="shared" si="118"/>
        <v>40.704999999999998</v>
      </c>
      <c r="IK17" s="618">
        <f t="shared" si="119"/>
        <v>0</v>
      </c>
      <c r="IL17" s="618">
        <f t="shared" si="120"/>
        <v>40.704999999999998</v>
      </c>
      <c r="IN17" s="618">
        <f t="shared" si="121"/>
        <v>0</v>
      </c>
      <c r="IO17" s="618">
        <f t="shared" si="122"/>
        <v>40.704999999999998</v>
      </c>
      <c r="IQ17" s="618">
        <f t="shared" si="123"/>
        <v>0</v>
      </c>
      <c r="IR17" s="618">
        <f t="shared" si="124"/>
        <v>40.704999999999998</v>
      </c>
      <c r="IT17" s="660" t="str">
        <f t="shared" si="125"/>
        <v>S080Q 2S</v>
      </c>
      <c r="IU17" s="628"/>
      <c r="IV17" s="439">
        <f t="shared" si="126"/>
        <v>0.71736000000000011</v>
      </c>
      <c r="IW17" s="440">
        <f t="shared" si="127"/>
        <v>0.54936000000000007</v>
      </c>
      <c r="IX17" s="439">
        <f t="shared" si="128"/>
        <v>-0.38136000000000003</v>
      </c>
      <c r="IY17" s="439">
        <f t="shared" si="129"/>
        <v>0</v>
      </c>
      <c r="IZ17" s="439">
        <f t="shared" si="130"/>
        <v>0</v>
      </c>
      <c r="JA17" s="439">
        <f t="shared" si="131"/>
        <v>0</v>
      </c>
      <c r="JB17" s="439">
        <f t="shared" si="132"/>
        <v>0</v>
      </c>
      <c r="JC17" s="439">
        <f t="shared" si="133"/>
        <v>0</v>
      </c>
      <c r="JD17" s="439">
        <f t="shared" si="134"/>
        <v>0</v>
      </c>
      <c r="JE17" s="439">
        <f t="shared" si="135"/>
        <v>0</v>
      </c>
      <c r="JF17" s="439">
        <f t="shared" si="136"/>
        <v>0</v>
      </c>
      <c r="JG17" s="439">
        <f t="shared" si="137"/>
        <v>0</v>
      </c>
      <c r="JH17" s="439">
        <f t="shared" si="138"/>
        <v>0</v>
      </c>
      <c r="JI17" s="439">
        <f t="shared" si="139"/>
        <v>0</v>
      </c>
      <c r="JJ17" s="442">
        <f t="shared" si="140"/>
        <v>0</v>
      </c>
      <c r="JK17" s="442">
        <f t="shared" si="141"/>
        <v>0</v>
      </c>
      <c r="JL17" s="439">
        <f t="shared" si="142"/>
        <v>0</v>
      </c>
      <c r="JM17" s="439">
        <f t="shared" si="143"/>
        <v>0</v>
      </c>
      <c r="JN17" s="661">
        <f t="shared" si="144"/>
        <v>0</v>
      </c>
      <c r="JO17" s="661">
        <f t="shared" si="145"/>
        <v>0</v>
      </c>
      <c r="JP17" s="439">
        <f t="shared" si="146"/>
        <v>0</v>
      </c>
      <c r="JQ17" s="439">
        <f t="shared" si="147"/>
        <v>0</v>
      </c>
      <c r="JR17" s="439">
        <f t="shared" si="148"/>
        <v>0</v>
      </c>
      <c r="JS17" s="439">
        <f t="shared" si="149"/>
        <v>0</v>
      </c>
      <c r="JT17" s="631" t="s">
        <v>92</v>
      </c>
      <c r="JU17" s="631">
        <f t="shared" si="158"/>
        <v>7.3061452860363169E-2</v>
      </c>
      <c r="JW17" s="522"/>
      <c r="JX17" s="522"/>
      <c r="JY17" s="522"/>
      <c r="JZ17" s="522"/>
      <c r="KA17" s="522"/>
      <c r="KB17" s="522"/>
      <c r="KC17" s="522"/>
      <c r="KD17" s="522"/>
      <c r="KE17" s="522"/>
      <c r="KF17" s="522"/>
      <c r="KG17" s="522"/>
      <c r="KH17" s="522"/>
      <c r="KI17" s="522"/>
      <c r="KJ17" s="522"/>
      <c r="KK17" s="522"/>
      <c r="KL17" s="522"/>
    </row>
    <row r="18" spans="1:298" ht="9.9499999999999993" customHeight="1">
      <c r="B18" s="100">
        <v>3</v>
      </c>
      <c r="C18" s="67"/>
      <c r="D18" s="67"/>
      <c r="E18" s="67"/>
      <c r="F18" s="67"/>
      <c r="G18" s="67"/>
      <c r="H18" s="67"/>
      <c r="I18" s="855" t="str">
        <f>IF(J19,IF(K19,"Passed","Passed with low safety Margin"),"Failed due to "&amp;IF(B24="","","Stroke ")&amp;IF(B25="","","Peak Force ")&amp;IF(B26="","","RMS Force ")&amp;IF(B27="","","Voltage ")&amp;IF(B28="","","Coil Temp"))</f>
        <v>Passed</v>
      </c>
      <c r="J18" s="856"/>
      <c r="K18" s="856"/>
      <c r="L18" s="856"/>
      <c r="M18" s="856"/>
      <c r="N18" s="856"/>
      <c r="O18" s="857"/>
      <c r="P18" s="842" t="s">
        <v>23</v>
      </c>
      <c r="Q18" s="753"/>
      <c r="R18" s="753"/>
      <c r="S18" s="753"/>
      <c r="T18" s="753"/>
      <c r="U18" s="740">
        <v>-182</v>
      </c>
      <c r="V18" s="740"/>
      <c r="W18" s="724" t="s">
        <v>24</v>
      </c>
      <c r="X18" s="724"/>
      <c r="Y18" s="71" t="s">
        <v>309</v>
      </c>
      <c r="Z18" s="77"/>
      <c r="AA18" s="77"/>
      <c r="AB18" s="77"/>
      <c r="AC18" s="754">
        <f>AC13/U16</f>
        <v>0.50555555555555565</v>
      </c>
      <c r="AD18" s="755">
        <v>1.4</v>
      </c>
      <c r="AE18" s="74" t="s">
        <v>126</v>
      </c>
      <c r="AF18" s="73"/>
      <c r="AG18" s="773" t="s">
        <v>23</v>
      </c>
      <c r="AH18" s="736"/>
      <c r="AI18" s="736"/>
      <c r="AJ18" s="736"/>
      <c r="AK18" s="736"/>
      <c r="AL18" s="760">
        <v>-100</v>
      </c>
      <c r="AM18" s="760"/>
      <c r="AN18" s="751" t="s">
        <v>24</v>
      </c>
      <c r="AO18" s="751"/>
      <c r="AP18" s="71" t="s">
        <v>309</v>
      </c>
      <c r="AQ18" s="77"/>
      <c r="AR18" s="77"/>
      <c r="AS18" s="77"/>
      <c r="AT18" s="754">
        <f>AT13/AL16</f>
        <v>20</v>
      </c>
      <c r="AU18" s="755">
        <v>1.4</v>
      </c>
      <c r="AV18" s="74" t="s">
        <v>126</v>
      </c>
      <c r="AW18" s="548"/>
      <c r="AX18" s="48" t="s">
        <v>293</v>
      </c>
      <c r="AY18" s="48"/>
      <c r="AZ18" s="48"/>
      <c r="BA18" s="48"/>
      <c r="BB18" s="708" t="str">
        <f t="shared" ca="1" si="168"/>
        <v>S080Q</v>
      </c>
      <c r="BC18" s="709"/>
      <c r="BD18" s="710"/>
      <c r="BE18" s="342">
        <f t="shared" ca="1" si="160"/>
        <v>3.2014515982742957E-2</v>
      </c>
      <c r="BF18" s="78">
        <f t="shared" ca="1" si="161"/>
        <v>1.0893828355238918E-2</v>
      </c>
      <c r="BG18" s="490">
        <f t="shared" ca="1" si="162"/>
        <v>2.5692204883720374E-2</v>
      </c>
      <c r="BH18" s="78">
        <f t="shared" ca="1" si="163"/>
        <v>7.3505551019405488E-3</v>
      </c>
      <c r="BI18" s="617">
        <f t="shared" ca="1" si="164"/>
        <v>7.3505551019405488E-3</v>
      </c>
      <c r="BJ18" s="528">
        <f t="shared" ca="1" si="165"/>
        <v>1.4615384615384615</v>
      </c>
      <c r="BK18" s="529">
        <f t="shared" ca="1" si="166"/>
        <v>2.9230769230769229</v>
      </c>
      <c r="BL18" s="530">
        <f t="shared" ca="1" si="167"/>
        <v>2.8717948717948718</v>
      </c>
      <c r="BM18" s="44"/>
      <c r="BN18" s="44"/>
      <c r="BO18" s="70" t="s">
        <v>99</v>
      </c>
      <c r="BP18" s="70"/>
      <c r="BQ18" s="70"/>
      <c r="BR18" s="70"/>
      <c r="BS18" s="70"/>
      <c r="BT18" s="70"/>
      <c r="BU18" s="70"/>
      <c r="BV18" s="79" t="s">
        <v>101</v>
      </c>
      <c r="BW18" s="70"/>
      <c r="BX18" s="70"/>
      <c r="BY18" s="44"/>
      <c r="BZ18" s="44"/>
      <c r="CA18" s="44"/>
      <c r="CB18" s="44"/>
      <c r="CC18" s="44"/>
      <c r="CD18" s="108"/>
      <c r="CE18" s="108"/>
      <c r="CF18" s="109"/>
      <c r="CG18" s="109"/>
      <c r="CH18" s="167"/>
      <c r="CI18" s="100"/>
      <c r="CJ18" s="422"/>
      <c r="CK18" s="422"/>
      <c r="CL18" s="422"/>
      <c r="CM18" s="284"/>
      <c r="CN18" s="377"/>
      <c r="CO18" s="689" t="str">
        <f ca="1"/>
        <v>S120T 1S</v>
      </c>
      <c r="CP18" s="632" t="str">
        <f>IF(OR(CQ18=0,CR18="",CS18&gt;120),"",IF(HLOOKUP(CQ18,Spec_Sheet!$F$3:$ED$19,17,FALSE)&lt;$AC$46,"",CQ18))</f>
        <v>S120D 1S</v>
      </c>
      <c r="CQ18" s="660" t="str">
        <f>IF(Spec_Sheet!A17="","",Spec_Sheet!A17)</f>
        <v>S120D 1S</v>
      </c>
      <c r="CR18" s="660">
        <f>IF(CQ18="",0,HLOOKUP(CQ18,Spec_Sheet!$F$3:$ED$19,2,FALSE))</f>
        <v>4.4400000000000004</v>
      </c>
      <c r="CS18" s="660">
        <f t="shared" si="169"/>
        <v>7.2615713634527155E-3</v>
      </c>
      <c r="CT18" s="621">
        <f t="shared" si="2"/>
        <v>2.0731311347978548E-2</v>
      </c>
      <c r="CU18" s="621">
        <f t="shared" si="3"/>
        <v>7.2615713634527155E-3</v>
      </c>
      <c r="CV18" s="621">
        <f t="shared" si="4"/>
        <v>2.2458201089584434E-2</v>
      </c>
      <c r="CW18" s="621">
        <f t="shared" si="5"/>
        <v>8.2977052084162416E-3</v>
      </c>
      <c r="CX18" s="621">
        <f t="shared" si="157"/>
        <v>6.5298018354472218E-3</v>
      </c>
      <c r="CY18" s="619">
        <f>HLOOKUP(CQ18,Spec_Sheet!$F$3:$ED$19,13,FALSE)</f>
        <v>0.09</v>
      </c>
      <c r="CZ18" s="619">
        <f>VLOOKUP(HH18,'Shaft Weight'!$A$6:$CD$102,HJ18,TRUE)</f>
        <v>0.11</v>
      </c>
      <c r="DA18" s="619">
        <f>VLOOKUP(HI18,'Shaft Weight'!$A$6:$CD$102,HJ18,0)</f>
        <v>0.15</v>
      </c>
      <c r="DB18" s="619">
        <f>HLOOKUP(CQ18,Spec_Sheet!$F$3:$ED$19,6,FALSE)</f>
        <v>5.55</v>
      </c>
      <c r="DC18" s="439">
        <f t="shared" si="6"/>
        <v>0.62768999999999997</v>
      </c>
      <c r="DD18" s="440">
        <f t="shared" si="7"/>
        <v>0.48069000000000001</v>
      </c>
      <c r="DE18" s="439">
        <f t="shared" si="8"/>
        <v>-0.33369000000000004</v>
      </c>
      <c r="DF18" s="439">
        <f t="shared" si="9"/>
        <v>0</v>
      </c>
      <c r="DG18" s="439">
        <f t="shared" si="10"/>
        <v>0</v>
      </c>
      <c r="DH18" s="439">
        <f t="shared" si="11"/>
        <v>0</v>
      </c>
      <c r="DI18" s="439">
        <f t="shared" si="12"/>
        <v>0</v>
      </c>
      <c r="DJ18" s="439">
        <f t="shared" si="13"/>
        <v>0</v>
      </c>
      <c r="DK18" s="439">
        <f t="shared" si="14"/>
        <v>0</v>
      </c>
      <c r="DL18" s="439">
        <f t="shared" si="15"/>
        <v>0</v>
      </c>
      <c r="DM18" s="439">
        <f t="shared" si="16"/>
        <v>0</v>
      </c>
      <c r="DN18" s="439">
        <f t="shared" si="17"/>
        <v>0</v>
      </c>
      <c r="DO18" s="439">
        <f t="shared" si="18"/>
        <v>0</v>
      </c>
      <c r="DP18" s="439">
        <f t="shared" si="19"/>
        <v>0</v>
      </c>
      <c r="DQ18" s="442">
        <f t="shared" si="20"/>
        <v>0</v>
      </c>
      <c r="DR18" s="442">
        <f t="shared" si="21"/>
        <v>0</v>
      </c>
      <c r="DS18" s="439">
        <f t="shared" si="22"/>
        <v>0</v>
      </c>
      <c r="DT18" s="439">
        <f t="shared" si="23"/>
        <v>0</v>
      </c>
      <c r="DU18" s="661">
        <f t="shared" si="24"/>
        <v>0</v>
      </c>
      <c r="DV18" s="661">
        <f t="shared" si="25"/>
        <v>0</v>
      </c>
      <c r="DW18" s="439">
        <f t="shared" si="26"/>
        <v>0</v>
      </c>
      <c r="DX18" s="439">
        <f t="shared" si="27"/>
        <v>0</v>
      </c>
      <c r="DY18" s="439">
        <f t="shared" si="28"/>
        <v>0</v>
      </c>
      <c r="DZ18" s="439">
        <f t="shared" si="29"/>
        <v>0</v>
      </c>
      <c r="EA18" s="631" t="s">
        <v>92</v>
      </c>
      <c r="EB18" s="631">
        <f t="shared" si="151"/>
        <v>6.3928771252817762E-2</v>
      </c>
      <c r="ED18" s="439">
        <f t="shared" si="31"/>
        <v>0.79422000000000015</v>
      </c>
      <c r="EE18" s="440">
        <f t="shared" si="32"/>
        <v>0.60822000000000009</v>
      </c>
      <c r="EF18" s="439">
        <f t="shared" si="33"/>
        <v>-0.4222200000000001</v>
      </c>
      <c r="EG18" s="441">
        <f t="shared" si="34"/>
        <v>0</v>
      </c>
      <c r="EH18" s="439">
        <f t="shared" si="35"/>
        <v>0</v>
      </c>
      <c r="EI18" s="439">
        <f t="shared" si="36"/>
        <v>0</v>
      </c>
      <c r="EJ18" s="439">
        <f t="shared" si="37"/>
        <v>0</v>
      </c>
      <c r="EK18" s="439">
        <f t="shared" si="38"/>
        <v>0</v>
      </c>
      <c r="EL18" s="439">
        <f t="shared" si="39"/>
        <v>0</v>
      </c>
      <c r="EM18" s="439">
        <f t="shared" si="40"/>
        <v>0</v>
      </c>
      <c r="EN18" s="439">
        <f t="shared" si="41"/>
        <v>0</v>
      </c>
      <c r="EO18" s="439">
        <f t="shared" si="42"/>
        <v>0</v>
      </c>
      <c r="EP18" s="439">
        <f t="shared" si="43"/>
        <v>0</v>
      </c>
      <c r="EQ18" s="439">
        <f t="shared" si="44"/>
        <v>0</v>
      </c>
      <c r="ER18" s="442">
        <f t="shared" si="45"/>
        <v>0</v>
      </c>
      <c r="ES18" s="442">
        <f t="shared" si="46"/>
        <v>0</v>
      </c>
      <c r="ET18" s="439">
        <f t="shared" si="47"/>
        <v>0</v>
      </c>
      <c r="EU18" s="439">
        <f t="shared" si="48"/>
        <v>0</v>
      </c>
      <c r="EV18" s="661">
        <f t="shared" si="49"/>
        <v>0</v>
      </c>
      <c r="EW18" s="661">
        <f t="shared" si="50"/>
        <v>0</v>
      </c>
      <c r="EX18" s="439">
        <f t="shared" si="51"/>
        <v>0</v>
      </c>
      <c r="EY18" s="439">
        <f t="shared" si="52"/>
        <v>0</v>
      </c>
      <c r="EZ18" s="439">
        <f t="shared" si="53"/>
        <v>0</v>
      </c>
      <c r="FA18" s="439">
        <f t="shared" si="54"/>
        <v>0</v>
      </c>
      <c r="FB18" s="631" t="s">
        <v>92</v>
      </c>
      <c r="FC18" s="631">
        <f t="shared" si="152"/>
        <v>8.0889465666830668E-2</v>
      </c>
      <c r="FE18" s="439">
        <f t="shared" si="56"/>
        <v>0.65331000000000017</v>
      </c>
      <c r="FF18" s="440">
        <f t="shared" si="57"/>
        <v>0.50031000000000014</v>
      </c>
      <c r="FG18" s="439">
        <f t="shared" si="58"/>
        <v>-0.34731000000000012</v>
      </c>
      <c r="FH18" s="441">
        <f t="shared" si="59"/>
        <v>0</v>
      </c>
      <c r="FI18" s="439">
        <f t="shared" si="60"/>
        <v>0</v>
      </c>
      <c r="FJ18" s="439">
        <f t="shared" si="61"/>
        <v>0</v>
      </c>
      <c r="FK18" s="439">
        <f t="shared" si="62"/>
        <v>0</v>
      </c>
      <c r="FL18" s="439">
        <f t="shared" si="63"/>
        <v>0</v>
      </c>
      <c r="FM18" s="439">
        <f t="shared" si="64"/>
        <v>0</v>
      </c>
      <c r="FN18" s="439">
        <f t="shared" si="65"/>
        <v>0</v>
      </c>
      <c r="FO18" s="439">
        <f t="shared" si="66"/>
        <v>0</v>
      </c>
      <c r="FP18" s="439">
        <f t="shared" si="67"/>
        <v>0</v>
      </c>
      <c r="FQ18" s="439">
        <f t="shared" si="68"/>
        <v>0</v>
      </c>
      <c r="FR18" s="439">
        <f t="shared" si="69"/>
        <v>0</v>
      </c>
      <c r="FS18" s="442">
        <f t="shared" si="70"/>
        <v>0</v>
      </c>
      <c r="FT18" s="442">
        <f t="shared" si="71"/>
        <v>0</v>
      </c>
      <c r="FU18" s="439">
        <f t="shared" si="72"/>
        <v>0</v>
      </c>
      <c r="FV18" s="439">
        <f t="shared" si="73"/>
        <v>0</v>
      </c>
      <c r="FW18" s="661">
        <f t="shared" si="74"/>
        <v>0</v>
      </c>
      <c r="FX18" s="661">
        <f t="shared" si="75"/>
        <v>0</v>
      </c>
      <c r="FY18" s="439">
        <f t="shared" si="76"/>
        <v>0</v>
      </c>
      <c r="FZ18" s="439">
        <f t="shared" si="77"/>
        <v>0</v>
      </c>
      <c r="GA18" s="439">
        <f t="shared" si="78"/>
        <v>0</v>
      </c>
      <c r="GB18" s="439">
        <f t="shared" si="79"/>
        <v>0</v>
      </c>
      <c r="GC18" s="631" t="s">
        <v>92</v>
      </c>
      <c r="GD18" s="631">
        <f t="shared" si="153"/>
        <v>6.6538108854973604E-2</v>
      </c>
      <c r="GF18" s="439">
        <f t="shared" si="81"/>
        <v>0.70455000000000012</v>
      </c>
      <c r="GG18" s="440">
        <f t="shared" si="82"/>
        <v>0.53955000000000009</v>
      </c>
      <c r="GH18" s="439">
        <f t="shared" si="83"/>
        <v>-0.37455000000000005</v>
      </c>
      <c r="GI18" s="439">
        <f t="shared" si="84"/>
        <v>0</v>
      </c>
      <c r="GJ18" s="439">
        <f t="shared" si="85"/>
        <v>0</v>
      </c>
      <c r="GK18" s="439">
        <f t="shared" si="86"/>
        <v>0</v>
      </c>
      <c r="GL18" s="439">
        <f t="shared" si="87"/>
        <v>0</v>
      </c>
      <c r="GM18" s="439">
        <f t="shared" si="88"/>
        <v>0</v>
      </c>
      <c r="GN18" s="439">
        <f t="shared" si="89"/>
        <v>0</v>
      </c>
      <c r="GO18" s="439">
        <f t="shared" si="90"/>
        <v>0</v>
      </c>
      <c r="GP18" s="439">
        <f t="shared" si="91"/>
        <v>0</v>
      </c>
      <c r="GQ18" s="439">
        <f t="shared" si="92"/>
        <v>0</v>
      </c>
      <c r="GR18" s="439">
        <f t="shared" si="93"/>
        <v>0</v>
      </c>
      <c r="GS18" s="439">
        <f t="shared" si="94"/>
        <v>0</v>
      </c>
      <c r="GT18" s="442">
        <f t="shared" si="95"/>
        <v>0</v>
      </c>
      <c r="GU18" s="442">
        <f t="shared" si="96"/>
        <v>0</v>
      </c>
      <c r="GV18" s="439">
        <f t="shared" si="97"/>
        <v>0</v>
      </c>
      <c r="GW18" s="439">
        <f t="shared" si="98"/>
        <v>0</v>
      </c>
      <c r="GX18" s="661">
        <f t="shared" si="99"/>
        <v>0</v>
      </c>
      <c r="GY18" s="661">
        <f t="shared" si="100"/>
        <v>0</v>
      </c>
      <c r="GZ18" s="439">
        <f t="shared" si="101"/>
        <v>0</v>
      </c>
      <c r="HA18" s="439">
        <f t="shared" si="102"/>
        <v>0</v>
      </c>
      <c r="HB18" s="439">
        <f t="shared" si="103"/>
        <v>0</v>
      </c>
      <c r="HC18" s="439">
        <f t="shared" si="104"/>
        <v>0</v>
      </c>
      <c r="HD18" s="631" t="s">
        <v>92</v>
      </c>
      <c r="HE18" s="631">
        <f t="shared" si="105"/>
        <v>7.1756784059285261E-2</v>
      </c>
      <c r="HG18" s="618">
        <f>HLOOKUP(CQ18,Spec_Sheet!$F$3:$DV$19,11,FALSE)+HLOOKUP(CQ18,Spec_Sheet!$F$3:$DV$21,19,FALSE)</f>
        <v>72</v>
      </c>
      <c r="HH18" s="618">
        <f t="shared" si="154"/>
        <v>50</v>
      </c>
      <c r="HI18" s="634">
        <f t="shared" si="155"/>
        <v>100</v>
      </c>
      <c r="HJ18" s="634">
        <f>HLOOKUP(IF(LEN(CQ18)&gt;6,LEFT(CQ18,5),CQ18),'LSM List Pricing'!$B$1:$BW$2,2,0)</f>
        <v>39</v>
      </c>
      <c r="HK18" s="634">
        <f>HLOOKUP(HJ18,'LSM List Pricing'!$B$2:$BW$3,2)</f>
        <v>510</v>
      </c>
      <c r="HL18" s="634">
        <f>VLOOKUP(HH18,'LSM List Pricing'!$A$7:$BW$87,HJ18,0)</f>
        <v>70</v>
      </c>
      <c r="HM18" s="627">
        <f>VLOOKUP(HI18,'LSM List Pricing'!$A$7:$BW$87,HJ18,1)</f>
        <v>90</v>
      </c>
      <c r="HN18" s="628">
        <f t="shared" si="106"/>
        <v>1.4871794871794872</v>
      </c>
      <c r="HO18" s="628">
        <f t="shared" si="107"/>
        <v>2.9743589743589745</v>
      </c>
      <c r="HP18" s="628">
        <f t="shared" si="108"/>
        <v>2.8461538461538463</v>
      </c>
      <c r="HR18" s="618">
        <v>7.4999999999999997E-3</v>
      </c>
      <c r="HS18" s="618">
        <f t="shared" si="109"/>
        <v>50.357142857142854</v>
      </c>
      <c r="HT18" s="618">
        <f t="shared" si="110"/>
        <v>1</v>
      </c>
      <c r="HU18" s="618">
        <f t="shared" si="156"/>
        <v>0.19062588339613218</v>
      </c>
      <c r="HW18" s="618">
        <f t="shared" si="111"/>
        <v>35.729311245577492</v>
      </c>
      <c r="HX18" s="618">
        <f t="shared" si="112"/>
        <v>0.18986143114949222</v>
      </c>
      <c r="HY18" s="618">
        <f t="shared" si="0"/>
        <v>7.4999999999999997E-3</v>
      </c>
      <c r="IB18" s="618">
        <f t="shared" si="113"/>
        <v>25.000350341399081</v>
      </c>
      <c r="IC18" s="618">
        <f t="shared" si="114"/>
        <v>1E-3</v>
      </c>
      <c r="IE18" s="618">
        <f t="shared" si="115"/>
        <v>0</v>
      </c>
      <c r="IF18" s="618">
        <f t="shared" si="116"/>
        <v>40.704999999999998</v>
      </c>
      <c r="IH18" s="618">
        <f t="shared" si="117"/>
        <v>0</v>
      </c>
      <c r="II18" s="618">
        <f t="shared" si="118"/>
        <v>40.704999999999998</v>
      </c>
      <c r="IK18" s="618">
        <f t="shared" si="119"/>
        <v>0</v>
      </c>
      <c r="IL18" s="618">
        <f t="shared" si="120"/>
        <v>40.704999999999998</v>
      </c>
      <c r="IN18" s="618">
        <f t="shared" si="121"/>
        <v>0</v>
      </c>
      <c r="IO18" s="618">
        <f t="shared" si="122"/>
        <v>40.704999999999998</v>
      </c>
      <c r="IQ18" s="618">
        <f t="shared" si="123"/>
        <v>0</v>
      </c>
      <c r="IR18" s="618">
        <f t="shared" si="124"/>
        <v>40.704999999999998</v>
      </c>
      <c r="IT18" s="660" t="str">
        <f t="shared" si="125"/>
        <v>S120D 1S</v>
      </c>
      <c r="IU18" s="628"/>
      <c r="IV18" s="439">
        <f t="shared" si="126"/>
        <v>0.7429800000000002</v>
      </c>
      <c r="IW18" s="440">
        <f t="shared" si="127"/>
        <v>0.56898000000000015</v>
      </c>
      <c r="IX18" s="439">
        <f t="shared" si="128"/>
        <v>-0.39498000000000011</v>
      </c>
      <c r="IY18" s="439">
        <f t="shared" si="129"/>
        <v>0</v>
      </c>
      <c r="IZ18" s="439">
        <f t="shared" si="130"/>
        <v>0</v>
      </c>
      <c r="JA18" s="439">
        <f t="shared" si="131"/>
        <v>0</v>
      </c>
      <c r="JB18" s="439">
        <f t="shared" si="132"/>
        <v>0</v>
      </c>
      <c r="JC18" s="439">
        <f t="shared" si="133"/>
        <v>0</v>
      </c>
      <c r="JD18" s="439">
        <f t="shared" si="134"/>
        <v>0</v>
      </c>
      <c r="JE18" s="439">
        <f t="shared" si="135"/>
        <v>0</v>
      </c>
      <c r="JF18" s="439">
        <f t="shared" si="136"/>
        <v>0</v>
      </c>
      <c r="JG18" s="439">
        <f t="shared" si="137"/>
        <v>0</v>
      </c>
      <c r="JH18" s="439">
        <f t="shared" si="138"/>
        <v>0</v>
      </c>
      <c r="JI18" s="439">
        <f t="shared" si="139"/>
        <v>0</v>
      </c>
      <c r="JJ18" s="442">
        <f t="shared" si="140"/>
        <v>0</v>
      </c>
      <c r="JK18" s="442">
        <f t="shared" si="141"/>
        <v>0</v>
      </c>
      <c r="JL18" s="439">
        <f t="shared" si="142"/>
        <v>0</v>
      </c>
      <c r="JM18" s="439">
        <f t="shared" si="143"/>
        <v>0</v>
      </c>
      <c r="JN18" s="661">
        <f t="shared" si="144"/>
        <v>0</v>
      </c>
      <c r="JO18" s="661">
        <f t="shared" si="145"/>
        <v>0</v>
      </c>
      <c r="JP18" s="439">
        <f t="shared" si="146"/>
        <v>0</v>
      </c>
      <c r="JQ18" s="439">
        <f t="shared" si="147"/>
        <v>0</v>
      </c>
      <c r="JR18" s="439">
        <f t="shared" si="148"/>
        <v>0</v>
      </c>
      <c r="JS18" s="439">
        <f t="shared" si="149"/>
        <v>0</v>
      </c>
      <c r="JT18" s="631" t="s">
        <v>92</v>
      </c>
      <c r="JU18" s="631">
        <f t="shared" si="158"/>
        <v>7.5670790462519011E-2</v>
      </c>
      <c r="JW18" s="522"/>
      <c r="JX18" s="522"/>
      <c r="JY18" s="522"/>
      <c r="JZ18" s="522"/>
      <c r="KA18" s="522"/>
      <c r="KB18" s="522"/>
      <c r="KC18" s="522"/>
      <c r="KD18" s="522"/>
      <c r="KE18" s="522"/>
      <c r="KF18" s="522"/>
      <c r="KG18" s="522"/>
      <c r="KH18" s="522"/>
      <c r="KI18" s="522"/>
      <c r="KJ18" s="522"/>
      <c r="KK18" s="522"/>
      <c r="KL18" s="522"/>
    </row>
    <row r="19" spans="1:298" ht="11.25" customHeight="1">
      <c r="B19" s="100"/>
      <c r="C19" s="67"/>
      <c r="D19" s="457"/>
      <c r="E19" s="457"/>
      <c r="F19" s="457"/>
      <c r="G19" s="457"/>
      <c r="H19" s="457"/>
      <c r="I19" s="272" t="b">
        <v>0</v>
      </c>
      <c r="J19" s="272" t="b">
        <f>IF(B24="",IF(B25="",IF(B27="",IF(B28="",IF(B26="",TRUE)))))</f>
        <v>1</v>
      </c>
      <c r="K19" s="272" t="b">
        <f>IF($AL$42&lt;0.8,TRUE,FALSE)</f>
        <v>1</v>
      </c>
      <c r="L19" s="272"/>
      <c r="M19" s="1030" t="s">
        <v>32</v>
      </c>
      <c r="N19" s="267"/>
      <c r="O19" s="67"/>
      <c r="P19" s="556"/>
      <c r="Q19" s="49"/>
      <c r="R19" s="49"/>
      <c r="S19" s="49"/>
      <c r="T19" s="49"/>
      <c r="U19" s="50"/>
      <c r="V19" s="158" t="b">
        <v>0</v>
      </c>
      <c r="W19" s="95">
        <f>U$18*VLOOKUP(W18,K62:L65,2,FALSE)</f>
        <v>-182</v>
      </c>
      <c r="X19" s="95"/>
      <c r="Y19" s="49"/>
      <c r="Z19" s="49"/>
      <c r="AA19" s="68"/>
      <c r="AB19" s="77"/>
      <c r="AC19" s="754">
        <f>AC18*39.37007874</f>
        <v>19.90376202966667</v>
      </c>
      <c r="AD19" s="755">
        <v>55.118110236</v>
      </c>
      <c r="AE19" s="74" t="s">
        <v>128</v>
      </c>
      <c r="AF19" s="77"/>
      <c r="AG19" s="89"/>
      <c r="AH19" s="90"/>
      <c r="AI19" s="90"/>
      <c r="AJ19" s="90"/>
      <c r="AK19" s="90"/>
      <c r="AL19" s="91"/>
      <c r="AM19" s="159" t="b">
        <v>0</v>
      </c>
      <c r="AN19" s="93">
        <f>AL$18*VLOOKUP(AN18,K62:L65,2,FALSE)</f>
        <v>-100</v>
      </c>
      <c r="AO19" s="90"/>
      <c r="AP19" s="90"/>
      <c r="AQ19" s="90"/>
      <c r="AR19" s="64"/>
      <c r="AS19" s="77"/>
      <c r="AT19" s="754">
        <f>AT18*39.37007874</f>
        <v>787.40157479999993</v>
      </c>
      <c r="AU19" s="755">
        <v>55.118110236</v>
      </c>
      <c r="AV19" s="74" t="s">
        <v>128</v>
      </c>
      <c r="AW19" s="557"/>
      <c r="AX19" s="283" t="s">
        <v>288</v>
      </c>
      <c r="AY19" s="716">
        <f>CD29</f>
        <v>0.08</v>
      </c>
      <c r="AZ19" s="716"/>
      <c r="BA19" s="48"/>
      <c r="BB19" s="708" t="str">
        <f t="shared" ca="1" si="168"/>
        <v>S080Q 1S</v>
      </c>
      <c r="BC19" s="709"/>
      <c r="BD19" s="710"/>
      <c r="BE19" s="342">
        <f t="shared" ca="1" si="160"/>
        <v>3.1963354159541026E-2</v>
      </c>
      <c r="BF19" s="78">
        <f t="shared" ca="1" si="161"/>
        <v>1.0876419123732706E-2</v>
      </c>
      <c r="BG19" s="490">
        <f t="shared" ca="1" si="162"/>
        <v>2.5651146632374736E-2</v>
      </c>
      <c r="BH19" s="78">
        <f t="shared" ca="1" si="163"/>
        <v>7.3388083118043406E-3</v>
      </c>
      <c r="BI19" s="617">
        <f t="shared" ca="1" si="164"/>
        <v>7.3388083118043406E-3</v>
      </c>
      <c r="BJ19" s="528">
        <f t="shared" ca="1" si="165"/>
        <v>1.4615384615384615</v>
      </c>
      <c r="BK19" s="529">
        <f t="shared" ca="1" si="166"/>
        <v>2.9230769230769229</v>
      </c>
      <c r="BL19" s="530">
        <f t="shared" ca="1" si="167"/>
        <v>2.8717948717948718</v>
      </c>
      <c r="BM19" s="46">
        <f>COUNTBLANK(BO19)</f>
        <v>0</v>
      </c>
      <c r="BN19" s="46">
        <f>BO19*VLOOKUP(BQ19,$K$62:$L$65,2,FALSE)</f>
        <v>60</v>
      </c>
      <c r="BO19" s="717">
        <v>60</v>
      </c>
      <c r="BP19" s="717"/>
      <c r="BQ19" s="721" t="s">
        <v>24</v>
      </c>
      <c r="BR19" s="722"/>
      <c r="BS19" s="70" t="s">
        <v>25</v>
      </c>
      <c r="BT19" s="70"/>
      <c r="BU19" s="70"/>
      <c r="BV19" s="79">
        <f>IF(BN19&lt;&gt;0,BN19,IF(BN21&lt;&gt;0,IF(BN20&lt;&gt;0,2*(BN20^2/(BN21*1000)),(1/4.5)*(BN21*1000)*BN22^2),(2/3)*BN20*BN22))</f>
        <v>60</v>
      </c>
      <c r="BW19" s="70"/>
      <c r="BX19" s="70"/>
      <c r="BY19" s="736" t="s">
        <v>307</v>
      </c>
      <c r="BZ19" s="736"/>
      <c r="CA19" s="736"/>
      <c r="CB19" s="736"/>
      <c r="CC19" s="736"/>
      <c r="CD19" s="766">
        <f>BV22/3</f>
        <v>2.1428571428571425E-2</v>
      </c>
      <c r="CE19" s="766"/>
      <c r="CF19" s="83" t="s">
        <v>120</v>
      </c>
      <c r="CG19" s="84"/>
      <c r="CH19" s="165">
        <v>0</v>
      </c>
      <c r="CI19" s="174">
        <v>0</v>
      </c>
      <c r="CJ19" s="420"/>
      <c r="CK19" s="152"/>
      <c r="CL19" s="153"/>
      <c r="CM19" s="155"/>
      <c r="CN19" s="377"/>
      <c r="CO19" s="689" t="str">
        <f ca="1"/>
        <v>L160D</v>
      </c>
      <c r="CP19" s="632" t="str">
        <f>IF(OR(CQ19=0,CR19="",CS19&gt;120),"",IF(HLOOKUP(CQ19,Spec_Sheet!$F$3:$ED$19,17,FALSE)&lt;$AC$46,"",CQ19))</f>
        <v>S120D</v>
      </c>
      <c r="CQ19" s="660" t="str">
        <f>IF(Spec_Sheet!A18="","",Spec_Sheet!A18)</f>
        <v>S120D</v>
      </c>
      <c r="CR19" s="660">
        <f>IF(CQ19="",0,HLOOKUP(CQ19,Spec_Sheet!$F$3:$ED$19,2,FALSE))</f>
        <v>4.5</v>
      </c>
      <c r="CS19" s="660">
        <f t="shared" si="169"/>
        <v>7.0692204064474783E-3</v>
      </c>
      <c r="CT19" s="621">
        <f t="shared" si="2"/>
        <v>2.0182161945160981E-2</v>
      </c>
      <c r="CU19" s="621">
        <f t="shared" si="3"/>
        <v>7.0692204064474783E-3</v>
      </c>
      <c r="CV19" s="621">
        <f t="shared" si="4"/>
        <v>2.1863308296278104E-2</v>
      </c>
      <c r="CW19" s="621">
        <f t="shared" si="5"/>
        <v>8.0779082171177508E-3</v>
      </c>
      <c r="CX19" s="621">
        <f t="shared" si="157"/>
        <v>6.3568346401615995E-3</v>
      </c>
      <c r="CY19" s="619">
        <f>HLOOKUP(CQ19,Spec_Sheet!$F$3:$ED$19,13,FALSE)</f>
        <v>0.09</v>
      </c>
      <c r="CZ19" s="619">
        <f>VLOOKUP(HH19,'Shaft Weight'!$A$6:$CD$102,HJ19,TRUE)</f>
        <v>0.11</v>
      </c>
      <c r="DA19" s="619">
        <f>VLOOKUP(HI19,'Shaft Weight'!$A$6:$CD$102,HJ19,0)</f>
        <v>0.15</v>
      </c>
      <c r="DB19" s="619">
        <f>HLOOKUP(CQ19,Spec_Sheet!$F$3:$ED$19,6,FALSE)</f>
        <v>11.1</v>
      </c>
      <c r="DC19" s="439">
        <f t="shared" si="6"/>
        <v>0.62768999999999997</v>
      </c>
      <c r="DD19" s="440">
        <f t="shared" si="7"/>
        <v>0.48069000000000001</v>
      </c>
      <c r="DE19" s="439">
        <f t="shared" si="8"/>
        <v>-0.33369000000000004</v>
      </c>
      <c r="DF19" s="439">
        <f t="shared" si="9"/>
        <v>0</v>
      </c>
      <c r="DG19" s="439">
        <f t="shared" si="10"/>
        <v>0</v>
      </c>
      <c r="DH19" s="439">
        <f t="shared" si="11"/>
        <v>0</v>
      </c>
      <c r="DI19" s="439">
        <f t="shared" si="12"/>
        <v>0</v>
      </c>
      <c r="DJ19" s="439">
        <f t="shared" si="13"/>
        <v>0</v>
      </c>
      <c r="DK19" s="439">
        <f t="shared" si="14"/>
        <v>0</v>
      </c>
      <c r="DL19" s="439">
        <f t="shared" si="15"/>
        <v>0</v>
      </c>
      <c r="DM19" s="439">
        <f t="shared" si="16"/>
        <v>0</v>
      </c>
      <c r="DN19" s="439">
        <f t="shared" si="17"/>
        <v>0</v>
      </c>
      <c r="DO19" s="439">
        <f t="shared" si="18"/>
        <v>0</v>
      </c>
      <c r="DP19" s="439">
        <f t="shared" si="19"/>
        <v>0</v>
      </c>
      <c r="DQ19" s="442">
        <f t="shared" si="20"/>
        <v>0</v>
      </c>
      <c r="DR19" s="442">
        <f t="shared" si="21"/>
        <v>0</v>
      </c>
      <c r="DS19" s="439">
        <f t="shared" si="22"/>
        <v>0</v>
      </c>
      <c r="DT19" s="439">
        <f t="shared" si="23"/>
        <v>0</v>
      </c>
      <c r="DU19" s="661">
        <f t="shared" si="24"/>
        <v>0</v>
      </c>
      <c r="DV19" s="661">
        <f t="shared" si="25"/>
        <v>0</v>
      </c>
      <c r="DW19" s="439">
        <f t="shared" si="26"/>
        <v>0</v>
      </c>
      <c r="DX19" s="439">
        <f t="shared" si="27"/>
        <v>0</v>
      </c>
      <c r="DY19" s="439">
        <f t="shared" si="28"/>
        <v>0</v>
      </c>
      <c r="DZ19" s="439">
        <f t="shared" si="29"/>
        <v>0</v>
      </c>
      <c r="EA19" s="631" t="s">
        <v>92</v>
      </c>
      <c r="EB19" s="631">
        <f t="shared" si="151"/>
        <v>6.3928771252817762E-2</v>
      </c>
      <c r="ED19" s="439">
        <f t="shared" si="31"/>
        <v>0.79422000000000015</v>
      </c>
      <c r="EE19" s="440">
        <f t="shared" si="32"/>
        <v>0.60822000000000009</v>
      </c>
      <c r="EF19" s="439">
        <f t="shared" si="33"/>
        <v>-0.4222200000000001</v>
      </c>
      <c r="EG19" s="441">
        <f t="shared" si="34"/>
        <v>0</v>
      </c>
      <c r="EH19" s="439">
        <f t="shared" si="35"/>
        <v>0</v>
      </c>
      <c r="EI19" s="439">
        <f t="shared" si="36"/>
        <v>0</v>
      </c>
      <c r="EJ19" s="439">
        <f t="shared" si="37"/>
        <v>0</v>
      </c>
      <c r="EK19" s="439">
        <f t="shared" si="38"/>
        <v>0</v>
      </c>
      <c r="EL19" s="439">
        <f t="shared" si="39"/>
        <v>0</v>
      </c>
      <c r="EM19" s="439">
        <f t="shared" si="40"/>
        <v>0</v>
      </c>
      <c r="EN19" s="439">
        <f t="shared" si="41"/>
        <v>0</v>
      </c>
      <c r="EO19" s="439">
        <f t="shared" si="42"/>
        <v>0</v>
      </c>
      <c r="EP19" s="439">
        <f t="shared" si="43"/>
        <v>0</v>
      </c>
      <c r="EQ19" s="439">
        <f t="shared" si="44"/>
        <v>0</v>
      </c>
      <c r="ER19" s="442">
        <f t="shared" si="45"/>
        <v>0</v>
      </c>
      <c r="ES19" s="442">
        <f t="shared" si="46"/>
        <v>0</v>
      </c>
      <c r="ET19" s="439">
        <f t="shared" si="47"/>
        <v>0</v>
      </c>
      <c r="EU19" s="439">
        <f t="shared" si="48"/>
        <v>0</v>
      </c>
      <c r="EV19" s="661">
        <f t="shared" si="49"/>
        <v>0</v>
      </c>
      <c r="EW19" s="661">
        <f t="shared" si="50"/>
        <v>0</v>
      </c>
      <c r="EX19" s="439">
        <f t="shared" si="51"/>
        <v>0</v>
      </c>
      <c r="EY19" s="439">
        <f t="shared" si="52"/>
        <v>0</v>
      </c>
      <c r="EZ19" s="439">
        <f t="shared" si="53"/>
        <v>0</v>
      </c>
      <c r="FA19" s="439">
        <f t="shared" si="54"/>
        <v>0</v>
      </c>
      <c r="FB19" s="631" t="s">
        <v>92</v>
      </c>
      <c r="FC19" s="631">
        <f t="shared" si="152"/>
        <v>8.0889465666830668E-2</v>
      </c>
      <c r="FE19" s="439">
        <f t="shared" si="56"/>
        <v>0.65331000000000017</v>
      </c>
      <c r="FF19" s="440">
        <f t="shared" si="57"/>
        <v>0.50031000000000014</v>
      </c>
      <c r="FG19" s="439">
        <f t="shared" si="58"/>
        <v>-0.34731000000000012</v>
      </c>
      <c r="FH19" s="441">
        <f t="shared" si="59"/>
        <v>0</v>
      </c>
      <c r="FI19" s="439">
        <f t="shared" si="60"/>
        <v>0</v>
      </c>
      <c r="FJ19" s="439">
        <f t="shared" si="61"/>
        <v>0</v>
      </c>
      <c r="FK19" s="439">
        <f t="shared" si="62"/>
        <v>0</v>
      </c>
      <c r="FL19" s="439">
        <f t="shared" si="63"/>
        <v>0</v>
      </c>
      <c r="FM19" s="439">
        <f t="shared" si="64"/>
        <v>0</v>
      </c>
      <c r="FN19" s="439">
        <f t="shared" si="65"/>
        <v>0</v>
      </c>
      <c r="FO19" s="439">
        <f t="shared" si="66"/>
        <v>0</v>
      </c>
      <c r="FP19" s="439">
        <f t="shared" si="67"/>
        <v>0</v>
      </c>
      <c r="FQ19" s="439">
        <f t="shared" si="68"/>
        <v>0</v>
      </c>
      <c r="FR19" s="439">
        <f t="shared" si="69"/>
        <v>0</v>
      </c>
      <c r="FS19" s="442">
        <f t="shared" si="70"/>
        <v>0</v>
      </c>
      <c r="FT19" s="442">
        <f t="shared" si="71"/>
        <v>0</v>
      </c>
      <c r="FU19" s="439">
        <f t="shared" si="72"/>
        <v>0</v>
      </c>
      <c r="FV19" s="439">
        <f t="shared" si="73"/>
        <v>0</v>
      </c>
      <c r="FW19" s="661">
        <f t="shared" si="74"/>
        <v>0</v>
      </c>
      <c r="FX19" s="661">
        <f t="shared" si="75"/>
        <v>0</v>
      </c>
      <c r="FY19" s="439">
        <f t="shared" si="76"/>
        <v>0</v>
      </c>
      <c r="FZ19" s="439">
        <f t="shared" si="77"/>
        <v>0</v>
      </c>
      <c r="GA19" s="439">
        <f t="shared" si="78"/>
        <v>0</v>
      </c>
      <c r="GB19" s="439">
        <f t="shared" si="79"/>
        <v>0</v>
      </c>
      <c r="GC19" s="631" t="s">
        <v>92</v>
      </c>
      <c r="GD19" s="631">
        <f t="shared" si="153"/>
        <v>6.6538108854973604E-2</v>
      </c>
      <c r="GF19" s="439">
        <f t="shared" si="81"/>
        <v>0.70455000000000012</v>
      </c>
      <c r="GG19" s="440">
        <f t="shared" si="82"/>
        <v>0.53955000000000009</v>
      </c>
      <c r="GH19" s="439">
        <f t="shared" si="83"/>
        <v>-0.37455000000000005</v>
      </c>
      <c r="GI19" s="439">
        <f t="shared" si="84"/>
        <v>0</v>
      </c>
      <c r="GJ19" s="439">
        <f t="shared" si="85"/>
        <v>0</v>
      </c>
      <c r="GK19" s="439">
        <f t="shared" si="86"/>
        <v>0</v>
      </c>
      <c r="GL19" s="439">
        <f t="shared" si="87"/>
        <v>0</v>
      </c>
      <c r="GM19" s="439">
        <f t="shared" si="88"/>
        <v>0</v>
      </c>
      <c r="GN19" s="439">
        <f t="shared" si="89"/>
        <v>0</v>
      </c>
      <c r="GO19" s="439">
        <f t="shared" si="90"/>
        <v>0</v>
      </c>
      <c r="GP19" s="439">
        <f t="shared" si="91"/>
        <v>0</v>
      </c>
      <c r="GQ19" s="439">
        <f t="shared" si="92"/>
        <v>0</v>
      </c>
      <c r="GR19" s="439">
        <f t="shared" si="93"/>
        <v>0</v>
      </c>
      <c r="GS19" s="439">
        <f t="shared" si="94"/>
        <v>0</v>
      </c>
      <c r="GT19" s="442">
        <f t="shared" si="95"/>
        <v>0</v>
      </c>
      <c r="GU19" s="442">
        <f t="shared" si="96"/>
        <v>0</v>
      </c>
      <c r="GV19" s="439">
        <f t="shared" si="97"/>
        <v>0</v>
      </c>
      <c r="GW19" s="439">
        <f t="shared" si="98"/>
        <v>0</v>
      </c>
      <c r="GX19" s="661">
        <f t="shared" si="99"/>
        <v>0</v>
      </c>
      <c r="GY19" s="661">
        <f t="shared" si="100"/>
        <v>0</v>
      </c>
      <c r="GZ19" s="439">
        <f t="shared" si="101"/>
        <v>0</v>
      </c>
      <c r="HA19" s="439">
        <f t="shared" si="102"/>
        <v>0</v>
      </c>
      <c r="HB19" s="439">
        <f t="shared" si="103"/>
        <v>0</v>
      </c>
      <c r="HC19" s="439">
        <f t="shared" si="104"/>
        <v>0</v>
      </c>
      <c r="HD19" s="631" t="s">
        <v>92</v>
      </c>
      <c r="HE19" s="631">
        <f t="shared" si="105"/>
        <v>7.1756784059285261E-2</v>
      </c>
      <c r="HG19" s="618">
        <f>HLOOKUP(CQ19,Spec_Sheet!$F$3:$DV$19,11,FALSE)+HLOOKUP(CQ19,Spec_Sheet!$F$3:$DV$21,19,FALSE)</f>
        <v>72</v>
      </c>
      <c r="HH19" s="618">
        <f t="shared" si="154"/>
        <v>50</v>
      </c>
      <c r="HI19" s="634">
        <f t="shared" si="155"/>
        <v>100</v>
      </c>
      <c r="HJ19" s="634">
        <f>HLOOKUP(IF(LEN(CQ19)&gt;6,LEFT(CQ19,5),CQ19),'LSM List Pricing'!$B$1:$BW$2,2,0)</f>
        <v>39</v>
      </c>
      <c r="HK19" s="634">
        <f>HLOOKUP(HJ19,'LSM List Pricing'!$B$2:$BW$3,2)</f>
        <v>510</v>
      </c>
      <c r="HL19" s="634">
        <f>VLOOKUP(HH19,'LSM List Pricing'!$A$7:$BW$87,HJ19,0)</f>
        <v>70</v>
      </c>
      <c r="HM19" s="627">
        <f>VLOOKUP(HI19,'LSM List Pricing'!$A$7:$BW$87,HJ19,1)</f>
        <v>90</v>
      </c>
      <c r="HN19" s="628">
        <f t="shared" si="106"/>
        <v>1.4871794871794872</v>
      </c>
      <c r="HO19" s="628">
        <f t="shared" si="107"/>
        <v>2.9743589743589745</v>
      </c>
      <c r="HP19" s="628">
        <f t="shared" si="108"/>
        <v>2.8461538461538463</v>
      </c>
      <c r="HR19" s="618">
        <v>8.0000000000000002E-3</v>
      </c>
      <c r="HS19" s="618">
        <f t="shared" si="109"/>
        <v>53.714285714285715</v>
      </c>
      <c r="HT19" s="618">
        <f t="shared" si="110"/>
        <v>1</v>
      </c>
      <c r="HU19" s="618">
        <f t="shared" ref="HU19:HU82" si="170">(((($AQ$45*HT19)*$AQ$34)/(Mc+ML)))*(HR19-HR18)+HU18</f>
        <v>0.20336492736975698</v>
      </c>
      <c r="HW19" s="618">
        <f t="shared" si="111"/>
        <v>35.711221803134947</v>
      </c>
      <c r="HX19" s="618">
        <f t="shared" ref="HX19:HX82" si="171">IF(HW19&lt;0,HX18,(((HW19/$AQ$44*HT19)*$AQ$34)/(Mc+ML))*(HR19-HR18)+HX18)</f>
        <v>0.20249828739677014</v>
      </c>
      <c r="HY19" s="618">
        <f t="shared" ref="HY19:HY82" si="172">HR19</f>
        <v>8.0000000000000002E-3</v>
      </c>
      <c r="IB19" s="618">
        <f t="shared" si="113"/>
        <v>25.000350341399081</v>
      </c>
      <c r="IC19" s="618">
        <f t="shared" si="114"/>
        <v>1E-3</v>
      </c>
      <c r="IE19" s="618">
        <f t="shared" si="115"/>
        <v>0</v>
      </c>
      <c r="IF19" s="618">
        <f t="shared" si="116"/>
        <v>40.704999999999998</v>
      </c>
      <c r="IH19" s="618">
        <f t="shared" si="117"/>
        <v>0</v>
      </c>
      <c r="II19" s="618">
        <f t="shared" si="118"/>
        <v>40.704999999999998</v>
      </c>
      <c r="IK19" s="618">
        <f t="shared" si="119"/>
        <v>0</v>
      </c>
      <c r="IL19" s="618">
        <f t="shared" si="120"/>
        <v>40.704999999999998</v>
      </c>
      <c r="IN19" s="618">
        <f t="shared" si="121"/>
        <v>0</v>
      </c>
      <c r="IO19" s="618">
        <f t="shared" si="122"/>
        <v>40.704999999999998</v>
      </c>
      <c r="IQ19" s="618">
        <f t="shared" si="123"/>
        <v>0</v>
      </c>
      <c r="IR19" s="618">
        <f t="shared" si="124"/>
        <v>40.704999999999998</v>
      </c>
      <c r="IT19" s="660" t="str">
        <f t="shared" si="125"/>
        <v>S120D</v>
      </c>
      <c r="IU19" s="628"/>
      <c r="IV19" s="439">
        <f t="shared" si="126"/>
        <v>0.7429800000000002</v>
      </c>
      <c r="IW19" s="440">
        <f t="shared" si="127"/>
        <v>0.56898000000000015</v>
      </c>
      <c r="IX19" s="439">
        <f t="shared" si="128"/>
        <v>-0.39498000000000011</v>
      </c>
      <c r="IY19" s="439">
        <f t="shared" si="129"/>
        <v>0</v>
      </c>
      <c r="IZ19" s="439">
        <f t="shared" si="130"/>
        <v>0</v>
      </c>
      <c r="JA19" s="439">
        <f t="shared" si="131"/>
        <v>0</v>
      </c>
      <c r="JB19" s="439">
        <f t="shared" si="132"/>
        <v>0</v>
      </c>
      <c r="JC19" s="439">
        <f t="shared" si="133"/>
        <v>0</v>
      </c>
      <c r="JD19" s="439">
        <f t="shared" si="134"/>
        <v>0</v>
      </c>
      <c r="JE19" s="439">
        <f t="shared" si="135"/>
        <v>0</v>
      </c>
      <c r="JF19" s="439">
        <f t="shared" si="136"/>
        <v>0</v>
      </c>
      <c r="JG19" s="439">
        <f t="shared" si="137"/>
        <v>0</v>
      </c>
      <c r="JH19" s="439">
        <f t="shared" si="138"/>
        <v>0</v>
      </c>
      <c r="JI19" s="439">
        <f t="shared" si="139"/>
        <v>0</v>
      </c>
      <c r="JJ19" s="442">
        <f t="shared" si="140"/>
        <v>0</v>
      </c>
      <c r="JK19" s="442">
        <f t="shared" si="141"/>
        <v>0</v>
      </c>
      <c r="JL19" s="439">
        <f t="shared" si="142"/>
        <v>0</v>
      </c>
      <c r="JM19" s="439">
        <f t="shared" si="143"/>
        <v>0</v>
      </c>
      <c r="JN19" s="661">
        <f t="shared" si="144"/>
        <v>0</v>
      </c>
      <c r="JO19" s="661">
        <f t="shared" si="145"/>
        <v>0</v>
      </c>
      <c r="JP19" s="439">
        <f t="shared" si="146"/>
        <v>0</v>
      </c>
      <c r="JQ19" s="439">
        <f t="shared" si="147"/>
        <v>0</v>
      </c>
      <c r="JR19" s="439">
        <f t="shared" si="148"/>
        <v>0</v>
      </c>
      <c r="JS19" s="439">
        <f t="shared" si="149"/>
        <v>0</v>
      </c>
      <c r="JT19" s="631" t="s">
        <v>92</v>
      </c>
      <c r="JU19" s="631">
        <f t="shared" si="158"/>
        <v>7.5670790462519011E-2</v>
      </c>
      <c r="JW19" s="522"/>
      <c r="JX19" s="522"/>
      <c r="JY19" s="522"/>
      <c r="JZ19" s="522"/>
      <c r="KA19" s="522"/>
      <c r="KB19" s="522"/>
      <c r="KC19" s="522"/>
      <c r="KD19" s="522"/>
      <c r="KE19" s="522"/>
      <c r="KF19" s="522"/>
      <c r="KG19" s="522"/>
      <c r="KH19" s="522"/>
      <c r="KI19" s="522"/>
      <c r="KJ19" s="522"/>
      <c r="KK19" s="522"/>
      <c r="KL19" s="522"/>
    </row>
    <row r="20" spans="1:298" ht="9.9499999999999993" customHeight="1">
      <c r="B20" s="100"/>
      <c r="C20" s="67"/>
      <c r="D20" s="458">
        <f>D22*VLOOKUP(F22,K62:L65,2,FALSE)</f>
        <v>0</v>
      </c>
      <c r="E20" s="457"/>
      <c r="F20" s="457"/>
      <c r="G20" s="457"/>
      <c r="H20" s="459"/>
      <c r="I20" s="48" t="str">
        <f>"Duty Cycle Power: "&amp;LEFT((AC37/AI32)^2*100,4)&amp;"%"</f>
        <v>Duty Cycle Power: 0.10%</v>
      </c>
      <c r="J20" s="273"/>
      <c r="K20" s="273"/>
      <c r="L20" s="273"/>
      <c r="M20" s="273"/>
      <c r="N20" s="273"/>
      <c r="O20" s="273"/>
      <c r="P20" s="558"/>
      <c r="Q20" s="110"/>
      <c r="R20" s="110"/>
      <c r="S20" s="110"/>
      <c r="T20" s="110"/>
      <c r="U20" s="111"/>
      <c r="V20" s="111"/>
      <c r="W20" s="110"/>
      <c r="X20" s="110"/>
      <c r="Y20" s="112"/>
      <c r="Z20" s="112"/>
      <c r="AA20" s="112"/>
      <c r="AB20" s="113"/>
      <c r="AC20" s="758">
        <f>AC18*0.1019716213</f>
        <v>5.1552319657222227E-2</v>
      </c>
      <c r="AD20" s="759">
        <v>0.14276026982000001</v>
      </c>
      <c r="AE20" s="114" t="s">
        <v>110</v>
      </c>
      <c r="AF20" s="113"/>
      <c r="AG20" s="115"/>
      <c r="AH20" s="116"/>
      <c r="AI20" s="116"/>
      <c r="AJ20" s="116"/>
      <c r="AK20" s="116"/>
      <c r="AL20" s="117"/>
      <c r="AM20" s="117"/>
      <c r="AN20" s="116"/>
      <c r="AO20" s="116"/>
      <c r="AP20" s="112"/>
      <c r="AQ20" s="112"/>
      <c r="AR20" s="112"/>
      <c r="AS20" s="113"/>
      <c r="AT20" s="758">
        <f>AT18*0.1019716213</f>
        <v>2.0394324259999999</v>
      </c>
      <c r="AU20" s="759">
        <v>0.14276026982000001</v>
      </c>
      <c r="AV20" s="114" t="s">
        <v>110</v>
      </c>
      <c r="AW20" s="559"/>
      <c r="AX20" s="283" t="s">
        <v>289</v>
      </c>
      <c r="AY20" s="716">
        <f>CD30</f>
        <v>0.54500000000000004</v>
      </c>
      <c r="AZ20" s="716"/>
      <c r="BA20" s="67"/>
      <c r="BB20" s="708" t="str">
        <f t="shared" ca="1" si="168"/>
        <v>S080Q 2S</v>
      </c>
      <c r="BC20" s="709"/>
      <c r="BD20" s="710"/>
      <c r="BE20" s="342">
        <f t="shared" ca="1" si="160"/>
        <v>3.1963354159541026E-2</v>
      </c>
      <c r="BF20" s="78">
        <f t="shared" ca="1" si="161"/>
        <v>1.0876419123732706E-2</v>
      </c>
      <c r="BG20" s="490">
        <f t="shared" ca="1" si="162"/>
        <v>2.5651146632374736E-2</v>
      </c>
      <c r="BH20" s="78">
        <f t="shared" ca="1" si="163"/>
        <v>7.3388083118043406E-3</v>
      </c>
      <c r="BI20" s="617">
        <f t="shared" ca="1" si="164"/>
        <v>7.3388083118043406E-3</v>
      </c>
      <c r="BJ20" s="528">
        <f t="shared" ca="1" si="165"/>
        <v>1.4615384615384615</v>
      </c>
      <c r="BK20" s="529">
        <f t="shared" ca="1" si="166"/>
        <v>2.9230769230769229</v>
      </c>
      <c r="BL20" s="530">
        <f t="shared" ca="1" si="167"/>
        <v>2.8717948717948718</v>
      </c>
      <c r="BM20" s="46">
        <f>COUNTBLANK(BO20)</f>
        <v>0</v>
      </c>
      <c r="BN20" s="46">
        <f>BO20*VLOOKUP(BQ20,$H$62:$I$68,2,FALSE)</f>
        <v>1400</v>
      </c>
      <c r="BO20" s="717">
        <v>1.4</v>
      </c>
      <c r="BP20" s="717"/>
      <c r="BQ20" s="721" t="s">
        <v>108</v>
      </c>
      <c r="BR20" s="722"/>
      <c r="BS20" s="70" t="s">
        <v>47</v>
      </c>
      <c r="BT20" s="70"/>
      <c r="BU20" s="70"/>
      <c r="BV20" s="79"/>
      <c r="BW20" s="70"/>
      <c r="BX20" s="70"/>
      <c r="BY20" s="736" t="s">
        <v>18</v>
      </c>
      <c r="BZ20" s="736"/>
      <c r="CA20" s="736"/>
      <c r="CB20" s="736"/>
      <c r="CC20" s="736"/>
      <c r="CD20" s="766">
        <f>CD19</f>
        <v>2.1428571428571425E-2</v>
      </c>
      <c r="CE20" s="766"/>
      <c r="CF20" s="83" t="s">
        <v>120</v>
      </c>
      <c r="CG20" s="84"/>
      <c r="CH20" s="165">
        <f>CD19</f>
        <v>2.1428571428571425E-2</v>
      </c>
      <c r="CI20" s="174">
        <f>((CD22/(CD19+CD20))+(CD22/(CD21+CD20)))/2</f>
        <v>1400.0000000000002</v>
      </c>
      <c r="CJ20" s="420"/>
      <c r="CK20" s="152"/>
      <c r="CL20" s="153"/>
      <c r="CM20" s="155"/>
      <c r="CN20" s="377"/>
      <c r="CO20" s="689" t="str">
        <f ca="1"/>
        <v>S120Q 1S</v>
      </c>
      <c r="CP20" s="632" t="str">
        <f>IF(OR(CQ20=0,CR20="",CS20&gt;120),"",IF(HLOOKUP(CQ20,Spec_Sheet!$F$3:$ED$19,17,FALSE)&lt;$AC$46,"",CQ20))</f>
        <v>S120T</v>
      </c>
      <c r="CQ20" s="660" t="str">
        <f>IF(Spec_Sheet!A19="","",Spec_Sheet!A19)</f>
        <v>S120T</v>
      </c>
      <c r="CR20" s="660">
        <f>IF(CQ20="",0,HLOOKUP(CQ20,Spec_Sheet!$F$3:$ED$19,2,FALSE))</f>
        <v>6.6</v>
      </c>
      <c r="CS20" s="660">
        <f t="shared" si="169"/>
        <v>4.001406191088676E-3</v>
      </c>
      <c r="CT20" s="621">
        <f t="shared" si="2"/>
        <v>1.0566213223343533E-2</v>
      </c>
      <c r="CU20" s="621">
        <f t="shared" si="3"/>
        <v>4.001406191088676E-3</v>
      </c>
      <c r="CV20" s="621">
        <f t="shared" si="4"/>
        <v>1.0976513662859469E-2</v>
      </c>
      <c r="CW20" s="621">
        <f t="shared" si="5"/>
        <v>4.2554017012652028E-3</v>
      </c>
      <c r="CX20" s="621">
        <f t="shared" si="157"/>
        <v>3.6350665129494513E-3</v>
      </c>
      <c r="CY20" s="619">
        <f>HLOOKUP(CQ20,Spec_Sheet!$F$3:$ED$19,13,FALSE)</f>
        <v>0.12</v>
      </c>
      <c r="CZ20" s="619">
        <f>VLOOKUP(HH20,'Shaft Weight'!$A$6:$CD$102,HJ20,TRUE)</f>
        <v>0.13</v>
      </c>
      <c r="DA20" s="619">
        <f>VLOOKUP(HI20,'Shaft Weight'!$A$6:$CD$102,HJ20,0)</f>
        <v>0.21</v>
      </c>
      <c r="DB20" s="619">
        <f>HLOOKUP(CQ20,Spec_Sheet!$F$3:$ED$19,6,FALSE)</f>
        <v>16.5</v>
      </c>
      <c r="DC20" s="439">
        <f t="shared" si="6"/>
        <v>0.66612000000000005</v>
      </c>
      <c r="DD20" s="440">
        <f t="shared" si="7"/>
        <v>0.51012000000000002</v>
      </c>
      <c r="DE20" s="439">
        <f t="shared" si="8"/>
        <v>-0.35411999999999999</v>
      </c>
      <c r="DF20" s="439">
        <f t="shared" si="9"/>
        <v>0</v>
      </c>
      <c r="DG20" s="439">
        <f t="shared" si="10"/>
        <v>0</v>
      </c>
      <c r="DH20" s="439">
        <f t="shared" si="11"/>
        <v>0</v>
      </c>
      <c r="DI20" s="439">
        <f t="shared" si="12"/>
        <v>0</v>
      </c>
      <c r="DJ20" s="439">
        <f t="shared" si="13"/>
        <v>0</v>
      </c>
      <c r="DK20" s="439">
        <f t="shared" si="14"/>
        <v>0</v>
      </c>
      <c r="DL20" s="439">
        <f t="shared" si="15"/>
        <v>0</v>
      </c>
      <c r="DM20" s="439">
        <f t="shared" si="16"/>
        <v>0</v>
      </c>
      <c r="DN20" s="439">
        <f t="shared" si="17"/>
        <v>0</v>
      </c>
      <c r="DO20" s="439">
        <f t="shared" si="18"/>
        <v>0</v>
      </c>
      <c r="DP20" s="439">
        <f t="shared" si="19"/>
        <v>0</v>
      </c>
      <c r="DQ20" s="442">
        <f t="shared" si="20"/>
        <v>0</v>
      </c>
      <c r="DR20" s="442">
        <f t="shared" si="21"/>
        <v>0</v>
      </c>
      <c r="DS20" s="439">
        <f t="shared" si="22"/>
        <v>0</v>
      </c>
      <c r="DT20" s="439">
        <f t="shared" si="23"/>
        <v>0</v>
      </c>
      <c r="DU20" s="661">
        <f t="shared" si="24"/>
        <v>0</v>
      </c>
      <c r="DV20" s="661">
        <f t="shared" si="25"/>
        <v>0</v>
      </c>
      <c r="DW20" s="439">
        <f t="shared" si="26"/>
        <v>0</v>
      </c>
      <c r="DX20" s="439">
        <f t="shared" si="27"/>
        <v>0</v>
      </c>
      <c r="DY20" s="439">
        <f t="shared" si="28"/>
        <v>0</v>
      </c>
      <c r="DZ20" s="439">
        <f t="shared" si="29"/>
        <v>0</v>
      </c>
      <c r="EA20" s="631" t="s">
        <v>92</v>
      </c>
      <c r="EB20" s="631">
        <f t="shared" si="151"/>
        <v>6.7842777656051512E-2</v>
      </c>
      <c r="ED20" s="439">
        <f t="shared" si="31"/>
        <v>0.8454600000000001</v>
      </c>
      <c r="EE20" s="440">
        <f t="shared" si="32"/>
        <v>0.64746000000000015</v>
      </c>
      <c r="EF20" s="439">
        <f t="shared" si="33"/>
        <v>-0.44946000000000014</v>
      </c>
      <c r="EG20" s="441">
        <f t="shared" si="34"/>
        <v>0</v>
      </c>
      <c r="EH20" s="439">
        <f t="shared" si="35"/>
        <v>0</v>
      </c>
      <c r="EI20" s="439">
        <f t="shared" si="36"/>
        <v>0</v>
      </c>
      <c r="EJ20" s="439">
        <f t="shared" si="37"/>
        <v>0</v>
      </c>
      <c r="EK20" s="439">
        <f t="shared" si="38"/>
        <v>0</v>
      </c>
      <c r="EL20" s="439">
        <f t="shared" si="39"/>
        <v>0</v>
      </c>
      <c r="EM20" s="439">
        <f t="shared" si="40"/>
        <v>0</v>
      </c>
      <c r="EN20" s="439">
        <f t="shared" si="41"/>
        <v>0</v>
      </c>
      <c r="EO20" s="439">
        <f t="shared" si="42"/>
        <v>0</v>
      </c>
      <c r="EP20" s="439">
        <f t="shared" si="43"/>
        <v>0</v>
      </c>
      <c r="EQ20" s="439">
        <f t="shared" si="44"/>
        <v>0</v>
      </c>
      <c r="ER20" s="442">
        <f t="shared" si="45"/>
        <v>0</v>
      </c>
      <c r="ES20" s="442">
        <f t="shared" si="46"/>
        <v>0</v>
      </c>
      <c r="ET20" s="439">
        <f t="shared" si="47"/>
        <v>0</v>
      </c>
      <c r="EU20" s="439">
        <f t="shared" si="48"/>
        <v>0</v>
      </c>
      <c r="EV20" s="661">
        <f t="shared" si="49"/>
        <v>0</v>
      </c>
      <c r="EW20" s="661">
        <f t="shared" si="50"/>
        <v>0</v>
      </c>
      <c r="EX20" s="439">
        <f t="shared" si="51"/>
        <v>0</v>
      </c>
      <c r="EY20" s="439">
        <f t="shared" si="52"/>
        <v>0</v>
      </c>
      <c r="EZ20" s="439">
        <f t="shared" si="53"/>
        <v>0</v>
      </c>
      <c r="FA20" s="439">
        <f t="shared" si="54"/>
        <v>0</v>
      </c>
      <c r="FB20" s="631" t="s">
        <v>92</v>
      </c>
      <c r="FC20" s="631">
        <f t="shared" si="152"/>
        <v>8.6108140871142311E-2</v>
      </c>
      <c r="FE20" s="439">
        <f t="shared" si="56"/>
        <v>0.67893000000000014</v>
      </c>
      <c r="FF20" s="440">
        <f t="shared" si="57"/>
        <v>0.51993000000000011</v>
      </c>
      <c r="FG20" s="439">
        <f t="shared" si="58"/>
        <v>-0.36093000000000008</v>
      </c>
      <c r="FH20" s="441">
        <f t="shared" si="59"/>
        <v>0</v>
      </c>
      <c r="FI20" s="439">
        <f t="shared" si="60"/>
        <v>0</v>
      </c>
      <c r="FJ20" s="439">
        <f t="shared" si="61"/>
        <v>0</v>
      </c>
      <c r="FK20" s="439">
        <f t="shared" si="62"/>
        <v>0</v>
      </c>
      <c r="FL20" s="439">
        <f t="shared" si="63"/>
        <v>0</v>
      </c>
      <c r="FM20" s="439">
        <f t="shared" si="64"/>
        <v>0</v>
      </c>
      <c r="FN20" s="439">
        <f t="shared" si="65"/>
        <v>0</v>
      </c>
      <c r="FO20" s="439">
        <f t="shared" si="66"/>
        <v>0</v>
      </c>
      <c r="FP20" s="439">
        <f t="shared" si="67"/>
        <v>0</v>
      </c>
      <c r="FQ20" s="439">
        <f t="shared" si="68"/>
        <v>0</v>
      </c>
      <c r="FR20" s="439">
        <f t="shared" si="69"/>
        <v>0</v>
      </c>
      <c r="FS20" s="442">
        <f t="shared" si="70"/>
        <v>0</v>
      </c>
      <c r="FT20" s="442">
        <f t="shared" si="71"/>
        <v>0</v>
      </c>
      <c r="FU20" s="439">
        <f t="shared" si="72"/>
        <v>0</v>
      </c>
      <c r="FV20" s="439">
        <f t="shared" si="73"/>
        <v>0</v>
      </c>
      <c r="FW20" s="661">
        <f t="shared" si="74"/>
        <v>0</v>
      </c>
      <c r="FX20" s="661">
        <f t="shared" si="75"/>
        <v>0</v>
      </c>
      <c r="FY20" s="439">
        <f t="shared" si="76"/>
        <v>0</v>
      </c>
      <c r="FZ20" s="439">
        <f t="shared" si="77"/>
        <v>0</v>
      </c>
      <c r="GA20" s="439">
        <f t="shared" si="78"/>
        <v>0</v>
      </c>
      <c r="GB20" s="439">
        <f t="shared" si="79"/>
        <v>0</v>
      </c>
      <c r="GC20" s="631" t="s">
        <v>92</v>
      </c>
      <c r="GD20" s="631">
        <f t="shared" si="153"/>
        <v>6.9147446457129447E-2</v>
      </c>
      <c r="GF20" s="439">
        <f t="shared" si="81"/>
        <v>0.78140999999999994</v>
      </c>
      <c r="GG20" s="440">
        <f t="shared" si="82"/>
        <v>0.59841</v>
      </c>
      <c r="GH20" s="439">
        <f t="shared" si="83"/>
        <v>-0.41541</v>
      </c>
      <c r="GI20" s="439">
        <f t="shared" si="84"/>
        <v>0</v>
      </c>
      <c r="GJ20" s="439">
        <f t="shared" si="85"/>
        <v>0</v>
      </c>
      <c r="GK20" s="439">
        <f t="shared" si="86"/>
        <v>0</v>
      </c>
      <c r="GL20" s="439">
        <f t="shared" si="87"/>
        <v>0</v>
      </c>
      <c r="GM20" s="439">
        <f t="shared" si="88"/>
        <v>0</v>
      </c>
      <c r="GN20" s="439">
        <f t="shared" si="89"/>
        <v>0</v>
      </c>
      <c r="GO20" s="439">
        <f t="shared" si="90"/>
        <v>0</v>
      </c>
      <c r="GP20" s="439">
        <f t="shared" si="91"/>
        <v>0</v>
      </c>
      <c r="GQ20" s="439">
        <f t="shared" si="92"/>
        <v>0</v>
      </c>
      <c r="GR20" s="439">
        <f t="shared" si="93"/>
        <v>0</v>
      </c>
      <c r="GS20" s="439">
        <f t="shared" si="94"/>
        <v>0</v>
      </c>
      <c r="GT20" s="442">
        <f t="shared" si="95"/>
        <v>0</v>
      </c>
      <c r="GU20" s="442">
        <f t="shared" si="96"/>
        <v>0</v>
      </c>
      <c r="GV20" s="439">
        <f t="shared" si="97"/>
        <v>0</v>
      </c>
      <c r="GW20" s="439">
        <f t="shared" si="98"/>
        <v>0</v>
      </c>
      <c r="GX20" s="661">
        <f t="shared" si="99"/>
        <v>0</v>
      </c>
      <c r="GY20" s="661">
        <f t="shared" si="100"/>
        <v>0</v>
      </c>
      <c r="GZ20" s="439">
        <f t="shared" si="101"/>
        <v>0</v>
      </c>
      <c r="HA20" s="439">
        <f t="shared" si="102"/>
        <v>0</v>
      </c>
      <c r="HB20" s="439">
        <f t="shared" si="103"/>
        <v>0</v>
      </c>
      <c r="HC20" s="439">
        <f t="shared" si="104"/>
        <v>0</v>
      </c>
      <c r="HD20" s="631" t="s">
        <v>92</v>
      </c>
      <c r="HE20" s="631">
        <f t="shared" si="105"/>
        <v>7.9584796865752719E-2</v>
      </c>
      <c r="HG20" s="618">
        <f>HLOOKUP(CQ20,Spec_Sheet!$F$3:$DV$19,11,FALSE)+HLOOKUP(CQ20,Spec_Sheet!$F$3:$DV$21,19,FALSE)</f>
        <v>96</v>
      </c>
      <c r="HH20" s="618">
        <f t="shared" si="154"/>
        <v>50</v>
      </c>
      <c r="HI20" s="634">
        <f t="shared" si="155"/>
        <v>150</v>
      </c>
      <c r="HJ20" s="634">
        <f>HLOOKUP(IF(LEN(CQ20)&gt;6,LEFT(CQ20,5),CQ20),'LSM List Pricing'!$B$1:$BW$2,2,0)</f>
        <v>40</v>
      </c>
      <c r="HK20" s="634">
        <f>HLOOKUP(HJ20,'LSM List Pricing'!$B$2:$BW$3,2)</f>
        <v>700</v>
      </c>
      <c r="HL20" s="634">
        <f>VLOOKUP(HH20,'LSM List Pricing'!$A$7:$BW$87,HJ20,0)</f>
        <v>80</v>
      </c>
      <c r="HM20" s="627">
        <f>VLOOKUP(HI20,'LSM List Pricing'!$A$7:$BW$87,HJ20,1)</f>
        <v>120</v>
      </c>
      <c r="HN20" s="628">
        <f t="shared" si="106"/>
        <v>2</v>
      </c>
      <c r="HO20" s="628">
        <f t="shared" si="107"/>
        <v>4</v>
      </c>
      <c r="HP20" s="628">
        <f t="shared" si="108"/>
        <v>3.8974358974358974</v>
      </c>
      <c r="HR20" s="618">
        <v>8.5000000000000006E-3</v>
      </c>
      <c r="HS20" s="618">
        <f t="shared" si="109"/>
        <v>57.071428571428577</v>
      </c>
      <c r="HT20" s="618">
        <f t="shared" si="110"/>
        <v>1</v>
      </c>
      <c r="HU20" s="618">
        <f t="shared" si="170"/>
        <v>0.21610397134338177</v>
      </c>
      <c r="HW20" s="618">
        <f t="shared" si="111"/>
        <v>35.693132360692395</v>
      </c>
      <c r="HX20" s="618">
        <f t="shared" si="171"/>
        <v>0.2151287424717499</v>
      </c>
      <c r="HY20" s="618">
        <f t="shared" si="172"/>
        <v>8.5000000000000006E-3</v>
      </c>
      <c r="IB20" s="618">
        <f t="shared" si="113"/>
        <v>25.000350341399081</v>
      </c>
      <c r="IC20" s="618">
        <f t="shared" si="114"/>
        <v>1E-3</v>
      </c>
      <c r="IE20" s="618">
        <f t="shared" si="115"/>
        <v>0</v>
      </c>
      <c r="IF20" s="618">
        <f t="shared" si="116"/>
        <v>40.704999999999998</v>
      </c>
      <c r="IH20" s="618">
        <f t="shared" si="117"/>
        <v>0</v>
      </c>
      <c r="II20" s="618">
        <f t="shared" si="118"/>
        <v>40.704999999999998</v>
      </c>
      <c r="IK20" s="618">
        <f t="shared" si="119"/>
        <v>0</v>
      </c>
      <c r="IL20" s="618">
        <f t="shared" si="120"/>
        <v>40.704999999999998</v>
      </c>
      <c r="IN20" s="618">
        <f t="shared" si="121"/>
        <v>0</v>
      </c>
      <c r="IO20" s="618">
        <f t="shared" si="122"/>
        <v>40.704999999999998</v>
      </c>
      <c r="IQ20" s="618">
        <f t="shared" si="123"/>
        <v>0</v>
      </c>
      <c r="IR20" s="618">
        <f t="shared" si="124"/>
        <v>40.704999999999998</v>
      </c>
      <c r="IT20" s="660" t="str">
        <f t="shared" si="125"/>
        <v>S120T</v>
      </c>
      <c r="IU20" s="628"/>
      <c r="IV20" s="439">
        <f t="shared" si="126"/>
        <v>0.81984000000000012</v>
      </c>
      <c r="IW20" s="440">
        <f t="shared" si="127"/>
        <v>0.62784000000000006</v>
      </c>
      <c r="IX20" s="439">
        <f t="shared" si="128"/>
        <v>-0.43584000000000006</v>
      </c>
      <c r="IY20" s="439">
        <f t="shared" si="129"/>
        <v>0</v>
      </c>
      <c r="IZ20" s="439">
        <f t="shared" si="130"/>
        <v>0</v>
      </c>
      <c r="JA20" s="439">
        <f t="shared" si="131"/>
        <v>0</v>
      </c>
      <c r="JB20" s="439">
        <f t="shared" si="132"/>
        <v>0</v>
      </c>
      <c r="JC20" s="439">
        <f t="shared" si="133"/>
        <v>0</v>
      </c>
      <c r="JD20" s="439">
        <f t="shared" si="134"/>
        <v>0</v>
      </c>
      <c r="JE20" s="439">
        <f t="shared" si="135"/>
        <v>0</v>
      </c>
      <c r="JF20" s="439">
        <f t="shared" si="136"/>
        <v>0</v>
      </c>
      <c r="JG20" s="439">
        <f t="shared" si="137"/>
        <v>0</v>
      </c>
      <c r="JH20" s="439">
        <f t="shared" si="138"/>
        <v>0</v>
      </c>
      <c r="JI20" s="439">
        <f t="shared" si="139"/>
        <v>0</v>
      </c>
      <c r="JJ20" s="442">
        <f t="shared" si="140"/>
        <v>0</v>
      </c>
      <c r="JK20" s="442">
        <f t="shared" si="141"/>
        <v>0</v>
      </c>
      <c r="JL20" s="439">
        <f t="shared" si="142"/>
        <v>0</v>
      </c>
      <c r="JM20" s="439">
        <f t="shared" si="143"/>
        <v>0</v>
      </c>
      <c r="JN20" s="661">
        <f t="shared" si="144"/>
        <v>0</v>
      </c>
      <c r="JO20" s="661">
        <f t="shared" si="145"/>
        <v>0</v>
      </c>
      <c r="JP20" s="439">
        <f t="shared" si="146"/>
        <v>0</v>
      </c>
      <c r="JQ20" s="439">
        <f t="shared" si="147"/>
        <v>0</v>
      </c>
      <c r="JR20" s="439">
        <f t="shared" si="148"/>
        <v>0</v>
      </c>
      <c r="JS20" s="439">
        <f t="shared" si="149"/>
        <v>0</v>
      </c>
      <c r="JT20" s="631" t="s">
        <v>92</v>
      </c>
      <c r="JU20" s="631">
        <f t="shared" si="158"/>
        <v>8.3498803268986482E-2</v>
      </c>
      <c r="JW20" s="522"/>
      <c r="JX20" s="522"/>
      <c r="JY20" s="522"/>
      <c r="JZ20" s="522"/>
      <c r="KA20" s="522"/>
      <c r="KB20" s="522"/>
      <c r="KC20" s="522"/>
      <c r="KD20" s="522"/>
      <c r="KE20" s="522"/>
      <c r="KF20" s="522"/>
      <c r="KG20" s="522"/>
      <c r="KH20" s="522"/>
      <c r="KI20" s="522"/>
      <c r="KJ20" s="522"/>
      <c r="KK20" s="522"/>
      <c r="KL20" s="522"/>
    </row>
    <row r="21" spans="1:298" ht="9.9499999999999993" customHeight="1" thickBot="1">
      <c r="B21" s="100"/>
      <c r="C21" s="67"/>
      <c r="D21" s="460" t="s">
        <v>438</v>
      </c>
      <c r="E21" s="461"/>
      <c r="F21" s="461"/>
      <c r="G21" s="462"/>
      <c r="H21" s="462"/>
      <c r="I21" s="48" t="str">
        <f>"Duty Cycle Motion: "&amp;LEFT((F39/D39)*100,4)&amp;"%"</f>
        <v>Duty Cycle Motion: -22.%</v>
      </c>
      <c r="J21" s="274"/>
      <c r="K21" s="67"/>
      <c r="L21" s="275"/>
      <c r="M21" s="275"/>
      <c r="N21" s="275"/>
      <c r="O21" s="67"/>
      <c r="P21" s="560" t="b">
        <v>0</v>
      </c>
      <c r="Q21" s="107" t="b">
        <f>IF(P13=FALSE,P21="False","")</f>
        <v>0</v>
      </c>
      <c r="R21" s="107"/>
      <c r="S21" s="90"/>
      <c r="T21" s="90"/>
      <c r="U21" s="845" t="s">
        <v>9</v>
      </c>
      <c r="V21" s="845"/>
      <c r="W21" s="118" t="s">
        <v>3</v>
      </c>
      <c r="X21" s="107"/>
      <c r="Y21" s="63" t="s">
        <v>127</v>
      </c>
      <c r="Z21" s="107"/>
      <c r="AA21" s="63"/>
      <c r="AB21" s="63"/>
      <c r="AC21" s="847">
        <f>IF(W27&gt;0,((W27/(U22+U23))+(W27/(U24+U23)))/2*0.001,((-W27/(U22+U23))+(-W27/(U24+U23)))/2*0.001)</f>
        <v>0.1875</v>
      </c>
      <c r="AD21" s="848"/>
      <c r="AE21" s="86" t="s">
        <v>108</v>
      </c>
      <c r="AF21" s="44"/>
      <c r="AG21" s="161" t="b">
        <v>0</v>
      </c>
      <c r="AH21" s="106" t="b">
        <f>IF(AG13=FALSE,AG21="False","")</f>
        <v>0</v>
      </c>
      <c r="AI21" s="106"/>
      <c r="AJ21" s="49"/>
      <c r="AK21" s="49"/>
      <c r="AL21" s="849" t="s">
        <v>9</v>
      </c>
      <c r="AM21" s="849"/>
      <c r="AN21" s="119" t="s">
        <v>3</v>
      </c>
      <c r="AO21" s="106"/>
      <c r="AP21" s="48" t="s">
        <v>127</v>
      </c>
      <c r="AQ21" s="106"/>
      <c r="AR21" s="48"/>
      <c r="AS21" s="48"/>
      <c r="AT21" s="756">
        <f>IF(AN27&gt;0,((AN27/(AL22+AL23))+(AN27/(AL24+AL23)))/2*0.001,((-AN27/(AL22+AL23))+(-AN27/(AL24+AL23)))/2*0.001)</f>
        <v>0.4</v>
      </c>
      <c r="AU21" s="757"/>
      <c r="AV21" s="88" t="s">
        <v>108</v>
      </c>
      <c r="AW21" s="551"/>
      <c r="AX21" s="283" t="s">
        <v>290</v>
      </c>
      <c r="AY21" s="716">
        <f>CD31</f>
        <v>0.08</v>
      </c>
      <c r="AZ21" s="716"/>
      <c r="BA21" s="67"/>
      <c r="BB21" s="708" t="str">
        <f t="shared" ca="1" si="168"/>
        <v>S120D 1S</v>
      </c>
      <c r="BC21" s="709"/>
      <c r="BD21" s="710"/>
      <c r="BE21" s="342">
        <f t="shared" ca="1" si="160"/>
        <v>2.0731311347978548E-2</v>
      </c>
      <c r="BF21" s="78">
        <f t="shared" ca="1" si="161"/>
        <v>7.2615713634527155E-3</v>
      </c>
      <c r="BG21" s="490">
        <f t="shared" ca="1" si="162"/>
        <v>2.2458201089584434E-2</v>
      </c>
      <c r="BH21" s="78">
        <f t="shared" ca="1" si="163"/>
        <v>8.2977052084162416E-3</v>
      </c>
      <c r="BI21" s="617">
        <f t="shared" ca="1" si="164"/>
        <v>6.5298018354472218E-3</v>
      </c>
      <c r="BJ21" s="528">
        <f t="shared" ca="1" si="165"/>
        <v>1.4871794871794872</v>
      </c>
      <c r="BK21" s="529">
        <f t="shared" ca="1" si="166"/>
        <v>2.9743589743589745</v>
      </c>
      <c r="BL21" s="530">
        <f t="shared" ca="1" si="167"/>
        <v>2.8461538461538463</v>
      </c>
      <c r="BM21" s="46">
        <f>COUNTBLANK(BO21)</f>
        <v>1</v>
      </c>
      <c r="BN21" s="46">
        <f>BO21*VLOOKUP(BQ21,$Q$62:$R$67,2,FALSE)</f>
        <v>0</v>
      </c>
      <c r="BO21" s="717"/>
      <c r="BP21" s="717"/>
      <c r="BQ21" s="721" t="s">
        <v>110</v>
      </c>
      <c r="BR21" s="722"/>
      <c r="BS21" s="70" t="s">
        <v>100</v>
      </c>
      <c r="BT21" s="70"/>
      <c r="BU21" s="70"/>
      <c r="BV21" s="79"/>
      <c r="BW21" s="70"/>
      <c r="BX21" s="70"/>
      <c r="BY21" s="736" t="s">
        <v>306</v>
      </c>
      <c r="BZ21" s="736"/>
      <c r="CA21" s="736"/>
      <c r="CB21" s="736"/>
      <c r="CC21" s="736"/>
      <c r="CD21" s="766">
        <f>CD20</f>
        <v>2.1428571428571425E-2</v>
      </c>
      <c r="CE21" s="766"/>
      <c r="CF21" s="83" t="s">
        <v>120</v>
      </c>
      <c r="CG21" s="84"/>
      <c r="CH21" s="166">
        <f>CH20+CD20</f>
        <v>4.2857142857142851E-2</v>
      </c>
      <c r="CI21" s="175">
        <f>CI20</f>
        <v>1400.0000000000002</v>
      </c>
      <c r="CJ21" s="420"/>
      <c r="CK21" s="152"/>
      <c r="CL21" s="153"/>
      <c r="CM21" s="155"/>
      <c r="CN21" s="377"/>
      <c r="CO21" s="689" t="str">
        <f ca="1"/>
        <v>S120Q 2S</v>
      </c>
      <c r="CP21" s="632" t="str">
        <f>IF(OR(CQ21=0,CR21="",CS21&gt;120),"",IF(HLOOKUP(CQ21,Spec_Sheet!$F$3:$ED$19,17,FALSE)&lt;$AC$46,"",CQ21))</f>
        <v>S120T 1S</v>
      </c>
      <c r="CQ21" s="660" t="str">
        <f>IF(Spec_Sheet!A20="","",Spec_Sheet!A20)</f>
        <v>S120T 1S</v>
      </c>
      <c r="CR21" s="660">
        <f>IF(CQ21="",0,HLOOKUP(CQ21,Spec_Sheet!$F$3:$ED$19,2,FALSE))</f>
        <v>6.6000000000000014</v>
      </c>
      <c r="CS21" s="660">
        <f t="shared" si="169"/>
        <v>4.0014061910886734E-3</v>
      </c>
      <c r="CT21" s="621">
        <f t="shared" ref="CT21:CT47" si="173">((EB21/DB21)/(CR21/DB21))^2*100</f>
        <v>1.0566213223343527E-2</v>
      </c>
      <c r="CU21" s="621">
        <f t="shared" si="3"/>
        <v>4.0014061910886734E-3</v>
      </c>
      <c r="CV21" s="621">
        <f t="shared" ref="CV21:CV48" si="174">((GD21/DB21)/(CR21/DB21))^2*100</f>
        <v>1.0976513662859462E-2</v>
      </c>
      <c r="CW21" s="621">
        <f t="shared" ref="CW21:CW48" si="175">((FC21/DB21)/((CR21*2)/DB21))^2*100</f>
        <v>4.255401701265202E-3</v>
      </c>
      <c r="CX21" s="621">
        <f t="shared" si="157"/>
        <v>3.63506651294945E-3</v>
      </c>
      <c r="CY21" s="619">
        <f>HLOOKUP(CQ21,Spec_Sheet!$F$3:$ED$19,13,FALSE)</f>
        <v>0.12</v>
      </c>
      <c r="CZ21" s="619">
        <f>VLOOKUP(HH21,'Shaft Weight'!$A$6:$CD$102,HJ21,TRUE)</f>
        <v>0.13</v>
      </c>
      <c r="DA21" s="619">
        <f>VLOOKUP(HI21,'Shaft Weight'!$A$6:$CD$102,HJ21,0)</f>
        <v>0.21</v>
      </c>
      <c r="DB21" s="619">
        <f>HLOOKUP(CQ21,Spec_Sheet!$F$3:$ED$19,6,FALSE)</f>
        <v>5.5</v>
      </c>
      <c r="DC21" s="439">
        <f t="shared" si="6"/>
        <v>0.66612000000000005</v>
      </c>
      <c r="DD21" s="440">
        <f t="shared" si="7"/>
        <v>0.51012000000000002</v>
      </c>
      <c r="DE21" s="439">
        <f t="shared" si="8"/>
        <v>-0.35411999999999999</v>
      </c>
      <c r="DF21" s="439">
        <f t="shared" si="9"/>
        <v>0</v>
      </c>
      <c r="DG21" s="439">
        <f t="shared" si="10"/>
        <v>0</v>
      </c>
      <c r="DH21" s="439">
        <f t="shared" si="11"/>
        <v>0</v>
      </c>
      <c r="DI21" s="439">
        <f t="shared" si="12"/>
        <v>0</v>
      </c>
      <c r="DJ21" s="439">
        <f t="shared" si="13"/>
        <v>0</v>
      </c>
      <c r="DK21" s="439">
        <f t="shared" si="14"/>
        <v>0</v>
      </c>
      <c r="DL21" s="439">
        <f t="shared" si="15"/>
        <v>0</v>
      </c>
      <c r="DM21" s="439">
        <f t="shared" si="16"/>
        <v>0</v>
      </c>
      <c r="DN21" s="439">
        <f t="shared" si="17"/>
        <v>0</v>
      </c>
      <c r="DO21" s="439">
        <f t="shared" si="18"/>
        <v>0</v>
      </c>
      <c r="DP21" s="439">
        <f t="shared" si="19"/>
        <v>0</v>
      </c>
      <c r="DQ21" s="442">
        <f t="shared" si="20"/>
        <v>0</v>
      </c>
      <c r="DR21" s="442">
        <f t="shared" si="21"/>
        <v>0</v>
      </c>
      <c r="DS21" s="439">
        <f t="shared" si="22"/>
        <v>0</v>
      </c>
      <c r="DT21" s="439">
        <f t="shared" si="23"/>
        <v>0</v>
      </c>
      <c r="DU21" s="661">
        <f t="shared" si="24"/>
        <v>0</v>
      </c>
      <c r="DV21" s="661">
        <f t="shared" si="25"/>
        <v>0</v>
      </c>
      <c r="DW21" s="439">
        <f t="shared" si="26"/>
        <v>0</v>
      </c>
      <c r="DX21" s="439">
        <f t="shared" si="27"/>
        <v>0</v>
      </c>
      <c r="DY21" s="439">
        <f t="shared" si="28"/>
        <v>0</v>
      </c>
      <c r="DZ21" s="439">
        <f t="shared" si="29"/>
        <v>0</v>
      </c>
      <c r="EA21" s="631" t="s">
        <v>92</v>
      </c>
      <c r="EB21" s="631">
        <f t="shared" si="151"/>
        <v>6.7842777656051512E-2</v>
      </c>
      <c r="ED21" s="439">
        <f t="shared" si="31"/>
        <v>0.8454600000000001</v>
      </c>
      <c r="EE21" s="440">
        <f t="shared" si="32"/>
        <v>0.64746000000000015</v>
      </c>
      <c r="EF21" s="439">
        <f t="shared" si="33"/>
        <v>-0.44946000000000014</v>
      </c>
      <c r="EG21" s="441">
        <f t="shared" si="34"/>
        <v>0</v>
      </c>
      <c r="EH21" s="439">
        <f t="shared" si="35"/>
        <v>0</v>
      </c>
      <c r="EI21" s="439">
        <f t="shared" si="36"/>
        <v>0</v>
      </c>
      <c r="EJ21" s="439">
        <f t="shared" si="37"/>
        <v>0</v>
      </c>
      <c r="EK21" s="439">
        <f t="shared" si="38"/>
        <v>0</v>
      </c>
      <c r="EL21" s="439">
        <f t="shared" si="39"/>
        <v>0</v>
      </c>
      <c r="EM21" s="439">
        <f t="shared" si="40"/>
        <v>0</v>
      </c>
      <c r="EN21" s="439">
        <f t="shared" si="41"/>
        <v>0</v>
      </c>
      <c r="EO21" s="439">
        <f t="shared" si="42"/>
        <v>0</v>
      </c>
      <c r="EP21" s="439">
        <f t="shared" si="43"/>
        <v>0</v>
      </c>
      <c r="EQ21" s="439">
        <f t="shared" si="44"/>
        <v>0</v>
      </c>
      <c r="ER21" s="442">
        <f t="shared" si="45"/>
        <v>0</v>
      </c>
      <c r="ES21" s="442">
        <f t="shared" si="46"/>
        <v>0</v>
      </c>
      <c r="ET21" s="439">
        <f t="shared" si="47"/>
        <v>0</v>
      </c>
      <c r="EU21" s="439">
        <f t="shared" si="48"/>
        <v>0</v>
      </c>
      <c r="EV21" s="661">
        <f t="shared" si="49"/>
        <v>0</v>
      </c>
      <c r="EW21" s="661">
        <f t="shared" si="50"/>
        <v>0</v>
      </c>
      <c r="EX21" s="439">
        <f t="shared" si="51"/>
        <v>0</v>
      </c>
      <c r="EY21" s="439">
        <f t="shared" si="52"/>
        <v>0</v>
      </c>
      <c r="EZ21" s="439">
        <f t="shared" si="53"/>
        <v>0</v>
      </c>
      <c r="FA21" s="439">
        <f t="shared" si="54"/>
        <v>0</v>
      </c>
      <c r="FB21" s="631" t="s">
        <v>92</v>
      </c>
      <c r="FC21" s="631">
        <f t="shared" si="152"/>
        <v>8.6108140871142311E-2</v>
      </c>
      <c r="FE21" s="439">
        <f t="shared" si="56"/>
        <v>0.67893000000000014</v>
      </c>
      <c r="FF21" s="440">
        <f t="shared" si="57"/>
        <v>0.51993000000000011</v>
      </c>
      <c r="FG21" s="439">
        <f t="shared" si="58"/>
        <v>-0.36093000000000008</v>
      </c>
      <c r="FH21" s="441">
        <f t="shared" si="59"/>
        <v>0</v>
      </c>
      <c r="FI21" s="439">
        <f t="shared" si="60"/>
        <v>0</v>
      </c>
      <c r="FJ21" s="439">
        <f t="shared" si="61"/>
        <v>0</v>
      </c>
      <c r="FK21" s="439">
        <f t="shared" si="62"/>
        <v>0</v>
      </c>
      <c r="FL21" s="439">
        <f t="shared" si="63"/>
        <v>0</v>
      </c>
      <c r="FM21" s="439">
        <f t="shared" si="64"/>
        <v>0</v>
      </c>
      <c r="FN21" s="439">
        <f t="shared" si="65"/>
        <v>0</v>
      </c>
      <c r="FO21" s="439">
        <f t="shared" si="66"/>
        <v>0</v>
      </c>
      <c r="FP21" s="439">
        <f t="shared" si="67"/>
        <v>0</v>
      </c>
      <c r="FQ21" s="439">
        <f t="shared" si="68"/>
        <v>0</v>
      </c>
      <c r="FR21" s="439">
        <f t="shared" si="69"/>
        <v>0</v>
      </c>
      <c r="FS21" s="442">
        <f t="shared" si="70"/>
        <v>0</v>
      </c>
      <c r="FT21" s="442">
        <f t="shared" si="71"/>
        <v>0</v>
      </c>
      <c r="FU21" s="439">
        <f t="shared" si="72"/>
        <v>0</v>
      </c>
      <c r="FV21" s="439">
        <f t="shared" si="73"/>
        <v>0</v>
      </c>
      <c r="FW21" s="661">
        <f t="shared" si="74"/>
        <v>0</v>
      </c>
      <c r="FX21" s="661">
        <f t="shared" si="75"/>
        <v>0</v>
      </c>
      <c r="FY21" s="439">
        <f t="shared" si="76"/>
        <v>0</v>
      </c>
      <c r="FZ21" s="439">
        <f t="shared" si="77"/>
        <v>0</v>
      </c>
      <c r="GA21" s="439">
        <f t="shared" si="78"/>
        <v>0</v>
      </c>
      <c r="GB21" s="439">
        <f t="shared" si="79"/>
        <v>0</v>
      </c>
      <c r="GC21" s="631" t="s">
        <v>92</v>
      </c>
      <c r="GD21" s="631">
        <f t="shared" si="153"/>
        <v>6.9147446457129447E-2</v>
      </c>
      <c r="GF21" s="439">
        <f t="shared" si="81"/>
        <v>0.78140999999999994</v>
      </c>
      <c r="GG21" s="440">
        <f t="shared" si="82"/>
        <v>0.59841</v>
      </c>
      <c r="GH21" s="439">
        <f t="shared" si="83"/>
        <v>-0.41541</v>
      </c>
      <c r="GI21" s="439">
        <f t="shared" si="84"/>
        <v>0</v>
      </c>
      <c r="GJ21" s="439">
        <f t="shared" si="85"/>
        <v>0</v>
      </c>
      <c r="GK21" s="439">
        <f t="shared" si="86"/>
        <v>0</v>
      </c>
      <c r="GL21" s="439">
        <f t="shared" si="87"/>
        <v>0</v>
      </c>
      <c r="GM21" s="439">
        <f t="shared" si="88"/>
        <v>0</v>
      </c>
      <c r="GN21" s="439">
        <f t="shared" si="89"/>
        <v>0</v>
      </c>
      <c r="GO21" s="439">
        <f t="shared" si="90"/>
        <v>0</v>
      </c>
      <c r="GP21" s="439">
        <f t="shared" si="91"/>
        <v>0</v>
      </c>
      <c r="GQ21" s="439">
        <f t="shared" si="92"/>
        <v>0</v>
      </c>
      <c r="GR21" s="439">
        <f t="shared" si="93"/>
        <v>0</v>
      </c>
      <c r="GS21" s="439">
        <f t="shared" si="94"/>
        <v>0</v>
      </c>
      <c r="GT21" s="442">
        <f t="shared" si="95"/>
        <v>0</v>
      </c>
      <c r="GU21" s="442">
        <f t="shared" si="96"/>
        <v>0</v>
      </c>
      <c r="GV21" s="439">
        <f t="shared" si="97"/>
        <v>0</v>
      </c>
      <c r="GW21" s="439">
        <f t="shared" si="98"/>
        <v>0</v>
      </c>
      <c r="GX21" s="661">
        <f t="shared" si="99"/>
        <v>0</v>
      </c>
      <c r="GY21" s="661">
        <f t="shared" si="100"/>
        <v>0</v>
      </c>
      <c r="GZ21" s="439">
        <f t="shared" si="101"/>
        <v>0</v>
      </c>
      <c r="HA21" s="439">
        <f t="shared" si="102"/>
        <v>0</v>
      </c>
      <c r="HB21" s="439">
        <f t="shared" si="103"/>
        <v>0</v>
      </c>
      <c r="HC21" s="439">
        <f t="shared" si="104"/>
        <v>0</v>
      </c>
      <c r="HD21" s="631" t="s">
        <v>92</v>
      </c>
      <c r="HE21" s="631">
        <f t="shared" ref="HE21:HE45" si="176">SQRT((((IF(GF21&gt;0,GF21,GF21*-1))^2*$D$38)+((IF(GG21&gt;0,GG21,GG21*-1))^2*$E$38)+((IF(GH21&gt;0,GH21,GH21*-1))^2*$F$38)+((IF(GI21&gt;0,GI21,GI21*-1))^2*$G$38)+((IF(GJ21&gt;0,GJ21,GJ21*-1))^2*$H$38)+((IF(GK21&gt;0,GK21,GK21*-1))^2*$I$38)+((IF(GL21&gt;0,GL21,GL21*-1))^2*$J$38)+((IF(GM21&gt;0,GM21,GM21*-1))^2*$K$38)+((IF(GN21&gt;0,GN21,GN21*-1))^2*$L$38)+((IF(GO21&gt;0,GO21,GO21*-1))^2*$M$38)+((IF(GP21&gt;0,GP21,GP21*-1))^2*$N$38)+((IF(GQ21&gt;0,GQ21,GQ21*-1))^2*$O$38)+((IF(GR21&gt;0,GR21,GR21*-1))^2*$P$38)+((IF(GS21&gt;0,GS21,GS21*-1))^2*$Q$38)+((IF(GT21&gt;0,GT21,GT21*-1))^2*$R$38)+((IF(GU21&gt;0,GU21,GU21*-1))^2*$S$38)+((IF(GV21&gt;0,GV21,GV21*-1))^2*$T$38)+((IF(GW21&gt;0,GW21,GW21*-1))^2*$U$38)+((IF(GX21&gt;0,GX21,GX21*-1))^2*$V$38)+((IF(GY21&gt;0,GY21,GY21*-1))^2*$W$38)+((IF(GZ21&gt;0,GZ21,GZ21*-1))^2*$X$38)+((IF(HA21&gt;0,HA21,HA21*-1))^2*$Y$38)+((IF(HB21&gt;0,HB21,HB21*-1))^2*$Z$38)+((IF(HC21&gt;0,HC21,HC21*-1))^2*$AA$38))/$AA$31)</f>
        <v>7.9584796865752719E-2</v>
      </c>
      <c r="HG21" s="618">
        <f>HLOOKUP(CQ21,Spec_Sheet!$F$3:$DV$19,11,FALSE)+HLOOKUP(CQ21,Spec_Sheet!$F$3:$DV$21,19,FALSE)</f>
        <v>96</v>
      </c>
      <c r="HH21" s="618">
        <f t="shared" si="154"/>
        <v>50</v>
      </c>
      <c r="HI21" s="634">
        <f t="shared" si="155"/>
        <v>150</v>
      </c>
      <c r="HJ21" s="634">
        <f>HLOOKUP(IF(LEN(CQ21)&gt;6,LEFT(CQ21,5),CQ21),'LSM List Pricing'!$B$1:$BW$2,2,0)</f>
        <v>40</v>
      </c>
      <c r="HK21" s="634">
        <f>HLOOKUP(HJ21,'LSM List Pricing'!$B$2:$BW$3,2)</f>
        <v>700</v>
      </c>
      <c r="HL21" s="634">
        <f>VLOOKUP(HH21,'LSM List Pricing'!$A$7:$BW$87,HJ21,0)</f>
        <v>80</v>
      </c>
      <c r="HM21" s="627">
        <f>VLOOKUP(HI21,'LSM List Pricing'!$A$7:$BW$87,HJ21,1)</f>
        <v>120</v>
      </c>
      <c r="HN21" s="628">
        <f t="shared" si="106"/>
        <v>2</v>
      </c>
      <c r="HO21" s="628">
        <f t="shared" si="107"/>
        <v>4</v>
      </c>
      <c r="HP21" s="628">
        <f t="shared" si="108"/>
        <v>3.8974358974358974</v>
      </c>
      <c r="HR21" s="618">
        <v>8.9999999999999993E-3</v>
      </c>
      <c r="HS21" s="618">
        <f t="shared" si="109"/>
        <v>60.428571428571423</v>
      </c>
      <c r="HT21" s="618">
        <f t="shared" si="110"/>
        <v>1</v>
      </c>
      <c r="HU21" s="618">
        <f t="shared" si="170"/>
        <v>0.22884301531700654</v>
      </c>
      <c r="HW21" s="618">
        <f t="shared" si="111"/>
        <v>35.675042918249851</v>
      </c>
      <c r="HX21" s="618">
        <f t="shared" si="171"/>
        <v>0.22775279637443144</v>
      </c>
      <c r="HY21" s="618">
        <f t="shared" si="172"/>
        <v>8.9999999999999993E-3</v>
      </c>
      <c r="IB21" s="618">
        <f t="shared" si="113"/>
        <v>25.000350341399081</v>
      </c>
      <c r="IC21" s="618">
        <f t="shared" si="114"/>
        <v>1E-3</v>
      </c>
      <c r="IE21" s="618">
        <f t="shared" si="115"/>
        <v>0</v>
      </c>
      <c r="IF21" s="618">
        <f t="shared" si="116"/>
        <v>40.704999999999998</v>
      </c>
      <c r="IH21" s="618">
        <f t="shared" si="117"/>
        <v>0</v>
      </c>
      <c r="II21" s="618">
        <f t="shared" si="118"/>
        <v>40.704999999999998</v>
      </c>
      <c r="IK21" s="618">
        <f t="shared" si="119"/>
        <v>0</v>
      </c>
      <c r="IL21" s="618">
        <f t="shared" si="120"/>
        <v>40.704999999999998</v>
      </c>
      <c r="IN21" s="618">
        <f t="shared" si="121"/>
        <v>0</v>
      </c>
      <c r="IO21" s="618">
        <f t="shared" si="122"/>
        <v>40.704999999999998</v>
      </c>
      <c r="IQ21" s="618">
        <f t="shared" si="123"/>
        <v>0</v>
      </c>
      <c r="IR21" s="618">
        <f t="shared" si="124"/>
        <v>40.704999999999998</v>
      </c>
      <c r="IT21" s="660" t="str">
        <f t="shared" si="125"/>
        <v>S120T 1S</v>
      </c>
      <c r="IU21" s="628"/>
      <c r="IV21" s="439">
        <f t="shared" si="126"/>
        <v>0.81984000000000012</v>
      </c>
      <c r="IW21" s="440">
        <f t="shared" si="127"/>
        <v>0.62784000000000006</v>
      </c>
      <c r="IX21" s="439">
        <f t="shared" si="128"/>
        <v>-0.43584000000000006</v>
      </c>
      <c r="IY21" s="439">
        <f t="shared" si="129"/>
        <v>0</v>
      </c>
      <c r="IZ21" s="439">
        <f t="shared" si="130"/>
        <v>0</v>
      </c>
      <c r="JA21" s="439">
        <f t="shared" si="131"/>
        <v>0</v>
      </c>
      <c r="JB21" s="439">
        <f t="shared" si="132"/>
        <v>0</v>
      </c>
      <c r="JC21" s="439">
        <f t="shared" si="133"/>
        <v>0</v>
      </c>
      <c r="JD21" s="439">
        <f t="shared" si="134"/>
        <v>0</v>
      </c>
      <c r="JE21" s="439">
        <f t="shared" si="135"/>
        <v>0</v>
      </c>
      <c r="JF21" s="439">
        <f t="shared" si="136"/>
        <v>0</v>
      </c>
      <c r="JG21" s="439">
        <f t="shared" si="137"/>
        <v>0</v>
      </c>
      <c r="JH21" s="439">
        <f t="shared" si="138"/>
        <v>0</v>
      </c>
      <c r="JI21" s="439">
        <f t="shared" si="139"/>
        <v>0</v>
      </c>
      <c r="JJ21" s="442">
        <f t="shared" si="140"/>
        <v>0</v>
      </c>
      <c r="JK21" s="442">
        <f t="shared" si="141"/>
        <v>0</v>
      </c>
      <c r="JL21" s="439">
        <f t="shared" si="142"/>
        <v>0</v>
      </c>
      <c r="JM21" s="439">
        <f t="shared" si="143"/>
        <v>0</v>
      </c>
      <c r="JN21" s="661">
        <f t="shared" si="144"/>
        <v>0</v>
      </c>
      <c r="JO21" s="661">
        <f t="shared" si="145"/>
        <v>0</v>
      </c>
      <c r="JP21" s="439">
        <f t="shared" si="146"/>
        <v>0</v>
      </c>
      <c r="JQ21" s="439">
        <f t="shared" si="147"/>
        <v>0</v>
      </c>
      <c r="JR21" s="439">
        <f t="shared" si="148"/>
        <v>0</v>
      </c>
      <c r="JS21" s="439">
        <f t="shared" si="149"/>
        <v>0</v>
      </c>
      <c r="JT21" s="631" t="s">
        <v>92</v>
      </c>
      <c r="JU21" s="631">
        <f t="shared" si="158"/>
        <v>8.3498803268986482E-2</v>
      </c>
      <c r="JW21" s="522"/>
      <c r="JX21" s="522"/>
      <c r="JY21" s="522"/>
      <c r="JZ21" s="522"/>
      <c r="KA21" s="522"/>
      <c r="KB21" s="522"/>
      <c r="KC21" s="522"/>
      <c r="KD21" s="522"/>
      <c r="KE21" s="522"/>
      <c r="KF21" s="522"/>
      <c r="KG21" s="522"/>
      <c r="KH21" s="522"/>
      <c r="KI21" s="522"/>
      <c r="KJ21" s="522"/>
      <c r="KK21" s="522"/>
      <c r="KL21" s="522"/>
    </row>
    <row r="22" spans="1:298" ht="9.9499999999999993" customHeight="1" thickBot="1">
      <c r="B22" s="454"/>
      <c r="C22" s="276"/>
      <c r="D22" s="852">
        <v>0</v>
      </c>
      <c r="E22" s="853"/>
      <c r="F22" s="854" t="s">
        <v>24</v>
      </c>
      <c r="G22" s="854"/>
      <c r="H22" s="453"/>
      <c r="I22" s="120" t="str">
        <f>IF(AA33=0,"","Cycle not complete "&amp;AA33&amp;"mm")</f>
        <v>Cycle not complete 15mm</v>
      </c>
      <c r="J22" s="277"/>
      <c r="K22" s="121"/>
      <c r="L22" s="278"/>
      <c r="M22" s="278"/>
      <c r="N22" s="278"/>
      <c r="O22" s="48"/>
      <c r="P22" s="750" t="s">
        <v>307</v>
      </c>
      <c r="Q22" s="736"/>
      <c r="R22" s="736"/>
      <c r="S22" s="736"/>
      <c r="T22" s="736"/>
      <c r="U22" s="760"/>
      <c r="V22" s="760"/>
      <c r="W22" s="61" t="s">
        <v>120</v>
      </c>
      <c r="X22" s="62"/>
      <c r="Y22" s="46" t="str">
        <f>IF(U22&gt;=VLOOKUP(AC21,HX3:HY505,2,TRUE)+0.0005,"","X")</f>
        <v>X</v>
      </c>
      <c r="Z22" s="46" t="str">
        <f>IF(U24&gt;=VLOOKUP(AC21,HX3:HY505,2,TRUE)+0.0005,"","X")</f>
        <v/>
      </c>
      <c r="AA22" s="44"/>
      <c r="AB22" s="63"/>
      <c r="AC22" s="748">
        <f>(AC21*1000)/VLOOKUP(AE22,H62:I68,2,FALSE)</f>
        <v>187.5</v>
      </c>
      <c r="AD22" s="749"/>
      <c r="AE22" s="799" t="s">
        <v>296</v>
      </c>
      <c r="AF22" s="800"/>
      <c r="AG22" s="752" t="s">
        <v>307</v>
      </c>
      <c r="AH22" s="753"/>
      <c r="AI22" s="753"/>
      <c r="AJ22" s="753"/>
      <c r="AK22" s="753"/>
      <c r="AL22" s="740">
        <v>0.1</v>
      </c>
      <c r="AM22" s="740"/>
      <c r="AN22" s="65" t="s">
        <v>120</v>
      </c>
      <c r="AO22" s="66"/>
      <c r="AP22" s="100" t="str">
        <f>IF(AL22&gt;=VLOOKUP(AT21,HX3:HY505,2,TRUE)+0.0005,"","X")</f>
        <v/>
      </c>
      <c r="AQ22" s="100" t="str">
        <f>IF(AL24&gt;=VLOOKUP(AT21,HX3:HY505,2,TRUE)+0.0005,"","X")</f>
        <v/>
      </c>
      <c r="AR22" s="67"/>
      <c r="AS22" s="48"/>
      <c r="AT22" s="728">
        <f>(AT21*1000)/VLOOKUP(AV22,H62:I68,2,FALSE)</f>
        <v>400</v>
      </c>
      <c r="AU22" s="729"/>
      <c r="AV22" s="770" t="s">
        <v>296</v>
      </c>
      <c r="AW22" s="726"/>
      <c r="AX22" s="283" t="s">
        <v>291</v>
      </c>
      <c r="AY22" s="716">
        <f>CD32</f>
        <v>250</v>
      </c>
      <c r="AZ22" s="716"/>
      <c r="BA22" s="67"/>
      <c r="BB22" s="708" t="str">
        <f t="shared" ca="1" si="168"/>
        <v>S120D</v>
      </c>
      <c r="BC22" s="709"/>
      <c r="BD22" s="710"/>
      <c r="BE22" s="342">
        <f t="shared" ca="1" si="160"/>
        <v>2.0182161945160981E-2</v>
      </c>
      <c r="BF22" s="78">
        <f t="shared" ca="1" si="161"/>
        <v>7.0692204064474783E-3</v>
      </c>
      <c r="BG22" s="490">
        <f t="shared" ca="1" si="162"/>
        <v>2.1863308296278104E-2</v>
      </c>
      <c r="BH22" s="78">
        <f t="shared" ca="1" si="163"/>
        <v>8.0779082171177508E-3</v>
      </c>
      <c r="BI22" s="617">
        <f t="shared" ca="1" si="164"/>
        <v>6.3568346401615995E-3</v>
      </c>
      <c r="BJ22" s="528">
        <f t="shared" ca="1" si="165"/>
        <v>1.4871794871794872</v>
      </c>
      <c r="BK22" s="529">
        <f t="shared" ca="1" si="166"/>
        <v>2.9743589743589745</v>
      </c>
      <c r="BL22" s="530">
        <f t="shared" ca="1" si="167"/>
        <v>2.8461538461538463</v>
      </c>
      <c r="BM22" s="46">
        <f>COUNTBLANK(BO22)</f>
        <v>1</v>
      </c>
      <c r="BN22" s="46">
        <f>BO22*VLOOKUP(BQ22,$N$62:$O$64,2,FALSE)</f>
        <v>0</v>
      </c>
      <c r="BO22" s="717"/>
      <c r="BP22" s="717"/>
      <c r="BQ22" s="721" t="s">
        <v>120</v>
      </c>
      <c r="BR22" s="722"/>
      <c r="BS22" s="70" t="s">
        <v>46</v>
      </c>
      <c r="BT22" s="70"/>
      <c r="BU22" s="70"/>
      <c r="BV22" s="79">
        <f>IF(BN22&lt;&gt;0,BN22,IF(BN19&lt;&gt;0,IF(BN20&lt;&gt;0,BN20*3/(2*(BN20^2/BN19)),IF(BO23="",SQRT(((BN21*1000)*BN19)/2)*3/(BN21*1000),1/(BO23*2))),BN20*3/(BN21*1000)))</f>
        <v>6.4285714285714279E-2</v>
      </c>
      <c r="BW22" s="70"/>
      <c r="BX22" s="70"/>
      <c r="BY22" s="736" t="s">
        <v>23</v>
      </c>
      <c r="BZ22" s="736"/>
      <c r="CA22" s="736"/>
      <c r="CB22" s="736"/>
      <c r="CC22" s="736"/>
      <c r="CD22" s="766">
        <f>BV19</f>
        <v>60</v>
      </c>
      <c r="CE22" s="766"/>
      <c r="CF22" s="797" t="s">
        <v>24</v>
      </c>
      <c r="CG22" s="797"/>
      <c r="CH22" s="165">
        <f>CH21+CD21</f>
        <v>6.4285714285714279E-2</v>
      </c>
      <c r="CI22" s="175">
        <v>0</v>
      </c>
      <c r="CJ22" s="420"/>
      <c r="CK22" s="152"/>
      <c r="CL22" s="155"/>
      <c r="CM22" s="155"/>
      <c r="CN22" s="377"/>
      <c r="CO22" s="689" t="str">
        <f ca="1"/>
        <v>S120Q</v>
      </c>
      <c r="CP22" s="632" t="str">
        <f>IF(OR(CQ22=0,CR22="",CS22&gt;120),"",IF(HLOOKUP(CQ22,Spec_Sheet!$F$3:$ED$19,17,FALSE)&lt;$AC$46,"",CQ22))</f>
        <v>L160D</v>
      </c>
      <c r="CQ22" s="660" t="str">
        <f>IF(Spec_Sheet!A21="","",Spec_Sheet!A21)</f>
        <v>L160D</v>
      </c>
      <c r="CR22" s="660">
        <f>IF(CQ22="",0,HLOOKUP(CQ22,Spec_Sheet!$F$3:$ED$19,2,FALSE))</f>
        <v>8.8000000000000007</v>
      </c>
      <c r="CS22" s="660">
        <f t="shared" si="169"/>
        <v>2.6925966343232812E-3</v>
      </c>
      <c r="CT22" s="621">
        <f t="shared" si="173"/>
        <v>6.6490651582268778E-3</v>
      </c>
      <c r="CU22" s="621">
        <f t="shared" si="3"/>
        <v>2.6925966343232812E-3</v>
      </c>
      <c r="CV22" s="621">
        <f t="shared" si="174"/>
        <v>1.0163728030294574E-2</v>
      </c>
      <c r="CW22" s="621">
        <f t="shared" si="175"/>
        <v>5.0642797105966055E-3</v>
      </c>
      <c r="CX22" s="621">
        <f t="shared" si="157"/>
        <v>3.0909910342996833E-3</v>
      </c>
      <c r="CY22" s="619">
        <f>HLOOKUP(CQ22,Spec_Sheet!$F$3:$ED$19,13,FALSE)</f>
        <v>0.15</v>
      </c>
      <c r="CZ22" s="619">
        <f>VLOOKUP(HH22,'Shaft Weight'!$A$6:$CD$102,HJ22,TRUE)</f>
        <v>0.28000000000000003</v>
      </c>
      <c r="DA22" s="619">
        <f>VLOOKUP(HI22,'Shaft Weight'!$A$6:$CD$102,HJ22,0)</f>
        <v>0.35</v>
      </c>
      <c r="DB22" s="619">
        <f>HLOOKUP(CQ22,Spec_Sheet!$F$3:$ED$19,6,FALSE)</f>
        <v>16</v>
      </c>
      <c r="DC22" s="439">
        <f t="shared" si="6"/>
        <v>0.70455000000000012</v>
      </c>
      <c r="DD22" s="440">
        <f t="shared" si="7"/>
        <v>0.53955000000000009</v>
      </c>
      <c r="DE22" s="439">
        <f t="shared" si="8"/>
        <v>-0.37455000000000005</v>
      </c>
      <c r="DF22" s="439">
        <f t="shared" si="9"/>
        <v>0</v>
      </c>
      <c r="DG22" s="439">
        <f t="shared" si="10"/>
        <v>0</v>
      </c>
      <c r="DH22" s="439">
        <f t="shared" si="11"/>
        <v>0</v>
      </c>
      <c r="DI22" s="439">
        <f t="shared" si="12"/>
        <v>0</v>
      </c>
      <c r="DJ22" s="439">
        <f t="shared" si="13"/>
        <v>0</v>
      </c>
      <c r="DK22" s="439">
        <f t="shared" si="14"/>
        <v>0</v>
      </c>
      <c r="DL22" s="439">
        <f t="shared" si="15"/>
        <v>0</v>
      </c>
      <c r="DM22" s="439">
        <f t="shared" si="16"/>
        <v>0</v>
      </c>
      <c r="DN22" s="439">
        <f t="shared" si="17"/>
        <v>0</v>
      </c>
      <c r="DO22" s="439">
        <f t="shared" si="18"/>
        <v>0</v>
      </c>
      <c r="DP22" s="439">
        <f t="shared" si="19"/>
        <v>0</v>
      </c>
      <c r="DQ22" s="442">
        <f t="shared" si="20"/>
        <v>0</v>
      </c>
      <c r="DR22" s="442">
        <f t="shared" si="21"/>
        <v>0</v>
      </c>
      <c r="DS22" s="439">
        <f t="shared" si="22"/>
        <v>0</v>
      </c>
      <c r="DT22" s="439">
        <f t="shared" si="23"/>
        <v>0</v>
      </c>
      <c r="DU22" s="661">
        <f t="shared" si="24"/>
        <v>0</v>
      </c>
      <c r="DV22" s="661">
        <f t="shared" si="25"/>
        <v>0</v>
      </c>
      <c r="DW22" s="439">
        <f t="shared" si="26"/>
        <v>0</v>
      </c>
      <c r="DX22" s="439">
        <f t="shared" si="27"/>
        <v>0</v>
      </c>
      <c r="DY22" s="439">
        <f t="shared" si="28"/>
        <v>0</v>
      </c>
      <c r="DZ22" s="439">
        <f t="shared" si="29"/>
        <v>0</v>
      </c>
      <c r="EA22" s="631" t="s">
        <v>92</v>
      </c>
      <c r="EB22" s="631">
        <f t="shared" si="151"/>
        <v>7.1756784059285261E-2</v>
      </c>
      <c r="ED22" s="439">
        <f t="shared" si="31"/>
        <v>1.2297600000000002</v>
      </c>
      <c r="EE22" s="440">
        <f t="shared" si="32"/>
        <v>0.94176000000000026</v>
      </c>
      <c r="EF22" s="439">
        <f t="shared" si="33"/>
        <v>-0.65376000000000023</v>
      </c>
      <c r="EG22" s="441">
        <f t="shared" si="34"/>
        <v>0</v>
      </c>
      <c r="EH22" s="439">
        <f t="shared" si="35"/>
        <v>0</v>
      </c>
      <c r="EI22" s="439">
        <f t="shared" si="36"/>
        <v>0</v>
      </c>
      <c r="EJ22" s="439">
        <f t="shared" si="37"/>
        <v>0</v>
      </c>
      <c r="EK22" s="439">
        <f t="shared" si="38"/>
        <v>0</v>
      </c>
      <c r="EL22" s="439">
        <f t="shared" si="39"/>
        <v>0</v>
      </c>
      <c r="EM22" s="439">
        <f t="shared" si="40"/>
        <v>0</v>
      </c>
      <c r="EN22" s="439">
        <f t="shared" si="41"/>
        <v>0</v>
      </c>
      <c r="EO22" s="439">
        <f t="shared" si="42"/>
        <v>0</v>
      </c>
      <c r="EP22" s="439">
        <f t="shared" si="43"/>
        <v>0</v>
      </c>
      <c r="EQ22" s="439">
        <f t="shared" si="44"/>
        <v>0</v>
      </c>
      <c r="ER22" s="442">
        <f t="shared" si="45"/>
        <v>0</v>
      </c>
      <c r="ES22" s="442">
        <f t="shared" si="46"/>
        <v>0</v>
      </c>
      <c r="ET22" s="439">
        <f t="shared" si="47"/>
        <v>0</v>
      </c>
      <c r="EU22" s="439">
        <f t="shared" si="48"/>
        <v>0</v>
      </c>
      <c r="EV22" s="661">
        <f t="shared" si="49"/>
        <v>0</v>
      </c>
      <c r="EW22" s="661">
        <f t="shared" si="50"/>
        <v>0</v>
      </c>
      <c r="EX22" s="439">
        <f t="shared" si="51"/>
        <v>0</v>
      </c>
      <c r="EY22" s="439">
        <f t="shared" si="52"/>
        <v>0</v>
      </c>
      <c r="EZ22" s="439">
        <f t="shared" si="53"/>
        <v>0</v>
      </c>
      <c r="FA22" s="439">
        <f t="shared" si="54"/>
        <v>0</v>
      </c>
      <c r="FB22" s="631" t="s">
        <v>92</v>
      </c>
      <c r="FC22" s="631">
        <f t="shared" si="152"/>
        <v>0.12524820490347974</v>
      </c>
      <c r="FE22" s="439">
        <f t="shared" si="56"/>
        <v>0.87108000000000008</v>
      </c>
      <c r="FF22" s="440">
        <f t="shared" si="57"/>
        <v>0.66708000000000012</v>
      </c>
      <c r="FG22" s="439">
        <f t="shared" si="58"/>
        <v>-0.4630800000000001</v>
      </c>
      <c r="FH22" s="441">
        <f t="shared" si="59"/>
        <v>0</v>
      </c>
      <c r="FI22" s="439">
        <f t="shared" si="60"/>
        <v>0</v>
      </c>
      <c r="FJ22" s="439">
        <f t="shared" si="61"/>
        <v>0</v>
      </c>
      <c r="FK22" s="439">
        <f t="shared" si="62"/>
        <v>0</v>
      </c>
      <c r="FL22" s="439">
        <f t="shared" si="63"/>
        <v>0</v>
      </c>
      <c r="FM22" s="439">
        <f t="shared" si="64"/>
        <v>0</v>
      </c>
      <c r="FN22" s="439">
        <f t="shared" si="65"/>
        <v>0</v>
      </c>
      <c r="FO22" s="439">
        <f t="shared" si="66"/>
        <v>0</v>
      </c>
      <c r="FP22" s="439">
        <f t="shared" si="67"/>
        <v>0</v>
      </c>
      <c r="FQ22" s="439">
        <f t="shared" si="68"/>
        <v>0</v>
      </c>
      <c r="FR22" s="439">
        <f t="shared" si="69"/>
        <v>0</v>
      </c>
      <c r="FS22" s="442">
        <f t="shared" si="70"/>
        <v>0</v>
      </c>
      <c r="FT22" s="442">
        <f t="shared" si="71"/>
        <v>0</v>
      </c>
      <c r="FU22" s="439">
        <f t="shared" si="72"/>
        <v>0</v>
      </c>
      <c r="FV22" s="439">
        <f t="shared" si="73"/>
        <v>0</v>
      </c>
      <c r="FW22" s="661">
        <f t="shared" si="74"/>
        <v>0</v>
      </c>
      <c r="FX22" s="661">
        <f t="shared" si="75"/>
        <v>0</v>
      </c>
      <c r="FY22" s="439">
        <f t="shared" si="76"/>
        <v>0</v>
      </c>
      <c r="FZ22" s="439">
        <f t="shared" si="77"/>
        <v>0</v>
      </c>
      <c r="GA22" s="439">
        <f t="shared" si="78"/>
        <v>0</v>
      </c>
      <c r="GB22" s="439">
        <f t="shared" si="79"/>
        <v>0</v>
      </c>
      <c r="GC22" s="631" t="s">
        <v>92</v>
      </c>
      <c r="GD22" s="631">
        <f t="shared" si="153"/>
        <v>8.8717478473298139E-2</v>
      </c>
      <c r="GF22" s="439">
        <f t="shared" si="81"/>
        <v>0.96074999999999999</v>
      </c>
      <c r="GG22" s="440">
        <f t="shared" si="82"/>
        <v>0.73575000000000002</v>
      </c>
      <c r="GH22" s="439">
        <f t="shared" si="83"/>
        <v>-0.51075000000000004</v>
      </c>
      <c r="GI22" s="439">
        <f t="shared" si="84"/>
        <v>0</v>
      </c>
      <c r="GJ22" s="439">
        <f t="shared" si="85"/>
        <v>0</v>
      </c>
      <c r="GK22" s="439">
        <f t="shared" si="86"/>
        <v>0</v>
      </c>
      <c r="GL22" s="439">
        <f t="shared" si="87"/>
        <v>0</v>
      </c>
      <c r="GM22" s="439">
        <f t="shared" si="88"/>
        <v>0</v>
      </c>
      <c r="GN22" s="439">
        <f t="shared" si="89"/>
        <v>0</v>
      </c>
      <c r="GO22" s="439">
        <f t="shared" si="90"/>
        <v>0</v>
      </c>
      <c r="GP22" s="439">
        <f t="shared" si="91"/>
        <v>0</v>
      </c>
      <c r="GQ22" s="439">
        <f t="shared" si="92"/>
        <v>0</v>
      </c>
      <c r="GR22" s="439">
        <f t="shared" si="93"/>
        <v>0</v>
      </c>
      <c r="GS22" s="439">
        <f t="shared" si="94"/>
        <v>0</v>
      </c>
      <c r="GT22" s="442">
        <f t="shared" si="95"/>
        <v>0</v>
      </c>
      <c r="GU22" s="442">
        <f t="shared" si="96"/>
        <v>0</v>
      </c>
      <c r="GV22" s="439">
        <f t="shared" si="97"/>
        <v>0</v>
      </c>
      <c r="GW22" s="439">
        <f t="shared" si="98"/>
        <v>0</v>
      </c>
      <c r="GX22" s="661">
        <f t="shared" si="99"/>
        <v>0</v>
      </c>
      <c r="GY22" s="661">
        <f t="shared" si="100"/>
        <v>0</v>
      </c>
      <c r="GZ22" s="439">
        <f t="shared" si="101"/>
        <v>0</v>
      </c>
      <c r="HA22" s="439">
        <f t="shared" si="102"/>
        <v>0</v>
      </c>
      <c r="HB22" s="439">
        <f t="shared" si="103"/>
        <v>0</v>
      </c>
      <c r="HC22" s="439">
        <f t="shared" si="104"/>
        <v>0</v>
      </c>
      <c r="HD22" s="631" t="s">
        <v>92</v>
      </c>
      <c r="HE22" s="631">
        <f t="shared" si="176"/>
        <v>9.7850160080843518E-2</v>
      </c>
      <c r="HG22" s="618">
        <f>HLOOKUP(CQ22,Spec_Sheet!$F$3:$DV$19,11,FALSE)+HLOOKUP(CQ22,Spec_Sheet!$F$3:$DV$21,19,FALSE)</f>
        <v>90</v>
      </c>
      <c r="HH22" s="618">
        <f t="shared" si="154"/>
        <v>100</v>
      </c>
      <c r="HI22" s="634">
        <f t="shared" si="155"/>
        <v>150</v>
      </c>
      <c r="HJ22" s="634">
        <f>HLOOKUP(IF(LEN(CQ22)&gt;6,LEFT(CQ22,5),CQ22),'LSM List Pricing'!$B$1:$BW$2,2,0)</f>
        <v>2</v>
      </c>
      <c r="HK22" s="634">
        <f>HLOOKUP(HJ22,'LSM List Pricing'!$B$2:$BW$3,2)</f>
        <v>350</v>
      </c>
      <c r="HL22" s="634">
        <f>VLOOKUP(HH22,'LSM List Pricing'!$A$7:$BW$87,HJ22,0)</f>
        <v>250</v>
      </c>
      <c r="HM22" s="627">
        <f>VLOOKUP(HI22,'LSM List Pricing'!$A$7:$BW$87,HJ22,1)</f>
        <v>270</v>
      </c>
      <c r="HN22" s="628">
        <f t="shared" si="106"/>
        <v>1.5384615384615385</v>
      </c>
      <c r="HO22" s="628">
        <f t="shared" si="107"/>
        <v>3.0769230769230771</v>
      </c>
      <c r="HP22" s="628">
        <f t="shared" si="108"/>
        <v>2.4871794871794872</v>
      </c>
      <c r="HR22" s="618">
        <v>9.4999999999999998E-3</v>
      </c>
      <c r="HS22" s="618">
        <f t="shared" si="109"/>
        <v>63.785714285714285</v>
      </c>
      <c r="HT22" s="618">
        <f t="shared" si="110"/>
        <v>1</v>
      </c>
      <c r="HU22" s="618">
        <f t="shared" si="170"/>
        <v>0.24158205929063134</v>
      </c>
      <c r="HW22" s="618">
        <f t="shared" si="111"/>
        <v>35.656953475807306</v>
      </c>
      <c r="HX22" s="618">
        <f t="shared" si="171"/>
        <v>0.24037044910481487</v>
      </c>
      <c r="HY22" s="618">
        <f t="shared" si="172"/>
        <v>9.4999999999999998E-3</v>
      </c>
      <c r="IB22" s="618">
        <f t="shared" si="113"/>
        <v>25.000350341399081</v>
      </c>
      <c r="IC22" s="618">
        <f t="shared" si="114"/>
        <v>1E-3</v>
      </c>
      <c r="IE22" s="618">
        <f t="shared" si="115"/>
        <v>0</v>
      </c>
      <c r="IF22" s="618">
        <f t="shared" si="116"/>
        <v>40.704999999999998</v>
      </c>
      <c r="IH22" s="618">
        <f t="shared" si="117"/>
        <v>0</v>
      </c>
      <c r="II22" s="618">
        <f t="shared" si="118"/>
        <v>40.704999999999998</v>
      </c>
      <c r="IK22" s="618">
        <f t="shared" si="119"/>
        <v>0</v>
      </c>
      <c r="IL22" s="618">
        <f t="shared" si="120"/>
        <v>40.704999999999998</v>
      </c>
      <c r="IN22" s="618">
        <f t="shared" si="121"/>
        <v>0</v>
      </c>
      <c r="IO22" s="618">
        <f t="shared" si="122"/>
        <v>40.704999999999998</v>
      </c>
      <c r="IQ22" s="618">
        <f t="shared" si="123"/>
        <v>0</v>
      </c>
      <c r="IR22" s="618">
        <f t="shared" si="124"/>
        <v>40.704999999999998</v>
      </c>
      <c r="IT22" s="660" t="str">
        <f t="shared" si="125"/>
        <v>L160D</v>
      </c>
      <c r="IU22" s="628"/>
      <c r="IV22" s="439">
        <f t="shared" si="126"/>
        <v>0.89670000000000005</v>
      </c>
      <c r="IW22" s="440">
        <f t="shared" si="127"/>
        <v>0.68670000000000009</v>
      </c>
      <c r="IX22" s="439">
        <f t="shared" si="128"/>
        <v>-0.47670000000000012</v>
      </c>
      <c r="IY22" s="439">
        <f t="shared" si="129"/>
        <v>0</v>
      </c>
      <c r="IZ22" s="439">
        <f t="shared" si="130"/>
        <v>0</v>
      </c>
      <c r="JA22" s="439">
        <f t="shared" si="131"/>
        <v>0</v>
      </c>
      <c r="JB22" s="439">
        <f t="shared" si="132"/>
        <v>0</v>
      </c>
      <c r="JC22" s="439">
        <f t="shared" si="133"/>
        <v>0</v>
      </c>
      <c r="JD22" s="439">
        <f t="shared" si="134"/>
        <v>0</v>
      </c>
      <c r="JE22" s="439">
        <f t="shared" si="135"/>
        <v>0</v>
      </c>
      <c r="JF22" s="439">
        <f t="shared" si="136"/>
        <v>0</v>
      </c>
      <c r="JG22" s="439">
        <f t="shared" si="137"/>
        <v>0</v>
      </c>
      <c r="JH22" s="439">
        <f t="shared" si="138"/>
        <v>0</v>
      </c>
      <c r="JI22" s="439">
        <f t="shared" si="139"/>
        <v>0</v>
      </c>
      <c r="JJ22" s="442">
        <f t="shared" si="140"/>
        <v>0</v>
      </c>
      <c r="JK22" s="442">
        <f t="shared" si="141"/>
        <v>0</v>
      </c>
      <c r="JL22" s="439">
        <f t="shared" si="142"/>
        <v>0</v>
      </c>
      <c r="JM22" s="439">
        <f t="shared" si="143"/>
        <v>0</v>
      </c>
      <c r="JN22" s="661">
        <f t="shared" si="144"/>
        <v>0</v>
      </c>
      <c r="JO22" s="661">
        <f t="shared" si="145"/>
        <v>0</v>
      </c>
      <c r="JP22" s="439">
        <f t="shared" si="146"/>
        <v>0</v>
      </c>
      <c r="JQ22" s="439">
        <f t="shared" si="147"/>
        <v>0</v>
      </c>
      <c r="JR22" s="439">
        <f t="shared" si="148"/>
        <v>0</v>
      </c>
      <c r="JS22" s="439">
        <f t="shared" si="149"/>
        <v>0</v>
      </c>
      <c r="JT22" s="631" t="s">
        <v>92</v>
      </c>
      <c r="JU22" s="631">
        <f t="shared" si="158"/>
        <v>9.1326816075453968E-2</v>
      </c>
      <c r="JW22" s="522"/>
      <c r="JX22" s="522"/>
      <c r="JY22" s="522"/>
      <c r="JZ22" s="522"/>
      <c r="KA22" s="522"/>
      <c r="KB22" s="522"/>
      <c r="KC22" s="522"/>
      <c r="KD22" s="522"/>
      <c r="KE22" s="522"/>
      <c r="KF22" s="522"/>
      <c r="KG22" s="522"/>
      <c r="KH22" s="522"/>
      <c r="KI22" s="522"/>
      <c r="KJ22" s="522"/>
      <c r="KK22" s="522"/>
      <c r="KL22" s="522"/>
    </row>
    <row r="23" spans="1:298" ht="9.9499999999999993" customHeight="1">
      <c r="B23" s="455" t="str">
        <f>IF(AG41="x",IF(B17=2,"Tandem not suggested",""),"")</f>
        <v/>
      </c>
      <c r="C23" s="279"/>
      <c r="D23" s="463"/>
      <c r="E23" s="463"/>
      <c r="F23" s="463"/>
      <c r="G23" s="463"/>
      <c r="H23" s="463"/>
      <c r="I23" s="280" t="s">
        <v>76</v>
      </c>
      <c r="J23" s="279"/>
      <c r="K23" s="49"/>
      <c r="L23" s="49"/>
      <c r="M23" s="49"/>
      <c r="N23" s="49"/>
      <c r="O23" s="49"/>
      <c r="P23" s="750" t="s">
        <v>18</v>
      </c>
      <c r="Q23" s="736"/>
      <c r="R23" s="736"/>
      <c r="S23" s="736"/>
      <c r="T23" s="736"/>
      <c r="U23" s="760">
        <v>0.02</v>
      </c>
      <c r="V23" s="760"/>
      <c r="W23" s="61" t="s">
        <v>120</v>
      </c>
      <c r="X23" s="62"/>
      <c r="Y23" s="71" t="s">
        <v>129</v>
      </c>
      <c r="Z23" s="72"/>
      <c r="AA23" s="73"/>
      <c r="AB23" s="73"/>
      <c r="AC23" s="754" t="e">
        <f>AC21/U22</f>
        <v>#DIV/0!</v>
      </c>
      <c r="AD23" s="754"/>
      <c r="AE23" s="74" t="s">
        <v>126</v>
      </c>
      <c r="AF23" s="73"/>
      <c r="AG23" s="752" t="s">
        <v>18</v>
      </c>
      <c r="AH23" s="753"/>
      <c r="AI23" s="753"/>
      <c r="AJ23" s="753"/>
      <c r="AK23" s="753"/>
      <c r="AL23" s="740">
        <v>0</v>
      </c>
      <c r="AM23" s="740"/>
      <c r="AN23" s="65" t="s">
        <v>120</v>
      </c>
      <c r="AO23" s="66"/>
      <c r="AP23" s="71" t="s">
        <v>129</v>
      </c>
      <c r="AQ23" s="72"/>
      <c r="AR23" s="73"/>
      <c r="AS23" s="73"/>
      <c r="AT23" s="754">
        <f>AT21/AL22</f>
        <v>4</v>
      </c>
      <c r="AU23" s="755">
        <v>1.4</v>
      </c>
      <c r="AV23" s="74" t="s">
        <v>126</v>
      </c>
      <c r="AW23" s="548"/>
      <c r="AX23" s="48"/>
      <c r="AY23" s="48"/>
      <c r="AZ23" s="48"/>
      <c r="BA23" s="48"/>
      <c r="BB23" s="708" t="str">
        <f t="shared" ca="1" si="168"/>
        <v>S120T</v>
      </c>
      <c r="BC23" s="709"/>
      <c r="BD23" s="710"/>
      <c r="BE23" s="342">
        <f t="shared" ca="1" si="160"/>
        <v>1.0566213223343533E-2</v>
      </c>
      <c r="BF23" s="78">
        <f t="shared" ca="1" si="161"/>
        <v>4.001406191088676E-3</v>
      </c>
      <c r="BG23" s="490">
        <f t="shared" ca="1" si="162"/>
        <v>1.0976513662859469E-2</v>
      </c>
      <c r="BH23" s="78">
        <f t="shared" ca="1" si="163"/>
        <v>4.2554017012652028E-3</v>
      </c>
      <c r="BI23" s="617">
        <f t="shared" ca="1" si="164"/>
        <v>3.6350665129494513E-3</v>
      </c>
      <c r="BJ23" s="528">
        <f t="shared" ca="1" si="165"/>
        <v>2</v>
      </c>
      <c r="BK23" s="529">
        <f t="shared" ca="1" si="166"/>
        <v>4</v>
      </c>
      <c r="BL23" s="530">
        <f t="shared" ca="1" si="167"/>
        <v>3.8974358974358974</v>
      </c>
      <c r="BM23" s="46">
        <f>COUNTBLANK(BO23)</f>
        <v>1</v>
      </c>
      <c r="BN23" s="421">
        <f>BO23</f>
        <v>0</v>
      </c>
      <c r="BO23" s="734"/>
      <c r="BP23" s="737"/>
      <c r="BQ23" s="721" t="s">
        <v>253</v>
      </c>
      <c r="BR23" s="767"/>
      <c r="BS23" s="70" t="s">
        <v>305</v>
      </c>
      <c r="BT23" s="70"/>
      <c r="BU23" s="70"/>
      <c r="BV23" s="122"/>
      <c r="BW23" s="70"/>
      <c r="BX23" s="70"/>
      <c r="BY23" s="70"/>
      <c r="BZ23" s="70"/>
      <c r="CA23" s="70"/>
      <c r="CB23" s="70"/>
      <c r="CC23" s="70"/>
      <c r="CD23" s="82"/>
      <c r="CE23" s="82"/>
      <c r="CF23" s="122"/>
      <c r="CG23" s="122"/>
      <c r="CH23" s="167"/>
      <c r="CI23" s="100"/>
      <c r="CJ23" s="173"/>
      <c r="CK23" s="152"/>
      <c r="CL23" s="155"/>
      <c r="CM23" s="155"/>
      <c r="CN23" s="377"/>
      <c r="CO23" s="689" t="str">
        <f ca="1"/>
        <v>S160D 1S</v>
      </c>
      <c r="CP23" s="632" t="str">
        <f>IF(OR(CQ23=0,CR23="",CS23&gt;120),"",IF(HLOOKUP(CQ23,Spec_Sheet!$F$3:$ED$19,17,FALSE)&lt;$AC$46,"",CQ23))</f>
        <v>S120Q 1S</v>
      </c>
      <c r="CQ23" s="660" t="str">
        <f>IF(Spec_Sheet!A22="","",Spec_Sheet!A22)</f>
        <v>S120Q 1S</v>
      </c>
      <c r="CR23" s="660">
        <f>IF(CQ23="",0,HLOOKUP(CQ23,Spec_Sheet!$F$3:$ED$19,2,FALSE))</f>
        <v>8.8800000000000008</v>
      </c>
      <c r="CS23" s="660">
        <f t="shared" si="169"/>
        <v>2.7975613814015207E-3</v>
      </c>
      <c r="CT23" s="621">
        <f t="shared" si="173"/>
        <v>6.7694077870950366E-3</v>
      </c>
      <c r="CU23" s="621">
        <f t="shared" si="3"/>
        <v>2.7975613814015207E-3</v>
      </c>
      <c r="CV23" s="621">
        <f t="shared" si="174"/>
        <v>6.5298018354472218E-3</v>
      </c>
      <c r="CW23" s="621">
        <f t="shared" si="175"/>
        <v>2.6442999168339995E-3</v>
      </c>
      <c r="CX23" s="621">
        <f t="shared" si="157"/>
        <v>2.0744263021040604E-3</v>
      </c>
      <c r="CY23" s="619">
        <f>HLOOKUP(CQ23,Spec_Sheet!$F$3:$ED$19,13,FALSE)</f>
        <v>0.16</v>
      </c>
      <c r="CZ23" s="619">
        <f>VLOOKUP(HH23,'Shaft Weight'!$A$6:$CD$102,HJ23,TRUE)</f>
        <v>0.15</v>
      </c>
      <c r="DA23" s="619">
        <f>VLOOKUP(HI23,'Shaft Weight'!$A$6:$CD$102,HJ23,0)</f>
        <v>0.22</v>
      </c>
      <c r="DB23" s="619">
        <f>HLOOKUP(CQ23,Spec_Sheet!$F$3:$ED$19,6,FALSE)</f>
        <v>5.55</v>
      </c>
      <c r="DC23" s="439">
        <f t="shared" si="6"/>
        <v>0.71736000000000011</v>
      </c>
      <c r="DD23" s="440">
        <f t="shared" si="7"/>
        <v>0.54936000000000007</v>
      </c>
      <c r="DE23" s="439">
        <f t="shared" si="8"/>
        <v>-0.38136000000000003</v>
      </c>
      <c r="DF23" s="439">
        <f t="shared" si="9"/>
        <v>0</v>
      </c>
      <c r="DG23" s="439">
        <f t="shared" si="10"/>
        <v>0</v>
      </c>
      <c r="DH23" s="439">
        <f t="shared" si="11"/>
        <v>0</v>
      </c>
      <c r="DI23" s="439">
        <f t="shared" si="12"/>
        <v>0</v>
      </c>
      <c r="DJ23" s="439">
        <f t="shared" si="13"/>
        <v>0</v>
      </c>
      <c r="DK23" s="439">
        <f t="shared" si="14"/>
        <v>0</v>
      </c>
      <c r="DL23" s="439">
        <f t="shared" si="15"/>
        <v>0</v>
      </c>
      <c r="DM23" s="439">
        <f t="shared" si="16"/>
        <v>0</v>
      </c>
      <c r="DN23" s="439">
        <f t="shared" si="17"/>
        <v>0</v>
      </c>
      <c r="DO23" s="439">
        <f t="shared" si="18"/>
        <v>0</v>
      </c>
      <c r="DP23" s="439">
        <f t="shared" si="19"/>
        <v>0</v>
      </c>
      <c r="DQ23" s="442">
        <f t="shared" si="20"/>
        <v>0</v>
      </c>
      <c r="DR23" s="442">
        <f t="shared" si="21"/>
        <v>0</v>
      </c>
      <c r="DS23" s="439">
        <f t="shared" si="22"/>
        <v>0</v>
      </c>
      <c r="DT23" s="439">
        <f t="shared" si="23"/>
        <v>0</v>
      </c>
      <c r="DU23" s="661">
        <f t="shared" si="24"/>
        <v>0</v>
      </c>
      <c r="DV23" s="661">
        <f t="shared" si="25"/>
        <v>0</v>
      </c>
      <c r="DW23" s="439">
        <f t="shared" si="26"/>
        <v>0</v>
      </c>
      <c r="DX23" s="439">
        <f t="shared" si="27"/>
        <v>0</v>
      </c>
      <c r="DY23" s="439">
        <f t="shared" si="28"/>
        <v>0</v>
      </c>
      <c r="DZ23" s="439">
        <f t="shared" si="29"/>
        <v>0</v>
      </c>
      <c r="EA23" s="631" t="s">
        <v>92</v>
      </c>
      <c r="EB23" s="631">
        <f t="shared" si="151"/>
        <v>7.3061452860363169E-2</v>
      </c>
      <c r="ED23" s="439">
        <f t="shared" si="31"/>
        <v>0.89670000000000005</v>
      </c>
      <c r="EE23" s="440">
        <f t="shared" si="32"/>
        <v>0.68670000000000009</v>
      </c>
      <c r="EF23" s="439">
        <f t="shared" si="33"/>
        <v>-0.47670000000000012</v>
      </c>
      <c r="EG23" s="441">
        <f t="shared" si="34"/>
        <v>0</v>
      </c>
      <c r="EH23" s="439">
        <f t="shared" si="35"/>
        <v>0</v>
      </c>
      <c r="EI23" s="439">
        <f t="shared" si="36"/>
        <v>0</v>
      </c>
      <c r="EJ23" s="439">
        <f t="shared" si="37"/>
        <v>0</v>
      </c>
      <c r="EK23" s="439">
        <f t="shared" si="38"/>
        <v>0</v>
      </c>
      <c r="EL23" s="439">
        <f t="shared" si="39"/>
        <v>0</v>
      </c>
      <c r="EM23" s="439">
        <f t="shared" si="40"/>
        <v>0</v>
      </c>
      <c r="EN23" s="439">
        <f t="shared" si="41"/>
        <v>0</v>
      </c>
      <c r="EO23" s="439">
        <f t="shared" si="42"/>
        <v>0</v>
      </c>
      <c r="EP23" s="439">
        <f t="shared" si="43"/>
        <v>0</v>
      </c>
      <c r="EQ23" s="439">
        <f t="shared" si="44"/>
        <v>0</v>
      </c>
      <c r="ER23" s="442">
        <f t="shared" si="45"/>
        <v>0</v>
      </c>
      <c r="ES23" s="442">
        <f t="shared" si="46"/>
        <v>0</v>
      </c>
      <c r="ET23" s="439">
        <f t="shared" si="47"/>
        <v>0</v>
      </c>
      <c r="EU23" s="439">
        <f t="shared" si="48"/>
        <v>0</v>
      </c>
      <c r="EV23" s="661">
        <f t="shared" si="49"/>
        <v>0</v>
      </c>
      <c r="EW23" s="661">
        <f t="shared" si="50"/>
        <v>0</v>
      </c>
      <c r="EX23" s="439">
        <f t="shared" si="51"/>
        <v>0</v>
      </c>
      <c r="EY23" s="439">
        <f t="shared" si="52"/>
        <v>0</v>
      </c>
      <c r="EZ23" s="439">
        <f t="shared" si="53"/>
        <v>0</v>
      </c>
      <c r="FA23" s="439">
        <f t="shared" si="54"/>
        <v>0</v>
      </c>
      <c r="FB23" s="631" t="s">
        <v>92</v>
      </c>
      <c r="FC23" s="631">
        <f t="shared" si="152"/>
        <v>9.1326816075453968E-2</v>
      </c>
      <c r="FE23" s="439">
        <f t="shared" si="56"/>
        <v>0.70455000000000012</v>
      </c>
      <c r="FF23" s="440">
        <f t="shared" si="57"/>
        <v>0.53955000000000009</v>
      </c>
      <c r="FG23" s="439">
        <f t="shared" si="58"/>
        <v>-0.37455000000000005</v>
      </c>
      <c r="FH23" s="441">
        <f t="shared" si="59"/>
        <v>0</v>
      </c>
      <c r="FI23" s="439">
        <f t="shared" si="60"/>
        <v>0</v>
      </c>
      <c r="FJ23" s="439">
        <f t="shared" si="61"/>
        <v>0</v>
      </c>
      <c r="FK23" s="439">
        <f t="shared" si="62"/>
        <v>0</v>
      </c>
      <c r="FL23" s="439">
        <f t="shared" si="63"/>
        <v>0</v>
      </c>
      <c r="FM23" s="439">
        <f t="shared" si="64"/>
        <v>0</v>
      </c>
      <c r="FN23" s="439">
        <f t="shared" si="65"/>
        <v>0</v>
      </c>
      <c r="FO23" s="439">
        <f t="shared" si="66"/>
        <v>0</v>
      </c>
      <c r="FP23" s="439">
        <f t="shared" si="67"/>
        <v>0</v>
      </c>
      <c r="FQ23" s="439">
        <f t="shared" si="68"/>
        <v>0</v>
      </c>
      <c r="FR23" s="439">
        <f t="shared" si="69"/>
        <v>0</v>
      </c>
      <c r="FS23" s="442">
        <f t="shared" si="70"/>
        <v>0</v>
      </c>
      <c r="FT23" s="442">
        <f t="shared" si="71"/>
        <v>0</v>
      </c>
      <c r="FU23" s="439">
        <f t="shared" si="72"/>
        <v>0</v>
      </c>
      <c r="FV23" s="439">
        <f t="shared" si="73"/>
        <v>0</v>
      </c>
      <c r="FW23" s="661">
        <f t="shared" si="74"/>
        <v>0</v>
      </c>
      <c r="FX23" s="661">
        <f t="shared" si="75"/>
        <v>0</v>
      </c>
      <c r="FY23" s="439">
        <f t="shared" si="76"/>
        <v>0</v>
      </c>
      <c r="FZ23" s="439">
        <f t="shared" si="77"/>
        <v>0</v>
      </c>
      <c r="GA23" s="439">
        <f t="shared" si="78"/>
        <v>0</v>
      </c>
      <c r="GB23" s="439">
        <f t="shared" si="79"/>
        <v>0</v>
      </c>
      <c r="GC23" s="631" t="s">
        <v>92</v>
      </c>
      <c r="GD23" s="631">
        <f t="shared" si="153"/>
        <v>7.1756784059285261E-2</v>
      </c>
      <c r="GF23" s="439">
        <f t="shared" si="81"/>
        <v>0.79422000000000015</v>
      </c>
      <c r="GG23" s="440">
        <f t="shared" si="82"/>
        <v>0.60822000000000009</v>
      </c>
      <c r="GH23" s="439">
        <f t="shared" si="83"/>
        <v>-0.4222200000000001</v>
      </c>
      <c r="GI23" s="439">
        <f t="shared" si="84"/>
        <v>0</v>
      </c>
      <c r="GJ23" s="439">
        <f t="shared" si="85"/>
        <v>0</v>
      </c>
      <c r="GK23" s="439">
        <f t="shared" si="86"/>
        <v>0</v>
      </c>
      <c r="GL23" s="439">
        <f t="shared" si="87"/>
        <v>0</v>
      </c>
      <c r="GM23" s="439">
        <f t="shared" si="88"/>
        <v>0</v>
      </c>
      <c r="GN23" s="439">
        <f t="shared" si="89"/>
        <v>0</v>
      </c>
      <c r="GO23" s="439">
        <f t="shared" si="90"/>
        <v>0</v>
      </c>
      <c r="GP23" s="439">
        <f t="shared" si="91"/>
        <v>0</v>
      </c>
      <c r="GQ23" s="439">
        <f t="shared" si="92"/>
        <v>0</v>
      </c>
      <c r="GR23" s="439">
        <f t="shared" si="93"/>
        <v>0</v>
      </c>
      <c r="GS23" s="439">
        <f t="shared" si="94"/>
        <v>0</v>
      </c>
      <c r="GT23" s="442">
        <f t="shared" si="95"/>
        <v>0</v>
      </c>
      <c r="GU23" s="442">
        <f t="shared" si="96"/>
        <v>0</v>
      </c>
      <c r="GV23" s="439">
        <f t="shared" si="97"/>
        <v>0</v>
      </c>
      <c r="GW23" s="439">
        <f t="shared" si="98"/>
        <v>0</v>
      </c>
      <c r="GX23" s="661">
        <f t="shared" si="99"/>
        <v>0</v>
      </c>
      <c r="GY23" s="661">
        <f t="shared" si="100"/>
        <v>0</v>
      </c>
      <c r="GZ23" s="439">
        <f t="shared" si="101"/>
        <v>0</v>
      </c>
      <c r="HA23" s="439">
        <f t="shared" si="102"/>
        <v>0</v>
      </c>
      <c r="HB23" s="439">
        <f t="shared" si="103"/>
        <v>0</v>
      </c>
      <c r="HC23" s="439">
        <f t="shared" si="104"/>
        <v>0</v>
      </c>
      <c r="HD23" s="631" t="s">
        <v>92</v>
      </c>
      <c r="HE23" s="631">
        <f t="shared" si="176"/>
        <v>8.0889465666830668E-2</v>
      </c>
      <c r="HG23" s="618">
        <f>HLOOKUP(CQ23,Spec_Sheet!$F$3:$DV$19,11,FALSE)+HLOOKUP(CQ23,Spec_Sheet!$F$3:$DV$21,19,FALSE)</f>
        <v>120</v>
      </c>
      <c r="HH23" s="618">
        <f t="shared" si="154"/>
        <v>50</v>
      </c>
      <c r="HI23" s="634">
        <f t="shared" si="155"/>
        <v>150</v>
      </c>
      <c r="HJ23" s="634">
        <f>HLOOKUP(IF(LEN(CQ23)&gt;6,LEFT(CQ23,5),CQ23),'LSM List Pricing'!$B$1:$BW$2,2,0)</f>
        <v>41</v>
      </c>
      <c r="HK23" s="634">
        <f>HLOOKUP(HJ23,'LSM List Pricing'!$B$2:$BW$3,2)</f>
        <v>870</v>
      </c>
      <c r="HL23" s="634">
        <f>VLOOKUP(HH23,'LSM List Pricing'!$A$7:$BW$87,HJ23,0)</f>
        <v>90</v>
      </c>
      <c r="HM23" s="627">
        <f>VLOOKUP(HI23,'LSM List Pricing'!$A$7:$BW$87,HJ23,1)</f>
        <v>130</v>
      </c>
      <c r="HN23" s="628">
        <f t="shared" si="106"/>
        <v>2.4615384615384617</v>
      </c>
      <c r="HO23" s="628">
        <f t="shared" si="107"/>
        <v>4.9230769230769234</v>
      </c>
      <c r="HP23" s="628">
        <f t="shared" si="108"/>
        <v>4.7948717948717947</v>
      </c>
      <c r="HR23" s="618">
        <v>0.01</v>
      </c>
      <c r="HS23" s="618">
        <f t="shared" si="109"/>
        <v>67.142857142857139</v>
      </c>
      <c r="HT23" s="618">
        <f t="shared" si="110"/>
        <v>1</v>
      </c>
      <c r="HU23" s="618">
        <f t="shared" si="170"/>
        <v>0.25432110326425617</v>
      </c>
      <c r="HW23" s="618">
        <f t="shared" si="111"/>
        <v>35.638864033364754</v>
      </c>
      <c r="HX23" s="618">
        <f t="shared" si="171"/>
        <v>0.2529817006629001</v>
      </c>
      <c r="HY23" s="618">
        <f t="shared" si="172"/>
        <v>0.01</v>
      </c>
      <c r="IB23" s="618">
        <f t="shared" si="113"/>
        <v>25.000350341399081</v>
      </c>
      <c r="IC23" s="618">
        <f t="shared" si="114"/>
        <v>1E-3</v>
      </c>
      <c r="IE23" s="618">
        <f t="shared" si="115"/>
        <v>0</v>
      </c>
      <c r="IF23" s="618">
        <f t="shared" si="116"/>
        <v>40.704999999999998</v>
      </c>
      <c r="IH23" s="618">
        <f t="shared" si="117"/>
        <v>0</v>
      </c>
      <c r="II23" s="618">
        <f t="shared" si="118"/>
        <v>40.704999999999998</v>
      </c>
      <c r="IK23" s="618">
        <f t="shared" si="119"/>
        <v>0</v>
      </c>
      <c r="IL23" s="618">
        <f t="shared" si="120"/>
        <v>40.704999999999998</v>
      </c>
      <c r="IN23" s="618">
        <f t="shared" si="121"/>
        <v>0</v>
      </c>
      <c r="IO23" s="618">
        <f t="shared" si="122"/>
        <v>40.704999999999998</v>
      </c>
      <c r="IQ23" s="618">
        <f t="shared" si="123"/>
        <v>0</v>
      </c>
      <c r="IR23" s="618">
        <f t="shared" si="124"/>
        <v>40.704999999999998</v>
      </c>
      <c r="IT23" s="660" t="str">
        <f t="shared" si="125"/>
        <v>S120Q 1S</v>
      </c>
      <c r="IU23" s="628"/>
      <c r="IV23" s="439">
        <f t="shared" si="126"/>
        <v>0.92232000000000003</v>
      </c>
      <c r="IW23" s="440">
        <f t="shared" si="127"/>
        <v>0.70632000000000006</v>
      </c>
      <c r="IX23" s="439">
        <f t="shared" si="128"/>
        <v>-0.49032000000000009</v>
      </c>
      <c r="IY23" s="439">
        <f t="shared" si="129"/>
        <v>0</v>
      </c>
      <c r="IZ23" s="439">
        <f t="shared" si="130"/>
        <v>0</v>
      </c>
      <c r="JA23" s="439">
        <f t="shared" si="131"/>
        <v>0</v>
      </c>
      <c r="JB23" s="439">
        <f t="shared" si="132"/>
        <v>0</v>
      </c>
      <c r="JC23" s="439">
        <f t="shared" si="133"/>
        <v>0</v>
      </c>
      <c r="JD23" s="439">
        <f t="shared" si="134"/>
        <v>0</v>
      </c>
      <c r="JE23" s="439">
        <f t="shared" si="135"/>
        <v>0</v>
      </c>
      <c r="JF23" s="439">
        <f t="shared" si="136"/>
        <v>0</v>
      </c>
      <c r="JG23" s="439">
        <f t="shared" si="137"/>
        <v>0</v>
      </c>
      <c r="JH23" s="439">
        <f t="shared" si="138"/>
        <v>0</v>
      </c>
      <c r="JI23" s="439">
        <f t="shared" si="139"/>
        <v>0</v>
      </c>
      <c r="JJ23" s="442">
        <f t="shared" si="140"/>
        <v>0</v>
      </c>
      <c r="JK23" s="442">
        <f t="shared" si="141"/>
        <v>0</v>
      </c>
      <c r="JL23" s="439">
        <f t="shared" si="142"/>
        <v>0</v>
      </c>
      <c r="JM23" s="439">
        <f t="shared" si="143"/>
        <v>0</v>
      </c>
      <c r="JN23" s="661">
        <f t="shared" si="144"/>
        <v>0</v>
      </c>
      <c r="JO23" s="661">
        <f t="shared" si="145"/>
        <v>0</v>
      </c>
      <c r="JP23" s="439">
        <f t="shared" si="146"/>
        <v>0</v>
      </c>
      <c r="JQ23" s="439">
        <f t="shared" si="147"/>
        <v>0</v>
      </c>
      <c r="JR23" s="439">
        <f t="shared" si="148"/>
        <v>0</v>
      </c>
      <c r="JS23" s="439">
        <f t="shared" si="149"/>
        <v>0</v>
      </c>
      <c r="JT23" s="631" t="s">
        <v>92</v>
      </c>
      <c r="JU23" s="631">
        <f t="shared" si="158"/>
        <v>9.3936153677609782E-2</v>
      </c>
      <c r="JW23" s="522"/>
      <c r="JX23" s="522"/>
      <c r="JY23" s="522"/>
      <c r="JZ23" s="522"/>
      <c r="KA23" s="522"/>
      <c r="KB23" s="522"/>
      <c r="KC23" s="522"/>
      <c r="KD23" s="522"/>
      <c r="KE23" s="522"/>
      <c r="KF23" s="522"/>
      <c r="KG23" s="522"/>
      <c r="KH23" s="522"/>
      <c r="KI23" s="522"/>
      <c r="KJ23" s="522"/>
      <c r="KK23" s="522"/>
      <c r="KL23" s="522"/>
    </row>
    <row r="24" spans="1:298" ht="9.9499999999999993" customHeight="1">
      <c r="B24" s="455" t="str">
        <f>IF(AC50&gt;AQ31,"Stroke Too Long","")</f>
        <v/>
      </c>
      <c r="C24" s="49"/>
      <c r="D24" s="49"/>
      <c r="E24" s="49"/>
      <c r="F24" s="49"/>
      <c r="G24" s="67"/>
      <c r="H24" s="67"/>
      <c r="I24" s="314" t="s">
        <v>254</v>
      </c>
      <c r="J24" s="57"/>
      <c r="K24" s="57"/>
      <c r="L24" s="860">
        <f>IF(AE34&gt;900,AE34/1000,AE34)</f>
        <v>15</v>
      </c>
      <c r="M24" s="861"/>
      <c r="N24" s="858" t="str">
        <f>IF(AE34&gt;900,"m","mm")</f>
        <v>mm</v>
      </c>
      <c r="O24" s="858"/>
      <c r="P24" s="750" t="s">
        <v>306</v>
      </c>
      <c r="Q24" s="736"/>
      <c r="R24" s="736"/>
      <c r="S24" s="736"/>
      <c r="T24" s="736"/>
      <c r="U24" s="760">
        <v>0.02</v>
      </c>
      <c r="V24" s="760"/>
      <c r="W24" s="61" t="s">
        <v>120</v>
      </c>
      <c r="X24" s="62"/>
      <c r="Y24" s="321" t="e">
        <f>IF(O42&gt;U25,"Settling time ?",IF(Y22="X","▲ Acc Time",IF(Z22="X","▲ Decl Time","")))</f>
        <v>#DIV/0!</v>
      </c>
      <c r="Z24" s="322"/>
      <c r="AA24" s="323"/>
      <c r="AB24" s="323"/>
      <c r="AC24" s="754" t="e">
        <f>AC23*39.37007874</f>
        <v>#DIV/0!</v>
      </c>
      <c r="AD24" s="755">
        <v>55.118110236</v>
      </c>
      <c r="AE24" s="74" t="s">
        <v>128</v>
      </c>
      <c r="AF24" s="73"/>
      <c r="AG24" s="752" t="s">
        <v>306</v>
      </c>
      <c r="AH24" s="753"/>
      <c r="AI24" s="753"/>
      <c r="AJ24" s="753"/>
      <c r="AK24" s="753"/>
      <c r="AL24" s="740">
        <v>0.1</v>
      </c>
      <c r="AM24" s="740"/>
      <c r="AN24" s="65" t="s">
        <v>120</v>
      </c>
      <c r="AO24" s="66"/>
      <c r="AP24" s="321" t="e">
        <f>IF(AA42&gt;AL25,"Settling time ?",IF(AP22="X","▲ Acc Time",IF(AQ22="X","▲ Decl Time","")))</f>
        <v>#DIV/0!</v>
      </c>
      <c r="AQ24" s="322"/>
      <c r="AR24" s="323"/>
      <c r="AS24" s="323"/>
      <c r="AT24" s="754">
        <f>AT23*39.37007874</f>
        <v>157.48031495999999</v>
      </c>
      <c r="AU24" s="755">
        <v>55.118110236</v>
      </c>
      <c r="AV24" s="74" t="s">
        <v>128</v>
      </c>
      <c r="AW24" s="548"/>
      <c r="AX24" s="48"/>
      <c r="AY24" s="48"/>
      <c r="AZ24" s="48"/>
      <c r="BA24" s="48"/>
      <c r="BB24" s="708" t="str">
        <f t="shared" ca="1" si="168"/>
        <v>S120T 1S</v>
      </c>
      <c r="BC24" s="709"/>
      <c r="BD24" s="710"/>
      <c r="BE24" s="342">
        <f t="shared" ca="1" si="160"/>
        <v>1.0566213223343527E-2</v>
      </c>
      <c r="BF24" s="78">
        <f t="shared" ca="1" si="161"/>
        <v>4.0014061910886734E-3</v>
      </c>
      <c r="BG24" s="490">
        <f t="shared" ca="1" si="162"/>
        <v>1.0976513662859462E-2</v>
      </c>
      <c r="BH24" s="78">
        <f t="shared" ca="1" si="163"/>
        <v>4.255401701265202E-3</v>
      </c>
      <c r="BI24" s="617">
        <f t="shared" ca="1" si="164"/>
        <v>3.63506651294945E-3</v>
      </c>
      <c r="BJ24" s="528">
        <f t="shared" ca="1" si="165"/>
        <v>2</v>
      </c>
      <c r="BK24" s="529">
        <f t="shared" ca="1" si="166"/>
        <v>4</v>
      </c>
      <c r="BL24" s="530">
        <f t="shared" ca="1" si="167"/>
        <v>3.8974358974358974</v>
      </c>
      <c r="BM24" s="44"/>
      <c r="BN24" s="70"/>
      <c r="BO24" s="70"/>
      <c r="BP24" s="70"/>
      <c r="BQ24" s="70"/>
      <c r="BR24" s="70"/>
      <c r="BS24" s="70"/>
      <c r="BT24" s="70"/>
      <c r="BU24" s="70"/>
      <c r="BV24" s="122"/>
      <c r="BW24" s="70"/>
      <c r="BX24" s="70"/>
      <c r="BY24" s="70"/>
      <c r="BZ24" s="70"/>
      <c r="CA24" s="70"/>
      <c r="CB24" s="70"/>
      <c r="CC24" s="70"/>
      <c r="CD24" s="82"/>
      <c r="CE24" s="82"/>
      <c r="CF24" s="122"/>
      <c r="CG24" s="122"/>
      <c r="CH24" s="167"/>
      <c r="CI24" s="100"/>
      <c r="CJ24" s="173"/>
      <c r="CK24" s="152"/>
      <c r="CL24" s="155"/>
      <c r="CM24" s="155"/>
      <c r="CN24" s="377"/>
      <c r="CO24" s="689" t="str">
        <f ca="1"/>
        <v>S160D</v>
      </c>
      <c r="CP24" s="632" t="str">
        <f>IF(OR(CQ24=0,CR24="",CS24&gt;120),"",IF(HLOOKUP(CQ24,Spec_Sheet!$F$3:$ED$19,17,FALSE)&lt;$AC$46,"",CQ24))</f>
        <v>S120Q 2S</v>
      </c>
      <c r="CQ24" s="660" t="str">
        <f>IF(Spec_Sheet!A23="","",Spec_Sheet!A23)</f>
        <v>S120Q 2S</v>
      </c>
      <c r="CR24" s="660">
        <f>IF(CQ24="",0,HLOOKUP(CQ24,Spec_Sheet!$F$3:$ED$19,2,FALSE))</f>
        <v>8.8800000000000008</v>
      </c>
      <c r="CS24" s="660">
        <f t="shared" si="169"/>
        <v>2.7975613814015207E-3</v>
      </c>
      <c r="CT24" s="621">
        <f t="shared" si="173"/>
        <v>6.7694077870950366E-3</v>
      </c>
      <c r="CU24" s="621">
        <f t="shared" si="3"/>
        <v>2.7975613814015207E-3</v>
      </c>
      <c r="CV24" s="621">
        <f t="shared" si="174"/>
        <v>6.5298018354472218E-3</v>
      </c>
      <c r="CW24" s="621">
        <f t="shared" si="175"/>
        <v>2.6442999168339995E-3</v>
      </c>
      <c r="CX24" s="621">
        <f t="shared" si="157"/>
        <v>2.0744263021040604E-3</v>
      </c>
      <c r="CY24" s="619">
        <f>HLOOKUP(CQ24,Spec_Sheet!$F$3:$ED$19,13,FALSE)</f>
        <v>0.16</v>
      </c>
      <c r="CZ24" s="619">
        <f>VLOOKUP(HH24,'Shaft Weight'!$A$6:$CD$102,HJ24,TRUE)</f>
        <v>0.15</v>
      </c>
      <c r="DA24" s="619">
        <f>VLOOKUP(HI24,'Shaft Weight'!$A$6:$CD$102,HJ24,0)</f>
        <v>0.22</v>
      </c>
      <c r="DB24" s="619">
        <f>HLOOKUP(CQ24,Spec_Sheet!$F$3:$ED$19,6,FALSE)</f>
        <v>11.1</v>
      </c>
      <c r="DC24" s="439">
        <f t="shared" si="6"/>
        <v>0.71736000000000011</v>
      </c>
      <c r="DD24" s="440">
        <f t="shared" si="7"/>
        <v>0.54936000000000007</v>
      </c>
      <c r="DE24" s="439">
        <f t="shared" si="8"/>
        <v>-0.38136000000000003</v>
      </c>
      <c r="DF24" s="439">
        <f t="shared" si="9"/>
        <v>0</v>
      </c>
      <c r="DG24" s="439">
        <f t="shared" si="10"/>
        <v>0</v>
      </c>
      <c r="DH24" s="439">
        <f t="shared" si="11"/>
        <v>0</v>
      </c>
      <c r="DI24" s="439">
        <f t="shared" si="12"/>
        <v>0</v>
      </c>
      <c r="DJ24" s="439">
        <f t="shared" si="13"/>
        <v>0</v>
      </c>
      <c r="DK24" s="439">
        <f t="shared" si="14"/>
        <v>0</v>
      </c>
      <c r="DL24" s="439">
        <f t="shared" si="15"/>
        <v>0</v>
      </c>
      <c r="DM24" s="439">
        <f t="shared" si="16"/>
        <v>0</v>
      </c>
      <c r="DN24" s="439">
        <f t="shared" si="17"/>
        <v>0</v>
      </c>
      <c r="DO24" s="439">
        <f t="shared" si="18"/>
        <v>0</v>
      </c>
      <c r="DP24" s="439">
        <f t="shared" si="19"/>
        <v>0</v>
      </c>
      <c r="DQ24" s="442">
        <f t="shared" si="20"/>
        <v>0</v>
      </c>
      <c r="DR24" s="442">
        <f t="shared" si="21"/>
        <v>0</v>
      </c>
      <c r="DS24" s="439">
        <f t="shared" si="22"/>
        <v>0</v>
      </c>
      <c r="DT24" s="439">
        <f t="shared" si="23"/>
        <v>0</v>
      </c>
      <c r="DU24" s="661">
        <f t="shared" si="24"/>
        <v>0</v>
      </c>
      <c r="DV24" s="661">
        <f t="shared" si="25"/>
        <v>0</v>
      </c>
      <c r="DW24" s="439">
        <f t="shared" si="26"/>
        <v>0</v>
      </c>
      <c r="DX24" s="439">
        <f t="shared" si="27"/>
        <v>0</v>
      </c>
      <c r="DY24" s="439">
        <f t="shared" si="28"/>
        <v>0</v>
      </c>
      <c r="DZ24" s="439">
        <f t="shared" si="29"/>
        <v>0</v>
      </c>
      <c r="EA24" s="631" t="s">
        <v>92</v>
      </c>
      <c r="EB24" s="631">
        <f t="shared" si="151"/>
        <v>7.3061452860363169E-2</v>
      </c>
      <c r="ED24" s="439">
        <f t="shared" si="31"/>
        <v>0.89670000000000005</v>
      </c>
      <c r="EE24" s="440">
        <f t="shared" si="32"/>
        <v>0.68670000000000009</v>
      </c>
      <c r="EF24" s="439">
        <f t="shared" si="33"/>
        <v>-0.47670000000000012</v>
      </c>
      <c r="EG24" s="441">
        <f t="shared" si="34"/>
        <v>0</v>
      </c>
      <c r="EH24" s="439">
        <f t="shared" si="35"/>
        <v>0</v>
      </c>
      <c r="EI24" s="439">
        <f t="shared" si="36"/>
        <v>0</v>
      </c>
      <c r="EJ24" s="439">
        <f t="shared" si="37"/>
        <v>0</v>
      </c>
      <c r="EK24" s="439">
        <f t="shared" si="38"/>
        <v>0</v>
      </c>
      <c r="EL24" s="439">
        <f t="shared" si="39"/>
        <v>0</v>
      </c>
      <c r="EM24" s="439">
        <f t="shared" si="40"/>
        <v>0</v>
      </c>
      <c r="EN24" s="439">
        <f t="shared" si="41"/>
        <v>0</v>
      </c>
      <c r="EO24" s="439">
        <f t="shared" si="42"/>
        <v>0</v>
      </c>
      <c r="EP24" s="439">
        <f t="shared" si="43"/>
        <v>0</v>
      </c>
      <c r="EQ24" s="439">
        <f t="shared" si="44"/>
        <v>0</v>
      </c>
      <c r="ER24" s="442">
        <f t="shared" si="45"/>
        <v>0</v>
      </c>
      <c r="ES24" s="442">
        <f t="shared" si="46"/>
        <v>0</v>
      </c>
      <c r="ET24" s="439">
        <f t="shared" si="47"/>
        <v>0</v>
      </c>
      <c r="EU24" s="439">
        <f t="shared" si="48"/>
        <v>0</v>
      </c>
      <c r="EV24" s="661">
        <f t="shared" si="49"/>
        <v>0</v>
      </c>
      <c r="EW24" s="661">
        <f t="shared" si="50"/>
        <v>0</v>
      </c>
      <c r="EX24" s="439">
        <f t="shared" si="51"/>
        <v>0</v>
      </c>
      <c r="EY24" s="439">
        <f t="shared" si="52"/>
        <v>0</v>
      </c>
      <c r="EZ24" s="439">
        <f t="shared" si="53"/>
        <v>0</v>
      </c>
      <c r="FA24" s="439">
        <f t="shared" si="54"/>
        <v>0</v>
      </c>
      <c r="FB24" s="631" t="s">
        <v>92</v>
      </c>
      <c r="FC24" s="631">
        <f t="shared" si="152"/>
        <v>9.1326816075453968E-2</v>
      </c>
      <c r="FE24" s="439">
        <f t="shared" si="56"/>
        <v>0.70455000000000012</v>
      </c>
      <c r="FF24" s="440">
        <f t="shared" si="57"/>
        <v>0.53955000000000009</v>
      </c>
      <c r="FG24" s="439">
        <f t="shared" si="58"/>
        <v>-0.37455000000000005</v>
      </c>
      <c r="FH24" s="441">
        <f t="shared" si="59"/>
        <v>0</v>
      </c>
      <c r="FI24" s="439">
        <f t="shared" si="60"/>
        <v>0</v>
      </c>
      <c r="FJ24" s="439">
        <f t="shared" si="61"/>
        <v>0</v>
      </c>
      <c r="FK24" s="439">
        <f t="shared" si="62"/>
        <v>0</v>
      </c>
      <c r="FL24" s="439">
        <f t="shared" si="63"/>
        <v>0</v>
      </c>
      <c r="FM24" s="439">
        <f t="shared" si="64"/>
        <v>0</v>
      </c>
      <c r="FN24" s="439">
        <f t="shared" si="65"/>
        <v>0</v>
      </c>
      <c r="FO24" s="439">
        <f t="shared" si="66"/>
        <v>0</v>
      </c>
      <c r="FP24" s="439">
        <f t="shared" si="67"/>
        <v>0</v>
      </c>
      <c r="FQ24" s="439">
        <f t="shared" si="68"/>
        <v>0</v>
      </c>
      <c r="FR24" s="439">
        <f t="shared" si="69"/>
        <v>0</v>
      </c>
      <c r="FS24" s="442">
        <f t="shared" si="70"/>
        <v>0</v>
      </c>
      <c r="FT24" s="442">
        <f t="shared" si="71"/>
        <v>0</v>
      </c>
      <c r="FU24" s="439">
        <f t="shared" si="72"/>
        <v>0</v>
      </c>
      <c r="FV24" s="439">
        <f t="shared" si="73"/>
        <v>0</v>
      </c>
      <c r="FW24" s="661">
        <f t="shared" si="74"/>
        <v>0</v>
      </c>
      <c r="FX24" s="661">
        <f t="shared" si="75"/>
        <v>0</v>
      </c>
      <c r="FY24" s="439">
        <f t="shared" si="76"/>
        <v>0</v>
      </c>
      <c r="FZ24" s="439">
        <f t="shared" si="77"/>
        <v>0</v>
      </c>
      <c r="GA24" s="439">
        <f t="shared" si="78"/>
        <v>0</v>
      </c>
      <c r="GB24" s="439">
        <f t="shared" si="79"/>
        <v>0</v>
      </c>
      <c r="GC24" s="631" t="s">
        <v>92</v>
      </c>
      <c r="GD24" s="631">
        <f t="shared" si="153"/>
        <v>7.1756784059285261E-2</v>
      </c>
      <c r="GF24" s="439">
        <f t="shared" si="81"/>
        <v>0.79422000000000015</v>
      </c>
      <c r="GG24" s="440">
        <f t="shared" si="82"/>
        <v>0.60822000000000009</v>
      </c>
      <c r="GH24" s="439">
        <f t="shared" si="83"/>
        <v>-0.4222200000000001</v>
      </c>
      <c r="GI24" s="439">
        <f t="shared" si="84"/>
        <v>0</v>
      </c>
      <c r="GJ24" s="439">
        <f t="shared" si="85"/>
        <v>0</v>
      </c>
      <c r="GK24" s="439">
        <f t="shared" si="86"/>
        <v>0</v>
      </c>
      <c r="GL24" s="439">
        <f t="shared" si="87"/>
        <v>0</v>
      </c>
      <c r="GM24" s="439">
        <f t="shared" si="88"/>
        <v>0</v>
      </c>
      <c r="GN24" s="439">
        <f t="shared" si="89"/>
        <v>0</v>
      </c>
      <c r="GO24" s="439">
        <f t="shared" si="90"/>
        <v>0</v>
      </c>
      <c r="GP24" s="439">
        <f t="shared" si="91"/>
        <v>0</v>
      </c>
      <c r="GQ24" s="439">
        <f t="shared" si="92"/>
        <v>0</v>
      </c>
      <c r="GR24" s="439">
        <f t="shared" si="93"/>
        <v>0</v>
      </c>
      <c r="GS24" s="439">
        <f t="shared" si="94"/>
        <v>0</v>
      </c>
      <c r="GT24" s="442">
        <f t="shared" si="95"/>
        <v>0</v>
      </c>
      <c r="GU24" s="442">
        <f t="shared" si="96"/>
        <v>0</v>
      </c>
      <c r="GV24" s="439">
        <f t="shared" si="97"/>
        <v>0</v>
      </c>
      <c r="GW24" s="439">
        <f t="shared" si="98"/>
        <v>0</v>
      </c>
      <c r="GX24" s="661">
        <f t="shared" si="99"/>
        <v>0</v>
      </c>
      <c r="GY24" s="661">
        <f t="shared" si="100"/>
        <v>0</v>
      </c>
      <c r="GZ24" s="439">
        <f t="shared" si="101"/>
        <v>0</v>
      </c>
      <c r="HA24" s="439">
        <f t="shared" si="102"/>
        <v>0</v>
      </c>
      <c r="HB24" s="439">
        <f t="shared" si="103"/>
        <v>0</v>
      </c>
      <c r="HC24" s="439">
        <f t="shared" si="104"/>
        <v>0</v>
      </c>
      <c r="HD24" s="631" t="s">
        <v>92</v>
      </c>
      <c r="HE24" s="631">
        <f t="shared" si="176"/>
        <v>8.0889465666830668E-2</v>
      </c>
      <c r="HG24" s="618">
        <f>HLOOKUP(CQ24,Spec_Sheet!$F$3:$DV$19,11,FALSE)+HLOOKUP(CQ24,Spec_Sheet!$F$3:$DV$21,19,FALSE)</f>
        <v>120</v>
      </c>
      <c r="HH24" s="618">
        <f t="shared" si="154"/>
        <v>50</v>
      </c>
      <c r="HI24" s="634">
        <f t="shared" si="155"/>
        <v>150</v>
      </c>
      <c r="HJ24" s="634">
        <f>HLOOKUP(IF(LEN(CQ24)&gt;6,LEFT(CQ24,5),CQ24),'LSM List Pricing'!$B$1:$BW$2,2,0)</f>
        <v>41</v>
      </c>
      <c r="HK24" s="634">
        <f>HLOOKUP(HJ24,'LSM List Pricing'!$B$2:$BW$3,2)</f>
        <v>870</v>
      </c>
      <c r="HL24" s="634">
        <f>VLOOKUP(HH24,'LSM List Pricing'!$A$7:$BW$87,HJ24,0)</f>
        <v>90</v>
      </c>
      <c r="HM24" s="627">
        <f>VLOOKUP(HI24,'LSM List Pricing'!$A$7:$BW$87,HJ24,1)</f>
        <v>130</v>
      </c>
      <c r="HN24" s="628">
        <f t="shared" si="106"/>
        <v>2.4615384615384617</v>
      </c>
      <c r="HO24" s="628">
        <f t="shared" si="107"/>
        <v>4.9230769230769234</v>
      </c>
      <c r="HP24" s="628">
        <f t="shared" si="108"/>
        <v>4.7948717948717947</v>
      </c>
      <c r="HR24" s="618">
        <v>1.0500000000000001E-2</v>
      </c>
      <c r="HS24" s="618">
        <f t="shared" si="109"/>
        <v>70.5</v>
      </c>
      <c r="HT24" s="618">
        <f t="shared" si="110"/>
        <v>1</v>
      </c>
      <c r="HU24" s="618">
        <f t="shared" si="170"/>
        <v>0.26706014723788096</v>
      </c>
      <c r="HW24" s="618">
        <f t="shared" si="111"/>
        <v>35.62077459092221</v>
      </c>
      <c r="HX24" s="618">
        <f t="shared" si="171"/>
        <v>0.26558655104868717</v>
      </c>
      <c r="HY24" s="618">
        <f t="shared" si="172"/>
        <v>1.0500000000000001E-2</v>
      </c>
      <c r="IB24" s="618">
        <f t="shared" si="113"/>
        <v>25.000350341399081</v>
      </c>
      <c r="IC24" s="618">
        <f t="shared" si="114"/>
        <v>1E-3</v>
      </c>
      <c r="IE24" s="618">
        <f t="shared" si="115"/>
        <v>0</v>
      </c>
      <c r="IF24" s="618">
        <f t="shared" si="116"/>
        <v>40.704999999999998</v>
      </c>
      <c r="IH24" s="618">
        <f t="shared" si="117"/>
        <v>0</v>
      </c>
      <c r="II24" s="618">
        <f t="shared" si="118"/>
        <v>40.704999999999998</v>
      </c>
      <c r="IK24" s="618">
        <f t="shared" si="119"/>
        <v>0</v>
      </c>
      <c r="IL24" s="618">
        <f t="shared" si="120"/>
        <v>40.704999999999998</v>
      </c>
      <c r="IN24" s="618">
        <f t="shared" si="121"/>
        <v>0</v>
      </c>
      <c r="IO24" s="618">
        <f t="shared" si="122"/>
        <v>40.704999999999998</v>
      </c>
      <c r="IQ24" s="618">
        <f t="shared" si="123"/>
        <v>0</v>
      </c>
      <c r="IR24" s="618">
        <f t="shared" si="124"/>
        <v>40.704999999999998</v>
      </c>
      <c r="IT24" s="660" t="str">
        <f t="shared" si="125"/>
        <v>S120Q 2S</v>
      </c>
      <c r="IU24" s="628"/>
      <c r="IV24" s="439">
        <f t="shared" si="126"/>
        <v>0.92232000000000003</v>
      </c>
      <c r="IW24" s="440">
        <f t="shared" si="127"/>
        <v>0.70632000000000006</v>
      </c>
      <c r="IX24" s="439">
        <f t="shared" si="128"/>
        <v>-0.49032000000000009</v>
      </c>
      <c r="IY24" s="439">
        <f t="shared" si="129"/>
        <v>0</v>
      </c>
      <c r="IZ24" s="439">
        <f t="shared" si="130"/>
        <v>0</v>
      </c>
      <c r="JA24" s="439">
        <f t="shared" si="131"/>
        <v>0</v>
      </c>
      <c r="JB24" s="439">
        <f t="shared" si="132"/>
        <v>0</v>
      </c>
      <c r="JC24" s="439">
        <f t="shared" si="133"/>
        <v>0</v>
      </c>
      <c r="JD24" s="439">
        <f t="shared" si="134"/>
        <v>0</v>
      </c>
      <c r="JE24" s="439">
        <f t="shared" si="135"/>
        <v>0</v>
      </c>
      <c r="JF24" s="439">
        <f t="shared" si="136"/>
        <v>0</v>
      </c>
      <c r="JG24" s="439">
        <f t="shared" si="137"/>
        <v>0</v>
      </c>
      <c r="JH24" s="439">
        <f t="shared" si="138"/>
        <v>0</v>
      </c>
      <c r="JI24" s="439">
        <f t="shared" si="139"/>
        <v>0</v>
      </c>
      <c r="JJ24" s="442">
        <f t="shared" si="140"/>
        <v>0</v>
      </c>
      <c r="JK24" s="442">
        <f t="shared" si="141"/>
        <v>0</v>
      </c>
      <c r="JL24" s="439">
        <f t="shared" si="142"/>
        <v>0</v>
      </c>
      <c r="JM24" s="439">
        <f t="shared" si="143"/>
        <v>0</v>
      </c>
      <c r="JN24" s="661">
        <f t="shared" si="144"/>
        <v>0</v>
      </c>
      <c r="JO24" s="661">
        <f t="shared" si="145"/>
        <v>0</v>
      </c>
      <c r="JP24" s="439">
        <f t="shared" si="146"/>
        <v>0</v>
      </c>
      <c r="JQ24" s="439">
        <f t="shared" si="147"/>
        <v>0</v>
      </c>
      <c r="JR24" s="439">
        <f t="shared" si="148"/>
        <v>0</v>
      </c>
      <c r="JS24" s="439">
        <f t="shared" si="149"/>
        <v>0</v>
      </c>
      <c r="JT24" s="631" t="s">
        <v>92</v>
      </c>
      <c r="JU24" s="631">
        <f t="shared" si="158"/>
        <v>9.3936153677609782E-2</v>
      </c>
      <c r="JW24" s="522"/>
      <c r="JX24" s="522"/>
      <c r="JY24" s="522"/>
      <c r="JZ24" s="522"/>
      <c r="KA24" s="522"/>
      <c r="KB24" s="522"/>
      <c r="KC24" s="522"/>
      <c r="KD24" s="522"/>
      <c r="KE24" s="522"/>
      <c r="KF24" s="522"/>
      <c r="KG24" s="522"/>
      <c r="KH24" s="522"/>
      <c r="KI24" s="522"/>
      <c r="KJ24" s="522"/>
      <c r="KK24" s="522"/>
      <c r="KL24" s="522"/>
    </row>
    <row r="25" spans="1:298" ht="9.9499999999999993" customHeight="1">
      <c r="B25" s="336" t="str">
        <f>IF(AE35&gt;AQ33,"Will not Handle Peak","")</f>
        <v/>
      </c>
      <c r="C25" s="267"/>
      <c r="D25" s="267"/>
      <c r="E25" s="267"/>
      <c r="F25" s="267"/>
      <c r="G25" s="267"/>
      <c r="H25" s="267"/>
      <c r="I25" s="315" t="s">
        <v>137</v>
      </c>
      <c r="J25" s="269"/>
      <c r="K25" s="281"/>
      <c r="L25" s="741">
        <f>IF(AE35&lt;2,AE35*100,AE35)</f>
        <v>58.768269128344741</v>
      </c>
      <c r="M25" s="742"/>
      <c r="N25" s="741" t="str">
        <f>IF(AE35&lt;2,"grams","N")</f>
        <v>grams</v>
      </c>
      <c r="O25" s="745"/>
      <c r="P25" s="750" t="s">
        <v>21</v>
      </c>
      <c r="Q25" s="736"/>
      <c r="R25" s="736"/>
      <c r="S25" s="736"/>
      <c r="T25" s="736"/>
      <c r="U25" s="760">
        <v>4.0000000000000001E-3</v>
      </c>
      <c r="V25" s="760"/>
      <c r="W25" s="61" t="s">
        <v>120</v>
      </c>
      <c r="X25" s="62"/>
      <c r="Y25" s="739" t="e">
        <f>IF(O42&gt;U25,O42,IF(Y22="X",VLOOKUP(AC21,HX3:HY505,2,TRUE)+0.0005,IF(Z22="X",VLOOKUP(AC21,HX3:HY505,2,TRUE)+0.0005,"")))</f>
        <v>#DIV/0!</v>
      </c>
      <c r="Z25" s="739"/>
      <c r="AA25" s="739"/>
      <c r="AB25" s="739"/>
      <c r="AC25" s="754" t="e">
        <f>AC23*0.1019716213</f>
        <v>#DIV/0!</v>
      </c>
      <c r="AD25" s="755">
        <v>0.14276026982000001</v>
      </c>
      <c r="AE25" s="80" t="s">
        <v>110</v>
      </c>
      <c r="AF25" s="73"/>
      <c r="AG25" s="752" t="s">
        <v>21</v>
      </c>
      <c r="AH25" s="753"/>
      <c r="AI25" s="753"/>
      <c r="AJ25" s="753"/>
      <c r="AK25" s="753"/>
      <c r="AL25" s="740">
        <v>0.2</v>
      </c>
      <c r="AM25" s="740"/>
      <c r="AN25" s="65" t="s">
        <v>120</v>
      </c>
      <c r="AO25" s="66"/>
      <c r="AP25" s="739" t="e">
        <f>IF(AA42&gt;AL25,AA42,IF(AP22="X",VLOOKUP(AT21,HX3:HY505,2,TRUE)+0.0005,IF(AQ22="X",VLOOKUP(AT21,HX3:HY505,2,TRUE)+0.0005,"")))</f>
        <v>#DIV/0!</v>
      </c>
      <c r="AQ25" s="739"/>
      <c r="AR25" s="739"/>
      <c r="AS25" s="739"/>
      <c r="AT25" s="754">
        <f>AT23*0.1019716213</f>
        <v>0.40788648519999998</v>
      </c>
      <c r="AU25" s="755">
        <v>0.14276026982000001</v>
      </c>
      <c r="AV25" s="80" t="s">
        <v>110</v>
      </c>
      <c r="AW25" s="548"/>
      <c r="AX25" s="48"/>
      <c r="AY25" s="48"/>
      <c r="AZ25" s="48"/>
      <c r="BA25" s="48"/>
      <c r="BB25" s="708" t="str">
        <f t="shared" ca="1" si="168"/>
        <v>L160D</v>
      </c>
      <c r="BC25" s="709"/>
      <c r="BD25" s="710"/>
      <c r="BE25" s="342">
        <f t="shared" ca="1" si="160"/>
        <v>6.6490651582268778E-3</v>
      </c>
      <c r="BF25" s="78">
        <f t="shared" ca="1" si="161"/>
        <v>2.6925966343232812E-3</v>
      </c>
      <c r="BG25" s="490">
        <f t="shared" ca="1" si="162"/>
        <v>1.0163728030294574E-2</v>
      </c>
      <c r="BH25" s="78">
        <f t="shared" ca="1" si="163"/>
        <v>5.0642797105966055E-3</v>
      </c>
      <c r="BI25" s="617">
        <f t="shared" ca="1" si="164"/>
        <v>3.0909910342996833E-3</v>
      </c>
      <c r="BJ25" s="528">
        <f t="shared" ca="1" si="165"/>
        <v>1.5384615384615385</v>
      </c>
      <c r="BK25" s="529">
        <f t="shared" ca="1" si="166"/>
        <v>3.0769230769230771</v>
      </c>
      <c r="BL25" s="530">
        <f t="shared" ca="1" si="167"/>
        <v>2.4871794871794872</v>
      </c>
      <c r="BM25" s="44"/>
      <c r="BN25" s="70"/>
      <c r="BO25" s="70"/>
      <c r="BP25" s="70"/>
      <c r="BQ25" s="70"/>
      <c r="BR25" s="70"/>
      <c r="BS25" s="70"/>
      <c r="BT25" s="70"/>
      <c r="BU25" s="70"/>
      <c r="BV25" s="122"/>
      <c r="BW25" s="70"/>
      <c r="BX25" s="70"/>
      <c r="BY25" s="70"/>
      <c r="BZ25" s="70"/>
      <c r="CA25" s="70"/>
      <c r="CB25" s="70"/>
      <c r="CC25" s="70"/>
      <c r="CD25" s="82"/>
      <c r="CE25" s="82"/>
      <c r="CF25" s="122"/>
      <c r="CG25" s="122"/>
      <c r="CH25" s="167"/>
      <c r="CI25" s="174"/>
      <c r="CJ25" s="173"/>
      <c r="CK25" s="152"/>
      <c r="CL25" s="155"/>
      <c r="CM25" s="155"/>
      <c r="CN25" s="377"/>
      <c r="CO25" s="689" t="str">
        <f ca="1"/>
        <v>L160T</v>
      </c>
      <c r="CP25" s="632" t="str">
        <f>IF(OR(CQ25=0,CR25="",CS25&gt;120),"",IF(HLOOKUP(CQ25,Spec_Sheet!$F$3:$ED$19,17,FALSE)&lt;$AC$46,"",CQ25))</f>
        <v>S120Q</v>
      </c>
      <c r="CQ25" s="660" t="str">
        <f>IF(Spec_Sheet!A24="","",Spec_Sheet!A24)</f>
        <v>S120Q</v>
      </c>
      <c r="CR25" s="660">
        <f>IF(CQ25="",0,HLOOKUP(CQ25,Spec_Sheet!$F$3:$ED$19,2,FALSE))</f>
        <v>8.9</v>
      </c>
      <c r="CS25" s="660">
        <f t="shared" si="169"/>
        <v>2.7850021991363228E-3</v>
      </c>
      <c r="CT25" s="621">
        <f t="shared" si="173"/>
        <v>6.7390176670459167E-3</v>
      </c>
      <c r="CU25" s="621">
        <f t="shared" si="3"/>
        <v>2.7850021991363228E-3</v>
      </c>
      <c r="CV25" s="621">
        <f t="shared" si="174"/>
        <v>6.5004873861013706E-3</v>
      </c>
      <c r="CW25" s="621">
        <f t="shared" si="175"/>
        <v>2.6324287761898108E-3</v>
      </c>
      <c r="CX25" s="621">
        <f t="shared" si="157"/>
        <v>2.0651135134027833E-3</v>
      </c>
      <c r="CY25" s="619">
        <f>HLOOKUP(CQ25,Spec_Sheet!$F$3:$ED$19,13,FALSE)</f>
        <v>0.16</v>
      </c>
      <c r="CZ25" s="619">
        <f>VLOOKUP(HH25,'Shaft Weight'!$A$6:$CD$102,HJ25,TRUE)</f>
        <v>0.15</v>
      </c>
      <c r="DA25" s="619">
        <f>VLOOKUP(HI25,'Shaft Weight'!$A$6:$CD$102,HJ25,0)</f>
        <v>0.22</v>
      </c>
      <c r="DB25" s="619">
        <f>HLOOKUP(CQ25,Spec_Sheet!$F$3:$ED$19,6,FALSE)</f>
        <v>22.2</v>
      </c>
      <c r="DC25" s="439">
        <f t="shared" si="6"/>
        <v>0.71736000000000011</v>
      </c>
      <c r="DD25" s="440">
        <f t="shared" si="7"/>
        <v>0.54936000000000007</v>
      </c>
      <c r="DE25" s="439">
        <f t="shared" si="8"/>
        <v>-0.38136000000000003</v>
      </c>
      <c r="DF25" s="439">
        <f t="shared" si="9"/>
        <v>0</v>
      </c>
      <c r="DG25" s="439">
        <f t="shared" si="10"/>
        <v>0</v>
      </c>
      <c r="DH25" s="439">
        <f t="shared" si="11"/>
        <v>0</v>
      </c>
      <c r="DI25" s="439">
        <f t="shared" si="12"/>
        <v>0</v>
      </c>
      <c r="DJ25" s="439">
        <f t="shared" si="13"/>
        <v>0</v>
      </c>
      <c r="DK25" s="439">
        <f t="shared" si="14"/>
        <v>0</v>
      </c>
      <c r="DL25" s="439">
        <f t="shared" si="15"/>
        <v>0</v>
      </c>
      <c r="DM25" s="439">
        <f t="shared" si="16"/>
        <v>0</v>
      </c>
      <c r="DN25" s="439">
        <f t="shared" si="17"/>
        <v>0</v>
      </c>
      <c r="DO25" s="439">
        <f t="shared" si="18"/>
        <v>0</v>
      </c>
      <c r="DP25" s="439">
        <f t="shared" si="19"/>
        <v>0</v>
      </c>
      <c r="DQ25" s="442">
        <f t="shared" si="20"/>
        <v>0</v>
      </c>
      <c r="DR25" s="442">
        <f t="shared" si="21"/>
        <v>0</v>
      </c>
      <c r="DS25" s="439">
        <f t="shared" si="22"/>
        <v>0</v>
      </c>
      <c r="DT25" s="439">
        <f t="shared" si="23"/>
        <v>0</v>
      </c>
      <c r="DU25" s="661">
        <f t="shared" si="24"/>
        <v>0</v>
      </c>
      <c r="DV25" s="661">
        <f t="shared" si="25"/>
        <v>0</v>
      </c>
      <c r="DW25" s="439">
        <f t="shared" si="26"/>
        <v>0</v>
      </c>
      <c r="DX25" s="439">
        <f t="shared" si="27"/>
        <v>0</v>
      </c>
      <c r="DY25" s="439">
        <f t="shared" si="28"/>
        <v>0</v>
      </c>
      <c r="DZ25" s="439">
        <f t="shared" si="29"/>
        <v>0</v>
      </c>
      <c r="EA25" s="631" t="s">
        <v>92</v>
      </c>
      <c r="EB25" s="631">
        <f t="shared" si="151"/>
        <v>7.3061452860363169E-2</v>
      </c>
      <c r="ED25" s="439">
        <f t="shared" si="31"/>
        <v>0.89670000000000005</v>
      </c>
      <c r="EE25" s="440">
        <f t="shared" si="32"/>
        <v>0.68670000000000009</v>
      </c>
      <c r="EF25" s="439">
        <f t="shared" si="33"/>
        <v>-0.47670000000000012</v>
      </c>
      <c r="EG25" s="441">
        <f t="shared" si="34"/>
        <v>0</v>
      </c>
      <c r="EH25" s="439">
        <f t="shared" si="35"/>
        <v>0</v>
      </c>
      <c r="EI25" s="439">
        <f t="shared" si="36"/>
        <v>0</v>
      </c>
      <c r="EJ25" s="439">
        <f t="shared" si="37"/>
        <v>0</v>
      </c>
      <c r="EK25" s="439">
        <f t="shared" si="38"/>
        <v>0</v>
      </c>
      <c r="EL25" s="439">
        <f t="shared" si="39"/>
        <v>0</v>
      </c>
      <c r="EM25" s="439">
        <f t="shared" si="40"/>
        <v>0</v>
      </c>
      <c r="EN25" s="439">
        <f t="shared" si="41"/>
        <v>0</v>
      </c>
      <c r="EO25" s="439">
        <f t="shared" si="42"/>
        <v>0</v>
      </c>
      <c r="EP25" s="439">
        <f t="shared" si="43"/>
        <v>0</v>
      </c>
      <c r="EQ25" s="439">
        <f t="shared" si="44"/>
        <v>0</v>
      </c>
      <c r="ER25" s="442">
        <f t="shared" si="45"/>
        <v>0</v>
      </c>
      <c r="ES25" s="442">
        <f t="shared" si="46"/>
        <v>0</v>
      </c>
      <c r="ET25" s="439">
        <f t="shared" si="47"/>
        <v>0</v>
      </c>
      <c r="EU25" s="439">
        <f t="shared" si="48"/>
        <v>0</v>
      </c>
      <c r="EV25" s="661">
        <f t="shared" si="49"/>
        <v>0</v>
      </c>
      <c r="EW25" s="661">
        <f t="shared" si="50"/>
        <v>0</v>
      </c>
      <c r="EX25" s="439">
        <f t="shared" si="51"/>
        <v>0</v>
      </c>
      <c r="EY25" s="439">
        <f t="shared" si="52"/>
        <v>0</v>
      </c>
      <c r="EZ25" s="439">
        <f t="shared" si="53"/>
        <v>0</v>
      </c>
      <c r="FA25" s="439">
        <f t="shared" si="54"/>
        <v>0</v>
      </c>
      <c r="FB25" s="631" t="s">
        <v>92</v>
      </c>
      <c r="FC25" s="631">
        <f t="shared" si="152"/>
        <v>9.1326816075453968E-2</v>
      </c>
      <c r="FE25" s="439">
        <f t="shared" si="56"/>
        <v>0.70455000000000012</v>
      </c>
      <c r="FF25" s="440">
        <f t="shared" si="57"/>
        <v>0.53955000000000009</v>
      </c>
      <c r="FG25" s="439">
        <f t="shared" si="58"/>
        <v>-0.37455000000000005</v>
      </c>
      <c r="FH25" s="441">
        <f t="shared" si="59"/>
        <v>0</v>
      </c>
      <c r="FI25" s="439">
        <f t="shared" si="60"/>
        <v>0</v>
      </c>
      <c r="FJ25" s="439">
        <f t="shared" si="61"/>
        <v>0</v>
      </c>
      <c r="FK25" s="439">
        <f t="shared" si="62"/>
        <v>0</v>
      </c>
      <c r="FL25" s="439">
        <f t="shared" si="63"/>
        <v>0</v>
      </c>
      <c r="FM25" s="439">
        <f t="shared" si="64"/>
        <v>0</v>
      </c>
      <c r="FN25" s="439">
        <f t="shared" si="65"/>
        <v>0</v>
      </c>
      <c r="FO25" s="439">
        <f t="shared" si="66"/>
        <v>0</v>
      </c>
      <c r="FP25" s="439">
        <f t="shared" si="67"/>
        <v>0</v>
      </c>
      <c r="FQ25" s="439">
        <f t="shared" si="68"/>
        <v>0</v>
      </c>
      <c r="FR25" s="439">
        <f t="shared" si="69"/>
        <v>0</v>
      </c>
      <c r="FS25" s="442">
        <f t="shared" si="70"/>
        <v>0</v>
      </c>
      <c r="FT25" s="442">
        <f t="shared" si="71"/>
        <v>0</v>
      </c>
      <c r="FU25" s="439">
        <f t="shared" si="72"/>
        <v>0</v>
      </c>
      <c r="FV25" s="439">
        <f t="shared" si="73"/>
        <v>0</v>
      </c>
      <c r="FW25" s="661">
        <f t="shared" si="74"/>
        <v>0</v>
      </c>
      <c r="FX25" s="661">
        <f t="shared" si="75"/>
        <v>0</v>
      </c>
      <c r="FY25" s="439">
        <f t="shared" si="76"/>
        <v>0</v>
      </c>
      <c r="FZ25" s="439">
        <f t="shared" si="77"/>
        <v>0</v>
      </c>
      <c r="GA25" s="439">
        <f t="shared" si="78"/>
        <v>0</v>
      </c>
      <c r="GB25" s="439">
        <f t="shared" si="79"/>
        <v>0</v>
      </c>
      <c r="GC25" s="631" t="s">
        <v>92</v>
      </c>
      <c r="GD25" s="631">
        <f t="shared" si="153"/>
        <v>7.1756784059285261E-2</v>
      </c>
      <c r="GF25" s="439">
        <f t="shared" si="81"/>
        <v>0.79422000000000015</v>
      </c>
      <c r="GG25" s="440">
        <f t="shared" si="82"/>
        <v>0.60822000000000009</v>
      </c>
      <c r="GH25" s="439">
        <f t="shared" si="83"/>
        <v>-0.4222200000000001</v>
      </c>
      <c r="GI25" s="439">
        <f t="shared" si="84"/>
        <v>0</v>
      </c>
      <c r="GJ25" s="439">
        <f t="shared" si="85"/>
        <v>0</v>
      </c>
      <c r="GK25" s="439">
        <f t="shared" si="86"/>
        <v>0</v>
      </c>
      <c r="GL25" s="439">
        <f t="shared" si="87"/>
        <v>0</v>
      </c>
      <c r="GM25" s="439">
        <f t="shared" si="88"/>
        <v>0</v>
      </c>
      <c r="GN25" s="439">
        <f t="shared" si="89"/>
        <v>0</v>
      </c>
      <c r="GO25" s="439">
        <f t="shared" si="90"/>
        <v>0</v>
      </c>
      <c r="GP25" s="439">
        <f t="shared" si="91"/>
        <v>0</v>
      </c>
      <c r="GQ25" s="439">
        <f t="shared" si="92"/>
        <v>0</v>
      </c>
      <c r="GR25" s="439">
        <f t="shared" si="93"/>
        <v>0</v>
      </c>
      <c r="GS25" s="439">
        <f t="shared" si="94"/>
        <v>0</v>
      </c>
      <c r="GT25" s="442">
        <f t="shared" si="95"/>
        <v>0</v>
      </c>
      <c r="GU25" s="442">
        <f t="shared" si="96"/>
        <v>0</v>
      </c>
      <c r="GV25" s="439">
        <f t="shared" si="97"/>
        <v>0</v>
      </c>
      <c r="GW25" s="439">
        <f t="shared" si="98"/>
        <v>0</v>
      </c>
      <c r="GX25" s="661">
        <f t="shared" si="99"/>
        <v>0</v>
      </c>
      <c r="GY25" s="661">
        <f t="shared" si="100"/>
        <v>0</v>
      </c>
      <c r="GZ25" s="439">
        <f t="shared" si="101"/>
        <v>0</v>
      </c>
      <c r="HA25" s="439">
        <f t="shared" si="102"/>
        <v>0</v>
      </c>
      <c r="HB25" s="439">
        <f t="shared" si="103"/>
        <v>0</v>
      </c>
      <c r="HC25" s="439">
        <f t="shared" si="104"/>
        <v>0</v>
      </c>
      <c r="HD25" s="631" t="s">
        <v>92</v>
      </c>
      <c r="HE25" s="631">
        <f t="shared" si="176"/>
        <v>8.0889465666830668E-2</v>
      </c>
      <c r="HG25" s="618">
        <f>HLOOKUP(CQ25,Spec_Sheet!$F$3:$DV$19,11,FALSE)+HLOOKUP(CQ25,Spec_Sheet!$F$3:$DV$21,19,FALSE)</f>
        <v>120</v>
      </c>
      <c r="HH25" s="618">
        <f t="shared" si="154"/>
        <v>50</v>
      </c>
      <c r="HI25" s="634">
        <f t="shared" si="155"/>
        <v>150</v>
      </c>
      <c r="HJ25" s="634">
        <f>HLOOKUP(IF(LEN(CQ25)&gt;6,LEFT(CQ25,5),CQ25),'LSM List Pricing'!$B$1:$BW$2,2,0)</f>
        <v>41</v>
      </c>
      <c r="HK25" s="634">
        <f>HLOOKUP(HJ25,'LSM List Pricing'!$B$2:$BW$3,2)</f>
        <v>870</v>
      </c>
      <c r="HL25" s="634">
        <f>VLOOKUP(HH25,'LSM List Pricing'!$A$7:$BW$87,HJ25,0)</f>
        <v>90</v>
      </c>
      <c r="HM25" s="627">
        <f>VLOOKUP(HI25,'LSM List Pricing'!$A$7:$BW$87,HJ25,1)</f>
        <v>130</v>
      </c>
      <c r="HN25" s="628">
        <f t="shared" si="106"/>
        <v>2.4615384615384617</v>
      </c>
      <c r="HO25" s="628">
        <f t="shared" si="107"/>
        <v>4.9230769230769234</v>
      </c>
      <c r="HP25" s="628">
        <f t="shared" si="108"/>
        <v>4.7948717948717947</v>
      </c>
      <c r="HR25" s="618">
        <v>1.0999999999999999E-2</v>
      </c>
      <c r="HS25" s="618">
        <f t="shared" si="109"/>
        <v>73.857142857142847</v>
      </c>
      <c r="HT25" s="618">
        <f t="shared" si="110"/>
        <v>1</v>
      </c>
      <c r="HU25" s="618">
        <f t="shared" si="170"/>
        <v>0.2797991912115057</v>
      </c>
      <c r="HW25" s="618">
        <f t="shared" si="111"/>
        <v>35.602685148479665</v>
      </c>
      <c r="HX25" s="618">
        <f t="shared" si="171"/>
        <v>0.27818500026217607</v>
      </c>
      <c r="HY25" s="618">
        <f t="shared" si="172"/>
        <v>1.0999999999999999E-2</v>
      </c>
      <c r="IB25" s="618">
        <f t="shared" si="113"/>
        <v>25.000350341399081</v>
      </c>
      <c r="IC25" s="618">
        <f t="shared" si="114"/>
        <v>1E-3</v>
      </c>
      <c r="IE25" s="618">
        <f t="shared" si="115"/>
        <v>0</v>
      </c>
      <c r="IF25" s="618">
        <f t="shared" si="116"/>
        <v>40.704999999999998</v>
      </c>
      <c r="IH25" s="618">
        <f t="shared" si="117"/>
        <v>0</v>
      </c>
      <c r="II25" s="618">
        <f t="shared" si="118"/>
        <v>40.704999999999998</v>
      </c>
      <c r="IK25" s="618">
        <f t="shared" si="119"/>
        <v>0</v>
      </c>
      <c r="IL25" s="618">
        <f t="shared" si="120"/>
        <v>40.704999999999998</v>
      </c>
      <c r="IN25" s="618">
        <f t="shared" si="121"/>
        <v>0</v>
      </c>
      <c r="IO25" s="618">
        <f t="shared" si="122"/>
        <v>40.704999999999998</v>
      </c>
      <c r="IQ25" s="618">
        <f t="shared" si="123"/>
        <v>0</v>
      </c>
      <c r="IR25" s="618">
        <f t="shared" si="124"/>
        <v>40.704999999999998</v>
      </c>
      <c r="IT25" s="660" t="str">
        <f t="shared" si="125"/>
        <v>S120Q</v>
      </c>
      <c r="IU25" s="628"/>
      <c r="IV25" s="439">
        <f t="shared" si="126"/>
        <v>0.92232000000000003</v>
      </c>
      <c r="IW25" s="440">
        <f t="shared" si="127"/>
        <v>0.70632000000000006</v>
      </c>
      <c r="IX25" s="439">
        <f t="shared" si="128"/>
        <v>-0.49032000000000009</v>
      </c>
      <c r="IY25" s="439">
        <f t="shared" si="129"/>
        <v>0</v>
      </c>
      <c r="IZ25" s="439">
        <f t="shared" si="130"/>
        <v>0</v>
      </c>
      <c r="JA25" s="439">
        <f t="shared" si="131"/>
        <v>0</v>
      </c>
      <c r="JB25" s="439">
        <f t="shared" si="132"/>
        <v>0</v>
      </c>
      <c r="JC25" s="439">
        <f t="shared" si="133"/>
        <v>0</v>
      </c>
      <c r="JD25" s="439">
        <f t="shared" si="134"/>
        <v>0</v>
      </c>
      <c r="JE25" s="439">
        <f t="shared" si="135"/>
        <v>0</v>
      </c>
      <c r="JF25" s="439">
        <f t="shared" si="136"/>
        <v>0</v>
      </c>
      <c r="JG25" s="439">
        <f t="shared" si="137"/>
        <v>0</v>
      </c>
      <c r="JH25" s="439">
        <f t="shared" si="138"/>
        <v>0</v>
      </c>
      <c r="JI25" s="439">
        <f t="shared" si="139"/>
        <v>0</v>
      </c>
      <c r="JJ25" s="442">
        <f t="shared" si="140"/>
        <v>0</v>
      </c>
      <c r="JK25" s="442">
        <f t="shared" si="141"/>
        <v>0</v>
      </c>
      <c r="JL25" s="439">
        <f t="shared" si="142"/>
        <v>0</v>
      </c>
      <c r="JM25" s="439">
        <f t="shared" si="143"/>
        <v>0</v>
      </c>
      <c r="JN25" s="661">
        <f t="shared" si="144"/>
        <v>0</v>
      </c>
      <c r="JO25" s="661">
        <f t="shared" si="145"/>
        <v>0</v>
      </c>
      <c r="JP25" s="439">
        <f t="shared" si="146"/>
        <v>0</v>
      </c>
      <c r="JQ25" s="439">
        <f t="shared" si="147"/>
        <v>0</v>
      </c>
      <c r="JR25" s="439">
        <f t="shared" si="148"/>
        <v>0</v>
      </c>
      <c r="JS25" s="439">
        <f t="shared" si="149"/>
        <v>0</v>
      </c>
      <c r="JT25" s="631" t="s">
        <v>92</v>
      </c>
      <c r="JU25" s="631">
        <f t="shared" si="158"/>
        <v>9.3936153677609782E-2</v>
      </c>
      <c r="JW25" s="522"/>
      <c r="JX25" s="522"/>
      <c r="JY25" s="522"/>
      <c r="JZ25" s="522"/>
      <c r="KA25" s="522"/>
      <c r="KB25" s="522"/>
      <c r="KC25" s="522"/>
      <c r="KD25" s="522"/>
      <c r="KE25" s="522"/>
      <c r="KF25" s="522"/>
      <c r="KG25" s="522"/>
      <c r="KH25" s="522"/>
      <c r="KI25" s="522"/>
      <c r="KJ25" s="522"/>
      <c r="KK25" s="522"/>
      <c r="KL25" s="522"/>
    </row>
    <row r="26" spans="1:298" ht="9.9499999999999993" customHeight="1">
      <c r="B26" s="336" t="str">
        <f>IF(AC35&gt;AQ32,"Will not Handle RMS","")</f>
        <v/>
      </c>
      <c r="C26" s="88"/>
      <c r="D26" s="49"/>
      <c r="E26" s="49"/>
      <c r="F26" s="49"/>
      <c r="G26" s="267"/>
      <c r="H26" s="267"/>
      <c r="I26" s="315" t="s">
        <v>77</v>
      </c>
      <c r="J26" s="269"/>
      <c r="K26" s="281"/>
      <c r="L26" s="741">
        <f>IF(AC35&lt;2,AC35*100,AC35)</f>
        <v>5.8815750660816688</v>
      </c>
      <c r="M26" s="742"/>
      <c r="N26" s="744" t="str">
        <f>IF(AC35&lt;2,"grams","N")</f>
        <v>grams</v>
      </c>
      <c r="O26" s="745"/>
      <c r="P26" s="750" t="s">
        <v>23</v>
      </c>
      <c r="Q26" s="736"/>
      <c r="R26" s="736"/>
      <c r="S26" s="736"/>
      <c r="T26" s="736"/>
      <c r="U26" s="760">
        <v>-5</v>
      </c>
      <c r="V26" s="760"/>
      <c r="W26" s="751" t="s">
        <v>24</v>
      </c>
      <c r="X26" s="751"/>
      <c r="Y26" s="85" t="s">
        <v>309</v>
      </c>
      <c r="Z26" s="44"/>
      <c r="AA26" s="44"/>
      <c r="AB26" s="44"/>
      <c r="AC26" s="748">
        <f>AC21/U24</f>
        <v>9.375</v>
      </c>
      <c r="AD26" s="749">
        <v>1.4</v>
      </c>
      <c r="AE26" s="86" t="s">
        <v>126</v>
      </c>
      <c r="AF26" s="63"/>
      <c r="AG26" s="752" t="s">
        <v>23</v>
      </c>
      <c r="AH26" s="753"/>
      <c r="AI26" s="753"/>
      <c r="AJ26" s="753"/>
      <c r="AK26" s="753"/>
      <c r="AL26" s="740">
        <v>40</v>
      </c>
      <c r="AM26" s="740"/>
      <c r="AN26" s="724" t="s">
        <v>24</v>
      </c>
      <c r="AO26" s="724"/>
      <c r="AP26" s="87" t="s">
        <v>309</v>
      </c>
      <c r="AQ26" s="67"/>
      <c r="AR26" s="67"/>
      <c r="AS26" s="67"/>
      <c r="AT26" s="728">
        <f>AT21/AL24</f>
        <v>4</v>
      </c>
      <c r="AU26" s="729">
        <v>1.4</v>
      </c>
      <c r="AV26" s="88" t="s">
        <v>126</v>
      </c>
      <c r="AW26" s="549"/>
      <c r="AX26" s="48"/>
      <c r="AY26" s="48"/>
      <c r="AZ26" s="48"/>
      <c r="BA26" s="48"/>
      <c r="BB26" s="708" t="str">
        <f t="shared" ca="1" si="168"/>
        <v>S120Q 1S</v>
      </c>
      <c r="BC26" s="709"/>
      <c r="BD26" s="710"/>
      <c r="BE26" s="342">
        <f t="shared" ca="1" si="160"/>
        <v>6.7694077870950366E-3</v>
      </c>
      <c r="BF26" s="78">
        <f t="shared" ca="1" si="161"/>
        <v>2.7975613814015207E-3</v>
      </c>
      <c r="BG26" s="490">
        <f t="shared" ca="1" si="162"/>
        <v>6.5298018354472218E-3</v>
      </c>
      <c r="BH26" s="78">
        <f t="shared" ca="1" si="163"/>
        <v>2.6442999168339995E-3</v>
      </c>
      <c r="BI26" s="617">
        <f t="shared" ca="1" si="164"/>
        <v>2.0744263021040604E-3</v>
      </c>
      <c r="BJ26" s="528">
        <f t="shared" ca="1" si="165"/>
        <v>2.4615384615384617</v>
      </c>
      <c r="BK26" s="529">
        <f t="shared" ca="1" si="166"/>
        <v>4.9230769230769234</v>
      </c>
      <c r="BL26" s="530">
        <f t="shared" ca="1" si="167"/>
        <v>4.7948717948717947</v>
      </c>
      <c r="BM26" s="44"/>
      <c r="BN26" s="69" t="s">
        <v>97</v>
      </c>
      <c r="BO26" s="69"/>
      <c r="BP26" s="69"/>
      <c r="BQ26" s="69"/>
      <c r="BR26" s="69"/>
      <c r="BS26" s="69"/>
      <c r="BT26" s="69"/>
      <c r="BU26" s="69"/>
      <c r="BV26" s="69"/>
      <c r="BW26" s="69"/>
      <c r="BX26" s="70"/>
      <c r="BY26" s="70"/>
      <c r="BZ26" s="70"/>
      <c r="CA26" s="70"/>
      <c r="CB26" s="70"/>
      <c r="CC26" s="70"/>
      <c r="CD26" s="82"/>
      <c r="CE26" s="82"/>
      <c r="CF26" s="122"/>
      <c r="CG26" s="122"/>
      <c r="CH26" s="167"/>
      <c r="CI26" s="174"/>
      <c r="CJ26" s="173"/>
      <c r="CK26" s="152"/>
      <c r="CL26" s="155"/>
      <c r="CM26" s="155"/>
      <c r="CN26" s="377"/>
      <c r="CO26" s="689" t="str">
        <f ca="1"/>
        <v>S160T 1S</v>
      </c>
      <c r="CP26" s="632" t="str">
        <f>IF(OR(CQ26=0,CR26="",CS26&gt;120),"",IF(HLOOKUP(CQ26,Spec_Sheet!$F$3:$ED$19,17,FALSE)&lt;$AC$46,"",CQ26))</f>
        <v>S160D 1S</v>
      </c>
      <c r="CQ26" s="660" t="str">
        <f>IF(Spec_Sheet!A25="","",Spec_Sheet!A25)</f>
        <v>S160D 1S</v>
      </c>
      <c r="CR26" s="660">
        <f>IF(CQ26="",0,HLOOKUP(CQ26,Spec_Sheet!$F$3:$ED$19,2,FALSE))</f>
        <v>9.9820000000000011</v>
      </c>
      <c r="CS26" s="660">
        <f t="shared" si="169"/>
        <v>2.0926736786001906E-3</v>
      </c>
      <c r="CT26" s="621">
        <f t="shared" si="173"/>
        <v>5.1676227573596552E-3</v>
      </c>
      <c r="CU26" s="621">
        <f t="shared" si="3"/>
        <v>2.0926736786001906E-3</v>
      </c>
      <c r="CV26" s="621">
        <f t="shared" si="174"/>
        <v>7.8992025223243115E-3</v>
      </c>
      <c r="CW26" s="621">
        <f t="shared" si="175"/>
        <v>3.9359348208121148E-3</v>
      </c>
      <c r="CX26" s="621">
        <f t="shared" si="157"/>
        <v>2.4023039677808305E-3</v>
      </c>
      <c r="CY26" s="619">
        <f>HLOOKUP(CQ26,Spec_Sheet!$F$3:$ED$19,13,FALSE)</f>
        <v>0.15</v>
      </c>
      <c r="CZ26" s="619">
        <f>VLOOKUP(HH26,'Shaft Weight'!$A$6:$CD$102,HJ26,TRUE)</f>
        <v>0.28000000000000003</v>
      </c>
      <c r="DA26" s="619">
        <f>VLOOKUP(HI26,'Shaft Weight'!$A$6:$CD$102,HJ26,0)</f>
        <v>0.35</v>
      </c>
      <c r="DB26" s="619">
        <f>HLOOKUP(CQ26,Spec_Sheet!$F$3:$ED$19,6,FALSE)</f>
        <v>8.0500000000000007</v>
      </c>
      <c r="DC26" s="439">
        <f t="shared" si="6"/>
        <v>0.70455000000000012</v>
      </c>
      <c r="DD26" s="440">
        <f t="shared" si="7"/>
        <v>0.53955000000000009</v>
      </c>
      <c r="DE26" s="439">
        <f t="shared" si="8"/>
        <v>-0.37455000000000005</v>
      </c>
      <c r="DF26" s="439">
        <f t="shared" si="9"/>
        <v>0</v>
      </c>
      <c r="DG26" s="439">
        <f t="shared" si="10"/>
        <v>0</v>
      </c>
      <c r="DH26" s="439">
        <f t="shared" si="11"/>
        <v>0</v>
      </c>
      <c r="DI26" s="439">
        <f t="shared" si="12"/>
        <v>0</v>
      </c>
      <c r="DJ26" s="439">
        <f t="shared" si="13"/>
        <v>0</v>
      </c>
      <c r="DK26" s="439">
        <f t="shared" si="14"/>
        <v>0</v>
      </c>
      <c r="DL26" s="439">
        <f t="shared" si="15"/>
        <v>0</v>
      </c>
      <c r="DM26" s="439">
        <f t="shared" si="16"/>
        <v>0</v>
      </c>
      <c r="DN26" s="439">
        <f t="shared" si="17"/>
        <v>0</v>
      </c>
      <c r="DO26" s="439">
        <f t="shared" si="18"/>
        <v>0</v>
      </c>
      <c r="DP26" s="439">
        <f t="shared" si="19"/>
        <v>0</v>
      </c>
      <c r="DQ26" s="442">
        <f t="shared" si="20"/>
        <v>0</v>
      </c>
      <c r="DR26" s="442">
        <f t="shared" si="21"/>
        <v>0</v>
      </c>
      <c r="DS26" s="439">
        <f t="shared" si="22"/>
        <v>0</v>
      </c>
      <c r="DT26" s="439">
        <f t="shared" si="23"/>
        <v>0</v>
      </c>
      <c r="DU26" s="661">
        <f t="shared" si="24"/>
        <v>0</v>
      </c>
      <c r="DV26" s="661">
        <f t="shared" si="25"/>
        <v>0</v>
      </c>
      <c r="DW26" s="439">
        <f t="shared" si="26"/>
        <v>0</v>
      </c>
      <c r="DX26" s="439">
        <f t="shared" si="27"/>
        <v>0</v>
      </c>
      <c r="DY26" s="439">
        <f t="shared" si="28"/>
        <v>0</v>
      </c>
      <c r="DZ26" s="439">
        <f t="shared" si="29"/>
        <v>0</v>
      </c>
      <c r="EA26" s="631" t="s">
        <v>92</v>
      </c>
      <c r="EB26" s="631">
        <f t="shared" si="151"/>
        <v>7.1756784059285261E-2</v>
      </c>
      <c r="ED26" s="439">
        <f t="shared" si="31"/>
        <v>1.2297600000000002</v>
      </c>
      <c r="EE26" s="440">
        <f t="shared" si="32"/>
        <v>0.94176000000000026</v>
      </c>
      <c r="EF26" s="439">
        <f t="shared" si="33"/>
        <v>-0.65376000000000023</v>
      </c>
      <c r="EG26" s="441">
        <f t="shared" si="34"/>
        <v>0</v>
      </c>
      <c r="EH26" s="439">
        <f t="shared" si="35"/>
        <v>0</v>
      </c>
      <c r="EI26" s="439">
        <f t="shared" si="36"/>
        <v>0</v>
      </c>
      <c r="EJ26" s="439">
        <f t="shared" si="37"/>
        <v>0</v>
      </c>
      <c r="EK26" s="439">
        <f t="shared" si="38"/>
        <v>0</v>
      </c>
      <c r="EL26" s="439">
        <f t="shared" si="39"/>
        <v>0</v>
      </c>
      <c r="EM26" s="439">
        <f t="shared" si="40"/>
        <v>0</v>
      </c>
      <c r="EN26" s="439">
        <f t="shared" si="41"/>
        <v>0</v>
      </c>
      <c r="EO26" s="439">
        <f t="shared" si="42"/>
        <v>0</v>
      </c>
      <c r="EP26" s="439">
        <f t="shared" si="43"/>
        <v>0</v>
      </c>
      <c r="EQ26" s="439">
        <f t="shared" si="44"/>
        <v>0</v>
      </c>
      <c r="ER26" s="442">
        <f t="shared" si="45"/>
        <v>0</v>
      </c>
      <c r="ES26" s="442">
        <f t="shared" si="46"/>
        <v>0</v>
      </c>
      <c r="ET26" s="439">
        <f t="shared" si="47"/>
        <v>0</v>
      </c>
      <c r="EU26" s="439">
        <f t="shared" si="48"/>
        <v>0</v>
      </c>
      <c r="EV26" s="661">
        <f t="shared" si="49"/>
        <v>0</v>
      </c>
      <c r="EW26" s="661">
        <f t="shared" si="50"/>
        <v>0</v>
      </c>
      <c r="EX26" s="439">
        <f t="shared" si="51"/>
        <v>0</v>
      </c>
      <c r="EY26" s="439">
        <f t="shared" si="52"/>
        <v>0</v>
      </c>
      <c r="EZ26" s="439">
        <f t="shared" si="53"/>
        <v>0</v>
      </c>
      <c r="FA26" s="439">
        <f t="shared" si="54"/>
        <v>0</v>
      </c>
      <c r="FB26" s="631" t="s">
        <v>92</v>
      </c>
      <c r="FC26" s="631">
        <f t="shared" si="152"/>
        <v>0.12524820490347974</v>
      </c>
      <c r="FE26" s="439">
        <f t="shared" si="56"/>
        <v>0.87108000000000008</v>
      </c>
      <c r="FF26" s="440">
        <f t="shared" si="57"/>
        <v>0.66708000000000012</v>
      </c>
      <c r="FG26" s="439">
        <f t="shared" si="58"/>
        <v>-0.4630800000000001</v>
      </c>
      <c r="FH26" s="441">
        <f t="shared" si="59"/>
        <v>0</v>
      </c>
      <c r="FI26" s="439">
        <f t="shared" si="60"/>
        <v>0</v>
      </c>
      <c r="FJ26" s="439">
        <f t="shared" si="61"/>
        <v>0</v>
      </c>
      <c r="FK26" s="439">
        <f t="shared" si="62"/>
        <v>0</v>
      </c>
      <c r="FL26" s="439">
        <f t="shared" si="63"/>
        <v>0</v>
      </c>
      <c r="FM26" s="439">
        <f t="shared" si="64"/>
        <v>0</v>
      </c>
      <c r="FN26" s="439">
        <f t="shared" si="65"/>
        <v>0</v>
      </c>
      <c r="FO26" s="439">
        <f t="shared" si="66"/>
        <v>0</v>
      </c>
      <c r="FP26" s="439">
        <f t="shared" si="67"/>
        <v>0</v>
      </c>
      <c r="FQ26" s="439">
        <f t="shared" si="68"/>
        <v>0</v>
      </c>
      <c r="FR26" s="439">
        <f t="shared" si="69"/>
        <v>0</v>
      </c>
      <c r="FS26" s="442">
        <f t="shared" si="70"/>
        <v>0</v>
      </c>
      <c r="FT26" s="442">
        <f t="shared" si="71"/>
        <v>0</v>
      </c>
      <c r="FU26" s="439">
        <f t="shared" si="72"/>
        <v>0</v>
      </c>
      <c r="FV26" s="439">
        <f t="shared" si="73"/>
        <v>0</v>
      </c>
      <c r="FW26" s="661">
        <f t="shared" si="74"/>
        <v>0</v>
      </c>
      <c r="FX26" s="661">
        <f t="shared" si="75"/>
        <v>0</v>
      </c>
      <c r="FY26" s="439">
        <f t="shared" si="76"/>
        <v>0</v>
      </c>
      <c r="FZ26" s="439">
        <f t="shared" si="77"/>
        <v>0</v>
      </c>
      <c r="GA26" s="439">
        <f t="shared" si="78"/>
        <v>0</v>
      </c>
      <c r="GB26" s="439">
        <f t="shared" si="79"/>
        <v>0</v>
      </c>
      <c r="GC26" s="631" t="s">
        <v>92</v>
      </c>
      <c r="GD26" s="631">
        <f t="shared" si="153"/>
        <v>8.8717478473298139E-2</v>
      </c>
      <c r="GF26" s="439">
        <f t="shared" si="81"/>
        <v>0.96074999999999999</v>
      </c>
      <c r="GG26" s="440">
        <f t="shared" si="82"/>
        <v>0.73575000000000002</v>
      </c>
      <c r="GH26" s="439">
        <f t="shared" si="83"/>
        <v>-0.51075000000000004</v>
      </c>
      <c r="GI26" s="439">
        <f t="shared" si="84"/>
        <v>0</v>
      </c>
      <c r="GJ26" s="439">
        <f t="shared" si="85"/>
        <v>0</v>
      </c>
      <c r="GK26" s="439">
        <f t="shared" si="86"/>
        <v>0</v>
      </c>
      <c r="GL26" s="439">
        <f t="shared" si="87"/>
        <v>0</v>
      </c>
      <c r="GM26" s="439">
        <f t="shared" si="88"/>
        <v>0</v>
      </c>
      <c r="GN26" s="439">
        <f t="shared" si="89"/>
        <v>0</v>
      </c>
      <c r="GO26" s="439">
        <f t="shared" si="90"/>
        <v>0</v>
      </c>
      <c r="GP26" s="439">
        <f t="shared" si="91"/>
        <v>0</v>
      </c>
      <c r="GQ26" s="439">
        <f t="shared" si="92"/>
        <v>0</v>
      </c>
      <c r="GR26" s="439">
        <f t="shared" si="93"/>
        <v>0</v>
      </c>
      <c r="GS26" s="439">
        <f t="shared" si="94"/>
        <v>0</v>
      </c>
      <c r="GT26" s="442">
        <f t="shared" si="95"/>
        <v>0</v>
      </c>
      <c r="GU26" s="442">
        <f t="shared" si="96"/>
        <v>0</v>
      </c>
      <c r="GV26" s="439">
        <f t="shared" si="97"/>
        <v>0</v>
      </c>
      <c r="GW26" s="439">
        <f t="shared" si="98"/>
        <v>0</v>
      </c>
      <c r="GX26" s="661">
        <f t="shared" si="99"/>
        <v>0</v>
      </c>
      <c r="GY26" s="661">
        <f t="shared" si="100"/>
        <v>0</v>
      </c>
      <c r="GZ26" s="439">
        <f t="shared" si="101"/>
        <v>0</v>
      </c>
      <c r="HA26" s="439">
        <f t="shared" si="102"/>
        <v>0</v>
      </c>
      <c r="HB26" s="439">
        <f t="shared" si="103"/>
        <v>0</v>
      </c>
      <c r="HC26" s="439">
        <f t="shared" si="104"/>
        <v>0</v>
      </c>
      <c r="HD26" s="631" t="s">
        <v>92</v>
      </c>
      <c r="HE26" s="631">
        <f t="shared" si="176"/>
        <v>9.7850160080843518E-2</v>
      </c>
      <c r="HG26" s="618">
        <f>HLOOKUP(CQ26,Spec_Sheet!$F$3:$DV$19,11,FALSE)+HLOOKUP(CQ26,Spec_Sheet!$F$3:$DV$21,19,FALSE)</f>
        <v>90</v>
      </c>
      <c r="HH26" s="618">
        <f t="shared" si="154"/>
        <v>100</v>
      </c>
      <c r="HI26" s="634">
        <f t="shared" si="155"/>
        <v>150</v>
      </c>
      <c r="HJ26" s="634">
        <f>HLOOKUP(IF(LEN(CQ26)&gt;6,LEFT(CQ26,5),CQ26),'LSM List Pricing'!$B$1:$BW$2,2,0)</f>
        <v>42</v>
      </c>
      <c r="HK26" s="634">
        <f>HLOOKUP(HJ26,'LSM List Pricing'!$B$2:$BW$3,2)</f>
        <v>350</v>
      </c>
      <c r="HL26" s="634">
        <f>VLOOKUP(HH26,'LSM List Pricing'!$A$7:$BW$87,HJ26,0)</f>
        <v>290</v>
      </c>
      <c r="HM26" s="627">
        <f>VLOOKUP(HI26,'LSM List Pricing'!$A$7:$BW$87,HJ26,1)</f>
        <v>270</v>
      </c>
      <c r="HN26" s="628">
        <f t="shared" si="106"/>
        <v>1.641025641025641</v>
      </c>
      <c r="HO26" s="628">
        <f t="shared" si="107"/>
        <v>3.2820512820512819</v>
      </c>
      <c r="HP26" s="628">
        <f t="shared" si="108"/>
        <v>2.4871794871794872</v>
      </c>
      <c r="HR26" s="618">
        <v>1.15E-2</v>
      </c>
      <c r="HS26" s="618">
        <f t="shared" si="109"/>
        <v>77.214285714285708</v>
      </c>
      <c r="HT26" s="618">
        <f t="shared" si="110"/>
        <v>1</v>
      </c>
      <c r="HU26" s="618">
        <f t="shared" si="170"/>
        <v>0.2925382351851305</v>
      </c>
      <c r="HW26" s="618">
        <f t="shared" si="111"/>
        <v>35.584595706037113</v>
      </c>
      <c r="HX26" s="618">
        <f t="shared" si="171"/>
        <v>0.29077704830336681</v>
      </c>
      <c r="HY26" s="618">
        <f t="shared" si="172"/>
        <v>1.15E-2</v>
      </c>
      <c r="IB26" s="618">
        <f t="shared" si="113"/>
        <v>25.000350341399081</v>
      </c>
      <c r="IC26" s="618">
        <f t="shared" si="114"/>
        <v>1E-3</v>
      </c>
      <c r="IE26" s="618">
        <f t="shared" si="115"/>
        <v>0</v>
      </c>
      <c r="IF26" s="618">
        <f t="shared" si="116"/>
        <v>40.704999999999998</v>
      </c>
      <c r="IH26" s="618">
        <f t="shared" si="117"/>
        <v>0</v>
      </c>
      <c r="II26" s="618">
        <f t="shared" si="118"/>
        <v>40.704999999999998</v>
      </c>
      <c r="IK26" s="618">
        <f t="shared" si="119"/>
        <v>0</v>
      </c>
      <c r="IL26" s="618">
        <f t="shared" si="120"/>
        <v>40.704999999999998</v>
      </c>
      <c r="IN26" s="618">
        <f t="shared" si="121"/>
        <v>0</v>
      </c>
      <c r="IO26" s="618">
        <f t="shared" si="122"/>
        <v>40.704999999999998</v>
      </c>
      <c r="IQ26" s="618">
        <f t="shared" si="123"/>
        <v>0</v>
      </c>
      <c r="IR26" s="618">
        <f t="shared" si="124"/>
        <v>40.704999999999998</v>
      </c>
      <c r="IT26" s="660" t="str">
        <f t="shared" si="125"/>
        <v>S160D 1S</v>
      </c>
      <c r="IU26" s="628"/>
      <c r="IV26" s="439">
        <f t="shared" si="126"/>
        <v>0.89670000000000005</v>
      </c>
      <c r="IW26" s="440">
        <f t="shared" si="127"/>
        <v>0.68670000000000009</v>
      </c>
      <c r="IX26" s="439">
        <f t="shared" si="128"/>
        <v>-0.47670000000000012</v>
      </c>
      <c r="IY26" s="439">
        <f t="shared" si="129"/>
        <v>0</v>
      </c>
      <c r="IZ26" s="439">
        <f t="shared" si="130"/>
        <v>0</v>
      </c>
      <c r="JA26" s="439">
        <f t="shared" si="131"/>
        <v>0</v>
      </c>
      <c r="JB26" s="439">
        <f t="shared" si="132"/>
        <v>0</v>
      </c>
      <c r="JC26" s="439">
        <f t="shared" si="133"/>
        <v>0</v>
      </c>
      <c r="JD26" s="439">
        <f t="shared" si="134"/>
        <v>0</v>
      </c>
      <c r="JE26" s="439">
        <f t="shared" si="135"/>
        <v>0</v>
      </c>
      <c r="JF26" s="439">
        <f t="shared" si="136"/>
        <v>0</v>
      </c>
      <c r="JG26" s="439">
        <f t="shared" si="137"/>
        <v>0</v>
      </c>
      <c r="JH26" s="439">
        <f t="shared" si="138"/>
        <v>0</v>
      </c>
      <c r="JI26" s="439">
        <f t="shared" si="139"/>
        <v>0</v>
      </c>
      <c r="JJ26" s="442">
        <f t="shared" si="140"/>
        <v>0</v>
      </c>
      <c r="JK26" s="442">
        <f t="shared" si="141"/>
        <v>0</v>
      </c>
      <c r="JL26" s="439">
        <f t="shared" si="142"/>
        <v>0</v>
      </c>
      <c r="JM26" s="439">
        <f t="shared" si="143"/>
        <v>0</v>
      </c>
      <c r="JN26" s="661">
        <f t="shared" si="144"/>
        <v>0</v>
      </c>
      <c r="JO26" s="661">
        <f t="shared" si="145"/>
        <v>0</v>
      </c>
      <c r="JP26" s="439">
        <f t="shared" si="146"/>
        <v>0</v>
      </c>
      <c r="JQ26" s="439">
        <f t="shared" si="147"/>
        <v>0</v>
      </c>
      <c r="JR26" s="439">
        <f t="shared" si="148"/>
        <v>0</v>
      </c>
      <c r="JS26" s="439">
        <f t="shared" si="149"/>
        <v>0</v>
      </c>
      <c r="JT26" s="631" t="s">
        <v>92</v>
      </c>
      <c r="JU26" s="631">
        <f t="shared" si="158"/>
        <v>9.1326816075453968E-2</v>
      </c>
      <c r="JW26" s="522"/>
      <c r="JX26" s="522"/>
      <c r="JY26" s="522"/>
      <c r="JZ26" s="522"/>
      <c r="KA26" s="522"/>
      <c r="KB26" s="522"/>
      <c r="KC26" s="522"/>
      <c r="KD26" s="522"/>
      <c r="KE26" s="522"/>
      <c r="KF26" s="522"/>
      <c r="KG26" s="522"/>
      <c r="KH26" s="522"/>
      <c r="KI26" s="522"/>
      <c r="KJ26" s="522"/>
      <c r="KK26" s="522"/>
      <c r="KL26" s="522"/>
    </row>
    <row r="27" spans="1:298" ht="9.9499999999999993" customHeight="1">
      <c r="B27" s="336" t="str">
        <f>IF(AC39&gt;O13,"Need more Voltage","")</f>
        <v/>
      </c>
      <c r="C27" s="68"/>
      <c r="D27" s="49"/>
      <c r="E27" s="49"/>
      <c r="F27" s="49"/>
      <c r="G27" s="267"/>
      <c r="H27" s="267"/>
      <c r="I27" s="316" t="s">
        <v>255</v>
      </c>
      <c r="J27" s="269"/>
      <c r="K27" s="281"/>
      <c r="L27" s="741">
        <f>AC39</f>
        <v>2.6387531786059735</v>
      </c>
      <c r="M27" s="742"/>
      <c r="N27" s="744" t="s">
        <v>34</v>
      </c>
      <c r="O27" s="745"/>
      <c r="P27" s="550"/>
      <c r="Q27" s="90"/>
      <c r="R27" s="90"/>
      <c r="S27" s="90"/>
      <c r="T27" s="90"/>
      <c r="U27" s="91"/>
      <c r="V27" s="159" t="b">
        <v>0</v>
      </c>
      <c r="W27" s="93">
        <f>U26*VLOOKUP(W26,K62:L65,2,FALSE)</f>
        <v>-5</v>
      </c>
      <c r="X27" s="90"/>
      <c r="Y27" s="90"/>
      <c r="Z27" s="90"/>
      <c r="AA27" s="64"/>
      <c r="AB27" s="44"/>
      <c r="AC27" s="748">
        <f>AC26*39.37007874</f>
        <v>369.09448818749996</v>
      </c>
      <c r="AD27" s="749">
        <v>55.118110236</v>
      </c>
      <c r="AE27" s="86" t="s">
        <v>128</v>
      </c>
      <c r="AF27" s="44"/>
      <c r="AG27" s="94"/>
      <c r="AH27" s="49"/>
      <c r="AI27" s="49"/>
      <c r="AJ27" s="49"/>
      <c r="AK27" s="49"/>
      <c r="AL27" s="50"/>
      <c r="AM27" s="158" t="b">
        <v>0</v>
      </c>
      <c r="AN27" s="95">
        <f>AL$26*VLOOKUP(AN26,K62:L65,2,FALSE)</f>
        <v>40</v>
      </c>
      <c r="AO27" s="95"/>
      <c r="AP27" s="49"/>
      <c r="AQ27" s="49"/>
      <c r="AR27" s="68"/>
      <c r="AS27" s="67"/>
      <c r="AT27" s="728">
        <f>AT26*39.37007874</f>
        <v>157.48031495999999</v>
      </c>
      <c r="AU27" s="729">
        <v>55.118110236</v>
      </c>
      <c r="AV27" s="88" t="s">
        <v>128</v>
      </c>
      <c r="AW27" s="551"/>
      <c r="AX27" s="67"/>
      <c r="AY27" s="67"/>
      <c r="AZ27" s="67"/>
      <c r="BA27" s="48"/>
      <c r="BB27" s="708" t="str">
        <f t="shared" ca="1" si="168"/>
        <v>S120Q 2S</v>
      </c>
      <c r="BC27" s="709"/>
      <c r="BD27" s="710"/>
      <c r="BE27" s="342">
        <f t="shared" ca="1" si="160"/>
        <v>6.7694077870950366E-3</v>
      </c>
      <c r="BF27" s="78">
        <f t="shared" ca="1" si="161"/>
        <v>2.7975613814015207E-3</v>
      </c>
      <c r="BG27" s="490">
        <f t="shared" ca="1" si="162"/>
        <v>6.5298018354472218E-3</v>
      </c>
      <c r="BH27" s="78">
        <f t="shared" ca="1" si="163"/>
        <v>2.6442999168339995E-3</v>
      </c>
      <c r="BI27" s="617">
        <f t="shared" ca="1" si="164"/>
        <v>2.0744263021040604E-3</v>
      </c>
      <c r="BJ27" s="528">
        <f t="shared" ca="1" si="165"/>
        <v>2.4615384615384617</v>
      </c>
      <c r="BK27" s="529">
        <f t="shared" ca="1" si="166"/>
        <v>4.9230769230769234</v>
      </c>
      <c r="BL27" s="530">
        <f t="shared" ca="1" si="167"/>
        <v>4.7948717948717947</v>
      </c>
      <c r="BM27" s="44"/>
      <c r="BN27" s="326"/>
      <c r="BO27" s="69" t="s">
        <v>310</v>
      </c>
      <c r="BP27" s="75"/>
      <c r="BQ27" s="75"/>
      <c r="BR27" s="75"/>
      <c r="BS27" s="75"/>
      <c r="BT27" s="75"/>
      <c r="BU27" s="75"/>
      <c r="BV27" s="75"/>
      <c r="BW27" s="75"/>
      <c r="BX27" s="44"/>
      <c r="BY27" s="44"/>
      <c r="BZ27" s="44"/>
      <c r="CA27" s="44"/>
      <c r="CB27" s="44"/>
      <c r="CC27" s="44"/>
      <c r="CD27" s="108"/>
      <c r="CE27" s="108"/>
      <c r="CF27" s="109"/>
      <c r="CG27" s="109"/>
      <c r="CH27" s="167"/>
      <c r="CI27" s="174"/>
      <c r="CJ27" s="173"/>
      <c r="CK27" s="152"/>
      <c r="CL27" s="155"/>
      <c r="CM27" s="155"/>
      <c r="CN27" s="377"/>
      <c r="CO27" s="689" t="str">
        <f ca="1"/>
        <v>S160T</v>
      </c>
      <c r="CP27" s="632" t="str">
        <f>IF(OR(CQ27=0,CR27="",CS27&gt;120),"",IF(HLOOKUP(CQ27,Spec_Sheet!$F$3:$ED$19,17,FALSE)&lt;$AC$46,"",CQ27))</f>
        <v>S160D</v>
      </c>
      <c r="CQ27" s="660" t="str">
        <f>IF(Spec_Sheet!A26="","",Spec_Sheet!A26)</f>
        <v>S160D</v>
      </c>
      <c r="CR27" s="660">
        <f>IF(CQ27="",0,HLOOKUP(CQ27,Spec_Sheet!$F$3:$ED$19,2,FALSE))</f>
        <v>10</v>
      </c>
      <c r="CS27" s="660">
        <f t="shared" si="169"/>
        <v>2.0851468336199491E-3</v>
      </c>
      <c r="CT27" s="621">
        <f t="shared" si="173"/>
        <v>5.1490360585308955E-3</v>
      </c>
      <c r="CU27" s="621">
        <f t="shared" si="3"/>
        <v>2.0851468336199491E-3</v>
      </c>
      <c r="CV27" s="621">
        <f t="shared" si="174"/>
        <v>7.8707909866601207E-3</v>
      </c>
      <c r="CW27" s="621">
        <f t="shared" si="175"/>
        <v>3.9217782078860113E-3</v>
      </c>
      <c r="CX27" s="621">
        <f t="shared" si="157"/>
        <v>2.3936634569616754E-3</v>
      </c>
      <c r="CY27" s="619">
        <f>HLOOKUP(CQ27,Spec_Sheet!$F$3:$ED$19,13,FALSE)</f>
        <v>0.15</v>
      </c>
      <c r="CZ27" s="619">
        <f>VLOOKUP(HH27,'Shaft Weight'!$A$6:$CD$102,HJ27,TRUE)</f>
        <v>0.28000000000000003</v>
      </c>
      <c r="DA27" s="619">
        <f>VLOOKUP(HI27,'Shaft Weight'!$A$6:$CD$102,HJ27,0)</f>
        <v>0.35</v>
      </c>
      <c r="DB27" s="619">
        <f>HLOOKUP(CQ27,Spec_Sheet!$F$3:$ED$19,6,FALSE)</f>
        <v>16.100000000000001</v>
      </c>
      <c r="DC27" s="439">
        <f t="shared" si="6"/>
        <v>0.70455000000000012</v>
      </c>
      <c r="DD27" s="440">
        <f t="shared" si="7"/>
        <v>0.53955000000000009</v>
      </c>
      <c r="DE27" s="439">
        <f t="shared" si="8"/>
        <v>-0.37455000000000005</v>
      </c>
      <c r="DF27" s="439">
        <f t="shared" si="9"/>
        <v>0</v>
      </c>
      <c r="DG27" s="439">
        <f t="shared" si="10"/>
        <v>0</v>
      </c>
      <c r="DH27" s="439">
        <f t="shared" si="11"/>
        <v>0</v>
      </c>
      <c r="DI27" s="439">
        <f t="shared" si="12"/>
        <v>0</v>
      </c>
      <c r="DJ27" s="439">
        <f t="shared" si="13"/>
        <v>0</v>
      </c>
      <c r="DK27" s="439">
        <f t="shared" si="14"/>
        <v>0</v>
      </c>
      <c r="DL27" s="439">
        <f t="shared" si="15"/>
        <v>0</v>
      </c>
      <c r="DM27" s="439">
        <f t="shared" si="16"/>
        <v>0</v>
      </c>
      <c r="DN27" s="439">
        <f t="shared" si="17"/>
        <v>0</v>
      </c>
      <c r="DO27" s="439">
        <f t="shared" si="18"/>
        <v>0</v>
      </c>
      <c r="DP27" s="439">
        <f t="shared" si="19"/>
        <v>0</v>
      </c>
      <c r="DQ27" s="442">
        <f t="shared" si="20"/>
        <v>0</v>
      </c>
      <c r="DR27" s="442">
        <f t="shared" si="21"/>
        <v>0</v>
      </c>
      <c r="DS27" s="439">
        <f t="shared" si="22"/>
        <v>0</v>
      </c>
      <c r="DT27" s="439">
        <f t="shared" si="23"/>
        <v>0</v>
      </c>
      <c r="DU27" s="661">
        <f t="shared" si="24"/>
        <v>0</v>
      </c>
      <c r="DV27" s="661">
        <f t="shared" si="25"/>
        <v>0</v>
      </c>
      <c r="DW27" s="439">
        <f t="shared" si="26"/>
        <v>0</v>
      </c>
      <c r="DX27" s="439">
        <f t="shared" si="27"/>
        <v>0</v>
      </c>
      <c r="DY27" s="439">
        <f t="shared" si="28"/>
        <v>0</v>
      </c>
      <c r="DZ27" s="439">
        <f t="shared" si="29"/>
        <v>0</v>
      </c>
      <c r="EA27" s="631" t="s">
        <v>92</v>
      </c>
      <c r="EB27" s="631">
        <f t="shared" si="151"/>
        <v>7.1756784059285261E-2</v>
      </c>
      <c r="ED27" s="439">
        <f t="shared" si="31"/>
        <v>1.2297600000000002</v>
      </c>
      <c r="EE27" s="440">
        <f t="shared" si="32"/>
        <v>0.94176000000000026</v>
      </c>
      <c r="EF27" s="439">
        <f t="shared" si="33"/>
        <v>-0.65376000000000023</v>
      </c>
      <c r="EG27" s="441">
        <f t="shared" si="34"/>
        <v>0</v>
      </c>
      <c r="EH27" s="439">
        <f t="shared" si="35"/>
        <v>0</v>
      </c>
      <c r="EI27" s="439">
        <f t="shared" si="36"/>
        <v>0</v>
      </c>
      <c r="EJ27" s="439">
        <f t="shared" si="37"/>
        <v>0</v>
      </c>
      <c r="EK27" s="439">
        <f t="shared" si="38"/>
        <v>0</v>
      </c>
      <c r="EL27" s="439">
        <f t="shared" si="39"/>
        <v>0</v>
      </c>
      <c r="EM27" s="439">
        <f t="shared" si="40"/>
        <v>0</v>
      </c>
      <c r="EN27" s="439">
        <f t="shared" si="41"/>
        <v>0</v>
      </c>
      <c r="EO27" s="439">
        <f t="shared" si="42"/>
        <v>0</v>
      </c>
      <c r="EP27" s="439">
        <f t="shared" si="43"/>
        <v>0</v>
      </c>
      <c r="EQ27" s="439">
        <f t="shared" si="44"/>
        <v>0</v>
      </c>
      <c r="ER27" s="442">
        <f t="shared" si="45"/>
        <v>0</v>
      </c>
      <c r="ES27" s="442">
        <f t="shared" si="46"/>
        <v>0</v>
      </c>
      <c r="ET27" s="439">
        <f t="shared" si="47"/>
        <v>0</v>
      </c>
      <c r="EU27" s="439">
        <f t="shared" si="48"/>
        <v>0</v>
      </c>
      <c r="EV27" s="661">
        <f t="shared" si="49"/>
        <v>0</v>
      </c>
      <c r="EW27" s="661">
        <f t="shared" si="50"/>
        <v>0</v>
      </c>
      <c r="EX27" s="439">
        <f t="shared" si="51"/>
        <v>0</v>
      </c>
      <c r="EY27" s="439">
        <f t="shared" si="52"/>
        <v>0</v>
      </c>
      <c r="EZ27" s="439">
        <f t="shared" si="53"/>
        <v>0</v>
      </c>
      <c r="FA27" s="439">
        <f t="shared" si="54"/>
        <v>0</v>
      </c>
      <c r="FB27" s="631" t="s">
        <v>92</v>
      </c>
      <c r="FC27" s="631">
        <f t="shared" si="152"/>
        <v>0.12524820490347974</v>
      </c>
      <c r="FE27" s="439">
        <f t="shared" si="56"/>
        <v>0.87108000000000008</v>
      </c>
      <c r="FF27" s="440">
        <f t="shared" si="57"/>
        <v>0.66708000000000012</v>
      </c>
      <c r="FG27" s="439">
        <f t="shared" si="58"/>
        <v>-0.4630800000000001</v>
      </c>
      <c r="FH27" s="441">
        <f t="shared" si="59"/>
        <v>0</v>
      </c>
      <c r="FI27" s="439">
        <f t="shared" si="60"/>
        <v>0</v>
      </c>
      <c r="FJ27" s="439">
        <f t="shared" si="61"/>
        <v>0</v>
      </c>
      <c r="FK27" s="439">
        <f t="shared" si="62"/>
        <v>0</v>
      </c>
      <c r="FL27" s="439">
        <f t="shared" si="63"/>
        <v>0</v>
      </c>
      <c r="FM27" s="439">
        <f t="shared" si="64"/>
        <v>0</v>
      </c>
      <c r="FN27" s="439">
        <f t="shared" si="65"/>
        <v>0</v>
      </c>
      <c r="FO27" s="439">
        <f t="shared" si="66"/>
        <v>0</v>
      </c>
      <c r="FP27" s="439">
        <f t="shared" si="67"/>
        <v>0</v>
      </c>
      <c r="FQ27" s="439">
        <f t="shared" si="68"/>
        <v>0</v>
      </c>
      <c r="FR27" s="439">
        <f t="shared" si="69"/>
        <v>0</v>
      </c>
      <c r="FS27" s="442">
        <f t="shared" si="70"/>
        <v>0</v>
      </c>
      <c r="FT27" s="442">
        <f t="shared" si="71"/>
        <v>0</v>
      </c>
      <c r="FU27" s="439">
        <f t="shared" si="72"/>
        <v>0</v>
      </c>
      <c r="FV27" s="439">
        <f t="shared" si="73"/>
        <v>0</v>
      </c>
      <c r="FW27" s="661">
        <f t="shared" si="74"/>
        <v>0</v>
      </c>
      <c r="FX27" s="661">
        <f t="shared" si="75"/>
        <v>0</v>
      </c>
      <c r="FY27" s="439">
        <f t="shared" si="76"/>
        <v>0</v>
      </c>
      <c r="FZ27" s="439">
        <f t="shared" si="77"/>
        <v>0</v>
      </c>
      <c r="GA27" s="439">
        <f t="shared" si="78"/>
        <v>0</v>
      </c>
      <c r="GB27" s="439">
        <f t="shared" si="79"/>
        <v>0</v>
      </c>
      <c r="GC27" s="631" t="s">
        <v>92</v>
      </c>
      <c r="GD27" s="631">
        <f t="shared" si="153"/>
        <v>8.8717478473298139E-2</v>
      </c>
      <c r="GF27" s="439">
        <f t="shared" si="81"/>
        <v>0.96074999999999999</v>
      </c>
      <c r="GG27" s="440">
        <f t="shared" si="82"/>
        <v>0.73575000000000002</v>
      </c>
      <c r="GH27" s="439">
        <f t="shared" si="83"/>
        <v>-0.51075000000000004</v>
      </c>
      <c r="GI27" s="439">
        <f t="shared" si="84"/>
        <v>0</v>
      </c>
      <c r="GJ27" s="439">
        <f t="shared" si="85"/>
        <v>0</v>
      </c>
      <c r="GK27" s="439">
        <f t="shared" si="86"/>
        <v>0</v>
      </c>
      <c r="GL27" s="439">
        <f t="shared" si="87"/>
        <v>0</v>
      </c>
      <c r="GM27" s="439">
        <f t="shared" si="88"/>
        <v>0</v>
      </c>
      <c r="GN27" s="439">
        <f t="shared" si="89"/>
        <v>0</v>
      </c>
      <c r="GO27" s="439">
        <f t="shared" si="90"/>
        <v>0</v>
      </c>
      <c r="GP27" s="439">
        <f t="shared" si="91"/>
        <v>0</v>
      </c>
      <c r="GQ27" s="439">
        <f t="shared" si="92"/>
        <v>0</v>
      </c>
      <c r="GR27" s="439">
        <f t="shared" si="93"/>
        <v>0</v>
      </c>
      <c r="GS27" s="439">
        <f t="shared" si="94"/>
        <v>0</v>
      </c>
      <c r="GT27" s="442">
        <f t="shared" si="95"/>
        <v>0</v>
      </c>
      <c r="GU27" s="442">
        <f t="shared" si="96"/>
        <v>0</v>
      </c>
      <c r="GV27" s="439">
        <f t="shared" si="97"/>
        <v>0</v>
      </c>
      <c r="GW27" s="439">
        <f t="shared" si="98"/>
        <v>0</v>
      </c>
      <c r="GX27" s="661">
        <f t="shared" si="99"/>
        <v>0</v>
      </c>
      <c r="GY27" s="661">
        <f t="shared" si="100"/>
        <v>0</v>
      </c>
      <c r="GZ27" s="439">
        <f t="shared" si="101"/>
        <v>0</v>
      </c>
      <c r="HA27" s="439">
        <f t="shared" si="102"/>
        <v>0</v>
      </c>
      <c r="HB27" s="439">
        <f t="shared" si="103"/>
        <v>0</v>
      </c>
      <c r="HC27" s="439">
        <f t="shared" si="104"/>
        <v>0</v>
      </c>
      <c r="HD27" s="631" t="s">
        <v>92</v>
      </c>
      <c r="HE27" s="631">
        <f t="shared" si="176"/>
        <v>9.7850160080843518E-2</v>
      </c>
      <c r="HG27" s="618">
        <f>HLOOKUP(CQ27,Spec_Sheet!$F$3:$DV$19,11,FALSE)+HLOOKUP(CQ27,Spec_Sheet!$F$3:$DV$21,19,FALSE)</f>
        <v>90</v>
      </c>
      <c r="HH27" s="618">
        <f t="shared" si="154"/>
        <v>100</v>
      </c>
      <c r="HI27" s="634">
        <f t="shared" si="155"/>
        <v>150</v>
      </c>
      <c r="HJ27" s="634">
        <f>HLOOKUP(IF(LEN(CQ27)&gt;6,LEFT(CQ27,5),CQ27),'LSM List Pricing'!$B$1:$BW$2,2,0)</f>
        <v>42</v>
      </c>
      <c r="HK27" s="634">
        <f>HLOOKUP(HJ27,'LSM List Pricing'!$B$2:$BW$3,2)</f>
        <v>350</v>
      </c>
      <c r="HL27" s="634">
        <f>VLOOKUP(HH27,'LSM List Pricing'!$A$7:$BW$87,HJ27,0)</f>
        <v>290</v>
      </c>
      <c r="HM27" s="627">
        <f>VLOOKUP(HI27,'LSM List Pricing'!$A$7:$BW$87,HJ27,1)</f>
        <v>270</v>
      </c>
      <c r="HN27" s="628">
        <f t="shared" si="106"/>
        <v>1.641025641025641</v>
      </c>
      <c r="HO27" s="628">
        <f t="shared" si="107"/>
        <v>3.2820512820512819</v>
      </c>
      <c r="HP27" s="628">
        <f t="shared" si="108"/>
        <v>2.4871794871794872</v>
      </c>
      <c r="HR27" s="618">
        <v>1.2E-2</v>
      </c>
      <c r="HS27" s="618">
        <f t="shared" si="109"/>
        <v>80.571428571428569</v>
      </c>
      <c r="HT27" s="618">
        <f t="shared" si="110"/>
        <v>1</v>
      </c>
      <c r="HU27" s="618">
        <f t="shared" si="170"/>
        <v>0.3052772791587553</v>
      </c>
      <c r="HW27" s="618">
        <f t="shared" si="111"/>
        <v>35.566506263594569</v>
      </c>
      <c r="HX27" s="618">
        <f t="shared" si="171"/>
        <v>0.30336269517225939</v>
      </c>
      <c r="HY27" s="618">
        <f t="shared" si="172"/>
        <v>1.2E-2</v>
      </c>
      <c r="IB27" s="618">
        <f t="shared" si="113"/>
        <v>25.000350341399081</v>
      </c>
      <c r="IC27" s="618">
        <f t="shared" si="114"/>
        <v>1E-3</v>
      </c>
      <c r="IE27" s="618">
        <f t="shared" si="115"/>
        <v>0</v>
      </c>
      <c r="IF27" s="618">
        <f t="shared" si="116"/>
        <v>40.704999999999998</v>
      </c>
      <c r="IH27" s="618">
        <f t="shared" si="117"/>
        <v>0</v>
      </c>
      <c r="II27" s="618">
        <f t="shared" si="118"/>
        <v>40.704999999999998</v>
      </c>
      <c r="IK27" s="618">
        <f t="shared" si="119"/>
        <v>0</v>
      </c>
      <c r="IL27" s="618">
        <f t="shared" si="120"/>
        <v>40.704999999999998</v>
      </c>
      <c r="IN27" s="618">
        <f t="shared" si="121"/>
        <v>0</v>
      </c>
      <c r="IO27" s="618">
        <f t="shared" si="122"/>
        <v>40.704999999999998</v>
      </c>
      <c r="IQ27" s="618">
        <f t="shared" si="123"/>
        <v>0</v>
      </c>
      <c r="IR27" s="618">
        <f t="shared" si="124"/>
        <v>40.704999999999998</v>
      </c>
      <c r="IT27" s="660" t="str">
        <f t="shared" si="125"/>
        <v>S160D</v>
      </c>
      <c r="IU27" s="628"/>
      <c r="IV27" s="439">
        <f t="shared" si="126"/>
        <v>0.89670000000000005</v>
      </c>
      <c r="IW27" s="440">
        <f t="shared" si="127"/>
        <v>0.68670000000000009</v>
      </c>
      <c r="IX27" s="439">
        <f t="shared" si="128"/>
        <v>-0.47670000000000012</v>
      </c>
      <c r="IY27" s="439">
        <f t="shared" si="129"/>
        <v>0</v>
      </c>
      <c r="IZ27" s="439">
        <f t="shared" si="130"/>
        <v>0</v>
      </c>
      <c r="JA27" s="439">
        <f t="shared" si="131"/>
        <v>0</v>
      </c>
      <c r="JB27" s="439">
        <f t="shared" si="132"/>
        <v>0</v>
      </c>
      <c r="JC27" s="439">
        <f t="shared" si="133"/>
        <v>0</v>
      </c>
      <c r="JD27" s="439">
        <f t="shared" si="134"/>
        <v>0</v>
      </c>
      <c r="JE27" s="439">
        <f t="shared" si="135"/>
        <v>0</v>
      </c>
      <c r="JF27" s="439">
        <f t="shared" si="136"/>
        <v>0</v>
      </c>
      <c r="JG27" s="439">
        <f t="shared" si="137"/>
        <v>0</v>
      </c>
      <c r="JH27" s="439">
        <f t="shared" si="138"/>
        <v>0</v>
      </c>
      <c r="JI27" s="439">
        <f t="shared" si="139"/>
        <v>0</v>
      </c>
      <c r="JJ27" s="442">
        <f t="shared" si="140"/>
        <v>0</v>
      </c>
      <c r="JK27" s="442">
        <f t="shared" si="141"/>
        <v>0</v>
      </c>
      <c r="JL27" s="439">
        <f t="shared" si="142"/>
        <v>0</v>
      </c>
      <c r="JM27" s="439">
        <f t="shared" si="143"/>
        <v>0</v>
      </c>
      <c r="JN27" s="661">
        <f t="shared" si="144"/>
        <v>0</v>
      </c>
      <c r="JO27" s="661">
        <f t="shared" si="145"/>
        <v>0</v>
      </c>
      <c r="JP27" s="439">
        <f t="shared" si="146"/>
        <v>0</v>
      </c>
      <c r="JQ27" s="439">
        <f t="shared" si="147"/>
        <v>0</v>
      </c>
      <c r="JR27" s="439">
        <f t="shared" si="148"/>
        <v>0</v>
      </c>
      <c r="JS27" s="439">
        <f t="shared" si="149"/>
        <v>0</v>
      </c>
      <c r="JT27" s="631" t="s">
        <v>92</v>
      </c>
      <c r="JU27" s="631">
        <f t="shared" si="158"/>
        <v>9.1326816075453968E-2</v>
      </c>
      <c r="JW27" s="522"/>
      <c r="JX27" s="522"/>
      <c r="JY27" s="522"/>
      <c r="JZ27" s="522"/>
      <c r="KA27" s="522"/>
      <c r="KB27" s="522"/>
      <c r="KC27" s="522"/>
      <c r="KD27" s="522"/>
      <c r="KE27" s="522"/>
      <c r="KF27" s="522"/>
      <c r="KG27" s="522"/>
      <c r="KH27" s="522"/>
      <c r="KI27" s="522"/>
      <c r="KJ27" s="522"/>
      <c r="KK27" s="522"/>
      <c r="KL27" s="522"/>
    </row>
    <row r="28" spans="1:298" ht="9.9499999999999993" customHeight="1" thickBot="1">
      <c r="B28" s="336" t="str">
        <f>IF(AC41&gt;O11,"Motor gets too Hot","")</f>
        <v/>
      </c>
      <c r="C28" s="49"/>
      <c r="D28" s="49"/>
      <c r="E28" s="49"/>
      <c r="F28" s="49"/>
      <c r="G28" s="267"/>
      <c r="H28" s="267"/>
      <c r="I28" s="317" t="s">
        <v>256</v>
      </c>
      <c r="J28" s="318"/>
      <c r="K28" s="319"/>
      <c r="L28" s="738">
        <f>AC41</f>
        <v>25.118977276493887</v>
      </c>
      <c r="M28" s="738"/>
      <c r="N28" s="743" t="s">
        <v>20</v>
      </c>
      <c r="O28" s="743"/>
      <c r="P28" s="561"/>
      <c r="Q28" s="562"/>
      <c r="R28" s="562"/>
      <c r="S28" s="562"/>
      <c r="T28" s="562"/>
      <c r="U28" s="563"/>
      <c r="V28" s="563"/>
      <c r="W28" s="564"/>
      <c r="X28" s="562"/>
      <c r="Y28" s="562"/>
      <c r="Z28" s="562"/>
      <c r="AA28" s="562"/>
      <c r="AB28" s="565"/>
      <c r="AC28" s="746">
        <f>AC26*0.1019716213</f>
        <v>0.9559839496875</v>
      </c>
      <c r="AD28" s="747">
        <v>0.14276026982000001</v>
      </c>
      <c r="AE28" s="566" t="s">
        <v>110</v>
      </c>
      <c r="AF28" s="565"/>
      <c r="AG28" s="567"/>
      <c r="AH28" s="568"/>
      <c r="AI28" s="568"/>
      <c r="AJ28" s="568"/>
      <c r="AK28" s="568"/>
      <c r="AL28" s="569"/>
      <c r="AM28" s="570"/>
      <c r="AN28" s="571"/>
      <c r="AO28" s="571"/>
      <c r="AP28" s="568"/>
      <c r="AQ28" s="568"/>
      <c r="AR28" s="568"/>
      <c r="AS28" s="354"/>
      <c r="AT28" s="732">
        <f>AT26*0.1019716213</f>
        <v>0.40788648519999998</v>
      </c>
      <c r="AU28" s="733">
        <v>0.14276026982000001</v>
      </c>
      <c r="AV28" s="572" t="s">
        <v>110</v>
      </c>
      <c r="AW28" s="573"/>
      <c r="AX28" s="67"/>
      <c r="AY28" s="67"/>
      <c r="AZ28" s="67"/>
      <c r="BA28" s="67"/>
      <c r="BB28" s="708" t="str">
        <f t="shared" ca="1" si="168"/>
        <v>S120Q</v>
      </c>
      <c r="BC28" s="709"/>
      <c r="BD28" s="710"/>
      <c r="BE28" s="342">
        <f t="shared" ca="1" si="160"/>
        <v>6.7390176670459167E-3</v>
      </c>
      <c r="BF28" s="78">
        <f t="shared" ca="1" si="161"/>
        <v>2.7850021991363228E-3</v>
      </c>
      <c r="BG28" s="490">
        <f t="shared" ca="1" si="162"/>
        <v>6.5004873861013706E-3</v>
      </c>
      <c r="BH28" s="78">
        <f t="shared" ca="1" si="163"/>
        <v>2.6324287761898108E-3</v>
      </c>
      <c r="BI28" s="617">
        <f t="shared" ca="1" si="164"/>
        <v>2.0651135134027833E-3</v>
      </c>
      <c r="BJ28" s="528">
        <f t="shared" ca="1" si="165"/>
        <v>2.4615384615384617</v>
      </c>
      <c r="BK28" s="529">
        <f t="shared" ca="1" si="166"/>
        <v>4.9230769230769234</v>
      </c>
      <c r="BL28" s="530">
        <f t="shared" ca="1" si="167"/>
        <v>4.7948717948717947</v>
      </c>
      <c r="BM28" s="44"/>
      <c r="BN28" s="293"/>
      <c r="BO28" s="70" t="s">
        <v>99</v>
      </c>
      <c r="BP28" s="70"/>
      <c r="BQ28" s="70"/>
      <c r="BR28" s="70"/>
      <c r="BS28" s="70"/>
      <c r="BT28" s="70"/>
      <c r="BU28" s="70"/>
      <c r="BV28" s="79" t="s">
        <v>101</v>
      </c>
      <c r="BW28" s="123"/>
      <c r="BX28" s="70"/>
      <c r="BY28" s="44"/>
      <c r="BZ28" s="44"/>
      <c r="CA28" s="44"/>
      <c r="CB28" s="44"/>
      <c r="CC28" s="44"/>
      <c r="CD28" s="108"/>
      <c r="CE28" s="108"/>
      <c r="CF28" s="109"/>
      <c r="CG28" s="109"/>
      <c r="CH28" s="167"/>
      <c r="CI28" s="174">
        <v>0</v>
      </c>
      <c r="CJ28" s="173"/>
      <c r="CK28" s="152"/>
      <c r="CL28" s="155"/>
      <c r="CM28" s="155"/>
      <c r="CN28" s="377"/>
      <c r="CO28" s="689" t="str">
        <f ca="1"/>
        <v>L250SS</v>
      </c>
      <c r="CP28" s="632" t="str">
        <f>IF(OR(CQ28=0,CR28="",CS28&gt;120),"",IF(HLOOKUP(CQ28,Spec_Sheet!$F$3:$ED$19,17,FALSE)&lt;$AC$46,"",CQ28))</f>
        <v>L160T</v>
      </c>
      <c r="CQ28" s="660" t="str">
        <f>IF(Spec_Sheet!A27="","",Spec_Sheet!A27)</f>
        <v>L160T</v>
      </c>
      <c r="CR28" s="660">
        <f>IF(CQ28="",0,HLOOKUP(CQ28,Spec_Sheet!$F$3:$ED$19,2,FALSE))</f>
        <v>13</v>
      </c>
      <c r="CS28" s="660">
        <f t="shared" si="169"/>
        <v>1.6115130703016156E-3</v>
      </c>
      <c r="CT28" s="621">
        <f t="shared" si="173"/>
        <v>3.6259044081786364E-3</v>
      </c>
      <c r="CU28" s="621">
        <f t="shared" si="3"/>
        <v>1.6115130703016156E-3</v>
      </c>
      <c r="CV28" s="621">
        <f t="shared" si="174"/>
        <v>5.3673457197733164E-3</v>
      </c>
      <c r="CW28" s="621">
        <f t="shared" si="175"/>
        <v>2.8292126340482737E-3</v>
      </c>
      <c r="CX28" s="621">
        <f t="shared" si="157"/>
        <v>1.6115130703016156E-3</v>
      </c>
      <c r="CY28" s="619">
        <f>HLOOKUP(CQ28,Spec_Sheet!$F$3:$ED$19,13,FALSE)</f>
        <v>0.2</v>
      </c>
      <c r="CZ28" s="619">
        <f>VLOOKUP(HH28,'Shaft Weight'!$A$6:$CD$102,HJ28,TRUE)</f>
        <v>0.33</v>
      </c>
      <c r="DA28" s="619">
        <f>VLOOKUP(HI28,'Shaft Weight'!$A$6:$CD$102,HJ28,0)</f>
        <v>0.4</v>
      </c>
      <c r="DB28" s="619">
        <f>HLOOKUP(CQ28,Spec_Sheet!$F$3:$ED$19,6,FALSE)</f>
        <v>24</v>
      </c>
      <c r="DC28" s="439">
        <f t="shared" si="6"/>
        <v>0.76860000000000017</v>
      </c>
      <c r="DD28" s="440">
        <f t="shared" si="7"/>
        <v>0.58860000000000012</v>
      </c>
      <c r="DE28" s="439">
        <f t="shared" si="8"/>
        <v>-0.40860000000000007</v>
      </c>
      <c r="DF28" s="439">
        <f t="shared" si="9"/>
        <v>0</v>
      </c>
      <c r="DG28" s="439">
        <f t="shared" si="10"/>
        <v>0</v>
      </c>
      <c r="DH28" s="439">
        <f t="shared" si="11"/>
        <v>0</v>
      </c>
      <c r="DI28" s="439">
        <f t="shared" si="12"/>
        <v>0</v>
      </c>
      <c r="DJ28" s="439">
        <f t="shared" si="13"/>
        <v>0</v>
      </c>
      <c r="DK28" s="439">
        <f t="shared" si="14"/>
        <v>0</v>
      </c>
      <c r="DL28" s="439">
        <f t="shared" si="15"/>
        <v>0</v>
      </c>
      <c r="DM28" s="439">
        <f t="shared" si="16"/>
        <v>0</v>
      </c>
      <c r="DN28" s="439">
        <f t="shared" si="17"/>
        <v>0</v>
      </c>
      <c r="DO28" s="439">
        <f t="shared" si="18"/>
        <v>0</v>
      </c>
      <c r="DP28" s="439">
        <f t="shared" si="19"/>
        <v>0</v>
      </c>
      <c r="DQ28" s="442">
        <f t="shared" si="20"/>
        <v>0</v>
      </c>
      <c r="DR28" s="442">
        <f t="shared" si="21"/>
        <v>0</v>
      </c>
      <c r="DS28" s="439">
        <f t="shared" si="22"/>
        <v>0</v>
      </c>
      <c r="DT28" s="439">
        <f t="shared" si="23"/>
        <v>0</v>
      </c>
      <c r="DU28" s="661">
        <f t="shared" si="24"/>
        <v>0</v>
      </c>
      <c r="DV28" s="661">
        <f t="shared" si="25"/>
        <v>0</v>
      </c>
      <c r="DW28" s="439">
        <f t="shared" si="26"/>
        <v>0</v>
      </c>
      <c r="DX28" s="439">
        <f t="shared" si="27"/>
        <v>0</v>
      </c>
      <c r="DY28" s="439">
        <f t="shared" si="28"/>
        <v>0</v>
      </c>
      <c r="DZ28" s="439">
        <f t="shared" si="29"/>
        <v>0</v>
      </c>
      <c r="EA28" s="631" t="s">
        <v>92</v>
      </c>
      <c r="EB28" s="631">
        <f t="shared" si="151"/>
        <v>7.8280128064674839E-2</v>
      </c>
      <c r="ED28" s="439">
        <f t="shared" si="31"/>
        <v>1.3578600000000003</v>
      </c>
      <c r="EE28" s="440">
        <f t="shared" si="32"/>
        <v>1.0398600000000002</v>
      </c>
      <c r="EF28" s="439">
        <f t="shared" si="33"/>
        <v>-0.72186000000000017</v>
      </c>
      <c r="EG28" s="441">
        <f t="shared" si="34"/>
        <v>0</v>
      </c>
      <c r="EH28" s="439">
        <f t="shared" si="35"/>
        <v>0</v>
      </c>
      <c r="EI28" s="439">
        <f t="shared" si="36"/>
        <v>0</v>
      </c>
      <c r="EJ28" s="439">
        <f t="shared" si="37"/>
        <v>0</v>
      </c>
      <c r="EK28" s="439">
        <f t="shared" si="38"/>
        <v>0</v>
      </c>
      <c r="EL28" s="439">
        <f t="shared" si="39"/>
        <v>0</v>
      </c>
      <c r="EM28" s="439">
        <f t="shared" si="40"/>
        <v>0</v>
      </c>
      <c r="EN28" s="439">
        <f t="shared" si="41"/>
        <v>0</v>
      </c>
      <c r="EO28" s="439">
        <f t="shared" si="42"/>
        <v>0</v>
      </c>
      <c r="EP28" s="439">
        <f t="shared" si="43"/>
        <v>0</v>
      </c>
      <c r="EQ28" s="439">
        <f t="shared" si="44"/>
        <v>0</v>
      </c>
      <c r="ER28" s="442">
        <f t="shared" si="45"/>
        <v>0</v>
      </c>
      <c r="ES28" s="442">
        <f t="shared" si="46"/>
        <v>0</v>
      </c>
      <c r="ET28" s="439">
        <f t="shared" si="47"/>
        <v>0</v>
      </c>
      <c r="EU28" s="439">
        <f t="shared" si="48"/>
        <v>0</v>
      </c>
      <c r="EV28" s="661">
        <f t="shared" si="49"/>
        <v>0</v>
      </c>
      <c r="EW28" s="661">
        <f t="shared" si="50"/>
        <v>0</v>
      </c>
      <c r="EX28" s="439">
        <f t="shared" si="51"/>
        <v>0</v>
      </c>
      <c r="EY28" s="439">
        <f t="shared" si="52"/>
        <v>0</v>
      </c>
      <c r="EZ28" s="439">
        <f t="shared" si="53"/>
        <v>0</v>
      </c>
      <c r="FA28" s="439">
        <f t="shared" si="54"/>
        <v>0</v>
      </c>
      <c r="FB28" s="631" t="s">
        <v>92</v>
      </c>
      <c r="FC28" s="631">
        <f t="shared" si="152"/>
        <v>0.13829489291425889</v>
      </c>
      <c r="FE28" s="439">
        <f t="shared" si="56"/>
        <v>0.93513000000000002</v>
      </c>
      <c r="FF28" s="440">
        <f t="shared" si="57"/>
        <v>0.71613000000000004</v>
      </c>
      <c r="FG28" s="439">
        <f t="shared" si="58"/>
        <v>-0.49713000000000007</v>
      </c>
      <c r="FH28" s="441">
        <f t="shared" si="59"/>
        <v>0</v>
      </c>
      <c r="FI28" s="439">
        <f t="shared" si="60"/>
        <v>0</v>
      </c>
      <c r="FJ28" s="439">
        <f t="shared" si="61"/>
        <v>0</v>
      </c>
      <c r="FK28" s="439">
        <f t="shared" si="62"/>
        <v>0</v>
      </c>
      <c r="FL28" s="439">
        <f t="shared" si="63"/>
        <v>0</v>
      </c>
      <c r="FM28" s="439">
        <f t="shared" si="64"/>
        <v>0</v>
      </c>
      <c r="FN28" s="439">
        <f t="shared" si="65"/>
        <v>0</v>
      </c>
      <c r="FO28" s="439">
        <f t="shared" si="66"/>
        <v>0</v>
      </c>
      <c r="FP28" s="439">
        <f t="shared" si="67"/>
        <v>0</v>
      </c>
      <c r="FQ28" s="439">
        <f t="shared" si="68"/>
        <v>0</v>
      </c>
      <c r="FR28" s="439">
        <f t="shared" si="69"/>
        <v>0</v>
      </c>
      <c r="FS28" s="442">
        <f t="shared" si="70"/>
        <v>0</v>
      </c>
      <c r="FT28" s="442">
        <f t="shared" si="71"/>
        <v>0</v>
      </c>
      <c r="FU28" s="439">
        <f t="shared" si="72"/>
        <v>0</v>
      </c>
      <c r="FV28" s="439">
        <f t="shared" si="73"/>
        <v>0</v>
      </c>
      <c r="FW28" s="661">
        <f t="shared" si="74"/>
        <v>0</v>
      </c>
      <c r="FX28" s="661">
        <f t="shared" si="75"/>
        <v>0</v>
      </c>
      <c r="FY28" s="439">
        <f t="shared" si="76"/>
        <v>0</v>
      </c>
      <c r="FZ28" s="439">
        <f t="shared" si="77"/>
        <v>0</v>
      </c>
      <c r="GA28" s="439">
        <f t="shared" si="78"/>
        <v>0</v>
      </c>
      <c r="GB28" s="439">
        <f t="shared" si="79"/>
        <v>0</v>
      </c>
      <c r="GC28" s="631" t="s">
        <v>92</v>
      </c>
      <c r="GD28" s="631">
        <f t="shared" si="153"/>
        <v>9.5240822478687703E-2</v>
      </c>
      <c r="GF28" s="439">
        <f t="shared" si="81"/>
        <v>1.0248000000000002</v>
      </c>
      <c r="GG28" s="440">
        <f t="shared" si="82"/>
        <v>0.78480000000000016</v>
      </c>
      <c r="GH28" s="439">
        <f t="shared" si="83"/>
        <v>-0.54480000000000017</v>
      </c>
      <c r="GI28" s="439">
        <f t="shared" si="84"/>
        <v>0</v>
      </c>
      <c r="GJ28" s="439">
        <f t="shared" si="85"/>
        <v>0</v>
      </c>
      <c r="GK28" s="439">
        <f t="shared" si="86"/>
        <v>0</v>
      </c>
      <c r="GL28" s="439">
        <f t="shared" si="87"/>
        <v>0</v>
      </c>
      <c r="GM28" s="439">
        <f t="shared" si="88"/>
        <v>0</v>
      </c>
      <c r="GN28" s="439">
        <f t="shared" si="89"/>
        <v>0</v>
      </c>
      <c r="GO28" s="439">
        <f t="shared" si="90"/>
        <v>0</v>
      </c>
      <c r="GP28" s="439">
        <f t="shared" si="91"/>
        <v>0</v>
      </c>
      <c r="GQ28" s="439">
        <f t="shared" si="92"/>
        <v>0</v>
      </c>
      <c r="GR28" s="439">
        <f t="shared" si="93"/>
        <v>0</v>
      </c>
      <c r="GS28" s="439">
        <f t="shared" si="94"/>
        <v>0</v>
      </c>
      <c r="GT28" s="442">
        <f t="shared" si="95"/>
        <v>0</v>
      </c>
      <c r="GU28" s="442">
        <f t="shared" si="96"/>
        <v>0</v>
      </c>
      <c r="GV28" s="439">
        <f t="shared" si="97"/>
        <v>0</v>
      </c>
      <c r="GW28" s="439">
        <f t="shared" si="98"/>
        <v>0</v>
      </c>
      <c r="GX28" s="661">
        <f t="shared" si="99"/>
        <v>0</v>
      </c>
      <c r="GY28" s="661">
        <f t="shared" si="100"/>
        <v>0</v>
      </c>
      <c r="GZ28" s="439">
        <f t="shared" si="101"/>
        <v>0</v>
      </c>
      <c r="HA28" s="439">
        <f t="shared" si="102"/>
        <v>0</v>
      </c>
      <c r="HB28" s="439">
        <f t="shared" si="103"/>
        <v>0</v>
      </c>
      <c r="HC28" s="439">
        <f t="shared" si="104"/>
        <v>0</v>
      </c>
      <c r="HD28" s="631" t="s">
        <v>92</v>
      </c>
      <c r="HE28" s="631">
        <f t="shared" si="176"/>
        <v>0.10437350408623311</v>
      </c>
      <c r="HG28" s="618">
        <f>HLOOKUP(CQ28,Spec_Sheet!$F$3:$DV$19,11,FALSE)+HLOOKUP(CQ28,Spec_Sheet!$F$3:$DV$21,19,FALSE)</f>
        <v>120</v>
      </c>
      <c r="HH28" s="618">
        <f t="shared" si="154"/>
        <v>100</v>
      </c>
      <c r="HI28" s="634">
        <f t="shared" si="155"/>
        <v>150</v>
      </c>
      <c r="HJ28" s="634">
        <f>HLOOKUP(IF(LEN(CQ28)&gt;6,LEFT(CQ28,5),CQ28),'LSM List Pricing'!$B$1:$BW$2,2,0)</f>
        <v>3</v>
      </c>
      <c r="HK28" s="634">
        <f>HLOOKUP(HJ28,'LSM List Pricing'!$B$2:$BW$3,2)</f>
        <v>430</v>
      </c>
      <c r="HL28" s="634">
        <f>VLOOKUP(HH28,'LSM List Pricing'!$A$7:$BW$87,HJ28,0)</f>
        <v>260</v>
      </c>
      <c r="HM28" s="627">
        <f>VLOOKUP(HI28,'LSM List Pricing'!$A$7:$BW$87,HJ28,1)</f>
        <v>290</v>
      </c>
      <c r="HN28" s="628">
        <f t="shared" si="106"/>
        <v>1.7692307692307692</v>
      </c>
      <c r="HO28" s="628">
        <f t="shared" si="107"/>
        <v>3.5384615384615383</v>
      </c>
      <c r="HP28" s="628">
        <f t="shared" si="108"/>
        <v>2.9487179487179489</v>
      </c>
      <c r="HR28" s="618">
        <v>1.2500000000000001E-2</v>
      </c>
      <c r="HS28" s="618">
        <f t="shared" si="109"/>
        <v>83.928571428571431</v>
      </c>
      <c r="HT28" s="618">
        <f t="shared" si="110"/>
        <v>1</v>
      </c>
      <c r="HU28" s="618">
        <f t="shared" si="170"/>
        <v>0.3180163231323801</v>
      </c>
      <c r="HW28" s="618">
        <f t="shared" si="111"/>
        <v>35.548416821152017</v>
      </c>
      <c r="HX28" s="618">
        <f t="shared" si="171"/>
        <v>0.3159419408688538</v>
      </c>
      <c r="HY28" s="618">
        <f t="shared" si="172"/>
        <v>1.2500000000000001E-2</v>
      </c>
      <c r="IB28" s="618">
        <f t="shared" si="113"/>
        <v>25.000350341399081</v>
      </c>
      <c r="IC28" s="618">
        <f t="shared" si="114"/>
        <v>1E-3</v>
      </c>
      <c r="IE28" s="618">
        <f t="shared" si="115"/>
        <v>0</v>
      </c>
      <c r="IF28" s="618">
        <f t="shared" si="116"/>
        <v>40.704999999999998</v>
      </c>
      <c r="IH28" s="618">
        <f t="shared" si="117"/>
        <v>0</v>
      </c>
      <c r="II28" s="618">
        <f t="shared" si="118"/>
        <v>40.704999999999998</v>
      </c>
      <c r="IK28" s="618">
        <f t="shared" si="119"/>
        <v>0</v>
      </c>
      <c r="IL28" s="618">
        <f t="shared" si="120"/>
        <v>40.704999999999998</v>
      </c>
      <c r="IN28" s="618">
        <f t="shared" si="121"/>
        <v>0</v>
      </c>
      <c r="IO28" s="618">
        <f t="shared" si="122"/>
        <v>40.704999999999998</v>
      </c>
      <c r="IQ28" s="618">
        <f t="shared" si="123"/>
        <v>0</v>
      </c>
      <c r="IR28" s="618">
        <f t="shared" si="124"/>
        <v>40.704999999999998</v>
      </c>
      <c r="IT28" s="660" t="str">
        <f t="shared" si="125"/>
        <v>L160T</v>
      </c>
      <c r="IU28" s="628"/>
      <c r="IV28" s="439">
        <f t="shared" si="126"/>
        <v>1.0248000000000002</v>
      </c>
      <c r="IW28" s="440">
        <f t="shared" si="127"/>
        <v>0.78480000000000016</v>
      </c>
      <c r="IX28" s="439">
        <f t="shared" si="128"/>
        <v>-0.54480000000000017</v>
      </c>
      <c r="IY28" s="439">
        <f t="shared" si="129"/>
        <v>0</v>
      </c>
      <c r="IZ28" s="439">
        <f t="shared" si="130"/>
        <v>0</v>
      </c>
      <c r="JA28" s="439">
        <f t="shared" si="131"/>
        <v>0</v>
      </c>
      <c r="JB28" s="439">
        <f t="shared" si="132"/>
        <v>0</v>
      </c>
      <c r="JC28" s="439">
        <f t="shared" si="133"/>
        <v>0</v>
      </c>
      <c r="JD28" s="439">
        <f t="shared" si="134"/>
        <v>0</v>
      </c>
      <c r="JE28" s="439">
        <f t="shared" si="135"/>
        <v>0</v>
      </c>
      <c r="JF28" s="439">
        <f t="shared" si="136"/>
        <v>0</v>
      </c>
      <c r="JG28" s="439">
        <f t="shared" si="137"/>
        <v>0</v>
      </c>
      <c r="JH28" s="439">
        <f t="shared" si="138"/>
        <v>0</v>
      </c>
      <c r="JI28" s="439">
        <f t="shared" si="139"/>
        <v>0</v>
      </c>
      <c r="JJ28" s="442">
        <f t="shared" si="140"/>
        <v>0</v>
      </c>
      <c r="JK28" s="442">
        <f t="shared" si="141"/>
        <v>0</v>
      </c>
      <c r="JL28" s="439">
        <f t="shared" si="142"/>
        <v>0</v>
      </c>
      <c r="JM28" s="439">
        <f t="shared" si="143"/>
        <v>0</v>
      </c>
      <c r="JN28" s="661">
        <f t="shared" si="144"/>
        <v>0</v>
      </c>
      <c r="JO28" s="661">
        <f t="shared" si="145"/>
        <v>0</v>
      </c>
      <c r="JP28" s="439">
        <f t="shared" si="146"/>
        <v>0</v>
      </c>
      <c r="JQ28" s="439">
        <f t="shared" si="147"/>
        <v>0</v>
      </c>
      <c r="JR28" s="439">
        <f t="shared" si="148"/>
        <v>0</v>
      </c>
      <c r="JS28" s="439">
        <f t="shared" si="149"/>
        <v>0</v>
      </c>
      <c r="JT28" s="631" t="s">
        <v>92</v>
      </c>
      <c r="JU28" s="631">
        <f t="shared" si="158"/>
        <v>0.10437350408623311</v>
      </c>
      <c r="JW28" s="522"/>
      <c r="JX28" s="522"/>
      <c r="JY28" s="522"/>
      <c r="JZ28" s="522"/>
      <c r="KA28" s="522"/>
      <c r="KB28" s="522"/>
      <c r="KC28" s="522"/>
      <c r="KD28" s="522"/>
      <c r="KE28" s="522"/>
      <c r="KF28" s="522"/>
      <c r="KG28" s="522"/>
      <c r="KH28" s="522"/>
      <c r="KI28" s="522"/>
      <c r="KJ28" s="522"/>
      <c r="KK28" s="522"/>
      <c r="KL28" s="522"/>
    </row>
    <row r="29" spans="1:298" ht="11.25" customHeight="1" thickBot="1">
      <c r="A29" s="155"/>
      <c r="B29" s="388" t="str">
        <f>IF(Y29="X","Acceleration time ","")&amp;IF(AND(Y29="X",Z29="x"),"and ","")&amp;IF(Z29="x","Deceleration time ","")&amp;IF(OR(Y29="X",Z29="x"),"is to short!","")</f>
        <v/>
      </c>
      <c r="C29" s="388"/>
      <c r="D29" s="388"/>
      <c r="E29" s="388"/>
      <c r="F29" s="388"/>
      <c r="G29" s="388"/>
      <c r="H29" s="388"/>
      <c r="I29" s="615">
        <f>Spec_Sheet!H1</f>
        <v>0</v>
      </c>
      <c r="J29" s="388"/>
      <c r="K29" s="388"/>
      <c r="L29" s="388"/>
      <c r="M29" s="388"/>
      <c r="N29" s="388"/>
      <c r="O29" s="388"/>
      <c r="P29" s="423"/>
      <c r="Q29" s="423"/>
      <c r="R29" s="95"/>
      <c r="S29" s="95"/>
      <c r="T29" s="95"/>
      <c r="U29" s="99"/>
      <c r="V29" s="99"/>
      <c r="W29" s="95"/>
      <c r="X29" s="95"/>
      <c r="Y29" s="386" t="str">
        <f>IF(Y6="X","X",IF(AND(Y14="X",$P$13),"X",IF(AND(Y22="X",$P$21),"X",IF(AND(AP6="x",$AG$5),"X",IF(AND(AP14="X",$AG$13),"X",IF(AND(AP22="X",$AG$21),"X",""))))))</f>
        <v/>
      </c>
      <c r="Z29" s="386" t="str">
        <f>IF(Z6="X","X",IF(AND(Z14="X",$P$13),"X",IF(AND(Z22="X",$P$21),"X",IF(AND(AQ6="x",$AG$5),"X",IF(AND(AQ14="X",$AG$13),"X",IF(AND(AQ22="X",$AG$21),"X",""))))))</f>
        <v/>
      </c>
      <c r="AA29" s="95"/>
      <c r="AB29" s="100"/>
      <c r="AC29" s="424"/>
      <c r="AD29" s="425"/>
      <c r="AE29" s="426"/>
      <c r="AF29" s="377"/>
      <c r="AG29" s="376"/>
      <c r="AH29" s="376"/>
      <c r="AI29" s="376"/>
      <c r="AJ29" s="376"/>
      <c r="AK29" s="376"/>
      <c r="AL29" s="375"/>
      <c r="AM29" s="375"/>
      <c r="AN29" s="376"/>
      <c r="AO29" s="376"/>
      <c r="AP29" s="376"/>
      <c r="AQ29" s="376"/>
      <c r="AR29" s="376"/>
      <c r="AS29" s="377"/>
      <c r="AT29" s="424"/>
      <c r="AU29" s="425"/>
      <c r="AV29" s="426"/>
      <c r="AW29" s="377"/>
      <c r="AX29" s="377"/>
      <c r="AY29" s="696"/>
      <c r="AZ29" s="377"/>
      <c r="BA29" s="377"/>
      <c r="BB29" s="708" t="str">
        <f t="shared" ca="1" si="168"/>
        <v>S160D 1S</v>
      </c>
      <c r="BC29" s="709"/>
      <c r="BD29" s="710"/>
      <c r="BE29" s="342">
        <f t="shared" ca="1" si="160"/>
        <v>5.1676227573596552E-3</v>
      </c>
      <c r="BF29" s="78">
        <f t="shared" ca="1" si="161"/>
        <v>2.0926736786001906E-3</v>
      </c>
      <c r="BG29" s="490">
        <f t="shared" ca="1" si="162"/>
        <v>7.8992025223243115E-3</v>
      </c>
      <c r="BH29" s="78">
        <f t="shared" ca="1" si="163"/>
        <v>3.9359348208121148E-3</v>
      </c>
      <c r="BI29" s="617">
        <f t="shared" ca="1" si="164"/>
        <v>2.4023039677808305E-3</v>
      </c>
      <c r="BJ29" s="528">
        <f t="shared" ca="1" si="165"/>
        <v>1.641025641025641</v>
      </c>
      <c r="BK29" s="529">
        <f t="shared" ca="1" si="166"/>
        <v>3.2820512820512819</v>
      </c>
      <c r="BL29" s="530">
        <f t="shared" ca="1" si="167"/>
        <v>2.4871794871794872</v>
      </c>
      <c r="BM29" s="46">
        <f t="shared" ref="BM29:BM36" si="177">COUNTBLANK(BO29)</f>
        <v>0</v>
      </c>
      <c r="BN29" s="46">
        <f>BO29*VLOOKUP(BQ29,$H$62:$I$68,2,FALSE)</f>
        <v>400</v>
      </c>
      <c r="BO29" s="734">
        <v>0.4</v>
      </c>
      <c r="BP29" s="735"/>
      <c r="BQ29" s="721" t="s">
        <v>108</v>
      </c>
      <c r="BR29" s="722"/>
      <c r="BS29" s="70" t="s">
        <v>47</v>
      </c>
      <c r="BT29" s="70"/>
      <c r="BU29" s="70"/>
      <c r="BV29" s="46"/>
      <c r="BW29" s="168">
        <f>IF(T2V+T3V+T6V=0,IF((1/4.5)*Avt*MTvt^2=MDvt,(Avt*MTvt)/3,2*MDvt/(MTvt+SQRT(MTvt^2-((4*MDvt)/Avt)))),IF(T2V+T3V=0,(Avt*MTvt)/3,IF(T2V+T6V=0,SQRT((Avt*MDvt)/2),IF(T3V+T6V=0,1.5*(MDvt/MTvt),IF(T5V+T6V=0,1.5 * (MDvt/(ATvt*3)),IF(T4V+T6V=0,1.5 * (MDvt/(TTvt*3)),IF(T2V+T4V=0,Avt*TTvt,"Val")))))))</f>
        <v>790.56941504209487</v>
      </c>
      <c r="BX29" s="79">
        <f>IF(T1V=1,IF(T2V+T5V=0,Avt*ATvt,IF(T2V+T7V=0,SQRT(2*Avt*ADvt),IF(T3V+T4V+T6V=0,MDvt/(TTvt+((MTvt-TTvt)*0.5)),IF(T3V+T6V+T8V=0,(MDvt+(MDvt-TDvt))/MTvt,IF(T3V+T7V+T8V=0,(TDvt+(ADvt*4))/MTvt,IF(T5V+T7V=0,(2*ADvt)/ATvt,NestVel)))))),Velvt)</f>
        <v>400</v>
      </c>
      <c r="BY29" s="736" t="s">
        <v>307</v>
      </c>
      <c r="BZ29" s="736"/>
      <c r="CA29" s="736"/>
      <c r="CB29" s="736"/>
      <c r="CC29" s="736"/>
      <c r="CD29" s="766">
        <f>BX33</f>
        <v>0.08</v>
      </c>
      <c r="CE29" s="766"/>
      <c r="CF29" s="83" t="s">
        <v>120</v>
      </c>
      <c r="CG29" s="84"/>
      <c r="CH29" s="165">
        <v>0</v>
      </c>
      <c r="CI29" s="174">
        <f>((CD32/(CD29+CD30))+(CD32/(CD31+CD30)))/2</f>
        <v>400</v>
      </c>
      <c r="CJ29" s="173"/>
      <c r="CK29" s="152"/>
      <c r="CL29" s="155"/>
      <c r="CM29" s="155"/>
      <c r="CN29" s="377"/>
      <c r="CO29" s="689" t="str">
        <f ca="1"/>
        <v>L160Q</v>
      </c>
      <c r="CP29" s="632" t="str">
        <f>IF(OR(CQ29=0,CR29="",CS29&gt;120),"",IF(HLOOKUP(CQ29,Spec_Sheet!$F$3:$ED$19,17,FALSE)&lt;$AC$46,"",CQ29))</f>
        <v>S160T 1S</v>
      </c>
      <c r="CQ29" s="660" t="str">
        <f>IF(Spec_Sheet!A28="","",Spec_Sheet!A28)</f>
        <v>S160T 1S</v>
      </c>
      <c r="CR29" s="660">
        <f>IF(CQ29="",0,HLOOKUP(CQ29,Spec_Sheet!$F$3:$ED$19,2,FALSE))</f>
        <v>14.972999999999997</v>
      </c>
      <c r="CS29" s="660">
        <f t="shared" si="169"/>
        <v>1.2147946977815174E-3</v>
      </c>
      <c r="CT29" s="621">
        <f t="shared" si="173"/>
        <v>2.7332880700084148E-3</v>
      </c>
      <c r="CU29" s="621">
        <f t="shared" si="3"/>
        <v>1.2147946977815174E-3</v>
      </c>
      <c r="CV29" s="621">
        <f t="shared" si="174"/>
        <v>4.0460255902985661E-3</v>
      </c>
      <c r="CW29" s="621">
        <f t="shared" si="175"/>
        <v>2.1327239412926775E-3</v>
      </c>
      <c r="CX29" s="621">
        <f t="shared" si="157"/>
        <v>1.2147946977815174E-3</v>
      </c>
      <c r="CY29" s="619">
        <f>HLOOKUP(CQ29,Spec_Sheet!$F$3:$ED$19,13,FALSE)</f>
        <v>0.2</v>
      </c>
      <c r="CZ29" s="619">
        <f>VLOOKUP(HH29,'Shaft Weight'!$A$6:$CD$102,HJ29,TRUE)</f>
        <v>0.33</v>
      </c>
      <c r="DA29" s="619">
        <f>VLOOKUP(HI29,'Shaft Weight'!$A$6:$CD$102,HJ29,0)</f>
        <v>0.4</v>
      </c>
      <c r="DB29" s="619">
        <f>HLOOKUP(CQ29,Spec_Sheet!$F$3:$ED$19,6,FALSE)</f>
        <v>8.0499999999999989</v>
      </c>
      <c r="DC29" s="439">
        <f t="shared" si="6"/>
        <v>0.76860000000000017</v>
      </c>
      <c r="DD29" s="440">
        <f t="shared" si="7"/>
        <v>0.58860000000000012</v>
      </c>
      <c r="DE29" s="439">
        <f t="shared" si="8"/>
        <v>-0.40860000000000007</v>
      </c>
      <c r="DF29" s="439">
        <f t="shared" si="9"/>
        <v>0</v>
      </c>
      <c r="DG29" s="439">
        <f t="shared" si="10"/>
        <v>0</v>
      </c>
      <c r="DH29" s="439">
        <f t="shared" si="11"/>
        <v>0</v>
      </c>
      <c r="DI29" s="439">
        <f t="shared" si="12"/>
        <v>0</v>
      </c>
      <c r="DJ29" s="439">
        <f t="shared" si="13"/>
        <v>0</v>
      </c>
      <c r="DK29" s="439">
        <f t="shared" si="14"/>
        <v>0</v>
      </c>
      <c r="DL29" s="439">
        <f t="shared" si="15"/>
        <v>0</v>
      </c>
      <c r="DM29" s="439">
        <f t="shared" si="16"/>
        <v>0</v>
      </c>
      <c r="DN29" s="439">
        <f t="shared" si="17"/>
        <v>0</v>
      </c>
      <c r="DO29" s="439">
        <f t="shared" si="18"/>
        <v>0</v>
      </c>
      <c r="DP29" s="439">
        <f t="shared" si="19"/>
        <v>0</v>
      </c>
      <c r="DQ29" s="442">
        <f t="shared" si="20"/>
        <v>0</v>
      </c>
      <c r="DR29" s="442">
        <f t="shared" si="21"/>
        <v>0</v>
      </c>
      <c r="DS29" s="439">
        <f t="shared" si="22"/>
        <v>0</v>
      </c>
      <c r="DT29" s="439">
        <f t="shared" si="23"/>
        <v>0</v>
      </c>
      <c r="DU29" s="661">
        <f t="shared" si="24"/>
        <v>0</v>
      </c>
      <c r="DV29" s="661">
        <f t="shared" si="25"/>
        <v>0</v>
      </c>
      <c r="DW29" s="439">
        <f t="shared" si="26"/>
        <v>0</v>
      </c>
      <c r="DX29" s="439">
        <f t="shared" si="27"/>
        <v>0</v>
      </c>
      <c r="DY29" s="439">
        <f t="shared" si="28"/>
        <v>0</v>
      </c>
      <c r="DZ29" s="439">
        <f t="shared" si="29"/>
        <v>0</v>
      </c>
      <c r="EA29" s="631" t="s">
        <v>92</v>
      </c>
      <c r="EB29" s="631">
        <f t="shared" si="151"/>
        <v>7.8280128064674839E-2</v>
      </c>
      <c r="ED29" s="439">
        <f t="shared" si="31"/>
        <v>1.3578600000000003</v>
      </c>
      <c r="EE29" s="440">
        <f t="shared" si="32"/>
        <v>1.0398600000000002</v>
      </c>
      <c r="EF29" s="439">
        <f t="shared" si="33"/>
        <v>-0.72186000000000017</v>
      </c>
      <c r="EG29" s="441">
        <f t="shared" si="34"/>
        <v>0</v>
      </c>
      <c r="EH29" s="439">
        <f t="shared" si="35"/>
        <v>0</v>
      </c>
      <c r="EI29" s="439">
        <f t="shared" si="36"/>
        <v>0</v>
      </c>
      <c r="EJ29" s="439">
        <f t="shared" si="37"/>
        <v>0</v>
      </c>
      <c r="EK29" s="439">
        <f t="shared" si="38"/>
        <v>0</v>
      </c>
      <c r="EL29" s="439">
        <f t="shared" si="39"/>
        <v>0</v>
      </c>
      <c r="EM29" s="439">
        <f t="shared" si="40"/>
        <v>0</v>
      </c>
      <c r="EN29" s="439">
        <f t="shared" si="41"/>
        <v>0</v>
      </c>
      <c r="EO29" s="439">
        <f t="shared" si="42"/>
        <v>0</v>
      </c>
      <c r="EP29" s="439">
        <f t="shared" si="43"/>
        <v>0</v>
      </c>
      <c r="EQ29" s="439">
        <f t="shared" si="44"/>
        <v>0</v>
      </c>
      <c r="ER29" s="442">
        <f t="shared" si="45"/>
        <v>0</v>
      </c>
      <c r="ES29" s="442">
        <f t="shared" si="46"/>
        <v>0</v>
      </c>
      <c r="ET29" s="439">
        <f t="shared" si="47"/>
        <v>0</v>
      </c>
      <c r="EU29" s="439">
        <f t="shared" si="48"/>
        <v>0</v>
      </c>
      <c r="EV29" s="661">
        <f t="shared" si="49"/>
        <v>0</v>
      </c>
      <c r="EW29" s="661">
        <f t="shared" si="50"/>
        <v>0</v>
      </c>
      <c r="EX29" s="439">
        <f t="shared" si="51"/>
        <v>0</v>
      </c>
      <c r="EY29" s="439">
        <f t="shared" si="52"/>
        <v>0</v>
      </c>
      <c r="EZ29" s="439">
        <f t="shared" si="53"/>
        <v>0</v>
      </c>
      <c r="FA29" s="439">
        <f t="shared" si="54"/>
        <v>0</v>
      </c>
      <c r="FB29" s="631" t="s">
        <v>92</v>
      </c>
      <c r="FC29" s="631">
        <f t="shared" si="152"/>
        <v>0.13829489291425889</v>
      </c>
      <c r="FE29" s="439">
        <f t="shared" si="56"/>
        <v>0.93513000000000002</v>
      </c>
      <c r="FF29" s="440">
        <f t="shared" si="57"/>
        <v>0.71613000000000004</v>
      </c>
      <c r="FG29" s="439">
        <f t="shared" si="58"/>
        <v>-0.49713000000000007</v>
      </c>
      <c r="FH29" s="441">
        <f t="shared" si="59"/>
        <v>0</v>
      </c>
      <c r="FI29" s="439">
        <f t="shared" si="60"/>
        <v>0</v>
      </c>
      <c r="FJ29" s="439">
        <f t="shared" si="61"/>
        <v>0</v>
      </c>
      <c r="FK29" s="439">
        <f t="shared" si="62"/>
        <v>0</v>
      </c>
      <c r="FL29" s="439">
        <f t="shared" si="63"/>
        <v>0</v>
      </c>
      <c r="FM29" s="439">
        <f t="shared" si="64"/>
        <v>0</v>
      </c>
      <c r="FN29" s="439">
        <f t="shared" si="65"/>
        <v>0</v>
      </c>
      <c r="FO29" s="439">
        <f t="shared" si="66"/>
        <v>0</v>
      </c>
      <c r="FP29" s="439">
        <f t="shared" si="67"/>
        <v>0</v>
      </c>
      <c r="FQ29" s="439">
        <f t="shared" si="68"/>
        <v>0</v>
      </c>
      <c r="FR29" s="439">
        <f t="shared" si="69"/>
        <v>0</v>
      </c>
      <c r="FS29" s="442">
        <f t="shared" si="70"/>
        <v>0</v>
      </c>
      <c r="FT29" s="442">
        <f t="shared" si="71"/>
        <v>0</v>
      </c>
      <c r="FU29" s="439">
        <f t="shared" si="72"/>
        <v>0</v>
      </c>
      <c r="FV29" s="439">
        <f t="shared" si="73"/>
        <v>0</v>
      </c>
      <c r="FW29" s="661">
        <f t="shared" si="74"/>
        <v>0</v>
      </c>
      <c r="FX29" s="661">
        <f t="shared" si="75"/>
        <v>0</v>
      </c>
      <c r="FY29" s="439">
        <f t="shared" si="76"/>
        <v>0</v>
      </c>
      <c r="FZ29" s="439">
        <f t="shared" si="77"/>
        <v>0</v>
      </c>
      <c r="GA29" s="439">
        <f t="shared" si="78"/>
        <v>0</v>
      </c>
      <c r="GB29" s="439">
        <f t="shared" si="79"/>
        <v>0</v>
      </c>
      <c r="GC29" s="631" t="s">
        <v>92</v>
      </c>
      <c r="GD29" s="631">
        <f t="shared" si="153"/>
        <v>9.5240822478687703E-2</v>
      </c>
      <c r="GF29" s="439">
        <f t="shared" si="81"/>
        <v>1.0248000000000002</v>
      </c>
      <c r="GG29" s="440">
        <f t="shared" si="82"/>
        <v>0.78480000000000016</v>
      </c>
      <c r="GH29" s="439">
        <f t="shared" si="83"/>
        <v>-0.54480000000000017</v>
      </c>
      <c r="GI29" s="439">
        <f t="shared" si="84"/>
        <v>0</v>
      </c>
      <c r="GJ29" s="439">
        <f t="shared" si="85"/>
        <v>0</v>
      </c>
      <c r="GK29" s="439">
        <f t="shared" si="86"/>
        <v>0</v>
      </c>
      <c r="GL29" s="439">
        <f t="shared" si="87"/>
        <v>0</v>
      </c>
      <c r="GM29" s="439">
        <f t="shared" si="88"/>
        <v>0</v>
      </c>
      <c r="GN29" s="439">
        <f t="shared" si="89"/>
        <v>0</v>
      </c>
      <c r="GO29" s="439">
        <f t="shared" si="90"/>
        <v>0</v>
      </c>
      <c r="GP29" s="439">
        <f t="shared" si="91"/>
        <v>0</v>
      </c>
      <c r="GQ29" s="439">
        <f t="shared" si="92"/>
        <v>0</v>
      </c>
      <c r="GR29" s="439">
        <f t="shared" si="93"/>
        <v>0</v>
      </c>
      <c r="GS29" s="439">
        <f t="shared" si="94"/>
        <v>0</v>
      </c>
      <c r="GT29" s="442">
        <f t="shared" si="95"/>
        <v>0</v>
      </c>
      <c r="GU29" s="442">
        <f t="shared" si="96"/>
        <v>0</v>
      </c>
      <c r="GV29" s="439">
        <f t="shared" si="97"/>
        <v>0</v>
      </c>
      <c r="GW29" s="439">
        <f t="shared" si="98"/>
        <v>0</v>
      </c>
      <c r="GX29" s="661">
        <f t="shared" si="99"/>
        <v>0</v>
      </c>
      <c r="GY29" s="661">
        <f t="shared" si="100"/>
        <v>0</v>
      </c>
      <c r="GZ29" s="439">
        <f t="shared" si="101"/>
        <v>0</v>
      </c>
      <c r="HA29" s="439">
        <f t="shared" si="102"/>
        <v>0</v>
      </c>
      <c r="HB29" s="439">
        <f t="shared" si="103"/>
        <v>0</v>
      </c>
      <c r="HC29" s="439">
        <f t="shared" si="104"/>
        <v>0</v>
      </c>
      <c r="HD29" s="631" t="s">
        <v>92</v>
      </c>
      <c r="HE29" s="631">
        <f t="shared" si="176"/>
        <v>0.10437350408623311</v>
      </c>
      <c r="HG29" s="618">
        <f>HLOOKUP(CQ29,Spec_Sheet!$F$3:$DV$19,11,FALSE)+HLOOKUP(CQ29,Spec_Sheet!$F$3:$DV$21,19,FALSE)</f>
        <v>120</v>
      </c>
      <c r="HH29" s="618">
        <f t="shared" si="154"/>
        <v>100</v>
      </c>
      <c r="HI29" s="634">
        <f t="shared" si="155"/>
        <v>150</v>
      </c>
      <c r="HJ29" s="634">
        <f>HLOOKUP(IF(LEN(CQ29)&gt;6,LEFT(CQ29,5),CQ29),'LSM List Pricing'!$B$1:$BW$2,2,0)</f>
        <v>43</v>
      </c>
      <c r="HK29" s="634">
        <f>HLOOKUP(HJ29,'LSM List Pricing'!$B$2:$BW$3,2)</f>
        <v>430</v>
      </c>
      <c r="HL29" s="634">
        <f>VLOOKUP(HH29,'LSM List Pricing'!$A$7:$BW$87,HJ29,0)</f>
        <v>260</v>
      </c>
      <c r="HM29" s="627">
        <f>VLOOKUP(HI29,'LSM List Pricing'!$A$7:$BW$87,HJ29,1)</f>
        <v>280</v>
      </c>
      <c r="HN29" s="628">
        <f t="shared" si="106"/>
        <v>1.7692307692307692</v>
      </c>
      <c r="HO29" s="628">
        <f t="shared" si="107"/>
        <v>3.5384615384615383</v>
      </c>
      <c r="HP29" s="628">
        <f t="shared" si="108"/>
        <v>2.9230769230769229</v>
      </c>
      <c r="HR29" s="618">
        <v>1.2999999999999999E-2</v>
      </c>
      <c r="HS29" s="618">
        <f t="shared" si="109"/>
        <v>87.285714285714278</v>
      </c>
      <c r="HT29" s="618">
        <f t="shared" si="110"/>
        <v>1</v>
      </c>
      <c r="HU29" s="618">
        <f t="shared" si="170"/>
        <v>0.33075536710600484</v>
      </c>
      <c r="HW29" s="618">
        <f t="shared" si="111"/>
        <v>35.530327378709472</v>
      </c>
      <c r="HX29" s="618">
        <f t="shared" si="171"/>
        <v>0.32851478539315004</v>
      </c>
      <c r="HY29" s="618">
        <f t="shared" si="172"/>
        <v>1.2999999999999999E-2</v>
      </c>
      <c r="IB29" s="618">
        <f t="shared" si="113"/>
        <v>25.000350341399081</v>
      </c>
      <c r="IC29" s="618">
        <f t="shared" si="114"/>
        <v>1E-3</v>
      </c>
      <c r="IE29" s="618">
        <f t="shared" si="115"/>
        <v>0</v>
      </c>
      <c r="IF29" s="618">
        <f t="shared" si="116"/>
        <v>40.704999999999998</v>
      </c>
      <c r="IH29" s="618">
        <f t="shared" si="117"/>
        <v>0</v>
      </c>
      <c r="II29" s="618">
        <f t="shared" si="118"/>
        <v>40.704999999999998</v>
      </c>
      <c r="IK29" s="618">
        <f t="shared" si="119"/>
        <v>0</v>
      </c>
      <c r="IL29" s="618">
        <f t="shared" si="120"/>
        <v>40.704999999999998</v>
      </c>
      <c r="IN29" s="618">
        <f t="shared" si="121"/>
        <v>0</v>
      </c>
      <c r="IO29" s="618">
        <f t="shared" si="122"/>
        <v>40.704999999999998</v>
      </c>
      <c r="IQ29" s="618">
        <f t="shared" si="123"/>
        <v>0</v>
      </c>
      <c r="IR29" s="618">
        <f t="shared" si="124"/>
        <v>40.704999999999998</v>
      </c>
      <c r="IT29" s="660" t="str">
        <f t="shared" si="125"/>
        <v>S160T 1S</v>
      </c>
      <c r="IU29" s="628"/>
      <c r="IV29" s="439">
        <f t="shared" si="126"/>
        <v>1.0248000000000002</v>
      </c>
      <c r="IW29" s="440">
        <f t="shared" si="127"/>
        <v>0.78480000000000016</v>
      </c>
      <c r="IX29" s="439">
        <f t="shared" si="128"/>
        <v>-0.54480000000000017</v>
      </c>
      <c r="IY29" s="439">
        <f t="shared" si="129"/>
        <v>0</v>
      </c>
      <c r="IZ29" s="439">
        <f t="shared" si="130"/>
        <v>0</v>
      </c>
      <c r="JA29" s="439">
        <f t="shared" si="131"/>
        <v>0</v>
      </c>
      <c r="JB29" s="439">
        <f t="shared" si="132"/>
        <v>0</v>
      </c>
      <c r="JC29" s="439">
        <f t="shared" si="133"/>
        <v>0</v>
      </c>
      <c r="JD29" s="439">
        <f t="shared" si="134"/>
        <v>0</v>
      </c>
      <c r="JE29" s="439">
        <f t="shared" si="135"/>
        <v>0</v>
      </c>
      <c r="JF29" s="439">
        <f t="shared" si="136"/>
        <v>0</v>
      </c>
      <c r="JG29" s="439">
        <f t="shared" si="137"/>
        <v>0</v>
      </c>
      <c r="JH29" s="439">
        <f t="shared" si="138"/>
        <v>0</v>
      </c>
      <c r="JI29" s="439">
        <f t="shared" si="139"/>
        <v>0</v>
      </c>
      <c r="JJ29" s="442">
        <f t="shared" si="140"/>
        <v>0</v>
      </c>
      <c r="JK29" s="442">
        <f t="shared" si="141"/>
        <v>0</v>
      </c>
      <c r="JL29" s="439">
        <f t="shared" si="142"/>
        <v>0</v>
      </c>
      <c r="JM29" s="439">
        <f t="shared" si="143"/>
        <v>0</v>
      </c>
      <c r="JN29" s="661">
        <f t="shared" si="144"/>
        <v>0</v>
      </c>
      <c r="JO29" s="661">
        <f t="shared" si="145"/>
        <v>0</v>
      </c>
      <c r="JP29" s="439">
        <f t="shared" si="146"/>
        <v>0</v>
      </c>
      <c r="JQ29" s="439">
        <f t="shared" si="147"/>
        <v>0</v>
      </c>
      <c r="JR29" s="439">
        <f t="shared" si="148"/>
        <v>0</v>
      </c>
      <c r="JS29" s="439">
        <f t="shared" si="149"/>
        <v>0</v>
      </c>
      <c r="JT29" s="631" t="s">
        <v>92</v>
      </c>
      <c r="JU29" s="631">
        <f t="shared" si="158"/>
        <v>0.10437350408623311</v>
      </c>
      <c r="JW29" s="522"/>
      <c r="JX29" s="522"/>
      <c r="JY29" s="522"/>
      <c r="JZ29" s="522"/>
      <c r="KA29" s="522"/>
      <c r="KB29" s="522"/>
      <c r="KC29" s="522"/>
      <c r="KD29" s="522"/>
      <c r="KE29" s="522"/>
      <c r="KF29" s="522"/>
      <c r="KG29" s="522"/>
      <c r="KH29" s="522"/>
      <c r="KI29" s="522"/>
      <c r="KJ29" s="522"/>
      <c r="KK29" s="522"/>
      <c r="KL29" s="522"/>
    </row>
    <row r="30" spans="1:298" s="172" customFormat="1" ht="10.5" customHeight="1" thickBot="1">
      <c r="A30" s="443"/>
      <c r="B30" s="95" t="s">
        <v>35</v>
      </c>
      <c r="C30" s="95" t="s">
        <v>36</v>
      </c>
      <c r="D30" s="95" t="s">
        <v>37</v>
      </c>
      <c r="E30" s="95" t="s">
        <v>38</v>
      </c>
      <c r="F30" s="95" t="s">
        <v>39</v>
      </c>
      <c r="G30" s="95" t="s">
        <v>40</v>
      </c>
      <c r="H30" s="95" t="s">
        <v>41</v>
      </c>
      <c r="I30" s="95" t="s">
        <v>38</v>
      </c>
      <c r="J30" s="95" t="s">
        <v>39</v>
      </c>
      <c r="K30" s="95" t="s">
        <v>40</v>
      </c>
      <c r="L30" s="95" t="s">
        <v>42</v>
      </c>
      <c r="M30" s="95" t="s">
        <v>38</v>
      </c>
      <c r="N30" s="95" t="s">
        <v>39</v>
      </c>
      <c r="O30" s="95" t="s">
        <v>40</v>
      </c>
      <c r="P30" s="95" t="s">
        <v>43</v>
      </c>
      <c r="Q30" s="95" t="s">
        <v>38</v>
      </c>
      <c r="R30" s="95" t="s">
        <v>39</v>
      </c>
      <c r="S30" s="95" t="s">
        <v>40</v>
      </c>
      <c r="T30" s="95" t="s">
        <v>44</v>
      </c>
      <c r="U30" s="95" t="s">
        <v>38</v>
      </c>
      <c r="V30" s="95" t="s">
        <v>39</v>
      </c>
      <c r="W30" s="95" t="s">
        <v>40</v>
      </c>
      <c r="X30" s="95" t="s">
        <v>45</v>
      </c>
      <c r="Y30" s="95" t="s">
        <v>38</v>
      </c>
      <c r="Z30" s="95" t="s">
        <v>39</v>
      </c>
      <c r="AA30" s="95" t="s">
        <v>40</v>
      </c>
      <c r="AB30" s="95"/>
      <c r="AC30" s="95"/>
      <c r="AD30" s="95"/>
      <c r="AE30" s="95"/>
      <c r="AF30" s="677" t="str">
        <f>"Stroke required if longer than "&amp;AG33&amp;"mm ?"</f>
        <v>Stroke required if longer than 15mm ?</v>
      </c>
      <c r="AG30" s="678"/>
      <c r="AH30" s="677"/>
      <c r="AI30" s="677"/>
      <c r="AJ30" s="677"/>
      <c r="AK30" s="679"/>
      <c r="AL30" s="680"/>
      <c r="AM30" s="681"/>
      <c r="AN30" s="682"/>
      <c r="AO30" s="683"/>
      <c r="AP30" s="684"/>
      <c r="AQ30" s="1031" t="s">
        <v>32</v>
      </c>
      <c r="AR30" s="730">
        <v>0</v>
      </c>
      <c r="AS30" s="731"/>
      <c r="AT30" s="846" t="s">
        <v>24</v>
      </c>
      <c r="AU30" s="846"/>
      <c r="AV30" s="95">
        <f>IF($AY$30,C32,0)</f>
        <v>0</v>
      </c>
      <c r="AW30" s="95">
        <f>IF($AY$32,'Data Sheet'!AA51,0)</f>
        <v>0</v>
      </c>
      <c r="AX30" s="95">
        <f>C31</f>
        <v>0</v>
      </c>
      <c r="AY30" s="386" t="b">
        <v>1</v>
      </c>
      <c r="AZ30" s="668"/>
      <c r="BA30" s="669"/>
      <c r="BB30" s="708" t="str">
        <f t="shared" ca="1" si="168"/>
        <v>S160D</v>
      </c>
      <c r="BC30" s="709"/>
      <c r="BD30" s="710"/>
      <c r="BE30" s="342">
        <f t="shared" ca="1" si="160"/>
        <v>5.1490360585308955E-3</v>
      </c>
      <c r="BF30" s="78">
        <f t="shared" ca="1" si="161"/>
        <v>2.0851468336199491E-3</v>
      </c>
      <c r="BG30" s="490">
        <f t="shared" ca="1" si="162"/>
        <v>7.8707909866601207E-3</v>
      </c>
      <c r="BH30" s="78">
        <f t="shared" ca="1" si="163"/>
        <v>3.9217782078860113E-3</v>
      </c>
      <c r="BI30" s="617">
        <f t="shared" ca="1" si="164"/>
        <v>2.3936634569616754E-3</v>
      </c>
      <c r="BJ30" s="528">
        <f t="shared" ca="1" si="165"/>
        <v>1.641025641025641</v>
      </c>
      <c r="BK30" s="529">
        <f t="shared" ca="1" si="166"/>
        <v>3.2820512820512819</v>
      </c>
      <c r="BL30" s="530">
        <f t="shared" ca="1" si="167"/>
        <v>2.4871794871794872</v>
      </c>
      <c r="BM30" s="46">
        <f t="shared" si="177"/>
        <v>0</v>
      </c>
      <c r="BN30" s="46">
        <f>BO30*VLOOKUP(BQ30,$Q$62:$R$67,2,FALSE)*1000</f>
        <v>5000</v>
      </c>
      <c r="BO30" s="717">
        <v>5</v>
      </c>
      <c r="BP30" s="717"/>
      <c r="BQ30" s="721" t="s">
        <v>160</v>
      </c>
      <c r="BR30" s="722"/>
      <c r="BS30" s="70" t="s">
        <v>100</v>
      </c>
      <c r="BT30" s="70"/>
      <c r="BU30" s="70"/>
      <c r="BV30" s="46"/>
      <c r="BW30" s="168">
        <f>IF(T3V+T6V=0,4.5*(MDvt/MTvt^2),IF(T3V=0,3*(Vel/MTvt),IF(T6V=0,2*(Vel^2/MDvt),IF(T4V=0,3*(Vel/(TTvt*3)),IF(T5V=0,3*(Vel/(ATvt*3)),IF(T8V=0,Vel^2/(TDvt),"ACC"))))))</f>
        <v>1280</v>
      </c>
      <c r="BX30" s="79">
        <f>IF(T2V=0,Avt,IF(T5V+T7V=0,(2*ADvt)/ATvt^2,IF(T5V=0,Vel/ATvt,IF(T7V=0,Vel^2/(2*ADvt),IF(T3V+T4V=0,Vel/((MTvt-TTvt)/2),IF(T6V+T8V=0,Vel^2/(MDvt-TDvt),IF(T3V+T6V=0,Vel^2/((Vel*MTvt)-MDvt),NestAcc)))))))</f>
        <v>5000</v>
      </c>
      <c r="BY30" s="736" t="s">
        <v>18</v>
      </c>
      <c r="BZ30" s="736"/>
      <c r="CA30" s="736"/>
      <c r="CB30" s="736"/>
      <c r="CC30" s="736"/>
      <c r="CD30" s="766">
        <f>BX32</f>
        <v>0.54500000000000004</v>
      </c>
      <c r="CE30" s="766"/>
      <c r="CF30" s="83" t="s">
        <v>120</v>
      </c>
      <c r="CG30" s="84"/>
      <c r="CH30" s="165">
        <f>CD29</f>
        <v>0.08</v>
      </c>
      <c r="CI30" s="175">
        <f>CI29</f>
        <v>400</v>
      </c>
      <c r="CJ30" s="173"/>
      <c r="CL30" s="121"/>
      <c r="CM30" s="121"/>
      <c r="CN30" s="443"/>
      <c r="CO30" s="689" t="str">
        <f ca="1"/>
        <v>S200D</v>
      </c>
      <c r="CP30" s="632" t="str">
        <f>IF(OR(CQ30=0,CR30="",CS30&gt;120),"",IF(HLOOKUP(CQ30,Spec_Sheet!$F$3:$ED$19,17,FALSE)&lt;$AC$46,"",CQ30))</f>
        <v>S160T</v>
      </c>
      <c r="CQ30" s="660" t="str">
        <f>IF(Spec_Sheet!A29="","",Spec_Sheet!A29)</f>
        <v>S160T</v>
      </c>
      <c r="CR30" s="660">
        <f>IF(CQ30="",0,HLOOKUP(CQ30,Spec_Sheet!$F$3:$ED$19,2,FALSE))</f>
        <v>15</v>
      </c>
      <c r="CS30" s="660">
        <f t="shared" si="169"/>
        <v>1.2104253728043245E-3</v>
      </c>
      <c r="CT30" s="621">
        <f t="shared" si="173"/>
        <v>2.7234570888097294E-3</v>
      </c>
      <c r="CU30" s="621">
        <f t="shared" si="3"/>
        <v>1.2104253728043245E-3</v>
      </c>
      <c r="CV30" s="621">
        <f t="shared" si="174"/>
        <v>4.0314730072964003E-3</v>
      </c>
      <c r="CW30" s="621">
        <f t="shared" si="175"/>
        <v>2.1250530451295923E-3</v>
      </c>
      <c r="CX30" s="621">
        <f t="shared" si="157"/>
        <v>1.2104253728043245E-3</v>
      </c>
      <c r="CY30" s="619">
        <f>HLOOKUP(CQ30,Spec_Sheet!$F$3:$ED$19,13,FALSE)</f>
        <v>0.2</v>
      </c>
      <c r="CZ30" s="619">
        <f>VLOOKUP(HH30,'Shaft Weight'!$A$6:$CD$102,HJ30,TRUE)</f>
        <v>0.33</v>
      </c>
      <c r="DA30" s="619">
        <f>VLOOKUP(HI30,'Shaft Weight'!$A$6:$CD$102,HJ30,0)</f>
        <v>0.4</v>
      </c>
      <c r="DB30" s="619">
        <f>HLOOKUP(CQ30,Spec_Sheet!$F$3:$ED$19,6,FALSE)</f>
        <v>24.15</v>
      </c>
      <c r="DC30" s="439">
        <f t="shared" si="6"/>
        <v>0.76860000000000017</v>
      </c>
      <c r="DD30" s="440">
        <f t="shared" si="7"/>
        <v>0.58860000000000012</v>
      </c>
      <c r="DE30" s="439">
        <f t="shared" si="8"/>
        <v>-0.40860000000000007</v>
      </c>
      <c r="DF30" s="439">
        <f t="shared" si="9"/>
        <v>0</v>
      </c>
      <c r="DG30" s="439">
        <f t="shared" si="10"/>
        <v>0</v>
      </c>
      <c r="DH30" s="439">
        <f t="shared" si="11"/>
        <v>0</v>
      </c>
      <c r="DI30" s="439">
        <f t="shared" si="12"/>
        <v>0</v>
      </c>
      <c r="DJ30" s="439">
        <f t="shared" si="13"/>
        <v>0</v>
      </c>
      <c r="DK30" s="439">
        <f t="shared" si="14"/>
        <v>0</v>
      </c>
      <c r="DL30" s="439">
        <f t="shared" si="15"/>
        <v>0</v>
      </c>
      <c r="DM30" s="439">
        <f t="shared" si="16"/>
        <v>0</v>
      </c>
      <c r="DN30" s="439">
        <f t="shared" si="17"/>
        <v>0</v>
      </c>
      <c r="DO30" s="439">
        <f t="shared" si="18"/>
        <v>0</v>
      </c>
      <c r="DP30" s="439">
        <f t="shared" si="19"/>
        <v>0</v>
      </c>
      <c r="DQ30" s="442">
        <f t="shared" si="20"/>
        <v>0</v>
      </c>
      <c r="DR30" s="442">
        <f t="shared" si="21"/>
        <v>0</v>
      </c>
      <c r="DS30" s="439">
        <f t="shared" si="22"/>
        <v>0</v>
      </c>
      <c r="DT30" s="439">
        <f t="shared" si="23"/>
        <v>0</v>
      </c>
      <c r="DU30" s="661">
        <f t="shared" si="24"/>
        <v>0</v>
      </c>
      <c r="DV30" s="661">
        <f t="shared" si="25"/>
        <v>0</v>
      </c>
      <c r="DW30" s="439">
        <f t="shared" si="26"/>
        <v>0</v>
      </c>
      <c r="DX30" s="439">
        <f t="shared" si="27"/>
        <v>0</v>
      </c>
      <c r="DY30" s="439">
        <f t="shared" si="28"/>
        <v>0</v>
      </c>
      <c r="DZ30" s="439">
        <f t="shared" si="29"/>
        <v>0</v>
      </c>
      <c r="EA30" s="631" t="s">
        <v>92</v>
      </c>
      <c r="EB30" s="631">
        <f t="shared" si="151"/>
        <v>7.8280128064674839E-2</v>
      </c>
      <c r="EC30" s="618"/>
      <c r="ED30" s="439">
        <f t="shared" si="31"/>
        <v>1.3578600000000003</v>
      </c>
      <c r="EE30" s="440">
        <f t="shared" si="32"/>
        <v>1.0398600000000002</v>
      </c>
      <c r="EF30" s="439">
        <f t="shared" si="33"/>
        <v>-0.72186000000000017</v>
      </c>
      <c r="EG30" s="441">
        <f t="shared" si="34"/>
        <v>0</v>
      </c>
      <c r="EH30" s="439">
        <f t="shared" si="35"/>
        <v>0</v>
      </c>
      <c r="EI30" s="439">
        <f t="shared" si="36"/>
        <v>0</v>
      </c>
      <c r="EJ30" s="439">
        <f t="shared" si="37"/>
        <v>0</v>
      </c>
      <c r="EK30" s="439">
        <f t="shared" si="38"/>
        <v>0</v>
      </c>
      <c r="EL30" s="439">
        <f t="shared" si="39"/>
        <v>0</v>
      </c>
      <c r="EM30" s="439">
        <f t="shared" si="40"/>
        <v>0</v>
      </c>
      <c r="EN30" s="439">
        <f t="shared" si="41"/>
        <v>0</v>
      </c>
      <c r="EO30" s="439">
        <f t="shared" si="42"/>
        <v>0</v>
      </c>
      <c r="EP30" s="439">
        <f t="shared" si="43"/>
        <v>0</v>
      </c>
      <c r="EQ30" s="439">
        <f t="shared" si="44"/>
        <v>0</v>
      </c>
      <c r="ER30" s="442">
        <f t="shared" si="45"/>
        <v>0</v>
      </c>
      <c r="ES30" s="442">
        <f t="shared" si="46"/>
        <v>0</v>
      </c>
      <c r="ET30" s="439">
        <f t="shared" si="47"/>
        <v>0</v>
      </c>
      <c r="EU30" s="439">
        <f t="shared" si="48"/>
        <v>0</v>
      </c>
      <c r="EV30" s="661">
        <f t="shared" si="49"/>
        <v>0</v>
      </c>
      <c r="EW30" s="661">
        <f t="shared" si="50"/>
        <v>0</v>
      </c>
      <c r="EX30" s="439">
        <f t="shared" si="51"/>
        <v>0</v>
      </c>
      <c r="EY30" s="439">
        <f t="shared" si="52"/>
        <v>0</v>
      </c>
      <c r="EZ30" s="439">
        <f t="shared" si="53"/>
        <v>0</v>
      </c>
      <c r="FA30" s="439">
        <f t="shared" si="54"/>
        <v>0</v>
      </c>
      <c r="FB30" s="631" t="s">
        <v>92</v>
      </c>
      <c r="FC30" s="631">
        <f t="shared" si="152"/>
        <v>0.13829489291425889</v>
      </c>
      <c r="FD30" s="618"/>
      <c r="FE30" s="439">
        <f t="shared" si="56"/>
        <v>0.93513000000000002</v>
      </c>
      <c r="FF30" s="440">
        <f t="shared" si="57"/>
        <v>0.71613000000000004</v>
      </c>
      <c r="FG30" s="439">
        <f t="shared" si="58"/>
        <v>-0.49713000000000007</v>
      </c>
      <c r="FH30" s="441">
        <f t="shared" si="59"/>
        <v>0</v>
      </c>
      <c r="FI30" s="439">
        <f t="shared" si="60"/>
        <v>0</v>
      </c>
      <c r="FJ30" s="439">
        <f t="shared" si="61"/>
        <v>0</v>
      </c>
      <c r="FK30" s="439">
        <f t="shared" si="62"/>
        <v>0</v>
      </c>
      <c r="FL30" s="439">
        <f t="shared" si="63"/>
        <v>0</v>
      </c>
      <c r="FM30" s="439">
        <f t="shared" si="64"/>
        <v>0</v>
      </c>
      <c r="FN30" s="439">
        <f t="shared" si="65"/>
        <v>0</v>
      </c>
      <c r="FO30" s="439">
        <f t="shared" si="66"/>
        <v>0</v>
      </c>
      <c r="FP30" s="439">
        <f t="shared" si="67"/>
        <v>0</v>
      </c>
      <c r="FQ30" s="439">
        <f t="shared" si="68"/>
        <v>0</v>
      </c>
      <c r="FR30" s="439">
        <f t="shared" si="69"/>
        <v>0</v>
      </c>
      <c r="FS30" s="442">
        <f t="shared" si="70"/>
        <v>0</v>
      </c>
      <c r="FT30" s="442">
        <f t="shared" si="71"/>
        <v>0</v>
      </c>
      <c r="FU30" s="439">
        <f t="shared" si="72"/>
        <v>0</v>
      </c>
      <c r="FV30" s="439">
        <f t="shared" si="73"/>
        <v>0</v>
      </c>
      <c r="FW30" s="661">
        <f t="shared" si="74"/>
        <v>0</v>
      </c>
      <c r="FX30" s="661">
        <f t="shared" si="75"/>
        <v>0</v>
      </c>
      <c r="FY30" s="439">
        <f t="shared" si="76"/>
        <v>0</v>
      </c>
      <c r="FZ30" s="439">
        <f t="shared" si="77"/>
        <v>0</v>
      </c>
      <c r="GA30" s="439">
        <f t="shared" si="78"/>
        <v>0</v>
      </c>
      <c r="GB30" s="439">
        <f t="shared" si="79"/>
        <v>0</v>
      </c>
      <c r="GC30" s="631" t="s">
        <v>92</v>
      </c>
      <c r="GD30" s="631">
        <f t="shared" si="153"/>
        <v>9.5240822478687703E-2</v>
      </c>
      <c r="GE30" s="618"/>
      <c r="GF30" s="439">
        <f t="shared" si="81"/>
        <v>1.0248000000000002</v>
      </c>
      <c r="GG30" s="440">
        <f t="shared" si="82"/>
        <v>0.78480000000000016</v>
      </c>
      <c r="GH30" s="439">
        <f t="shared" si="83"/>
        <v>-0.54480000000000017</v>
      </c>
      <c r="GI30" s="439">
        <f t="shared" si="84"/>
        <v>0</v>
      </c>
      <c r="GJ30" s="439">
        <f t="shared" si="85"/>
        <v>0</v>
      </c>
      <c r="GK30" s="439">
        <f t="shared" si="86"/>
        <v>0</v>
      </c>
      <c r="GL30" s="439">
        <f t="shared" si="87"/>
        <v>0</v>
      </c>
      <c r="GM30" s="439">
        <f t="shared" si="88"/>
        <v>0</v>
      </c>
      <c r="GN30" s="439">
        <f t="shared" si="89"/>
        <v>0</v>
      </c>
      <c r="GO30" s="439">
        <f t="shared" si="90"/>
        <v>0</v>
      </c>
      <c r="GP30" s="439">
        <f t="shared" si="91"/>
        <v>0</v>
      </c>
      <c r="GQ30" s="439">
        <f t="shared" si="92"/>
        <v>0</v>
      </c>
      <c r="GR30" s="439">
        <f t="shared" si="93"/>
        <v>0</v>
      </c>
      <c r="GS30" s="439">
        <f t="shared" si="94"/>
        <v>0</v>
      </c>
      <c r="GT30" s="442">
        <f t="shared" si="95"/>
        <v>0</v>
      </c>
      <c r="GU30" s="442">
        <f t="shared" si="96"/>
        <v>0</v>
      </c>
      <c r="GV30" s="439">
        <f t="shared" si="97"/>
        <v>0</v>
      </c>
      <c r="GW30" s="439">
        <f t="shared" si="98"/>
        <v>0</v>
      </c>
      <c r="GX30" s="661">
        <f t="shared" si="99"/>
        <v>0</v>
      </c>
      <c r="GY30" s="661">
        <f t="shared" si="100"/>
        <v>0</v>
      </c>
      <c r="GZ30" s="439">
        <f t="shared" si="101"/>
        <v>0</v>
      </c>
      <c r="HA30" s="439">
        <f t="shared" si="102"/>
        <v>0</v>
      </c>
      <c r="HB30" s="439">
        <f t="shared" si="103"/>
        <v>0</v>
      </c>
      <c r="HC30" s="439">
        <f t="shared" si="104"/>
        <v>0</v>
      </c>
      <c r="HD30" s="631" t="s">
        <v>92</v>
      </c>
      <c r="HE30" s="631">
        <f t="shared" si="176"/>
        <v>0.10437350408623311</v>
      </c>
      <c r="HF30" s="618"/>
      <c r="HG30" s="618">
        <f>HLOOKUP(CQ30,Spec_Sheet!$F$3:$DV$19,11,FALSE)+HLOOKUP(CQ30,Spec_Sheet!$F$3:$DV$21,19,FALSE)</f>
        <v>120</v>
      </c>
      <c r="HH30" s="618">
        <f t="shared" si="154"/>
        <v>100</v>
      </c>
      <c r="HI30" s="634">
        <f t="shared" si="155"/>
        <v>150</v>
      </c>
      <c r="HJ30" s="634">
        <f>HLOOKUP(IF(LEN(CQ30)&gt;6,LEFT(CQ30,5),CQ30),'LSM List Pricing'!$B$1:$BW$2,2,0)</f>
        <v>43</v>
      </c>
      <c r="HK30" s="634">
        <f>HLOOKUP(HJ30,'LSM List Pricing'!$B$2:$BW$3,2)</f>
        <v>430</v>
      </c>
      <c r="HL30" s="634">
        <f>VLOOKUP(HH30,'LSM List Pricing'!$A$7:$BW$87,HJ30,0)</f>
        <v>260</v>
      </c>
      <c r="HM30" s="627">
        <f>VLOOKUP(HI30,'LSM List Pricing'!$A$7:$BW$87,HJ30,1)</f>
        <v>280</v>
      </c>
      <c r="HN30" s="628">
        <f t="shared" si="106"/>
        <v>1.7692307692307692</v>
      </c>
      <c r="HO30" s="628">
        <f t="shared" si="107"/>
        <v>3.5384615384615383</v>
      </c>
      <c r="HP30" s="628">
        <f t="shared" si="108"/>
        <v>2.9230769230769229</v>
      </c>
      <c r="HQ30" s="618"/>
      <c r="HR30" s="618">
        <v>1.35E-2</v>
      </c>
      <c r="HS30" s="618">
        <f t="shared" si="109"/>
        <v>90.642857142857139</v>
      </c>
      <c r="HT30" s="618">
        <f t="shared" si="110"/>
        <v>1</v>
      </c>
      <c r="HU30" s="618">
        <f t="shared" si="170"/>
        <v>0.34349441107962964</v>
      </c>
      <c r="HV30" s="618"/>
      <c r="HW30" s="618">
        <f t="shared" si="111"/>
        <v>35.512237936266928</v>
      </c>
      <c r="HX30" s="618">
        <f t="shared" si="171"/>
        <v>0.34108122874514812</v>
      </c>
      <c r="HY30" s="618">
        <f t="shared" si="172"/>
        <v>1.35E-2</v>
      </c>
      <c r="HZ30" s="618"/>
      <c r="IA30" s="618"/>
      <c r="IB30" s="618">
        <f t="shared" si="113"/>
        <v>25.000350341399081</v>
      </c>
      <c r="IC30" s="618">
        <f t="shared" si="114"/>
        <v>1E-3</v>
      </c>
      <c r="ID30" s="618"/>
      <c r="IE30" s="618">
        <f t="shared" si="115"/>
        <v>0</v>
      </c>
      <c r="IF30" s="618">
        <f t="shared" si="116"/>
        <v>40.704999999999998</v>
      </c>
      <c r="IG30" s="618"/>
      <c r="IH30" s="618">
        <f t="shared" si="117"/>
        <v>0</v>
      </c>
      <c r="II30" s="618">
        <f t="shared" si="118"/>
        <v>40.704999999999998</v>
      </c>
      <c r="IJ30" s="618"/>
      <c r="IK30" s="618">
        <f t="shared" si="119"/>
        <v>0</v>
      </c>
      <c r="IL30" s="618">
        <f t="shared" si="120"/>
        <v>40.704999999999998</v>
      </c>
      <c r="IM30" s="618"/>
      <c r="IN30" s="618">
        <f t="shared" si="121"/>
        <v>0</v>
      </c>
      <c r="IO30" s="618">
        <f t="shared" si="122"/>
        <v>40.704999999999998</v>
      </c>
      <c r="IP30" s="618"/>
      <c r="IQ30" s="618">
        <f t="shared" si="123"/>
        <v>0</v>
      </c>
      <c r="IR30" s="618">
        <f t="shared" si="124"/>
        <v>40.704999999999998</v>
      </c>
      <c r="IS30" s="629"/>
      <c r="IT30" s="660" t="str">
        <f t="shared" si="125"/>
        <v>S160T</v>
      </c>
      <c r="IU30" s="628"/>
      <c r="IV30" s="439">
        <f t="shared" si="126"/>
        <v>1.0248000000000002</v>
      </c>
      <c r="IW30" s="440">
        <f t="shared" si="127"/>
        <v>0.78480000000000016</v>
      </c>
      <c r="IX30" s="439">
        <f t="shared" si="128"/>
        <v>-0.54480000000000017</v>
      </c>
      <c r="IY30" s="439">
        <f t="shared" si="129"/>
        <v>0</v>
      </c>
      <c r="IZ30" s="439">
        <f t="shared" si="130"/>
        <v>0</v>
      </c>
      <c r="JA30" s="439">
        <f t="shared" si="131"/>
        <v>0</v>
      </c>
      <c r="JB30" s="439">
        <f t="shared" si="132"/>
        <v>0</v>
      </c>
      <c r="JC30" s="439">
        <f t="shared" si="133"/>
        <v>0</v>
      </c>
      <c r="JD30" s="439">
        <f t="shared" si="134"/>
        <v>0</v>
      </c>
      <c r="JE30" s="439">
        <f t="shared" si="135"/>
        <v>0</v>
      </c>
      <c r="JF30" s="439">
        <f t="shared" si="136"/>
        <v>0</v>
      </c>
      <c r="JG30" s="439">
        <f t="shared" si="137"/>
        <v>0</v>
      </c>
      <c r="JH30" s="439">
        <f t="shared" si="138"/>
        <v>0</v>
      </c>
      <c r="JI30" s="439">
        <f t="shared" si="139"/>
        <v>0</v>
      </c>
      <c r="JJ30" s="442">
        <f t="shared" si="140"/>
        <v>0</v>
      </c>
      <c r="JK30" s="442">
        <f t="shared" si="141"/>
        <v>0</v>
      </c>
      <c r="JL30" s="439">
        <f t="shared" si="142"/>
        <v>0</v>
      </c>
      <c r="JM30" s="439">
        <f t="shared" si="143"/>
        <v>0</v>
      </c>
      <c r="JN30" s="661">
        <f t="shared" si="144"/>
        <v>0</v>
      </c>
      <c r="JO30" s="661">
        <f t="shared" si="145"/>
        <v>0</v>
      </c>
      <c r="JP30" s="439">
        <f t="shared" si="146"/>
        <v>0</v>
      </c>
      <c r="JQ30" s="439">
        <f t="shared" si="147"/>
        <v>0</v>
      </c>
      <c r="JR30" s="439">
        <f t="shared" si="148"/>
        <v>0</v>
      </c>
      <c r="JS30" s="439">
        <f t="shared" si="149"/>
        <v>0</v>
      </c>
      <c r="JT30" s="631" t="s">
        <v>92</v>
      </c>
      <c r="JU30" s="631">
        <f t="shared" si="158"/>
        <v>0.10437350408623311</v>
      </c>
      <c r="JV30" s="650"/>
    </row>
    <row r="31" spans="1:298" ht="9.9499999999999993" customHeight="1">
      <c r="A31" s="155"/>
      <c r="B31" s="95" t="s">
        <v>46</v>
      </c>
      <c r="C31" s="95">
        <v>0</v>
      </c>
      <c r="D31" s="95">
        <f>U6</f>
        <v>0.08</v>
      </c>
      <c r="E31" s="95">
        <f>U7+D31</f>
        <v>0.625</v>
      </c>
      <c r="F31" s="95">
        <f>E31+U8</f>
        <v>0.70499999999999996</v>
      </c>
      <c r="G31" s="95">
        <f>F31+IF(U9&gt;40,40,U9)</f>
        <v>40.704999999999998</v>
      </c>
      <c r="H31" s="95">
        <f>IF($P$13,G31+U14,G31)</f>
        <v>40.704999999999998</v>
      </c>
      <c r="I31" s="95">
        <f>IF($P$13,H31+U15,H31)</f>
        <v>40.704999999999998</v>
      </c>
      <c r="J31" s="95">
        <f>IF($P$13,I31+U16,I31)</f>
        <v>40.704999999999998</v>
      </c>
      <c r="K31" s="95">
        <f>IF($P$13,J31+IF(U17&gt;40,40,U17),J31)</f>
        <v>40.704999999999998</v>
      </c>
      <c r="L31" s="95">
        <f>IF($P$21,K31+U22,K31)</f>
        <v>40.704999999999998</v>
      </c>
      <c r="M31" s="95">
        <f>IF($P$21,L31+U23,L31)</f>
        <v>40.704999999999998</v>
      </c>
      <c r="N31" s="95">
        <f>IF($P$21,M31+U24,M31)</f>
        <v>40.704999999999998</v>
      </c>
      <c r="O31" s="95">
        <f>IF($P$21,N31+IF(U25&gt;40,40,U25),N31)</f>
        <v>40.704999999999998</v>
      </c>
      <c r="P31" s="95">
        <f>IF($AG$5,O31+AL6,O31)</f>
        <v>40.704999999999998</v>
      </c>
      <c r="Q31" s="95">
        <f>IF($AG$5,P31+AL7,P31)</f>
        <v>40.704999999999998</v>
      </c>
      <c r="R31" s="95">
        <f>IF($AG$5,Q31+AL8,Q31)</f>
        <v>40.704999999999998</v>
      </c>
      <c r="S31" s="95">
        <f>IF($AG$5,R31+IF(AL9&gt;40,40,AL9),R31)</f>
        <v>40.704999999999998</v>
      </c>
      <c r="T31" s="95">
        <f>IF($AG$13,S31+AL14,S31)</f>
        <v>40.704999999999998</v>
      </c>
      <c r="U31" s="95">
        <f>IF($AG$13,T31+AL15,T31)</f>
        <v>40.704999999999998</v>
      </c>
      <c r="V31" s="95">
        <f>IF($AG$13,U31+AL16,U31)</f>
        <v>40.704999999999998</v>
      </c>
      <c r="W31" s="95">
        <f>IF($AG$13,V31+IF(AL17&gt;40,40,AL17),V31)</f>
        <v>40.704999999999998</v>
      </c>
      <c r="X31" s="95">
        <f>IF($AG$21,W31+AL22,W31)</f>
        <v>40.704999999999998</v>
      </c>
      <c r="Y31" s="95">
        <f>IF($AG$21,X31+AL23,X31)</f>
        <v>40.704999999999998</v>
      </c>
      <c r="Z31" s="95">
        <f>IF($AG$21,Y31+AL24,Y31)</f>
        <v>40.704999999999998</v>
      </c>
      <c r="AA31" s="95">
        <f>IF($AG$21,Z31+IF(AL25&gt;40,40,AL25),Z31)</f>
        <v>40.704999999999998</v>
      </c>
      <c r="AB31" s="95"/>
      <c r="AC31" s="95"/>
      <c r="AD31" s="95"/>
      <c r="AE31" s="95"/>
      <c r="AF31" s="95"/>
      <c r="AG31" s="95"/>
      <c r="AH31" s="95"/>
      <c r="AI31" s="95"/>
      <c r="AJ31" s="95" t="s">
        <v>111</v>
      </c>
      <c r="AK31" s="95"/>
      <c r="AL31" s="95"/>
      <c r="AM31" s="95"/>
      <c r="AN31" s="95"/>
      <c r="AO31" s="95"/>
      <c r="AP31" s="95"/>
      <c r="AQ31" s="95">
        <f>HLOOKUP(AJ49,Spec_Sheet!$F$3:$ED$19,17,FALSE)</f>
        <v>230</v>
      </c>
      <c r="AR31" s="95">
        <f>AR$30*VLOOKUP(AT30,K62:L65,2,FALSE)</f>
        <v>0</v>
      </c>
      <c r="AS31" s="95"/>
      <c r="AT31" s="95"/>
      <c r="AU31" s="95"/>
      <c r="AV31" s="95">
        <f>IF($AY$30,D83,0)*$D$82</f>
        <v>0</v>
      </c>
      <c r="AW31" s="95">
        <f>IF($AY$32,'Data Sheet'!AA52,0)</f>
        <v>0.44145000000000006</v>
      </c>
      <c r="AX31" s="95">
        <f>AX30</f>
        <v>0</v>
      </c>
      <c r="AY31" s="386" t="b">
        <v>1</v>
      </c>
      <c r="AZ31" s="668"/>
      <c r="BA31" s="668"/>
      <c r="BB31" s="708" t="str">
        <f t="shared" ca="1" si="168"/>
        <v>L160T</v>
      </c>
      <c r="BC31" s="709"/>
      <c r="BD31" s="710"/>
      <c r="BE31" s="342">
        <f t="shared" ca="1" si="160"/>
        <v>3.6259044081786364E-3</v>
      </c>
      <c r="BF31" s="78">
        <f t="shared" ca="1" si="161"/>
        <v>1.6115130703016156E-3</v>
      </c>
      <c r="BG31" s="490">
        <f t="shared" ca="1" si="162"/>
        <v>5.3673457197733164E-3</v>
      </c>
      <c r="BH31" s="78">
        <f t="shared" ca="1" si="163"/>
        <v>2.8292126340482737E-3</v>
      </c>
      <c r="BI31" s="617">
        <f t="shared" ca="1" si="164"/>
        <v>1.6115130703016156E-3</v>
      </c>
      <c r="BJ31" s="528">
        <f t="shared" ca="1" si="165"/>
        <v>1.7692307692307692</v>
      </c>
      <c r="BK31" s="529">
        <f t="shared" ca="1" si="166"/>
        <v>3.5384615384615383</v>
      </c>
      <c r="BL31" s="530">
        <f t="shared" ca="1" si="167"/>
        <v>2.9487179487179489</v>
      </c>
      <c r="BM31" s="46">
        <f t="shared" si="177"/>
        <v>1</v>
      </c>
      <c r="BN31" s="46">
        <f>BO31*VLOOKUP(BQ31,$N$62:$O$64,2,FALSE)</f>
        <v>0</v>
      </c>
      <c r="BO31" s="717"/>
      <c r="BP31" s="717"/>
      <c r="BQ31" s="721" t="s">
        <v>120</v>
      </c>
      <c r="BR31" s="722"/>
      <c r="BS31" s="70" t="s">
        <v>105</v>
      </c>
      <c r="BT31" s="70"/>
      <c r="BU31" s="70"/>
      <c r="BV31" s="96"/>
      <c r="BW31" s="138"/>
      <c r="BX31" s="79">
        <f>IF(T3V=0,MTvt,IF(T5V+T4V=0,TTvt+(2*ATvt),Vel*3/ACC))</f>
        <v>0.24</v>
      </c>
      <c r="BY31" s="736" t="s">
        <v>306</v>
      </c>
      <c r="BZ31" s="736"/>
      <c r="CA31" s="736"/>
      <c r="CB31" s="736"/>
      <c r="CC31" s="736"/>
      <c r="CD31" s="766">
        <f>BX33</f>
        <v>0.08</v>
      </c>
      <c r="CE31" s="766"/>
      <c r="CF31" s="83" t="s">
        <v>120</v>
      </c>
      <c r="CG31" s="84"/>
      <c r="CH31" s="166">
        <f>CH30+CD30</f>
        <v>0.625</v>
      </c>
      <c r="CI31" s="175">
        <v>0</v>
      </c>
      <c r="CJ31" s="173"/>
      <c r="CK31" s="152"/>
      <c r="CL31" s="155"/>
      <c r="CM31" s="155"/>
      <c r="CN31" s="155"/>
      <c r="CO31" s="689" t="str">
        <f ca="1"/>
        <v>S200D 1S</v>
      </c>
      <c r="CP31" s="632" t="str">
        <f>IF(OR(CQ31=0,CR31="",CS31&gt;120),"",IF(HLOOKUP(CQ31,Spec_Sheet!$F$3:$ED$19,17,FALSE)&lt;$AC$46,"",CQ31))</f>
        <v>L250SS</v>
      </c>
      <c r="CQ31" s="660" t="str">
        <f>IF(Spec_Sheet!A30="","",Spec_Sheet!A30)</f>
        <v>L250SS</v>
      </c>
      <c r="CR31" s="660">
        <f>IF(CQ31="",0,HLOOKUP(CQ31,Spec_Sheet!$F$3:$ED$19,2,FALSE))</f>
        <v>17.164013464319662</v>
      </c>
      <c r="CS31" s="660">
        <f t="shared" si="169"/>
        <v>2.2932107027325422E-3</v>
      </c>
      <c r="CT31" s="621">
        <f t="shared" si="173"/>
        <v>3.9803296878620532E-3</v>
      </c>
      <c r="CU31" s="621">
        <f t="shared" si="3"/>
        <v>2.2932107027325422E-3</v>
      </c>
      <c r="CV31" s="621">
        <f t="shared" si="174"/>
        <v>6.4919414099024611E-3</v>
      </c>
      <c r="CW31" s="621">
        <f t="shared" si="175"/>
        <v>4.2732643883622813E-3</v>
      </c>
      <c r="CX31" s="621">
        <f t="shared" si="157"/>
        <v>1.6229853524756153E-3</v>
      </c>
      <c r="CY31" s="619">
        <f>HLOOKUP(CQ31,Spec_Sheet!$F$3:$ED$19,13,FALSE)</f>
        <v>0.43</v>
      </c>
      <c r="CZ31" s="619">
        <f>VLOOKUP(HH31,'Shaft Weight'!$A$6:$CD$102,HJ31,TRUE)</f>
        <v>0.66</v>
      </c>
      <c r="DA31" s="619">
        <f>VLOOKUP(HI31,'Shaft Weight'!$A$6:$CD$102,HJ31,0)</f>
        <v>0.66</v>
      </c>
      <c r="DB31" s="619">
        <f>HLOOKUP(CQ31,Spec_Sheet!$F$3:$ED$19,6,FALSE)</f>
        <v>13.459246166858239</v>
      </c>
      <c r="DC31" s="439">
        <f t="shared" si="6"/>
        <v>1.0632300000000001</v>
      </c>
      <c r="DD31" s="440">
        <f t="shared" si="7"/>
        <v>0.81423000000000012</v>
      </c>
      <c r="DE31" s="439">
        <f t="shared" si="8"/>
        <v>-0.56523000000000012</v>
      </c>
      <c r="DF31" s="439">
        <f t="shared" si="9"/>
        <v>0</v>
      </c>
      <c r="DG31" s="439">
        <f t="shared" si="10"/>
        <v>0</v>
      </c>
      <c r="DH31" s="439">
        <f t="shared" si="11"/>
        <v>0</v>
      </c>
      <c r="DI31" s="439">
        <f t="shared" si="12"/>
        <v>0</v>
      </c>
      <c r="DJ31" s="439">
        <f t="shared" si="13"/>
        <v>0</v>
      </c>
      <c r="DK31" s="439">
        <f t="shared" si="14"/>
        <v>0</v>
      </c>
      <c r="DL31" s="439">
        <f t="shared" si="15"/>
        <v>0</v>
      </c>
      <c r="DM31" s="439">
        <f t="shared" si="16"/>
        <v>0</v>
      </c>
      <c r="DN31" s="439">
        <f t="shared" si="17"/>
        <v>0</v>
      </c>
      <c r="DO31" s="439">
        <f t="shared" si="18"/>
        <v>0</v>
      </c>
      <c r="DP31" s="439">
        <f t="shared" si="19"/>
        <v>0</v>
      </c>
      <c r="DQ31" s="442">
        <f t="shared" si="20"/>
        <v>0</v>
      </c>
      <c r="DR31" s="442">
        <f t="shared" si="21"/>
        <v>0</v>
      </c>
      <c r="DS31" s="439">
        <f t="shared" si="22"/>
        <v>0</v>
      </c>
      <c r="DT31" s="439">
        <f t="shared" si="23"/>
        <v>0</v>
      </c>
      <c r="DU31" s="661">
        <f t="shared" si="24"/>
        <v>0</v>
      </c>
      <c r="DV31" s="661">
        <f t="shared" si="25"/>
        <v>0</v>
      </c>
      <c r="DW31" s="439">
        <f t="shared" si="26"/>
        <v>0</v>
      </c>
      <c r="DX31" s="439">
        <f t="shared" si="27"/>
        <v>0</v>
      </c>
      <c r="DY31" s="439">
        <f t="shared" si="28"/>
        <v>0</v>
      </c>
      <c r="DZ31" s="439">
        <f t="shared" si="29"/>
        <v>0</v>
      </c>
      <c r="EA31" s="631" t="s">
        <v>92</v>
      </c>
      <c r="EB31" s="631">
        <f t="shared" si="151"/>
        <v>0.10828751048946685</v>
      </c>
      <c r="ED31" s="439">
        <f t="shared" si="31"/>
        <v>2.2033200000000006</v>
      </c>
      <c r="EE31" s="440">
        <f t="shared" si="32"/>
        <v>1.6873200000000006</v>
      </c>
      <c r="EF31" s="439">
        <f t="shared" si="33"/>
        <v>-1.1713200000000006</v>
      </c>
      <c r="EG31" s="441">
        <f t="shared" si="34"/>
        <v>0</v>
      </c>
      <c r="EH31" s="439">
        <f t="shared" si="35"/>
        <v>0</v>
      </c>
      <c r="EI31" s="439">
        <f t="shared" si="36"/>
        <v>0</v>
      </c>
      <c r="EJ31" s="439">
        <f t="shared" si="37"/>
        <v>0</v>
      </c>
      <c r="EK31" s="439">
        <f t="shared" si="38"/>
        <v>0</v>
      </c>
      <c r="EL31" s="439">
        <f t="shared" si="39"/>
        <v>0</v>
      </c>
      <c r="EM31" s="439">
        <f t="shared" si="40"/>
        <v>0</v>
      </c>
      <c r="EN31" s="439">
        <f t="shared" si="41"/>
        <v>0</v>
      </c>
      <c r="EO31" s="439">
        <f t="shared" si="42"/>
        <v>0</v>
      </c>
      <c r="EP31" s="439">
        <f t="shared" si="43"/>
        <v>0</v>
      </c>
      <c r="EQ31" s="439">
        <f t="shared" si="44"/>
        <v>0</v>
      </c>
      <c r="ER31" s="442">
        <f t="shared" si="45"/>
        <v>0</v>
      </c>
      <c r="ES31" s="442">
        <f t="shared" si="46"/>
        <v>0</v>
      </c>
      <c r="ET31" s="439">
        <f t="shared" si="47"/>
        <v>0</v>
      </c>
      <c r="EU31" s="439">
        <f t="shared" si="48"/>
        <v>0</v>
      </c>
      <c r="EV31" s="661">
        <f t="shared" si="49"/>
        <v>0</v>
      </c>
      <c r="EW31" s="661">
        <f t="shared" si="50"/>
        <v>0</v>
      </c>
      <c r="EX31" s="439">
        <f t="shared" si="51"/>
        <v>0</v>
      </c>
      <c r="EY31" s="439">
        <f t="shared" si="52"/>
        <v>0</v>
      </c>
      <c r="EZ31" s="439">
        <f t="shared" si="53"/>
        <v>0</v>
      </c>
      <c r="FA31" s="439">
        <f t="shared" si="54"/>
        <v>0</v>
      </c>
      <c r="FB31" s="631" t="s">
        <v>92</v>
      </c>
      <c r="FC31" s="631">
        <f t="shared" si="152"/>
        <v>0.22440303378540125</v>
      </c>
      <c r="FE31" s="439">
        <f t="shared" si="56"/>
        <v>1.3578600000000003</v>
      </c>
      <c r="FF31" s="440">
        <f t="shared" si="57"/>
        <v>1.0398600000000002</v>
      </c>
      <c r="FG31" s="439">
        <f t="shared" si="58"/>
        <v>-0.72186000000000017</v>
      </c>
      <c r="FH31" s="441">
        <f t="shared" si="59"/>
        <v>0</v>
      </c>
      <c r="FI31" s="439">
        <f t="shared" si="60"/>
        <v>0</v>
      </c>
      <c r="FJ31" s="439">
        <f t="shared" si="61"/>
        <v>0</v>
      </c>
      <c r="FK31" s="439">
        <f t="shared" si="62"/>
        <v>0</v>
      </c>
      <c r="FL31" s="439">
        <f t="shared" si="63"/>
        <v>0</v>
      </c>
      <c r="FM31" s="439">
        <f t="shared" si="64"/>
        <v>0</v>
      </c>
      <c r="FN31" s="439">
        <f t="shared" si="65"/>
        <v>0</v>
      </c>
      <c r="FO31" s="439">
        <f t="shared" si="66"/>
        <v>0</v>
      </c>
      <c r="FP31" s="439">
        <f t="shared" si="67"/>
        <v>0</v>
      </c>
      <c r="FQ31" s="439">
        <f t="shared" si="68"/>
        <v>0</v>
      </c>
      <c r="FR31" s="439">
        <f t="shared" si="69"/>
        <v>0</v>
      </c>
      <c r="FS31" s="442">
        <f t="shared" si="70"/>
        <v>0</v>
      </c>
      <c r="FT31" s="442">
        <f t="shared" si="71"/>
        <v>0</v>
      </c>
      <c r="FU31" s="439">
        <f t="shared" si="72"/>
        <v>0</v>
      </c>
      <c r="FV31" s="439">
        <f t="shared" si="73"/>
        <v>0</v>
      </c>
      <c r="FW31" s="661">
        <f t="shared" si="74"/>
        <v>0</v>
      </c>
      <c r="FX31" s="661">
        <f t="shared" si="75"/>
        <v>0</v>
      </c>
      <c r="FY31" s="439">
        <f t="shared" si="76"/>
        <v>0</v>
      </c>
      <c r="FZ31" s="439">
        <f t="shared" si="77"/>
        <v>0</v>
      </c>
      <c r="GA31" s="439">
        <f t="shared" si="78"/>
        <v>0</v>
      </c>
      <c r="GB31" s="439">
        <f t="shared" si="79"/>
        <v>0</v>
      </c>
      <c r="GC31" s="631" t="s">
        <v>92</v>
      </c>
      <c r="GD31" s="631">
        <f t="shared" si="153"/>
        <v>0.13829489291425889</v>
      </c>
      <c r="GF31" s="439">
        <f t="shared" si="81"/>
        <v>1.3578600000000003</v>
      </c>
      <c r="GG31" s="440">
        <f t="shared" si="82"/>
        <v>1.0398600000000002</v>
      </c>
      <c r="GH31" s="439">
        <f t="shared" si="83"/>
        <v>-0.72186000000000017</v>
      </c>
      <c r="GI31" s="439">
        <f t="shared" si="84"/>
        <v>0</v>
      </c>
      <c r="GJ31" s="439">
        <f t="shared" si="85"/>
        <v>0</v>
      </c>
      <c r="GK31" s="439">
        <f t="shared" si="86"/>
        <v>0</v>
      </c>
      <c r="GL31" s="439">
        <f t="shared" si="87"/>
        <v>0</v>
      </c>
      <c r="GM31" s="439">
        <f t="shared" si="88"/>
        <v>0</v>
      </c>
      <c r="GN31" s="439">
        <f t="shared" si="89"/>
        <v>0</v>
      </c>
      <c r="GO31" s="439">
        <f t="shared" si="90"/>
        <v>0</v>
      </c>
      <c r="GP31" s="439">
        <f t="shared" si="91"/>
        <v>0</v>
      </c>
      <c r="GQ31" s="439">
        <f t="shared" si="92"/>
        <v>0</v>
      </c>
      <c r="GR31" s="439">
        <f t="shared" si="93"/>
        <v>0</v>
      </c>
      <c r="GS31" s="439">
        <f t="shared" si="94"/>
        <v>0</v>
      </c>
      <c r="GT31" s="442">
        <f t="shared" si="95"/>
        <v>0</v>
      </c>
      <c r="GU31" s="442">
        <f t="shared" si="96"/>
        <v>0</v>
      </c>
      <c r="GV31" s="439">
        <f t="shared" si="97"/>
        <v>0</v>
      </c>
      <c r="GW31" s="439">
        <f t="shared" si="98"/>
        <v>0</v>
      </c>
      <c r="GX31" s="661">
        <f t="shared" si="99"/>
        <v>0</v>
      </c>
      <c r="GY31" s="661">
        <f t="shared" si="100"/>
        <v>0</v>
      </c>
      <c r="GZ31" s="439">
        <f t="shared" si="101"/>
        <v>0</v>
      </c>
      <c r="HA31" s="439">
        <f t="shared" si="102"/>
        <v>0</v>
      </c>
      <c r="HB31" s="439">
        <f t="shared" si="103"/>
        <v>0</v>
      </c>
      <c r="HC31" s="439">
        <f t="shared" si="104"/>
        <v>0</v>
      </c>
      <c r="HD31" s="631" t="s">
        <v>92</v>
      </c>
      <c r="HE31" s="631">
        <f t="shared" si="176"/>
        <v>0.13829489291425889</v>
      </c>
      <c r="HG31" s="618">
        <f>HLOOKUP(CQ31,Spec_Sheet!$F$3:$DV$19,11,FALSE)+HLOOKUP(CQ31,Spec_Sheet!$F$3:$DV$21,19,FALSE)</f>
        <v>60</v>
      </c>
      <c r="HH31" s="618">
        <f t="shared" si="154"/>
        <v>100</v>
      </c>
      <c r="HI31" s="634">
        <f t="shared" si="155"/>
        <v>100</v>
      </c>
      <c r="HJ31" s="634">
        <f>HLOOKUP(IF(LEN(CQ31)&gt;6,LEFT(CQ31,5),CQ31),'LSM List Pricing'!$B$1:$BW$2,2,0)</f>
        <v>10</v>
      </c>
      <c r="HK31" s="634">
        <f>HLOOKUP(HJ31,'LSM List Pricing'!$B$2:$BW$3,2)</f>
        <v>460</v>
      </c>
      <c r="HL31" s="634">
        <f>VLOOKUP(HH31,'LSM List Pricing'!$A$7:$BW$87,HJ31,0)</f>
        <v>370</v>
      </c>
      <c r="HM31" s="627">
        <f>VLOOKUP(HI31,'LSM List Pricing'!$A$7:$BW$87,HJ31,1)</f>
        <v>370</v>
      </c>
      <c r="HN31" s="628">
        <f t="shared" si="106"/>
        <v>2.1282051282051282</v>
      </c>
      <c r="HO31" s="628">
        <f t="shared" si="107"/>
        <v>4.2564102564102564</v>
      </c>
      <c r="HP31" s="628">
        <f t="shared" si="108"/>
        <v>3.3076923076923075</v>
      </c>
      <c r="HR31" s="618">
        <v>1.4E-2</v>
      </c>
      <c r="HS31" s="618">
        <f t="shared" si="109"/>
        <v>94</v>
      </c>
      <c r="HT31" s="618">
        <f t="shared" si="110"/>
        <v>1</v>
      </c>
      <c r="HU31" s="618">
        <f t="shared" si="170"/>
        <v>0.35623345505325443</v>
      </c>
      <c r="HW31" s="618">
        <f t="shared" si="111"/>
        <v>35.494148493824376</v>
      </c>
      <c r="HX31" s="618">
        <f t="shared" si="171"/>
        <v>0.35364127092484804</v>
      </c>
      <c r="HY31" s="618">
        <f t="shared" si="172"/>
        <v>1.4E-2</v>
      </c>
      <c r="IB31" s="618">
        <f t="shared" si="113"/>
        <v>25.000350341399081</v>
      </c>
      <c r="IC31" s="618">
        <f t="shared" si="114"/>
        <v>1E-3</v>
      </c>
      <c r="IE31" s="618">
        <f t="shared" si="115"/>
        <v>0</v>
      </c>
      <c r="IF31" s="618">
        <f t="shared" si="116"/>
        <v>40.704999999999998</v>
      </c>
      <c r="IH31" s="618">
        <f t="shared" si="117"/>
        <v>0</v>
      </c>
      <c r="II31" s="618">
        <f t="shared" si="118"/>
        <v>40.704999999999998</v>
      </c>
      <c r="IK31" s="618">
        <f t="shared" si="119"/>
        <v>0</v>
      </c>
      <c r="IL31" s="618">
        <f t="shared" si="120"/>
        <v>40.704999999999998</v>
      </c>
      <c r="IN31" s="618">
        <f t="shared" si="121"/>
        <v>0</v>
      </c>
      <c r="IO31" s="618">
        <f t="shared" si="122"/>
        <v>40.704999999999998</v>
      </c>
      <c r="IQ31" s="618">
        <f t="shared" si="123"/>
        <v>0</v>
      </c>
      <c r="IR31" s="618">
        <f t="shared" si="124"/>
        <v>40.704999999999998</v>
      </c>
      <c r="IT31" s="660" t="str">
        <f t="shared" si="125"/>
        <v>L250SS</v>
      </c>
      <c r="IU31" s="628"/>
      <c r="IV31" s="439">
        <f t="shared" si="126"/>
        <v>1.6140600000000003</v>
      </c>
      <c r="IW31" s="440">
        <f t="shared" si="127"/>
        <v>1.2360600000000002</v>
      </c>
      <c r="IX31" s="439">
        <f t="shared" si="128"/>
        <v>-0.85806000000000016</v>
      </c>
      <c r="IY31" s="439">
        <f t="shared" si="129"/>
        <v>0</v>
      </c>
      <c r="IZ31" s="439">
        <f t="shared" si="130"/>
        <v>0</v>
      </c>
      <c r="JA31" s="439">
        <f t="shared" si="131"/>
        <v>0</v>
      </c>
      <c r="JB31" s="439">
        <f t="shared" si="132"/>
        <v>0</v>
      </c>
      <c r="JC31" s="439">
        <f t="shared" si="133"/>
        <v>0</v>
      </c>
      <c r="JD31" s="439">
        <f t="shared" si="134"/>
        <v>0</v>
      </c>
      <c r="JE31" s="439">
        <f t="shared" si="135"/>
        <v>0</v>
      </c>
      <c r="JF31" s="439">
        <f t="shared" si="136"/>
        <v>0</v>
      </c>
      <c r="JG31" s="439">
        <f t="shared" si="137"/>
        <v>0</v>
      </c>
      <c r="JH31" s="439">
        <f t="shared" si="138"/>
        <v>0</v>
      </c>
      <c r="JI31" s="439">
        <f t="shared" si="139"/>
        <v>0</v>
      </c>
      <c r="JJ31" s="442">
        <f t="shared" si="140"/>
        <v>0</v>
      </c>
      <c r="JK31" s="442">
        <f t="shared" si="141"/>
        <v>0</v>
      </c>
      <c r="JL31" s="439">
        <f t="shared" si="142"/>
        <v>0</v>
      </c>
      <c r="JM31" s="439">
        <f t="shared" si="143"/>
        <v>0</v>
      </c>
      <c r="JN31" s="661">
        <f t="shared" si="144"/>
        <v>0</v>
      </c>
      <c r="JO31" s="661">
        <f t="shared" si="145"/>
        <v>0</v>
      </c>
      <c r="JP31" s="439">
        <f t="shared" si="146"/>
        <v>0</v>
      </c>
      <c r="JQ31" s="439">
        <f t="shared" si="147"/>
        <v>0</v>
      </c>
      <c r="JR31" s="439">
        <f t="shared" si="148"/>
        <v>0</v>
      </c>
      <c r="JS31" s="439">
        <f t="shared" si="149"/>
        <v>0</v>
      </c>
      <c r="JT31" s="631" t="s">
        <v>92</v>
      </c>
      <c r="JU31" s="631">
        <f t="shared" si="158"/>
        <v>0.16438826893581712</v>
      </c>
      <c r="JW31" s="522"/>
      <c r="JX31" s="522"/>
      <c r="JY31" s="522"/>
      <c r="JZ31" s="522"/>
      <c r="KA31" s="522"/>
      <c r="KB31" s="522"/>
      <c r="KC31" s="522"/>
      <c r="KD31" s="522"/>
      <c r="KE31" s="522"/>
      <c r="KF31" s="522"/>
      <c r="KG31" s="522"/>
      <c r="KH31" s="522"/>
      <c r="KI31" s="522"/>
      <c r="KJ31" s="522"/>
      <c r="KK31" s="522"/>
      <c r="KL31" s="522"/>
    </row>
    <row r="32" spans="1:298" ht="9.9499999999999993" customHeight="1">
      <c r="A32" s="155"/>
      <c r="B32" s="95" t="s">
        <v>47</v>
      </c>
      <c r="C32" s="95">
        <v>0</v>
      </c>
      <c r="D32" s="95">
        <f>((W11/(U6+U7))+(W11/(U8+U7)))/2</f>
        <v>24</v>
      </c>
      <c r="E32" s="95">
        <f>D32</f>
        <v>24</v>
      </c>
      <c r="F32" s="95">
        <v>0</v>
      </c>
      <c r="G32" s="95">
        <v>0</v>
      </c>
      <c r="H32" s="95" t="str">
        <f>IF(P13,((W19/(U14+U15))+(W19/(U15+U16)))/2,"")</f>
        <v/>
      </c>
      <c r="I32" s="95" t="str">
        <f>H32</f>
        <v/>
      </c>
      <c r="J32" s="95" t="str">
        <f>IF(P13,0,"")</f>
        <v/>
      </c>
      <c r="K32" s="95" t="str">
        <f>IF(P13,0,"")</f>
        <v/>
      </c>
      <c r="L32" s="95" t="str">
        <f>IF(P21,((W27/(U23+U22))+(W27/(U23+U24)))/2,"")</f>
        <v/>
      </c>
      <c r="M32" s="95" t="str">
        <f>L32</f>
        <v/>
      </c>
      <c r="N32" s="95" t="str">
        <f>IF(P21,0,"")</f>
        <v/>
      </c>
      <c r="O32" s="95" t="str">
        <f>IF(P21,0,"")</f>
        <v/>
      </c>
      <c r="P32" s="95" t="str">
        <f>IF(AG5,((AN11/(AL6+AL7))+(AN11/(AL8+AL7)))/2,"")</f>
        <v/>
      </c>
      <c r="Q32" s="95" t="str">
        <f>P32</f>
        <v/>
      </c>
      <c r="R32" s="95" t="str">
        <f>IF(AG5,0,"")</f>
        <v/>
      </c>
      <c r="S32" s="95" t="str">
        <f>IF(AG5,0,"")</f>
        <v/>
      </c>
      <c r="T32" s="95" t="str">
        <f>IF(AG13,((AN19/(AL14+AL15))+(AN19/(AL15+AL16)))/2,"")</f>
        <v/>
      </c>
      <c r="U32" s="95" t="str">
        <f>T32</f>
        <v/>
      </c>
      <c r="V32" s="95" t="str">
        <f>IF(AG13,0,"")</f>
        <v/>
      </c>
      <c r="W32" s="95" t="str">
        <f>IF(AG13,0,"")</f>
        <v/>
      </c>
      <c r="X32" s="95" t="str">
        <f>IF(AG21,((AN27/(AL23+AL22))+(AN27/(AL23+AL24)))/2,"")</f>
        <v/>
      </c>
      <c r="Y32" s="95" t="str">
        <f>X32</f>
        <v/>
      </c>
      <c r="Z32" s="95" t="str">
        <f>IF(AG21,0,"")</f>
        <v/>
      </c>
      <c r="AA32" s="95" t="str">
        <f>IF(AG21,0,"")</f>
        <v/>
      </c>
      <c r="AB32" s="95" t="s">
        <v>268</v>
      </c>
      <c r="AC32" s="95">
        <f>SQRT((((IF(D32&gt;0,D32,D32*-1))^2*$D$38)+((IF(E32&gt;0,E32,E32*-1))^2*$E$38)+((IF(F32&gt;0,F32,F32*-1))^2*$F$38)+((IF(G32&gt;0,G32,G32*-1))^2*$G$38)+IF(P13,((IF(H32&gt;0,H32,H32*-1))^2*$H$38)+((IF(I32&gt;0,I32,I32*-1))^2*$I$38)+((IF(J32&gt;0,J32,J32*-1))^2*$J$38)+((IF(K32&gt;0,K32,K32*-1))^2*$K$38),0)+IF(P21,((IF(L32&gt;0,L32,L32*-1))^2*$L$38)+((IF(M32&gt;0,M32,M32*-1))^2*$M$38)+((IF(N32&gt;0,N32,N32*-1))^2*$N$38)+((IF(O32&gt;0,O32,O32*-1))^2*$O$38),0)+IF(AG5,((IF(P32&gt;0,P32,P32*-1))^2*$P$38)+((IF(Q32&gt;0,Q32,Q32*-1))^2*$Q$38)+((IF(R32&gt;0,R32,R32*-1))^2*$R$38)+((IF(S32&gt;0,S32,S32*-1))^2*$S$38),0)+IF(AG13,((IF(T32&gt;0,T32,T32*-1))^2*$T$38)+((IF(U32&gt;0,U32,U32*-1))^2*$U$38)+((IF(V32&gt;0,V32,V32*-1))^2*$V$38)+((IF(W32&gt;0,W32,W32*-1))^2*$W$38),0)+IF(AG21,((IF(X32&gt;0,X32,X32*-1))^2*$X$38)+((IF(Y32&gt;0,Y32,Y32*-1))^2*$Y$38)+((IF(Z32&gt;0,Z32,Z32*-1))^2*$Z$38)+((IF(AA32&gt;0,AA32,AA32*-1))^2*$AA$38),0))/$AA$31)</f>
        <v>2.9739069157746716</v>
      </c>
      <c r="AD32" s="95" t="s">
        <v>138</v>
      </c>
      <c r="AE32" s="95">
        <f>MAX(C32:AA32)/1000</f>
        <v>2.4E-2</v>
      </c>
      <c r="AF32" s="95"/>
      <c r="AG32" s="95"/>
      <c r="AH32" s="95"/>
      <c r="AI32" s="95">
        <f>AQ32/AQ34</f>
        <v>0.84507042253521136</v>
      </c>
      <c r="AJ32" s="95" t="s">
        <v>112</v>
      </c>
      <c r="AK32" s="95"/>
      <c r="AL32" s="95"/>
      <c r="AM32" s="95"/>
      <c r="AN32" s="95"/>
      <c r="AO32" s="95"/>
      <c r="AP32" s="95"/>
      <c r="AQ32" s="95">
        <f>IF(AQ33&lt;AR32,AQ33,AR32)</f>
        <v>1.8</v>
      </c>
      <c r="AR32" s="95">
        <f>IF(B17=3,HLOOKUP(AJ49,Spec_Sheet!$F$3:$ED$19,2,FALSE),HLOOKUP(AJ49,Spec_Sheet!$F$3:$ED$19,2,FALSE)*IF(B17=4,4,2))</f>
        <v>1.8</v>
      </c>
      <c r="AS32" s="95"/>
      <c r="AT32" s="95"/>
      <c r="AU32" s="95"/>
      <c r="AV32" s="95">
        <f t="shared" ref="AV32:AV39" si="178">IF($AY$30,D84,0)*$D$82</f>
        <v>0.6399999999999999</v>
      </c>
      <c r="AW32" s="95">
        <f>IF($AY$32,'Data Sheet'!AA53,0)</f>
        <v>0.51345000000000007</v>
      </c>
      <c r="AX32" s="95">
        <f>AX31+$D$76</f>
        <v>8.0000000000000002E-3</v>
      </c>
      <c r="AY32" s="386" t="b">
        <v>1</v>
      </c>
      <c r="AZ32" s="668"/>
      <c r="BA32" s="668"/>
      <c r="BB32" s="708" t="str">
        <f t="shared" ca="1" si="168"/>
        <v>S160T 1S</v>
      </c>
      <c r="BC32" s="709"/>
      <c r="BD32" s="710"/>
      <c r="BE32" s="342">
        <f t="shared" ca="1" si="160"/>
        <v>2.7332880700084148E-3</v>
      </c>
      <c r="BF32" s="78">
        <f t="shared" ca="1" si="161"/>
        <v>1.2147946977815174E-3</v>
      </c>
      <c r="BG32" s="490">
        <f t="shared" ca="1" si="162"/>
        <v>4.0460255902985661E-3</v>
      </c>
      <c r="BH32" s="78">
        <f t="shared" ca="1" si="163"/>
        <v>2.1327239412926775E-3</v>
      </c>
      <c r="BI32" s="617">
        <f t="shared" ca="1" si="164"/>
        <v>1.2147946977815174E-3</v>
      </c>
      <c r="BJ32" s="528">
        <f t="shared" ca="1" si="165"/>
        <v>1.7692307692307692</v>
      </c>
      <c r="BK32" s="529">
        <f t="shared" ca="1" si="166"/>
        <v>3.5384615384615383</v>
      </c>
      <c r="BL32" s="530">
        <f t="shared" ca="1" si="167"/>
        <v>2.9230769230769229</v>
      </c>
      <c r="BM32" s="46">
        <f t="shared" si="177"/>
        <v>1</v>
      </c>
      <c r="BN32" s="46">
        <f>BO32*VLOOKUP(BQ32,$N$62:$O$64,2,FALSE)</f>
        <v>0</v>
      </c>
      <c r="BO32" s="717"/>
      <c r="BP32" s="717"/>
      <c r="BQ32" s="721" t="s">
        <v>156</v>
      </c>
      <c r="BR32" s="722"/>
      <c r="BS32" s="70" t="s">
        <v>106</v>
      </c>
      <c r="BT32" s="70"/>
      <c r="BU32" s="70"/>
      <c r="BV32" s="46"/>
      <c r="BW32" s="138"/>
      <c r="BX32" s="81">
        <f>IF(T4V=0,TTvt,IF(T8V=0,TDvt/Vel,IF(T5V+T6V=0,(MDvt-(Vel*ATvt))/Vel,IF(T5V=0,MoveT-(2*ATvt),IF(T6V=0,(MDvt-(ACCT*Vel))/Vel,MoveT-(ACCT*2))))))</f>
        <v>0.54500000000000004</v>
      </c>
      <c r="BY32" s="736" t="s">
        <v>23</v>
      </c>
      <c r="BZ32" s="736"/>
      <c r="CA32" s="736"/>
      <c r="CB32" s="736"/>
      <c r="CC32" s="736"/>
      <c r="CD32" s="766">
        <f>BX34</f>
        <v>250</v>
      </c>
      <c r="CE32" s="766"/>
      <c r="CF32" s="797" t="s">
        <v>24</v>
      </c>
      <c r="CG32" s="797"/>
      <c r="CH32" s="165">
        <f>CH31+CD31</f>
        <v>0.70499999999999996</v>
      </c>
      <c r="CI32" s="100"/>
      <c r="CJ32" s="152"/>
      <c r="CK32" s="152"/>
      <c r="CL32" s="155"/>
      <c r="CM32" s="155"/>
      <c r="CN32" s="155"/>
      <c r="CO32" s="689" t="str">
        <f ca="1"/>
        <v>L320SS</v>
      </c>
      <c r="CP32" s="632" t="str">
        <f>IF(OR(CQ32=0,CR32="",CS32&gt;120),"",IF(HLOOKUP(CQ32,Spec_Sheet!$F$3:$ED$19,17,FALSE)&lt;$AC$46,"",CQ32))</f>
        <v>L160Q</v>
      </c>
      <c r="CQ32" s="660" t="str">
        <f>IF(Spec_Sheet!A31="","",Spec_Sheet!A31)</f>
        <v>L160Q</v>
      </c>
      <c r="CR32" s="660">
        <f>IF(CQ32="",0,HLOOKUP(CQ32,Spec_Sheet!$F$3:$ED$19,2,FALSE))</f>
        <v>18</v>
      </c>
      <c r="CS32" s="660">
        <f t="shared" si="169"/>
        <v>1.3133955868102475E-3</v>
      </c>
      <c r="CT32" s="621">
        <f t="shared" si="173"/>
        <v>2.574255350148086E-3</v>
      </c>
      <c r="CU32" s="621">
        <f t="shared" si="3"/>
        <v>1.3133955868102475E-3</v>
      </c>
      <c r="CV32" s="621">
        <f t="shared" si="174"/>
        <v>3.1148489736791832E-3</v>
      </c>
      <c r="CW32" s="621">
        <f t="shared" si="175"/>
        <v>1.7068889046185992E-3</v>
      </c>
      <c r="CX32" s="621">
        <f t="shared" si="157"/>
        <v>1.0876228854375658E-3</v>
      </c>
      <c r="CY32" s="619">
        <f>HLOOKUP(CQ32,Spec_Sheet!$F$3:$ED$19,13,FALSE)</f>
        <v>0.3</v>
      </c>
      <c r="CZ32" s="619">
        <f>VLOOKUP(HH32,'Shaft Weight'!$A$6:$CD$102,HJ32,TRUE)</f>
        <v>0.37</v>
      </c>
      <c r="DA32" s="619">
        <f>VLOOKUP(HI32,'Shaft Weight'!$A$6:$CD$102,HJ32,0)</f>
        <v>0.51</v>
      </c>
      <c r="DB32" s="619">
        <f>HLOOKUP(CQ32,Spec_Sheet!$F$3:$ED$19,6,FALSE)</f>
        <v>32</v>
      </c>
      <c r="DC32" s="439">
        <f t="shared" si="6"/>
        <v>0.89670000000000005</v>
      </c>
      <c r="DD32" s="440">
        <f t="shared" si="7"/>
        <v>0.68670000000000009</v>
      </c>
      <c r="DE32" s="439">
        <f t="shared" si="8"/>
        <v>-0.47670000000000012</v>
      </c>
      <c r="DF32" s="439">
        <f t="shared" si="9"/>
        <v>0</v>
      </c>
      <c r="DG32" s="439">
        <f t="shared" si="10"/>
        <v>0</v>
      </c>
      <c r="DH32" s="439">
        <f t="shared" si="11"/>
        <v>0</v>
      </c>
      <c r="DI32" s="439">
        <f t="shared" si="12"/>
        <v>0</v>
      </c>
      <c r="DJ32" s="439">
        <f t="shared" si="13"/>
        <v>0</v>
      </c>
      <c r="DK32" s="439">
        <f t="shared" si="14"/>
        <v>0</v>
      </c>
      <c r="DL32" s="439">
        <f t="shared" si="15"/>
        <v>0</v>
      </c>
      <c r="DM32" s="439">
        <f t="shared" si="16"/>
        <v>0</v>
      </c>
      <c r="DN32" s="439">
        <f t="shared" si="17"/>
        <v>0</v>
      </c>
      <c r="DO32" s="439">
        <f t="shared" si="18"/>
        <v>0</v>
      </c>
      <c r="DP32" s="439">
        <f t="shared" si="19"/>
        <v>0</v>
      </c>
      <c r="DQ32" s="442">
        <f t="shared" si="20"/>
        <v>0</v>
      </c>
      <c r="DR32" s="442">
        <f t="shared" si="21"/>
        <v>0</v>
      </c>
      <c r="DS32" s="439">
        <f t="shared" si="22"/>
        <v>0</v>
      </c>
      <c r="DT32" s="439">
        <f t="shared" si="23"/>
        <v>0</v>
      </c>
      <c r="DU32" s="661">
        <f t="shared" si="24"/>
        <v>0</v>
      </c>
      <c r="DV32" s="661">
        <f t="shared" si="25"/>
        <v>0</v>
      </c>
      <c r="DW32" s="439">
        <f t="shared" si="26"/>
        <v>0</v>
      </c>
      <c r="DX32" s="439">
        <f t="shared" si="27"/>
        <v>0</v>
      </c>
      <c r="DY32" s="439">
        <f t="shared" si="28"/>
        <v>0</v>
      </c>
      <c r="DZ32" s="439">
        <f t="shared" si="29"/>
        <v>0</v>
      </c>
      <c r="EA32" s="631" t="s">
        <v>92</v>
      </c>
      <c r="EB32" s="631">
        <f t="shared" si="151"/>
        <v>9.1326816075453968E-2</v>
      </c>
      <c r="ED32" s="439">
        <f t="shared" si="31"/>
        <v>1.4603400000000004</v>
      </c>
      <c r="EE32" s="440">
        <f t="shared" si="32"/>
        <v>1.1183400000000003</v>
      </c>
      <c r="EF32" s="439">
        <f t="shared" si="33"/>
        <v>-0.77634000000000025</v>
      </c>
      <c r="EG32" s="441">
        <f t="shared" si="34"/>
        <v>0</v>
      </c>
      <c r="EH32" s="439">
        <f t="shared" si="35"/>
        <v>0</v>
      </c>
      <c r="EI32" s="439">
        <f t="shared" si="36"/>
        <v>0</v>
      </c>
      <c r="EJ32" s="439">
        <f t="shared" si="37"/>
        <v>0</v>
      </c>
      <c r="EK32" s="439">
        <f t="shared" si="38"/>
        <v>0</v>
      </c>
      <c r="EL32" s="439">
        <f t="shared" si="39"/>
        <v>0</v>
      </c>
      <c r="EM32" s="439">
        <f t="shared" si="40"/>
        <v>0</v>
      </c>
      <c r="EN32" s="439">
        <f t="shared" si="41"/>
        <v>0</v>
      </c>
      <c r="EO32" s="439">
        <f t="shared" si="42"/>
        <v>0</v>
      </c>
      <c r="EP32" s="439">
        <f t="shared" si="43"/>
        <v>0</v>
      </c>
      <c r="EQ32" s="439">
        <f t="shared" si="44"/>
        <v>0</v>
      </c>
      <c r="ER32" s="442">
        <f t="shared" si="45"/>
        <v>0</v>
      </c>
      <c r="ES32" s="442">
        <f t="shared" si="46"/>
        <v>0</v>
      </c>
      <c r="ET32" s="439">
        <f t="shared" si="47"/>
        <v>0</v>
      </c>
      <c r="EU32" s="439">
        <f t="shared" si="48"/>
        <v>0</v>
      </c>
      <c r="EV32" s="661">
        <f t="shared" si="49"/>
        <v>0</v>
      </c>
      <c r="EW32" s="661">
        <f t="shared" si="50"/>
        <v>0</v>
      </c>
      <c r="EX32" s="439">
        <f t="shared" si="51"/>
        <v>0</v>
      </c>
      <c r="EY32" s="439">
        <f t="shared" si="52"/>
        <v>0</v>
      </c>
      <c r="EZ32" s="439">
        <f t="shared" si="53"/>
        <v>0</v>
      </c>
      <c r="FA32" s="439">
        <f t="shared" si="54"/>
        <v>0</v>
      </c>
      <c r="FB32" s="631" t="s">
        <v>92</v>
      </c>
      <c r="FC32" s="631">
        <f t="shared" si="152"/>
        <v>0.14873224332288221</v>
      </c>
      <c r="FE32" s="439">
        <f t="shared" si="56"/>
        <v>0.98637000000000008</v>
      </c>
      <c r="FF32" s="440">
        <f t="shared" si="57"/>
        <v>0.7553700000000001</v>
      </c>
      <c r="FG32" s="439">
        <f t="shared" si="58"/>
        <v>-0.52437000000000011</v>
      </c>
      <c r="FH32" s="441">
        <f t="shared" si="59"/>
        <v>0</v>
      </c>
      <c r="FI32" s="439">
        <f t="shared" si="60"/>
        <v>0</v>
      </c>
      <c r="FJ32" s="439">
        <f t="shared" si="61"/>
        <v>0</v>
      </c>
      <c r="FK32" s="439">
        <f t="shared" si="62"/>
        <v>0</v>
      </c>
      <c r="FL32" s="439">
        <f t="shared" si="63"/>
        <v>0</v>
      </c>
      <c r="FM32" s="439">
        <f t="shared" si="64"/>
        <v>0</v>
      </c>
      <c r="FN32" s="439">
        <f t="shared" si="65"/>
        <v>0</v>
      </c>
      <c r="FO32" s="439">
        <f t="shared" si="66"/>
        <v>0</v>
      </c>
      <c r="FP32" s="439">
        <f t="shared" si="67"/>
        <v>0</v>
      </c>
      <c r="FQ32" s="439">
        <f t="shared" si="68"/>
        <v>0</v>
      </c>
      <c r="FR32" s="439">
        <f t="shared" si="69"/>
        <v>0</v>
      </c>
      <c r="FS32" s="442">
        <f t="shared" si="70"/>
        <v>0</v>
      </c>
      <c r="FT32" s="442">
        <f t="shared" si="71"/>
        <v>0</v>
      </c>
      <c r="FU32" s="439">
        <f t="shared" si="72"/>
        <v>0</v>
      </c>
      <c r="FV32" s="439">
        <f t="shared" si="73"/>
        <v>0</v>
      </c>
      <c r="FW32" s="661">
        <f t="shared" si="74"/>
        <v>0</v>
      </c>
      <c r="FX32" s="661">
        <f t="shared" si="75"/>
        <v>0</v>
      </c>
      <c r="FY32" s="439">
        <f t="shared" si="76"/>
        <v>0</v>
      </c>
      <c r="FZ32" s="439">
        <f t="shared" si="77"/>
        <v>0</v>
      </c>
      <c r="GA32" s="439">
        <f t="shared" si="78"/>
        <v>0</v>
      </c>
      <c r="GB32" s="439">
        <f t="shared" si="79"/>
        <v>0</v>
      </c>
      <c r="GC32" s="631" t="s">
        <v>92</v>
      </c>
      <c r="GD32" s="631">
        <f t="shared" si="153"/>
        <v>0.10045949768299936</v>
      </c>
      <c r="GF32" s="439">
        <f t="shared" si="81"/>
        <v>1.1657100000000002</v>
      </c>
      <c r="GG32" s="440">
        <f t="shared" si="82"/>
        <v>0.89271000000000011</v>
      </c>
      <c r="GH32" s="439">
        <f t="shared" si="83"/>
        <v>-0.61971000000000009</v>
      </c>
      <c r="GI32" s="439">
        <f t="shared" si="84"/>
        <v>0</v>
      </c>
      <c r="GJ32" s="439">
        <f t="shared" si="85"/>
        <v>0</v>
      </c>
      <c r="GK32" s="439">
        <f t="shared" si="86"/>
        <v>0</v>
      </c>
      <c r="GL32" s="439">
        <f t="shared" si="87"/>
        <v>0</v>
      </c>
      <c r="GM32" s="439">
        <f t="shared" si="88"/>
        <v>0</v>
      </c>
      <c r="GN32" s="439">
        <f t="shared" si="89"/>
        <v>0</v>
      </c>
      <c r="GO32" s="439">
        <f t="shared" si="90"/>
        <v>0</v>
      </c>
      <c r="GP32" s="439">
        <f t="shared" si="91"/>
        <v>0</v>
      </c>
      <c r="GQ32" s="439">
        <f t="shared" si="92"/>
        <v>0</v>
      </c>
      <c r="GR32" s="439">
        <f t="shared" si="93"/>
        <v>0</v>
      </c>
      <c r="GS32" s="439">
        <f t="shared" si="94"/>
        <v>0</v>
      </c>
      <c r="GT32" s="442">
        <f t="shared" si="95"/>
        <v>0</v>
      </c>
      <c r="GU32" s="442">
        <f t="shared" si="96"/>
        <v>0</v>
      </c>
      <c r="GV32" s="439">
        <f t="shared" si="97"/>
        <v>0</v>
      </c>
      <c r="GW32" s="439">
        <f t="shared" si="98"/>
        <v>0</v>
      </c>
      <c r="GX32" s="661">
        <f t="shared" si="99"/>
        <v>0</v>
      </c>
      <c r="GY32" s="661">
        <f t="shared" si="100"/>
        <v>0</v>
      </c>
      <c r="GZ32" s="439">
        <f t="shared" si="101"/>
        <v>0</v>
      </c>
      <c r="HA32" s="439">
        <f t="shared" si="102"/>
        <v>0</v>
      </c>
      <c r="HB32" s="439">
        <f t="shared" si="103"/>
        <v>0</v>
      </c>
      <c r="HC32" s="439">
        <f t="shared" si="104"/>
        <v>0</v>
      </c>
      <c r="HD32" s="631" t="s">
        <v>92</v>
      </c>
      <c r="HE32" s="631">
        <f t="shared" si="176"/>
        <v>0.11872486089809015</v>
      </c>
      <c r="HG32" s="618">
        <f>HLOOKUP(CQ32,Spec_Sheet!$F$3:$DV$19,11,FALSE)+HLOOKUP(CQ32,Spec_Sheet!$F$3:$DV$21,19,FALSE)</f>
        <v>150</v>
      </c>
      <c r="HH32" s="618">
        <f t="shared" si="154"/>
        <v>100</v>
      </c>
      <c r="HI32" s="634">
        <f t="shared" si="155"/>
        <v>200</v>
      </c>
      <c r="HJ32" s="634">
        <f>HLOOKUP(IF(LEN(CQ32)&gt;6,LEFT(CQ32,5),CQ32),'LSM List Pricing'!$B$1:$BW$2,2,0)</f>
        <v>4</v>
      </c>
      <c r="HK32" s="634">
        <f>HLOOKUP(HJ32,'LSM List Pricing'!$B$2:$BW$3,2)</f>
        <v>500</v>
      </c>
      <c r="HL32" s="634">
        <f>VLOOKUP(HH32,'LSM List Pricing'!$A$7:$BW$87,HJ32,0)</f>
        <v>280</v>
      </c>
      <c r="HM32" s="627">
        <f>VLOOKUP(HI32,'LSM List Pricing'!$A$7:$BW$87,HJ32,1)</f>
        <v>330</v>
      </c>
      <c r="HN32" s="628">
        <f t="shared" si="106"/>
        <v>2</v>
      </c>
      <c r="HO32" s="628">
        <f t="shared" si="107"/>
        <v>4</v>
      </c>
      <c r="HP32" s="628">
        <f t="shared" si="108"/>
        <v>3.4102564102564101</v>
      </c>
      <c r="HR32" s="618">
        <v>1.4500000000000001E-2</v>
      </c>
      <c r="HS32" s="618">
        <f t="shared" si="109"/>
        <v>97.357142857142861</v>
      </c>
      <c r="HT32" s="618">
        <f t="shared" si="110"/>
        <v>1</v>
      </c>
      <c r="HU32" s="618">
        <f t="shared" si="170"/>
        <v>0.36897249902687923</v>
      </c>
      <c r="HW32" s="618">
        <f t="shared" si="111"/>
        <v>35.476059051381831</v>
      </c>
      <c r="HX32" s="618">
        <f t="shared" si="171"/>
        <v>0.36619491193224979</v>
      </c>
      <c r="HY32" s="618">
        <f t="shared" si="172"/>
        <v>1.4500000000000001E-2</v>
      </c>
      <c r="IB32" s="618">
        <f t="shared" si="113"/>
        <v>25.000350341399081</v>
      </c>
      <c r="IC32" s="618">
        <f t="shared" si="114"/>
        <v>1E-3</v>
      </c>
      <c r="IE32" s="618">
        <f t="shared" si="115"/>
        <v>0</v>
      </c>
      <c r="IF32" s="618">
        <f t="shared" si="116"/>
        <v>40.704999999999998</v>
      </c>
      <c r="IH32" s="618">
        <f t="shared" si="117"/>
        <v>0</v>
      </c>
      <c r="II32" s="618">
        <f t="shared" si="118"/>
        <v>40.704999999999998</v>
      </c>
      <c r="IK32" s="618">
        <f t="shared" si="119"/>
        <v>0</v>
      </c>
      <c r="IL32" s="618">
        <f t="shared" si="120"/>
        <v>40.704999999999998</v>
      </c>
      <c r="IN32" s="618">
        <f t="shared" si="121"/>
        <v>0</v>
      </c>
      <c r="IO32" s="618">
        <f t="shared" si="122"/>
        <v>40.704999999999998</v>
      </c>
      <c r="IQ32" s="618">
        <f t="shared" si="123"/>
        <v>0</v>
      </c>
      <c r="IR32" s="618">
        <f t="shared" si="124"/>
        <v>40.704999999999998</v>
      </c>
      <c r="IT32" s="660" t="str">
        <f t="shared" si="125"/>
        <v>L160Q</v>
      </c>
      <c r="IU32" s="628"/>
      <c r="IV32" s="439">
        <f t="shared" si="126"/>
        <v>1.2810000000000001</v>
      </c>
      <c r="IW32" s="440">
        <f t="shared" si="127"/>
        <v>0.98100000000000009</v>
      </c>
      <c r="IX32" s="439">
        <f t="shared" si="128"/>
        <v>-0.68100000000000005</v>
      </c>
      <c r="IY32" s="439">
        <f t="shared" si="129"/>
        <v>0</v>
      </c>
      <c r="IZ32" s="439">
        <f t="shared" si="130"/>
        <v>0</v>
      </c>
      <c r="JA32" s="439">
        <f t="shared" si="131"/>
        <v>0</v>
      </c>
      <c r="JB32" s="439">
        <f t="shared" si="132"/>
        <v>0</v>
      </c>
      <c r="JC32" s="439">
        <f t="shared" si="133"/>
        <v>0</v>
      </c>
      <c r="JD32" s="439">
        <f t="shared" si="134"/>
        <v>0</v>
      </c>
      <c r="JE32" s="439">
        <f t="shared" si="135"/>
        <v>0</v>
      </c>
      <c r="JF32" s="439">
        <f t="shared" si="136"/>
        <v>0</v>
      </c>
      <c r="JG32" s="439">
        <f t="shared" si="137"/>
        <v>0</v>
      </c>
      <c r="JH32" s="439">
        <f t="shared" si="138"/>
        <v>0</v>
      </c>
      <c r="JI32" s="439">
        <f t="shared" si="139"/>
        <v>0</v>
      </c>
      <c r="JJ32" s="442">
        <f t="shared" si="140"/>
        <v>0</v>
      </c>
      <c r="JK32" s="442">
        <f t="shared" si="141"/>
        <v>0</v>
      </c>
      <c r="JL32" s="439">
        <f t="shared" si="142"/>
        <v>0</v>
      </c>
      <c r="JM32" s="439">
        <f t="shared" si="143"/>
        <v>0</v>
      </c>
      <c r="JN32" s="661">
        <f t="shared" si="144"/>
        <v>0</v>
      </c>
      <c r="JO32" s="661">
        <f t="shared" si="145"/>
        <v>0</v>
      </c>
      <c r="JP32" s="439">
        <f t="shared" si="146"/>
        <v>0</v>
      </c>
      <c r="JQ32" s="439">
        <f t="shared" si="147"/>
        <v>0</v>
      </c>
      <c r="JR32" s="439">
        <f t="shared" si="148"/>
        <v>0</v>
      </c>
      <c r="JS32" s="439">
        <f t="shared" si="149"/>
        <v>0</v>
      </c>
      <c r="JT32" s="631" t="s">
        <v>92</v>
      </c>
      <c r="JU32" s="631">
        <f t="shared" si="158"/>
        <v>0.13046688010779137</v>
      </c>
      <c r="JW32" s="522"/>
      <c r="JX32" s="522"/>
      <c r="JY32" s="522"/>
      <c r="JZ32" s="522"/>
      <c r="KA32" s="522"/>
      <c r="KB32" s="522"/>
      <c r="KC32" s="522"/>
      <c r="KD32" s="522"/>
      <c r="KE32" s="522"/>
      <c r="KF32" s="522"/>
      <c r="KG32" s="522"/>
      <c r="KH32" s="522"/>
      <c r="KI32" s="522"/>
      <c r="KJ32" s="522"/>
      <c r="KK32" s="522"/>
      <c r="KL32" s="522"/>
    </row>
    <row r="33" spans="1:298" ht="9.9499999999999993" customHeight="1">
      <c r="A33" s="155"/>
      <c r="B33" s="95" t="s">
        <v>427</v>
      </c>
      <c r="C33" s="95">
        <v>0</v>
      </c>
      <c r="D33" s="95"/>
      <c r="E33" s="95"/>
      <c r="F33" s="95"/>
      <c r="G33" s="95">
        <f>W11</f>
        <v>15</v>
      </c>
      <c r="H33" s="95"/>
      <c r="I33" s="95"/>
      <c r="J33" s="95"/>
      <c r="K33" s="95">
        <f>IF(P13,G33+W19,G33)</f>
        <v>15</v>
      </c>
      <c r="L33" s="95"/>
      <c r="M33" s="95"/>
      <c r="N33" s="95"/>
      <c r="O33" s="95">
        <f>IF(P21,K33+W27,K33)</f>
        <v>15</v>
      </c>
      <c r="P33" s="95"/>
      <c r="Q33" s="95"/>
      <c r="R33" s="95"/>
      <c r="S33" s="95">
        <f>IF(AG5,O33+AN11,O33)</f>
        <v>15</v>
      </c>
      <c r="T33" s="95"/>
      <c r="U33" s="95"/>
      <c r="V33" s="95"/>
      <c r="W33" s="95">
        <f>IF(AG13,S33+AN19,S33)</f>
        <v>15</v>
      </c>
      <c r="X33" s="95"/>
      <c r="Y33" s="95"/>
      <c r="Z33" s="95"/>
      <c r="AA33" s="95">
        <f>IF(AG21,W33+AN27,W33)</f>
        <v>15</v>
      </c>
      <c r="AB33" s="95" t="s">
        <v>428</v>
      </c>
      <c r="AC33" s="95">
        <f>MAX(C33:AA33)</f>
        <v>15</v>
      </c>
      <c r="AD33" s="95" t="s">
        <v>429</v>
      </c>
      <c r="AE33" s="95">
        <f>MIN(C33:AA33)</f>
        <v>0</v>
      </c>
      <c r="AF33" s="95" t="s">
        <v>254</v>
      </c>
      <c r="AG33" s="95">
        <f>AC33-AE33</f>
        <v>15</v>
      </c>
      <c r="AH33" s="95"/>
      <c r="AI33" s="95"/>
      <c r="AJ33" s="95" t="s">
        <v>113</v>
      </c>
      <c r="AK33" s="95"/>
      <c r="AL33" s="95"/>
      <c r="AM33" s="95"/>
      <c r="AN33" s="95"/>
      <c r="AO33" s="95"/>
      <c r="AP33" s="95"/>
      <c r="AQ33" s="95">
        <f>IF(I16=Custom!J13,Custom!D11,IF(AJ49=Spec_Sheet!CV3,IF(Spec_Sheet!CV6&lt;IF(AR33&lt;AS33,AR33,AS33),Spec_Sheet!CV6,IF(AR33&lt;AS33,AR33,AS33)),IF(AR33&lt;AS33,AR33,AS33)))</f>
        <v>14.943109512138239</v>
      </c>
      <c r="AR33" s="95">
        <f>SQRT((((O11-O10))/(AQ38*(AQ39+(AQ39*0.00393)*(O11-O10))*0.01)))*AQ34</f>
        <v>14.943109512138239</v>
      </c>
      <c r="AS33" s="95">
        <f>(O13/(AQ39+(AQ39*0.00393))*AQ34)</f>
        <v>16.25102708059454</v>
      </c>
      <c r="AT33" s="95"/>
      <c r="AU33" s="95"/>
      <c r="AV33" s="95">
        <f t="shared" si="178"/>
        <v>2.5599999999999996</v>
      </c>
      <c r="AW33" s="95">
        <f>IF($AY$32,'Data Sheet'!AA54,0)</f>
        <v>0.58545000000000014</v>
      </c>
      <c r="AX33" s="95">
        <f t="shared" ref="AX33:AX40" si="179">AX32+$D$76</f>
        <v>1.6E-2</v>
      </c>
      <c r="AY33" s="386" t="b">
        <v>1</v>
      </c>
      <c r="AZ33" s="668"/>
      <c r="BA33" s="668"/>
      <c r="BB33" s="708" t="str">
        <f t="shared" ca="1" si="168"/>
        <v>S160T</v>
      </c>
      <c r="BC33" s="709"/>
      <c r="BD33" s="710"/>
      <c r="BE33" s="342">
        <f t="shared" ca="1" si="160"/>
        <v>2.7234570888097294E-3</v>
      </c>
      <c r="BF33" s="78">
        <f t="shared" ca="1" si="161"/>
        <v>1.2104253728043245E-3</v>
      </c>
      <c r="BG33" s="490">
        <f t="shared" ca="1" si="162"/>
        <v>4.0314730072964003E-3</v>
      </c>
      <c r="BH33" s="78">
        <f t="shared" ca="1" si="163"/>
        <v>2.1250530451295923E-3</v>
      </c>
      <c r="BI33" s="617">
        <f t="shared" ca="1" si="164"/>
        <v>1.2104253728043245E-3</v>
      </c>
      <c r="BJ33" s="528">
        <f t="shared" ca="1" si="165"/>
        <v>1.7692307692307692</v>
      </c>
      <c r="BK33" s="529">
        <f t="shared" ca="1" si="166"/>
        <v>3.5384615384615383</v>
      </c>
      <c r="BL33" s="530">
        <f t="shared" ca="1" si="167"/>
        <v>2.9230769230769229</v>
      </c>
      <c r="BM33" s="46">
        <f t="shared" si="177"/>
        <v>1</v>
      </c>
      <c r="BN33" s="46">
        <f>BO33*VLOOKUP(BQ33,$N$62:$O$64,2,FALSE)</f>
        <v>0</v>
      </c>
      <c r="BO33" s="717"/>
      <c r="BP33" s="717"/>
      <c r="BQ33" s="721" t="s">
        <v>120</v>
      </c>
      <c r="BR33" s="722"/>
      <c r="BS33" s="70" t="s">
        <v>107</v>
      </c>
      <c r="BT33" s="44"/>
      <c r="BU33" s="44"/>
      <c r="BV33" s="46"/>
      <c r="BW33" s="138"/>
      <c r="BX33" s="79">
        <f>IF(T5V=0,ATvt,IF(T7V=0,2*ADvt/Vel,IF(T7V=0,SQRT(2*ADvt/(ACC)),IF(ACC&lt;&gt;0,Vel/ACC,(MoveT-Trat)/2))))</f>
        <v>0.08</v>
      </c>
      <c r="BY33" s="44"/>
      <c r="BZ33" s="44"/>
      <c r="CA33" s="44"/>
      <c r="CB33" s="44"/>
      <c r="CC33" s="44"/>
      <c r="CD33" s="765"/>
      <c r="CE33" s="765"/>
      <c r="CF33" s="44"/>
      <c r="CG33" s="44"/>
      <c r="CH33" s="164"/>
      <c r="CI33" s="100"/>
      <c r="CJ33" s="152"/>
      <c r="CK33" s="152"/>
      <c r="CL33" s="155"/>
      <c r="CM33" s="155"/>
      <c r="CN33" s="155"/>
      <c r="CO33" s="689" t="str">
        <f ca="1"/>
        <v>S160Q</v>
      </c>
      <c r="CP33" s="632" t="str">
        <f>IF(OR(CQ33=0,CR33="",CS33&gt;120),"",IF(HLOOKUP(CQ33,Spec_Sheet!$F$3:$ED$19,17,FALSE)&lt;$AC$46,"",CQ33))</f>
        <v>S200D</v>
      </c>
      <c r="CQ33" s="660" t="str">
        <f>IF(Spec_Sheet!A32="","",Spec_Sheet!A32)</f>
        <v>S200D</v>
      </c>
      <c r="CR33" s="660">
        <f>IF(CQ33="",0,HLOOKUP(CQ33,Spec_Sheet!$F$3:$ED$19,2,FALSE))</f>
        <v>18</v>
      </c>
      <c r="CS33" s="660">
        <f t="shared" si="169"/>
        <v>1.3133955868102473E-3</v>
      </c>
      <c r="CT33" s="621">
        <f t="shared" si="173"/>
        <v>2.5742553501480851E-3</v>
      </c>
      <c r="CU33" s="621">
        <f t="shared" si="3"/>
        <v>1.3133955868102473E-3</v>
      </c>
      <c r="CV33" s="621">
        <f t="shared" si="174"/>
        <v>3.976436478626705E-3</v>
      </c>
      <c r="CW33" s="621">
        <f t="shared" si="175"/>
        <v>2.3583331156764803E-3</v>
      </c>
      <c r="CX33" s="621">
        <f t="shared" si="157"/>
        <v>1.2613851215725613E-3</v>
      </c>
      <c r="CY33" s="619">
        <f>HLOOKUP(CQ33,Spec_Sheet!$F$3:$ED$19,13,FALSE)</f>
        <v>0.3</v>
      </c>
      <c r="CZ33" s="619">
        <f>VLOOKUP(HH33,'Shaft Weight'!$A$6:$CD$102,HJ33,TRUE)</f>
        <v>0.47</v>
      </c>
      <c r="DA33" s="619">
        <f>VLOOKUP(HI33,'Shaft Weight'!$A$6:$CD$102,HJ33,0)</f>
        <v>0.57999999999999996</v>
      </c>
      <c r="DB33" s="619">
        <f>HLOOKUP(CQ33,Spec_Sheet!$F$3:$ED$19,6,FALSE)</f>
        <v>30.51</v>
      </c>
      <c r="DC33" s="439">
        <f t="shared" si="6"/>
        <v>0.89670000000000005</v>
      </c>
      <c r="DD33" s="440">
        <f t="shared" si="7"/>
        <v>0.68670000000000009</v>
      </c>
      <c r="DE33" s="439">
        <f t="shared" si="8"/>
        <v>-0.47670000000000012</v>
      </c>
      <c r="DF33" s="439">
        <f t="shared" si="9"/>
        <v>0</v>
      </c>
      <c r="DG33" s="439">
        <f t="shared" si="10"/>
        <v>0</v>
      </c>
      <c r="DH33" s="439">
        <f t="shared" si="11"/>
        <v>0</v>
      </c>
      <c r="DI33" s="439">
        <f t="shared" si="12"/>
        <v>0</v>
      </c>
      <c r="DJ33" s="439">
        <f t="shared" si="13"/>
        <v>0</v>
      </c>
      <c r="DK33" s="439">
        <f t="shared" si="14"/>
        <v>0</v>
      </c>
      <c r="DL33" s="439">
        <f t="shared" si="15"/>
        <v>0</v>
      </c>
      <c r="DM33" s="439">
        <f t="shared" si="16"/>
        <v>0</v>
      </c>
      <c r="DN33" s="439">
        <f t="shared" si="17"/>
        <v>0</v>
      </c>
      <c r="DO33" s="439">
        <f t="shared" si="18"/>
        <v>0</v>
      </c>
      <c r="DP33" s="439">
        <f t="shared" si="19"/>
        <v>0</v>
      </c>
      <c r="DQ33" s="442">
        <f t="shared" si="20"/>
        <v>0</v>
      </c>
      <c r="DR33" s="442">
        <f t="shared" si="21"/>
        <v>0</v>
      </c>
      <c r="DS33" s="439">
        <f t="shared" si="22"/>
        <v>0</v>
      </c>
      <c r="DT33" s="439">
        <f t="shared" si="23"/>
        <v>0</v>
      </c>
      <c r="DU33" s="661">
        <f t="shared" si="24"/>
        <v>0</v>
      </c>
      <c r="DV33" s="661">
        <f t="shared" si="25"/>
        <v>0</v>
      </c>
      <c r="DW33" s="439">
        <f t="shared" si="26"/>
        <v>0</v>
      </c>
      <c r="DX33" s="439">
        <f t="shared" si="27"/>
        <v>0</v>
      </c>
      <c r="DY33" s="439">
        <f t="shared" si="28"/>
        <v>0</v>
      </c>
      <c r="DZ33" s="439">
        <f t="shared" si="29"/>
        <v>0</v>
      </c>
      <c r="EA33" s="631" t="s">
        <v>92</v>
      </c>
      <c r="EB33" s="631">
        <f t="shared" si="151"/>
        <v>9.1326816075453968E-2</v>
      </c>
      <c r="ED33" s="439">
        <f t="shared" si="31"/>
        <v>1.71654</v>
      </c>
      <c r="EE33" s="440">
        <f t="shared" si="32"/>
        <v>1.31454</v>
      </c>
      <c r="EF33" s="439">
        <f t="shared" si="33"/>
        <v>-0.91254000000000013</v>
      </c>
      <c r="EG33" s="441">
        <f t="shared" si="34"/>
        <v>0</v>
      </c>
      <c r="EH33" s="439">
        <f t="shared" si="35"/>
        <v>0</v>
      </c>
      <c r="EI33" s="439">
        <f t="shared" si="36"/>
        <v>0</v>
      </c>
      <c r="EJ33" s="439">
        <f t="shared" si="37"/>
        <v>0</v>
      </c>
      <c r="EK33" s="439">
        <f t="shared" si="38"/>
        <v>0</v>
      </c>
      <c r="EL33" s="439">
        <f t="shared" si="39"/>
        <v>0</v>
      </c>
      <c r="EM33" s="439">
        <f t="shared" si="40"/>
        <v>0</v>
      </c>
      <c r="EN33" s="439">
        <f t="shared" si="41"/>
        <v>0</v>
      </c>
      <c r="EO33" s="439">
        <f t="shared" si="42"/>
        <v>0</v>
      </c>
      <c r="EP33" s="439">
        <f t="shared" si="43"/>
        <v>0</v>
      </c>
      <c r="EQ33" s="439">
        <f t="shared" si="44"/>
        <v>0</v>
      </c>
      <c r="ER33" s="442">
        <f t="shared" si="45"/>
        <v>0</v>
      </c>
      <c r="ES33" s="442">
        <f t="shared" si="46"/>
        <v>0</v>
      </c>
      <c r="ET33" s="439">
        <f t="shared" si="47"/>
        <v>0</v>
      </c>
      <c r="EU33" s="439">
        <f t="shared" si="48"/>
        <v>0</v>
      </c>
      <c r="EV33" s="661">
        <f t="shared" si="49"/>
        <v>0</v>
      </c>
      <c r="EW33" s="661">
        <f t="shared" si="50"/>
        <v>0</v>
      </c>
      <c r="EX33" s="439">
        <f t="shared" si="51"/>
        <v>0</v>
      </c>
      <c r="EY33" s="439">
        <f t="shared" si="52"/>
        <v>0</v>
      </c>
      <c r="EZ33" s="439">
        <f t="shared" si="53"/>
        <v>0</v>
      </c>
      <c r="FA33" s="439">
        <f t="shared" si="54"/>
        <v>0</v>
      </c>
      <c r="FB33" s="631" t="s">
        <v>92</v>
      </c>
      <c r="FC33" s="631">
        <f t="shared" si="152"/>
        <v>0.17482561934444044</v>
      </c>
      <c r="FE33" s="439">
        <f t="shared" si="56"/>
        <v>1.1144700000000003</v>
      </c>
      <c r="FF33" s="440">
        <f t="shared" si="57"/>
        <v>0.85347000000000017</v>
      </c>
      <c r="FG33" s="439">
        <f t="shared" si="58"/>
        <v>-0.59247000000000016</v>
      </c>
      <c r="FH33" s="441">
        <f t="shared" si="59"/>
        <v>0</v>
      </c>
      <c r="FI33" s="439">
        <f t="shared" si="60"/>
        <v>0</v>
      </c>
      <c r="FJ33" s="439">
        <f t="shared" si="61"/>
        <v>0</v>
      </c>
      <c r="FK33" s="439">
        <f t="shared" si="62"/>
        <v>0</v>
      </c>
      <c r="FL33" s="439">
        <f t="shared" si="63"/>
        <v>0</v>
      </c>
      <c r="FM33" s="439">
        <f t="shared" si="64"/>
        <v>0</v>
      </c>
      <c r="FN33" s="439">
        <f t="shared" si="65"/>
        <v>0</v>
      </c>
      <c r="FO33" s="439">
        <f t="shared" si="66"/>
        <v>0</v>
      </c>
      <c r="FP33" s="439">
        <f t="shared" si="67"/>
        <v>0</v>
      </c>
      <c r="FQ33" s="439">
        <f t="shared" si="68"/>
        <v>0</v>
      </c>
      <c r="FR33" s="439">
        <f t="shared" si="69"/>
        <v>0</v>
      </c>
      <c r="FS33" s="442">
        <f t="shared" si="70"/>
        <v>0</v>
      </c>
      <c r="FT33" s="442">
        <f t="shared" si="71"/>
        <v>0</v>
      </c>
      <c r="FU33" s="439">
        <f t="shared" si="72"/>
        <v>0</v>
      </c>
      <c r="FV33" s="439">
        <f t="shared" si="73"/>
        <v>0</v>
      </c>
      <c r="FW33" s="661">
        <f t="shared" si="74"/>
        <v>0</v>
      </c>
      <c r="FX33" s="661">
        <f t="shared" si="75"/>
        <v>0</v>
      </c>
      <c r="FY33" s="439">
        <f t="shared" si="76"/>
        <v>0</v>
      </c>
      <c r="FZ33" s="439">
        <f t="shared" si="77"/>
        <v>0</v>
      </c>
      <c r="GA33" s="439">
        <f t="shared" si="78"/>
        <v>0</v>
      </c>
      <c r="GB33" s="439">
        <f t="shared" si="79"/>
        <v>0</v>
      </c>
      <c r="GC33" s="631" t="s">
        <v>92</v>
      </c>
      <c r="GD33" s="631">
        <f t="shared" si="153"/>
        <v>0.1135061856937785</v>
      </c>
      <c r="GF33" s="439">
        <f t="shared" si="81"/>
        <v>1.2553799999999999</v>
      </c>
      <c r="GG33" s="440">
        <f t="shared" si="82"/>
        <v>0.96138000000000001</v>
      </c>
      <c r="GH33" s="439">
        <f t="shared" si="83"/>
        <v>-0.66738000000000008</v>
      </c>
      <c r="GI33" s="439">
        <f t="shared" si="84"/>
        <v>0</v>
      </c>
      <c r="GJ33" s="439">
        <f t="shared" si="85"/>
        <v>0</v>
      </c>
      <c r="GK33" s="439">
        <f t="shared" si="86"/>
        <v>0</v>
      </c>
      <c r="GL33" s="439">
        <f t="shared" si="87"/>
        <v>0</v>
      </c>
      <c r="GM33" s="439">
        <f t="shared" si="88"/>
        <v>0</v>
      </c>
      <c r="GN33" s="439">
        <f t="shared" si="89"/>
        <v>0</v>
      </c>
      <c r="GO33" s="439">
        <f t="shared" si="90"/>
        <v>0</v>
      </c>
      <c r="GP33" s="439">
        <f t="shared" si="91"/>
        <v>0</v>
      </c>
      <c r="GQ33" s="439">
        <f t="shared" si="92"/>
        <v>0</v>
      </c>
      <c r="GR33" s="439">
        <f t="shared" si="93"/>
        <v>0</v>
      </c>
      <c r="GS33" s="439">
        <f t="shared" si="94"/>
        <v>0</v>
      </c>
      <c r="GT33" s="442">
        <f t="shared" si="95"/>
        <v>0</v>
      </c>
      <c r="GU33" s="442">
        <f t="shared" si="96"/>
        <v>0</v>
      </c>
      <c r="GV33" s="439">
        <f t="shared" si="97"/>
        <v>0</v>
      </c>
      <c r="GW33" s="439">
        <f t="shared" si="98"/>
        <v>0</v>
      </c>
      <c r="GX33" s="661">
        <f t="shared" si="99"/>
        <v>0</v>
      </c>
      <c r="GY33" s="661">
        <f t="shared" si="100"/>
        <v>0</v>
      </c>
      <c r="GZ33" s="439">
        <f t="shared" si="101"/>
        <v>0</v>
      </c>
      <c r="HA33" s="439">
        <f t="shared" si="102"/>
        <v>0</v>
      </c>
      <c r="HB33" s="439">
        <f t="shared" si="103"/>
        <v>0</v>
      </c>
      <c r="HC33" s="439">
        <f t="shared" si="104"/>
        <v>0</v>
      </c>
      <c r="HD33" s="631" t="s">
        <v>92</v>
      </c>
      <c r="HE33" s="631">
        <f t="shared" si="176"/>
        <v>0.12785754250563552</v>
      </c>
      <c r="HG33" s="618">
        <f>HLOOKUP(CQ33,Spec_Sheet!$F$3:$DV$19,11,FALSE)+HLOOKUP(CQ33,Spec_Sheet!$F$3:$DV$21,19,FALSE)</f>
        <v>108</v>
      </c>
      <c r="HH33" s="618">
        <f t="shared" si="154"/>
        <v>100</v>
      </c>
      <c r="HI33" s="634">
        <f t="shared" si="155"/>
        <v>150</v>
      </c>
      <c r="HJ33" s="634">
        <f>HLOOKUP(IF(LEN(CQ33)&gt;6,LEFT(CQ33,5),CQ33),'LSM List Pricing'!$B$1:$BW$2,2,0)</f>
        <v>45</v>
      </c>
      <c r="HK33" s="634">
        <f>HLOOKUP(HJ33,'LSM List Pricing'!$B$2:$BW$3,2)</f>
        <v>530</v>
      </c>
      <c r="HL33" s="634">
        <f>VLOOKUP(HH33,'LSM List Pricing'!$A$7:$BW$87,HJ33,0)</f>
        <v>230</v>
      </c>
      <c r="HM33" s="627">
        <f>VLOOKUP(HI33,'LSM List Pricing'!$A$7:$BW$87,HJ33,1)</f>
        <v>280</v>
      </c>
      <c r="HN33" s="628">
        <f t="shared" si="106"/>
        <v>1.9487179487179487</v>
      </c>
      <c r="HO33" s="628">
        <f t="shared" si="107"/>
        <v>3.8974358974358974</v>
      </c>
      <c r="HP33" s="628">
        <f t="shared" si="108"/>
        <v>3.4358974358974357</v>
      </c>
      <c r="HR33" s="618">
        <v>1.4999999999999999E-2</v>
      </c>
      <c r="HS33" s="618">
        <f t="shared" si="109"/>
        <v>100.71428571428571</v>
      </c>
      <c r="HT33" s="618">
        <f t="shared" si="110"/>
        <v>1</v>
      </c>
      <c r="HU33" s="618">
        <f t="shared" si="170"/>
        <v>0.38171154300050397</v>
      </c>
      <c r="HW33" s="618">
        <f t="shared" si="111"/>
        <v>35.457969608939287</v>
      </c>
      <c r="HX33" s="618">
        <f t="shared" si="171"/>
        <v>0.37874215176735332</v>
      </c>
      <c r="HY33" s="618">
        <f t="shared" si="172"/>
        <v>1.4999999999999999E-2</v>
      </c>
      <c r="IB33" s="618">
        <f t="shared" si="113"/>
        <v>25.000350341399081</v>
      </c>
      <c r="IC33" s="618">
        <f t="shared" si="114"/>
        <v>1E-3</v>
      </c>
      <c r="IE33" s="618">
        <f t="shared" si="115"/>
        <v>0</v>
      </c>
      <c r="IF33" s="618">
        <f t="shared" si="116"/>
        <v>40.704999999999998</v>
      </c>
      <c r="IH33" s="618">
        <f t="shared" si="117"/>
        <v>0</v>
      </c>
      <c r="II33" s="618">
        <f t="shared" si="118"/>
        <v>40.704999999999998</v>
      </c>
      <c r="IK33" s="618">
        <f t="shared" si="119"/>
        <v>0</v>
      </c>
      <c r="IL33" s="618">
        <f t="shared" si="120"/>
        <v>40.704999999999998</v>
      </c>
      <c r="IN33" s="618">
        <f t="shared" si="121"/>
        <v>0</v>
      </c>
      <c r="IO33" s="618">
        <f t="shared" si="122"/>
        <v>40.704999999999998</v>
      </c>
      <c r="IQ33" s="618">
        <f t="shared" si="123"/>
        <v>0</v>
      </c>
      <c r="IR33" s="618">
        <f t="shared" si="124"/>
        <v>40.704999999999998</v>
      </c>
      <c r="IT33" s="660" t="str">
        <f t="shared" si="125"/>
        <v>S200D</v>
      </c>
      <c r="IU33" s="628"/>
      <c r="IV33" s="439">
        <f t="shared" si="126"/>
        <v>1.2810000000000001</v>
      </c>
      <c r="IW33" s="440">
        <f t="shared" si="127"/>
        <v>0.98100000000000009</v>
      </c>
      <c r="IX33" s="439">
        <f t="shared" si="128"/>
        <v>-0.68100000000000005</v>
      </c>
      <c r="IY33" s="439">
        <f t="shared" si="129"/>
        <v>0</v>
      </c>
      <c r="IZ33" s="439">
        <f t="shared" si="130"/>
        <v>0</v>
      </c>
      <c r="JA33" s="439">
        <f t="shared" si="131"/>
        <v>0</v>
      </c>
      <c r="JB33" s="439">
        <f t="shared" si="132"/>
        <v>0</v>
      </c>
      <c r="JC33" s="439">
        <f t="shared" si="133"/>
        <v>0</v>
      </c>
      <c r="JD33" s="439">
        <f t="shared" si="134"/>
        <v>0</v>
      </c>
      <c r="JE33" s="439">
        <f t="shared" si="135"/>
        <v>0</v>
      </c>
      <c r="JF33" s="439">
        <f t="shared" si="136"/>
        <v>0</v>
      </c>
      <c r="JG33" s="439">
        <f t="shared" si="137"/>
        <v>0</v>
      </c>
      <c r="JH33" s="439">
        <f t="shared" si="138"/>
        <v>0</v>
      </c>
      <c r="JI33" s="439">
        <f t="shared" si="139"/>
        <v>0</v>
      </c>
      <c r="JJ33" s="442">
        <f t="shared" si="140"/>
        <v>0</v>
      </c>
      <c r="JK33" s="442">
        <f t="shared" si="141"/>
        <v>0</v>
      </c>
      <c r="JL33" s="439">
        <f t="shared" si="142"/>
        <v>0</v>
      </c>
      <c r="JM33" s="439">
        <f t="shared" si="143"/>
        <v>0</v>
      </c>
      <c r="JN33" s="661">
        <f t="shared" si="144"/>
        <v>0</v>
      </c>
      <c r="JO33" s="661">
        <f t="shared" si="145"/>
        <v>0</v>
      </c>
      <c r="JP33" s="439">
        <f t="shared" si="146"/>
        <v>0</v>
      </c>
      <c r="JQ33" s="439">
        <f t="shared" si="147"/>
        <v>0</v>
      </c>
      <c r="JR33" s="439">
        <f t="shared" si="148"/>
        <v>0</v>
      </c>
      <c r="JS33" s="439">
        <f t="shared" si="149"/>
        <v>0</v>
      </c>
      <c r="JT33" s="631" t="s">
        <v>92</v>
      </c>
      <c r="JU33" s="631">
        <f t="shared" si="158"/>
        <v>0.13046688010779137</v>
      </c>
      <c r="JW33" s="522"/>
      <c r="JX33" s="522"/>
      <c r="JY33" s="522"/>
      <c r="JZ33" s="522"/>
      <c r="KA33" s="522"/>
      <c r="KB33" s="522"/>
      <c r="KC33" s="522"/>
      <c r="KD33" s="522"/>
      <c r="KE33" s="522"/>
      <c r="KF33" s="522"/>
      <c r="KG33" s="522"/>
      <c r="KH33" s="522"/>
      <c r="KI33" s="522"/>
      <c r="KJ33" s="522"/>
      <c r="KK33" s="522"/>
      <c r="KL33" s="522"/>
    </row>
    <row r="34" spans="1:298" ht="9.9499999999999993" customHeight="1">
      <c r="A34" s="155"/>
      <c r="B34" s="95" t="s">
        <v>430</v>
      </c>
      <c r="C34" s="95"/>
      <c r="D34" s="95"/>
      <c r="E34" s="95">
        <f>$AQ$46*(E32/1000)</f>
        <v>0</v>
      </c>
      <c r="F34" s="95"/>
      <c r="G34" s="95"/>
      <c r="H34" s="95"/>
      <c r="I34" s="95" t="e">
        <f>$AQ$46*(I32/1000)</f>
        <v>#VALUE!</v>
      </c>
      <c r="J34" s="95"/>
      <c r="K34" s="95"/>
      <c r="L34" s="95"/>
      <c r="M34" s="95" t="e">
        <f>$AQ$46*(M32/1000)</f>
        <v>#VALUE!</v>
      </c>
      <c r="N34" s="95"/>
      <c r="O34" s="95"/>
      <c r="P34" s="95"/>
      <c r="Q34" s="95" t="e">
        <f>$AQ$46*(Q32/1000)</f>
        <v>#VALUE!</v>
      </c>
      <c r="R34" s="95"/>
      <c r="S34" s="95"/>
      <c r="T34" s="95"/>
      <c r="U34" s="95" t="e">
        <f>$AQ$46*(U32/1000)</f>
        <v>#VALUE!</v>
      </c>
      <c r="V34" s="95"/>
      <c r="W34" s="95"/>
      <c r="X34" s="95"/>
      <c r="Y34" s="95" t="e">
        <f>$AQ$46*(Y32/1000)</f>
        <v>#VALUE!</v>
      </c>
      <c r="Z34" s="95"/>
      <c r="AA34" s="95"/>
      <c r="AB34" s="95" t="s">
        <v>431</v>
      </c>
      <c r="AC34" s="95">
        <f>IF(ISBLANK(AR30),AG33,IF(AG33&gt;AR31,AG33,AR31))</f>
        <v>15</v>
      </c>
      <c r="AD34" s="95" t="s">
        <v>432</v>
      </c>
      <c r="AE34" s="95">
        <f>IF(OR(B17=2,B17=4),AC34+AH41,AC34)</f>
        <v>15</v>
      </c>
      <c r="AF34" s="95">
        <f>CEILING(AE34,50)</f>
        <v>50</v>
      </c>
      <c r="AG34" s="95">
        <f>CEILING(AE34,10)</f>
        <v>20</v>
      </c>
      <c r="AH34" s="95"/>
      <c r="AI34" s="95"/>
      <c r="AJ34" s="95" t="s">
        <v>114</v>
      </c>
      <c r="AK34" s="95"/>
      <c r="AL34" s="95"/>
      <c r="AM34" s="95"/>
      <c r="AN34" s="95"/>
      <c r="AO34" s="95"/>
      <c r="AP34" s="95"/>
      <c r="AQ34" s="95">
        <f>HLOOKUP(AJ49,Spec_Sheet!$F$3:$ED$19,6,FALSE)</f>
        <v>2.13</v>
      </c>
      <c r="AR34" s="95"/>
      <c r="AS34" s="95"/>
      <c r="AT34" s="95"/>
      <c r="AU34" s="95"/>
      <c r="AV34" s="95">
        <f t="shared" si="178"/>
        <v>5.6000000000000005</v>
      </c>
      <c r="AW34" s="95">
        <f>IF($AY$32,'Data Sheet'!AA55,0)</f>
        <v>0.62145000000000006</v>
      </c>
      <c r="AX34" s="95">
        <f t="shared" si="179"/>
        <v>2.4E-2</v>
      </c>
      <c r="AY34" s="95">
        <f>IF(AY33,0,G31-F31)</f>
        <v>0</v>
      </c>
      <c r="AZ34" s="668"/>
      <c r="BA34" s="668"/>
      <c r="BB34" s="708" t="str">
        <f t="shared" ca="1" si="168"/>
        <v>L250SS</v>
      </c>
      <c r="BC34" s="709"/>
      <c r="BD34" s="710"/>
      <c r="BE34" s="342">
        <f t="shared" ca="1" si="160"/>
        <v>3.9803296878620532E-3</v>
      </c>
      <c r="BF34" s="78">
        <f t="shared" ca="1" si="161"/>
        <v>2.2932107027325422E-3</v>
      </c>
      <c r="BG34" s="490">
        <f t="shared" ca="1" si="162"/>
        <v>6.4919414099024611E-3</v>
      </c>
      <c r="BH34" s="78">
        <f t="shared" ca="1" si="163"/>
        <v>4.2732643883622813E-3</v>
      </c>
      <c r="BI34" s="617">
        <f t="shared" ca="1" si="164"/>
        <v>1.6229853524756153E-3</v>
      </c>
      <c r="BJ34" s="528">
        <f t="shared" ca="1" si="165"/>
        <v>2.1282051282051282</v>
      </c>
      <c r="BK34" s="529">
        <f t="shared" ca="1" si="166"/>
        <v>4.2564102564102564</v>
      </c>
      <c r="BL34" s="530">
        <f t="shared" ca="1" si="167"/>
        <v>3.3076923076923075</v>
      </c>
      <c r="BM34" s="46">
        <f t="shared" si="177"/>
        <v>0</v>
      </c>
      <c r="BN34" s="46">
        <f>BO34*VLOOKUP(BQ34,$K$62:$L$65,2,FALSE)</f>
        <v>250</v>
      </c>
      <c r="BO34" s="717">
        <v>250</v>
      </c>
      <c r="BP34" s="717"/>
      <c r="BQ34" s="721" t="s">
        <v>24</v>
      </c>
      <c r="BR34" s="722"/>
      <c r="BS34" s="70" t="s">
        <v>103</v>
      </c>
      <c r="BT34" s="63"/>
      <c r="BU34" s="63"/>
      <c r="BV34" s="44"/>
      <c r="BW34" s="138"/>
      <c r="BX34" s="79">
        <f>IF(T6V=0,MDvt,IF(T8V+T7V=0,ADvt+TDvt+ADvt,(Vel*ACCT)+(Vel*Trat)))</f>
        <v>250</v>
      </c>
      <c r="BY34" s="126"/>
      <c r="BZ34" s="63"/>
      <c r="CA34" s="63"/>
      <c r="CB34" s="63"/>
      <c r="CC34" s="63"/>
      <c r="CD34" s="63"/>
      <c r="CE34" s="63"/>
      <c r="CF34" s="63"/>
      <c r="CG34" s="63"/>
      <c r="CH34" s="164"/>
      <c r="CI34" s="100"/>
      <c r="CJ34" s="152"/>
      <c r="CK34" s="152"/>
      <c r="CL34" s="155"/>
      <c r="CM34" s="155"/>
      <c r="CN34" s="155"/>
      <c r="CO34" s="689" t="str">
        <f ca="1"/>
        <v>S160Q 1S</v>
      </c>
      <c r="CP34" s="632" t="str">
        <f>IF(OR(CQ34=0,CR34="",CS34&gt;120),"",IF(HLOOKUP(CQ34,Spec_Sheet!$F$3:$ED$19,17,FALSE)&lt;$AC$46,"",CQ34))</f>
        <v>S200D 1S</v>
      </c>
      <c r="CQ34" s="660" t="str">
        <f>IF(Spec_Sheet!A33="","",Spec_Sheet!A33)</f>
        <v>S200D 1S</v>
      </c>
      <c r="CR34" s="660">
        <f>IF(CQ34="",0,HLOOKUP(CQ34,Spec_Sheet!$F$3:$ED$19,2,FALSE))</f>
        <v>18.000900000000001</v>
      </c>
      <c r="CS34" s="660">
        <f t="shared" si="169"/>
        <v>1.3132642571013764E-3</v>
      </c>
      <c r="CT34" s="621">
        <f t="shared" si="173"/>
        <v>2.5739979439186982E-3</v>
      </c>
      <c r="CU34" s="621">
        <f t="shared" si="3"/>
        <v>1.3132642571013764E-3</v>
      </c>
      <c r="CV34" s="621">
        <f t="shared" si="174"/>
        <v>3.9760388648001285E-3</v>
      </c>
      <c r="CW34" s="621">
        <f t="shared" si="175"/>
        <v>2.3580973000512317E-3</v>
      </c>
      <c r="CX34" s="621">
        <f t="shared" si="157"/>
        <v>1.2612589925201617E-3</v>
      </c>
      <c r="CY34" s="619">
        <f>HLOOKUP(CQ34,Spec_Sheet!$F$3:$ED$19,13,FALSE)</f>
        <v>0.3</v>
      </c>
      <c r="CZ34" s="619">
        <f>VLOOKUP(HH34,'Shaft Weight'!$A$6:$CD$102,HJ34,TRUE)</f>
        <v>0.47</v>
      </c>
      <c r="DA34" s="619">
        <f>VLOOKUP(HI34,'Shaft Weight'!$A$6:$CD$102,HJ34,0)</f>
        <v>0.57999999999999996</v>
      </c>
      <c r="DB34" s="619">
        <f>HLOOKUP(CQ34,Spec_Sheet!$F$3:$ED$19,6,FALSE)</f>
        <v>15.255000000000001</v>
      </c>
      <c r="DC34" s="439">
        <f t="shared" si="6"/>
        <v>0.89670000000000005</v>
      </c>
      <c r="DD34" s="440">
        <f t="shared" si="7"/>
        <v>0.68670000000000009</v>
      </c>
      <c r="DE34" s="439">
        <f t="shared" si="8"/>
        <v>-0.47670000000000012</v>
      </c>
      <c r="DF34" s="439">
        <f t="shared" si="9"/>
        <v>0</v>
      </c>
      <c r="DG34" s="439">
        <f t="shared" si="10"/>
        <v>0</v>
      </c>
      <c r="DH34" s="439">
        <f t="shared" si="11"/>
        <v>0</v>
      </c>
      <c r="DI34" s="439">
        <f t="shared" si="12"/>
        <v>0</v>
      </c>
      <c r="DJ34" s="439">
        <f t="shared" si="13"/>
        <v>0</v>
      </c>
      <c r="DK34" s="439">
        <f t="shared" si="14"/>
        <v>0</v>
      </c>
      <c r="DL34" s="439">
        <f t="shared" si="15"/>
        <v>0</v>
      </c>
      <c r="DM34" s="439">
        <f t="shared" si="16"/>
        <v>0</v>
      </c>
      <c r="DN34" s="439">
        <f t="shared" si="17"/>
        <v>0</v>
      </c>
      <c r="DO34" s="439">
        <f t="shared" si="18"/>
        <v>0</v>
      </c>
      <c r="DP34" s="439">
        <f t="shared" si="19"/>
        <v>0</v>
      </c>
      <c r="DQ34" s="442">
        <f t="shared" si="20"/>
        <v>0</v>
      </c>
      <c r="DR34" s="442">
        <f t="shared" si="21"/>
        <v>0</v>
      </c>
      <c r="DS34" s="439">
        <f t="shared" si="22"/>
        <v>0</v>
      </c>
      <c r="DT34" s="439">
        <f t="shared" si="23"/>
        <v>0</v>
      </c>
      <c r="DU34" s="661">
        <f t="shared" si="24"/>
        <v>0</v>
      </c>
      <c r="DV34" s="661">
        <f t="shared" si="25"/>
        <v>0</v>
      </c>
      <c r="DW34" s="439">
        <f t="shared" si="26"/>
        <v>0</v>
      </c>
      <c r="DX34" s="439">
        <f t="shared" si="27"/>
        <v>0</v>
      </c>
      <c r="DY34" s="439">
        <f t="shared" si="28"/>
        <v>0</v>
      </c>
      <c r="DZ34" s="439">
        <f t="shared" si="29"/>
        <v>0</v>
      </c>
      <c r="EA34" s="631" t="s">
        <v>92</v>
      </c>
      <c r="EB34" s="631">
        <f t="shared" si="151"/>
        <v>9.1326816075453968E-2</v>
      </c>
      <c r="ED34" s="439">
        <f t="shared" si="31"/>
        <v>1.71654</v>
      </c>
      <c r="EE34" s="440">
        <f t="shared" si="32"/>
        <v>1.31454</v>
      </c>
      <c r="EF34" s="439">
        <f t="shared" si="33"/>
        <v>-0.91254000000000013</v>
      </c>
      <c r="EG34" s="441">
        <f t="shared" si="34"/>
        <v>0</v>
      </c>
      <c r="EH34" s="439">
        <f t="shared" si="35"/>
        <v>0</v>
      </c>
      <c r="EI34" s="439">
        <f t="shared" si="36"/>
        <v>0</v>
      </c>
      <c r="EJ34" s="439">
        <f t="shared" si="37"/>
        <v>0</v>
      </c>
      <c r="EK34" s="439">
        <f t="shared" si="38"/>
        <v>0</v>
      </c>
      <c r="EL34" s="439">
        <f t="shared" si="39"/>
        <v>0</v>
      </c>
      <c r="EM34" s="439">
        <f t="shared" si="40"/>
        <v>0</v>
      </c>
      <c r="EN34" s="439">
        <f t="shared" si="41"/>
        <v>0</v>
      </c>
      <c r="EO34" s="439">
        <f t="shared" si="42"/>
        <v>0</v>
      </c>
      <c r="EP34" s="439">
        <f t="shared" si="43"/>
        <v>0</v>
      </c>
      <c r="EQ34" s="439">
        <f t="shared" si="44"/>
        <v>0</v>
      </c>
      <c r="ER34" s="442">
        <f t="shared" si="45"/>
        <v>0</v>
      </c>
      <c r="ES34" s="442">
        <f t="shared" si="46"/>
        <v>0</v>
      </c>
      <c r="ET34" s="439">
        <f t="shared" si="47"/>
        <v>0</v>
      </c>
      <c r="EU34" s="439">
        <f t="shared" si="48"/>
        <v>0</v>
      </c>
      <c r="EV34" s="661">
        <f t="shared" si="49"/>
        <v>0</v>
      </c>
      <c r="EW34" s="661">
        <f t="shared" si="50"/>
        <v>0</v>
      </c>
      <c r="EX34" s="439">
        <f t="shared" si="51"/>
        <v>0</v>
      </c>
      <c r="EY34" s="439">
        <f t="shared" si="52"/>
        <v>0</v>
      </c>
      <c r="EZ34" s="439">
        <f t="shared" si="53"/>
        <v>0</v>
      </c>
      <c r="FA34" s="439">
        <f t="shared" si="54"/>
        <v>0</v>
      </c>
      <c r="FB34" s="631" t="s">
        <v>92</v>
      </c>
      <c r="FC34" s="631">
        <f t="shared" si="152"/>
        <v>0.17482561934444044</v>
      </c>
      <c r="FE34" s="439">
        <f t="shared" si="56"/>
        <v>1.1144700000000003</v>
      </c>
      <c r="FF34" s="440">
        <f t="shared" si="57"/>
        <v>0.85347000000000017</v>
      </c>
      <c r="FG34" s="439">
        <f t="shared" si="58"/>
        <v>-0.59247000000000016</v>
      </c>
      <c r="FH34" s="441">
        <f t="shared" si="59"/>
        <v>0</v>
      </c>
      <c r="FI34" s="439">
        <f t="shared" si="60"/>
        <v>0</v>
      </c>
      <c r="FJ34" s="439">
        <f t="shared" si="61"/>
        <v>0</v>
      </c>
      <c r="FK34" s="439">
        <f t="shared" si="62"/>
        <v>0</v>
      </c>
      <c r="FL34" s="439">
        <f t="shared" si="63"/>
        <v>0</v>
      </c>
      <c r="FM34" s="439">
        <f t="shared" si="64"/>
        <v>0</v>
      </c>
      <c r="FN34" s="439">
        <f t="shared" si="65"/>
        <v>0</v>
      </c>
      <c r="FO34" s="439">
        <f t="shared" si="66"/>
        <v>0</v>
      </c>
      <c r="FP34" s="439">
        <f t="shared" si="67"/>
        <v>0</v>
      </c>
      <c r="FQ34" s="439">
        <f t="shared" si="68"/>
        <v>0</v>
      </c>
      <c r="FR34" s="439">
        <f t="shared" si="69"/>
        <v>0</v>
      </c>
      <c r="FS34" s="442">
        <f t="shared" si="70"/>
        <v>0</v>
      </c>
      <c r="FT34" s="442">
        <f t="shared" si="71"/>
        <v>0</v>
      </c>
      <c r="FU34" s="439">
        <f t="shared" si="72"/>
        <v>0</v>
      </c>
      <c r="FV34" s="439">
        <f t="shared" si="73"/>
        <v>0</v>
      </c>
      <c r="FW34" s="661">
        <f t="shared" si="74"/>
        <v>0</v>
      </c>
      <c r="FX34" s="661">
        <f t="shared" si="75"/>
        <v>0</v>
      </c>
      <c r="FY34" s="439">
        <f t="shared" si="76"/>
        <v>0</v>
      </c>
      <c r="FZ34" s="439">
        <f t="shared" si="77"/>
        <v>0</v>
      </c>
      <c r="GA34" s="439">
        <f t="shared" si="78"/>
        <v>0</v>
      </c>
      <c r="GB34" s="439">
        <f t="shared" si="79"/>
        <v>0</v>
      </c>
      <c r="GC34" s="631" t="s">
        <v>92</v>
      </c>
      <c r="GD34" s="631">
        <f t="shared" si="153"/>
        <v>0.1135061856937785</v>
      </c>
      <c r="GF34" s="439">
        <f t="shared" si="81"/>
        <v>1.2553799999999999</v>
      </c>
      <c r="GG34" s="440">
        <f t="shared" si="82"/>
        <v>0.96138000000000001</v>
      </c>
      <c r="GH34" s="439">
        <f t="shared" si="83"/>
        <v>-0.66738000000000008</v>
      </c>
      <c r="GI34" s="439">
        <f t="shared" si="84"/>
        <v>0</v>
      </c>
      <c r="GJ34" s="439">
        <f t="shared" si="85"/>
        <v>0</v>
      </c>
      <c r="GK34" s="439">
        <f t="shared" si="86"/>
        <v>0</v>
      </c>
      <c r="GL34" s="439">
        <f t="shared" si="87"/>
        <v>0</v>
      </c>
      <c r="GM34" s="439">
        <f t="shared" si="88"/>
        <v>0</v>
      </c>
      <c r="GN34" s="439">
        <f t="shared" si="89"/>
        <v>0</v>
      </c>
      <c r="GO34" s="439">
        <f t="shared" si="90"/>
        <v>0</v>
      </c>
      <c r="GP34" s="439">
        <f t="shared" si="91"/>
        <v>0</v>
      </c>
      <c r="GQ34" s="439">
        <f t="shared" si="92"/>
        <v>0</v>
      </c>
      <c r="GR34" s="439">
        <f t="shared" si="93"/>
        <v>0</v>
      </c>
      <c r="GS34" s="439">
        <f t="shared" si="94"/>
        <v>0</v>
      </c>
      <c r="GT34" s="442">
        <f t="shared" si="95"/>
        <v>0</v>
      </c>
      <c r="GU34" s="442">
        <f t="shared" si="96"/>
        <v>0</v>
      </c>
      <c r="GV34" s="439">
        <f t="shared" si="97"/>
        <v>0</v>
      </c>
      <c r="GW34" s="439">
        <f t="shared" si="98"/>
        <v>0</v>
      </c>
      <c r="GX34" s="661">
        <f t="shared" si="99"/>
        <v>0</v>
      </c>
      <c r="GY34" s="661">
        <f t="shared" si="100"/>
        <v>0</v>
      </c>
      <c r="GZ34" s="439">
        <f t="shared" si="101"/>
        <v>0</v>
      </c>
      <c r="HA34" s="439">
        <f t="shared" si="102"/>
        <v>0</v>
      </c>
      <c r="HB34" s="439">
        <f t="shared" si="103"/>
        <v>0</v>
      </c>
      <c r="HC34" s="439">
        <f t="shared" si="104"/>
        <v>0</v>
      </c>
      <c r="HD34" s="631" t="s">
        <v>92</v>
      </c>
      <c r="HE34" s="631">
        <f t="shared" si="176"/>
        <v>0.12785754250563552</v>
      </c>
      <c r="HG34" s="618">
        <f>HLOOKUP(CQ34,Spec_Sheet!$F$3:$DV$19,11,FALSE)+HLOOKUP(CQ34,Spec_Sheet!$F$3:$DV$21,19,FALSE)</f>
        <v>108</v>
      </c>
      <c r="HH34" s="618">
        <f t="shared" si="154"/>
        <v>100</v>
      </c>
      <c r="HI34" s="634">
        <f t="shared" si="155"/>
        <v>150</v>
      </c>
      <c r="HJ34" s="634">
        <f>HLOOKUP(IF(LEN(CQ34)&gt;6,LEFT(CQ34,5),CQ34),'LSM List Pricing'!$B$1:$BW$2,2,0)</f>
        <v>45</v>
      </c>
      <c r="HK34" s="634">
        <f>HLOOKUP(HJ34,'LSM List Pricing'!$B$2:$BW$3,2)</f>
        <v>530</v>
      </c>
      <c r="HL34" s="634">
        <f>VLOOKUP(HH34,'LSM List Pricing'!$A$7:$BW$87,HJ34,0)</f>
        <v>230</v>
      </c>
      <c r="HM34" s="627">
        <f>VLOOKUP(HI34,'LSM List Pricing'!$A$7:$BW$87,HJ34,1)</f>
        <v>280</v>
      </c>
      <c r="HN34" s="628">
        <f t="shared" si="106"/>
        <v>1.9487179487179487</v>
      </c>
      <c r="HO34" s="628">
        <f t="shared" si="107"/>
        <v>3.8974358974358974</v>
      </c>
      <c r="HP34" s="628">
        <f t="shared" si="108"/>
        <v>3.4358974358974357</v>
      </c>
      <c r="HR34" s="618">
        <v>1.55E-2</v>
      </c>
      <c r="HS34" s="618">
        <f t="shared" si="109"/>
        <v>104.07142857142857</v>
      </c>
      <c r="HT34" s="618">
        <f t="shared" si="110"/>
        <v>1</v>
      </c>
      <c r="HU34" s="618">
        <f t="shared" si="170"/>
        <v>0.39445058697412877</v>
      </c>
      <c r="HW34" s="618">
        <f t="shared" si="111"/>
        <v>35.439880166496735</v>
      </c>
      <c r="HX34" s="618">
        <f t="shared" si="171"/>
        <v>0.39128299043015874</v>
      </c>
      <c r="HY34" s="618">
        <f t="shared" si="172"/>
        <v>1.55E-2</v>
      </c>
      <c r="IB34" s="618">
        <f t="shared" si="113"/>
        <v>25.000350341399081</v>
      </c>
      <c r="IC34" s="618">
        <f t="shared" si="114"/>
        <v>1E-3</v>
      </c>
      <c r="IE34" s="618">
        <f t="shared" si="115"/>
        <v>0</v>
      </c>
      <c r="IF34" s="618">
        <f t="shared" si="116"/>
        <v>40.704999999999998</v>
      </c>
      <c r="IH34" s="618">
        <f t="shared" si="117"/>
        <v>0</v>
      </c>
      <c r="II34" s="618">
        <f t="shared" si="118"/>
        <v>40.704999999999998</v>
      </c>
      <c r="IK34" s="618">
        <f t="shared" si="119"/>
        <v>0</v>
      </c>
      <c r="IL34" s="618">
        <f t="shared" si="120"/>
        <v>40.704999999999998</v>
      </c>
      <c r="IN34" s="618">
        <f t="shared" si="121"/>
        <v>0</v>
      </c>
      <c r="IO34" s="618">
        <f t="shared" si="122"/>
        <v>40.704999999999998</v>
      </c>
      <c r="IQ34" s="618">
        <f t="shared" si="123"/>
        <v>0</v>
      </c>
      <c r="IR34" s="618">
        <f t="shared" si="124"/>
        <v>40.704999999999998</v>
      </c>
      <c r="IT34" s="660" t="str">
        <f t="shared" si="125"/>
        <v>S200D 1S</v>
      </c>
      <c r="IU34" s="628"/>
      <c r="IV34" s="439">
        <f t="shared" si="126"/>
        <v>1.2810000000000001</v>
      </c>
      <c r="IW34" s="440">
        <f t="shared" si="127"/>
        <v>0.98100000000000009</v>
      </c>
      <c r="IX34" s="439">
        <f t="shared" si="128"/>
        <v>-0.68100000000000005</v>
      </c>
      <c r="IY34" s="439">
        <f t="shared" si="129"/>
        <v>0</v>
      </c>
      <c r="IZ34" s="439">
        <f t="shared" si="130"/>
        <v>0</v>
      </c>
      <c r="JA34" s="439">
        <f t="shared" si="131"/>
        <v>0</v>
      </c>
      <c r="JB34" s="439">
        <f t="shared" si="132"/>
        <v>0</v>
      </c>
      <c r="JC34" s="439">
        <f t="shared" si="133"/>
        <v>0</v>
      </c>
      <c r="JD34" s="439">
        <f t="shared" si="134"/>
        <v>0</v>
      </c>
      <c r="JE34" s="439">
        <f t="shared" si="135"/>
        <v>0</v>
      </c>
      <c r="JF34" s="439">
        <f t="shared" si="136"/>
        <v>0</v>
      </c>
      <c r="JG34" s="439">
        <f t="shared" si="137"/>
        <v>0</v>
      </c>
      <c r="JH34" s="439">
        <f t="shared" si="138"/>
        <v>0</v>
      </c>
      <c r="JI34" s="439">
        <f t="shared" si="139"/>
        <v>0</v>
      </c>
      <c r="JJ34" s="442">
        <f t="shared" si="140"/>
        <v>0</v>
      </c>
      <c r="JK34" s="442">
        <f t="shared" si="141"/>
        <v>0</v>
      </c>
      <c r="JL34" s="439">
        <f t="shared" si="142"/>
        <v>0</v>
      </c>
      <c r="JM34" s="439">
        <f t="shared" si="143"/>
        <v>0</v>
      </c>
      <c r="JN34" s="661">
        <f t="shared" si="144"/>
        <v>0</v>
      </c>
      <c r="JO34" s="661">
        <f t="shared" si="145"/>
        <v>0</v>
      </c>
      <c r="JP34" s="439">
        <f t="shared" si="146"/>
        <v>0</v>
      </c>
      <c r="JQ34" s="439">
        <f t="shared" si="147"/>
        <v>0</v>
      </c>
      <c r="JR34" s="439">
        <f t="shared" si="148"/>
        <v>0</v>
      </c>
      <c r="JS34" s="439">
        <f t="shared" si="149"/>
        <v>0</v>
      </c>
      <c r="JT34" s="631" t="s">
        <v>92</v>
      </c>
      <c r="JU34" s="631">
        <f t="shared" si="158"/>
        <v>0.13046688010779137</v>
      </c>
      <c r="JW34" s="522"/>
      <c r="JX34" s="522"/>
      <c r="JY34" s="522"/>
      <c r="JZ34" s="522"/>
      <c r="KA34" s="522"/>
      <c r="KB34" s="522"/>
      <c r="KC34" s="522"/>
      <c r="KD34" s="522"/>
      <c r="KE34" s="522"/>
      <c r="KF34" s="522"/>
      <c r="KG34" s="522"/>
      <c r="KH34" s="522"/>
      <c r="KI34" s="522"/>
      <c r="KJ34" s="522"/>
      <c r="KK34" s="522"/>
      <c r="KL34" s="522"/>
    </row>
    <row r="35" spans="1:298" s="429" customFormat="1" ht="9.9499999999999993" customHeight="1">
      <c r="A35" s="182"/>
      <c r="B35" s="95" t="s">
        <v>16</v>
      </c>
      <c r="C35" s="95"/>
      <c r="D35" s="578">
        <f>D108+$E$35-IF(V11,IF(Z4,Fl,0),0)</f>
        <v>0.58768269128344741</v>
      </c>
      <c r="E35" s="578">
        <f>(ML+Mc)*(9.81)*((SIN(a))+u*COS(a))+IF($V$11,Fl,0)+Fr+E34</f>
        <v>0.44145000000000006</v>
      </c>
      <c r="F35" s="578">
        <f>E108-$E$35+IF(V11,IF(Z4,Fl,0),0)</f>
        <v>-0.29521730871655277</v>
      </c>
      <c r="G35" s="578">
        <f>(ML+Mc)*9.81*SIN(a)+IF($V$11,IF(Z4,0,Fl),0)</f>
        <v>0</v>
      </c>
      <c r="H35" s="578">
        <f>IF($P$13,F108+$I$35,0)</f>
        <v>0</v>
      </c>
      <c r="I35" s="578">
        <f>IF($P$13,(ML+Mc)*(9.81)*((SIN(a))+u*COS(a))+IF($V$19,Fl,0)+Fr+I34,0)</f>
        <v>0</v>
      </c>
      <c r="J35" s="578">
        <f>IF($P$13,G108-$I$35,0)</f>
        <v>0</v>
      </c>
      <c r="K35" s="578">
        <f>IF($P$13,(ML+Mc)*9.81*SIN(a)+IF($V$19,Fl,0),0)</f>
        <v>0</v>
      </c>
      <c r="L35" s="578">
        <f>IF($P$21,H108+$M$35,0)</f>
        <v>0</v>
      </c>
      <c r="M35" s="578">
        <f>IF($P$21,(ML+Mc)*(9.81)*((SIN(a))+u*COS(a))+IF($V$27,Fl,0)+Fr+M34,0)</f>
        <v>0</v>
      </c>
      <c r="N35" s="578">
        <f>IF($P$21,I108-$M$35,0)</f>
        <v>0</v>
      </c>
      <c r="O35" s="578">
        <f>IF($P$21,(ML+Mc)*9.81*SIN(a)+IF($V$27,Fl,0),0)</f>
        <v>0</v>
      </c>
      <c r="P35" s="578">
        <f>IF($AG$5,J108+$Q$35,0)</f>
        <v>0</v>
      </c>
      <c r="Q35" s="578">
        <f>IF($AG$5,(ML+Mc)*(9.81)*((SIN(a))+u*COS(a))+IF($AM$11,Fl,0)+Fr+Q34,0)</f>
        <v>0</v>
      </c>
      <c r="R35" s="578">
        <f>IF($AG$5,K108-$Q$35,0)</f>
        <v>0</v>
      </c>
      <c r="S35" s="578">
        <f>IF($AG$5,(ML+Mc)*9.81*SIN(a)+IF($AM$11,Fl,0),0)</f>
        <v>0</v>
      </c>
      <c r="T35" s="578">
        <f>IF($AG$13,L108+$U$35,0)</f>
        <v>0</v>
      </c>
      <c r="U35" s="578">
        <f>IF($AG$13,(ML+Mc)*(9.81)*((SIN(a))+u*COS(a))+IF($AM$19,Fl,0)+Fr+U34,0)</f>
        <v>0</v>
      </c>
      <c r="V35" s="578">
        <f>IF($AG$13,M108-$U$35,0)</f>
        <v>0</v>
      </c>
      <c r="W35" s="578">
        <f>IF($AG$13,(ML+Mc)*9.81*SIN(a)+IF($AM$19,Fl,0),0)</f>
        <v>0</v>
      </c>
      <c r="X35" s="95">
        <f>IF($AG$21,N108+$Y$35,0)</f>
        <v>0</v>
      </c>
      <c r="Y35" s="95">
        <f>IF($AG$21,(ML+Mc)*(9.81)*((SIN(a))+u*COS(a))+IF($AM$27,Fl,0)+Fr+Y34,0)</f>
        <v>0</v>
      </c>
      <c r="Z35" s="95">
        <f>IF($AG$21,O108-$Y$35,0)</f>
        <v>0</v>
      </c>
      <c r="AA35" s="95">
        <f>IF($AG$21,(ML+Mc)*9.81*SIN(a)+IF($AM$27,Fl,0),0)</f>
        <v>0</v>
      </c>
      <c r="AB35" s="95" t="s">
        <v>92</v>
      </c>
      <c r="AC35" s="95">
        <f>SQRT((((IF(D35&gt;0,D35,D35*-1))^2*$D$38)+((IF(E35&gt;0,E35,E35*-1))^2*$E$38)+((IF(F35&gt;0,F35,F35*-1))^2*$F$38)+((IF(G35&gt;0,G35,G35*-1))^2*$G$38)+((IF(H35&gt;0,H35,H35*-1))^2*$H$38)+((IF(I35&gt;0,I35,I35*-1))^2*$I$38)+((IF(J35&gt;0,J35,J35*-1))^2*$J$38)+((IF(K35&gt;0,K35,K35*-1))^2*$K$38)+((IF(L35&gt;0,L35,L35*-1))^2*$L$38)+((IF(M35&gt;0,M35,M35*-1))^2*$M$38)+((IF(N35&gt;0,N35,N35*-1))^2*$N$38)+((IF(O35&gt;0,O35,O35*-1))^2*$O$38)+((IF(P35&gt;0,P35,P35*-1))^2*$P$38)+((IF(Q35&gt;0,Q35,Q35*-1))^2*$Q$38)+((IF(R35&gt;0,R35,R35*-1))^2*$R$38)+((IF(S35&gt;0,S35,S35*-1))^2*$S$38)+((IF(T35&gt;0,T35,T35*-1))^2*$T$38)+((IF(U35&gt;0,U35,U35*-1))^2*$U$38)+((IF(V35&gt;0,V35,V35*-1))^2*$V$38)+((IF(W35&gt;0,W35,W35*-1))^2*$W$38)+((IF(X35&gt;0,X35,X35*-1))^2*$X$38)+((IF(Y35&gt;0,Y35,Y35*-1))^2*$Y$38)+((IF(Z35&gt;0,Z35,Z35*-1))^2*$Z$38)+((IF(AA35&gt;0,AA35,AA35*-1))^2*$AA$38))/$AA$31)</f>
        <v>5.8815750660816686E-2</v>
      </c>
      <c r="AD35" s="95" t="s">
        <v>134</v>
      </c>
      <c r="AE35" s="95">
        <f>MAX(D35:AA35)</f>
        <v>0.58768269128344741</v>
      </c>
      <c r="AF35" s="95"/>
      <c r="AG35" s="95"/>
      <c r="AH35" s="95"/>
      <c r="AI35" s="95"/>
      <c r="AJ35" s="95" t="s">
        <v>115</v>
      </c>
      <c r="AK35" s="95"/>
      <c r="AL35" s="95"/>
      <c r="AM35" s="95"/>
      <c r="AN35" s="95"/>
      <c r="AO35" s="95"/>
      <c r="AP35" s="95"/>
      <c r="AQ35" s="95">
        <f>IF(AR35,AQ42,IF(I19,AQ41,AQ42))</f>
        <v>0.05</v>
      </c>
      <c r="AR35" s="95" t="b">
        <f>OR(LEFT($I$16,3)="SCR",LEFT($I$16,3)="SLP",$AJ$49="User Motor")</f>
        <v>0</v>
      </c>
      <c r="AS35" s="95"/>
      <c r="AT35" s="95"/>
      <c r="AU35" s="95"/>
      <c r="AV35" s="95">
        <f t="shared" si="178"/>
        <v>8.7999999999999989</v>
      </c>
      <c r="AW35" s="95">
        <f>IF($AY$32,'Data Sheet'!AA56,0)</f>
        <v>0.62145000000000006</v>
      </c>
      <c r="AX35" s="95">
        <f t="shared" si="179"/>
        <v>3.2000000000000001E-2</v>
      </c>
      <c r="AY35" s="95"/>
      <c r="AZ35" s="668"/>
      <c r="BA35" s="670"/>
      <c r="BB35" s="708" t="str">
        <f t="shared" ca="1" si="168"/>
        <v>L160Q</v>
      </c>
      <c r="BC35" s="709"/>
      <c r="BD35" s="710"/>
      <c r="BE35" s="342">
        <f t="shared" ca="1" si="160"/>
        <v>2.574255350148086E-3</v>
      </c>
      <c r="BF35" s="78">
        <f t="shared" ca="1" si="161"/>
        <v>1.3133955868102475E-3</v>
      </c>
      <c r="BG35" s="490">
        <f t="shared" ca="1" si="162"/>
        <v>3.1148489736791832E-3</v>
      </c>
      <c r="BH35" s="78">
        <f t="shared" ca="1" si="163"/>
        <v>1.7068889046185992E-3</v>
      </c>
      <c r="BI35" s="617">
        <f t="shared" ca="1" si="164"/>
        <v>1.0876228854375658E-3</v>
      </c>
      <c r="BJ35" s="528">
        <f t="shared" ca="1" si="165"/>
        <v>2</v>
      </c>
      <c r="BK35" s="529">
        <f t="shared" ca="1" si="166"/>
        <v>4</v>
      </c>
      <c r="BL35" s="530">
        <f t="shared" ca="1" si="167"/>
        <v>3.4102564102564101</v>
      </c>
      <c r="BM35" s="46">
        <f t="shared" si="177"/>
        <v>1</v>
      </c>
      <c r="BN35" s="46">
        <f>BO35*VLOOKUP(BQ35,$K$62:$L$65,2,FALSE)</f>
        <v>0</v>
      </c>
      <c r="BO35" s="717"/>
      <c r="BP35" s="717"/>
      <c r="BQ35" s="721" t="s">
        <v>24</v>
      </c>
      <c r="BR35" s="722"/>
      <c r="BS35" s="70" t="s">
        <v>308</v>
      </c>
      <c r="BT35" s="44"/>
      <c r="BU35" s="44"/>
      <c r="BV35" s="44"/>
      <c r="BW35" s="44"/>
      <c r="BX35" s="70"/>
      <c r="BY35" s="70"/>
      <c r="BZ35" s="63"/>
      <c r="CA35" s="63"/>
      <c r="CB35" s="63"/>
      <c r="CC35" s="63"/>
      <c r="CD35" s="63"/>
      <c r="CE35" s="63"/>
      <c r="CF35" s="63"/>
      <c r="CG35" s="63"/>
      <c r="CH35" s="164"/>
      <c r="CI35" s="176"/>
      <c r="CJ35" s="177"/>
      <c r="CK35" s="177"/>
      <c r="CL35" s="182"/>
      <c r="CM35" s="182"/>
      <c r="CN35" s="182"/>
      <c r="CO35" s="691" t="str">
        <f ca="1"/>
        <v>S160Q 2S</v>
      </c>
      <c r="CP35" s="632" t="str">
        <f>IF(OR(CQ35=0,CR35="",CS35&gt;120),"",IF(HLOOKUP(CQ35,Spec_Sheet!$F$3:$ED$19,17,FALSE)&lt;$AC$46,"",CQ35))</f>
        <v>L320SS</v>
      </c>
      <c r="CQ35" s="660" t="str">
        <f>IF(Spec_Sheet!A34="","",Spec_Sheet!A34)</f>
        <v>L320SS</v>
      </c>
      <c r="CR35" s="660">
        <f>IF(CQ35="",0,HLOOKUP(CQ35,Spec_Sheet!$F$3:$ED$19,2,FALSE))</f>
        <v>18.675094861475436</v>
      </c>
      <c r="CS35" s="660">
        <f t="shared" si="169"/>
        <v>1.9991016109006054E-3</v>
      </c>
      <c r="CT35" s="621">
        <f t="shared" si="173"/>
        <v>3.4437648844029955E-3</v>
      </c>
      <c r="CU35" s="621">
        <f t="shared" si="3"/>
        <v>1.9991016109006054E-3</v>
      </c>
      <c r="CV35" s="621">
        <f t="shared" si="174"/>
        <v>1.2338693316693891E-2</v>
      </c>
      <c r="CW35" s="621">
        <f t="shared" si="175"/>
        <v>9.4298442930201634E-3</v>
      </c>
      <c r="CX35" s="621">
        <f t="shared" si="157"/>
        <v>3.0846733291734728E-3</v>
      </c>
      <c r="CY35" s="619">
        <f>HLOOKUP(CQ35,Spec_Sheet!$F$3:$ED$19,13,FALSE)</f>
        <v>0.44</v>
      </c>
      <c r="CZ35" s="619">
        <f>VLOOKUP(HH35,'Shaft Weight'!$A$6:$CD$102,HJ35,TRUE)</f>
        <v>1.19</v>
      </c>
      <c r="DA35" s="619">
        <f>VLOOKUP(HI35,'Shaft Weight'!$A$6:$CD$102,HJ35,0)</f>
        <v>1.19</v>
      </c>
      <c r="DB35" s="619">
        <f>HLOOKUP(CQ35,Spec_Sheet!$F$3:$ED$19,6,FALSE)</f>
        <v>10.85</v>
      </c>
      <c r="DC35" s="439">
        <f t="shared" si="6"/>
        <v>1.0760400000000001</v>
      </c>
      <c r="DD35" s="440">
        <f t="shared" si="7"/>
        <v>0.82404000000000011</v>
      </c>
      <c r="DE35" s="439">
        <f t="shared" si="8"/>
        <v>-0.5720400000000001</v>
      </c>
      <c r="DF35" s="439">
        <f t="shared" si="9"/>
        <v>0</v>
      </c>
      <c r="DG35" s="439">
        <f t="shared" si="10"/>
        <v>0</v>
      </c>
      <c r="DH35" s="439">
        <f t="shared" si="11"/>
        <v>0</v>
      </c>
      <c r="DI35" s="439">
        <f t="shared" si="12"/>
        <v>0</v>
      </c>
      <c r="DJ35" s="439">
        <f t="shared" si="13"/>
        <v>0</v>
      </c>
      <c r="DK35" s="439">
        <f t="shared" si="14"/>
        <v>0</v>
      </c>
      <c r="DL35" s="439">
        <f t="shared" si="15"/>
        <v>0</v>
      </c>
      <c r="DM35" s="439">
        <f t="shared" si="16"/>
        <v>0</v>
      </c>
      <c r="DN35" s="439">
        <f t="shared" si="17"/>
        <v>0</v>
      </c>
      <c r="DO35" s="439">
        <f t="shared" si="18"/>
        <v>0</v>
      </c>
      <c r="DP35" s="439">
        <f t="shared" si="19"/>
        <v>0</v>
      </c>
      <c r="DQ35" s="442">
        <f t="shared" si="20"/>
        <v>0</v>
      </c>
      <c r="DR35" s="442">
        <f t="shared" si="21"/>
        <v>0</v>
      </c>
      <c r="DS35" s="439">
        <f t="shared" si="22"/>
        <v>0</v>
      </c>
      <c r="DT35" s="439">
        <f t="shared" si="23"/>
        <v>0</v>
      </c>
      <c r="DU35" s="661">
        <f t="shared" si="24"/>
        <v>0</v>
      </c>
      <c r="DV35" s="661">
        <f t="shared" si="25"/>
        <v>0</v>
      </c>
      <c r="DW35" s="439">
        <f t="shared" si="26"/>
        <v>0</v>
      </c>
      <c r="DX35" s="439">
        <f t="shared" si="27"/>
        <v>0</v>
      </c>
      <c r="DY35" s="439">
        <f t="shared" si="28"/>
        <v>0</v>
      </c>
      <c r="DZ35" s="439">
        <f t="shared" si="29"/>
        <v>0</v>
      </c>
      <c r="EA35" s="631" t="s">
        <v>92</v>
      </c>
      <c r="EB35" s="631">
        <f t="shared" si="151"/>
        <v>0.10959217929054475</v>
      </c>
      <c r="EC35" s="618"/>
      <c r="ED35" s="439">
        <f t="shared" si="31"/>
        <v>3.5611800000000002</v>
      </c>
      <c r="EE35" s="440">
        <f t="shared" si="32"/>
        <v>2.7271800000000002</v>
      </c>
      <c r="EF35" s="439">
        <f t="shared" si="33"/>
        <v>-1.8931800000000001</v>
      </c>
      <c r="EG35" s="441">
        <f t="shared" si="34"/>
        <v>0</v>
      </c>
      <c r="EH35" s="439">
        <f t="shared" si="35"/>
        <v>0</v>
      </c>
      <c r="EI35" s="439">
        <f t="shared" si="36"/>
        <v>0</v>
      </c>
      <c r="EJ35" s="439">
        <f t="shared" si="37"/>
        <v>0</v>
      </c>
      <c r="EK35" s="439">
        <f t="shared" si="38"/>
        <v>0</v>
      </c>
      <c r="EL35" s="439">
        <f t="shared" si="39"/>
        <v>0</v>
      </c>
      <c r="EM35" s="439">
        <f t="shared" si="40"/>
        <v>0</v>
      </c>
      <c r="EN35" s="439">
        <f t="shared" si="41"/>
        <v>0</v>
      </c>
      <c r="EO35" s="439">
        <f t="shared" si="42"/>
        <v>0</v>
      </c>
      <c r="EP35" s="439">
        <f t="shared" si="43"/>
        <v>0</v>
      </c>
      <c r="EQ35" s="439">
        <f t="shared" si="44"/>
        <v>0</v>
      </c>
      <c r="ER35" s="442">
        <f t="shared" si="45"/>
        <v>0</v>
      </c>
      <c r="ES35" s="442">
        <f t="shared" si="46"/>
        <v>0</v>
      </c>
      <c r="ET35" s="439">
        <f t="shared" si="47"/>
        <v>0</v>
      </c>
      <c r="EU35" s="439">
        <f t="shared" si="48"/>
        <v>0</v>
      </c>
      <c r="EV35" s="661">
        <f t="shared" si="49"/>
        <v>0</v>
      </c>
      <c r="EW35" s="661">
        <f t="shared" si="50"/>
        <v>0</v>
      </c>
      <c r="EX35" s="439">
        <f t="shared" si="51"/>
        <v>0</v>
      </c>
      <c r="EY35" s="439">
        <f t="shared" si="52"/>
        <v>0</v>
      </c>
      <c r="EZ35" s="439">
        <f t="shared" si="53"/>
        <v>0</v>
      </c>
      <c r="FA35" s="439">
        <f t="shared" si="54"/>
        <v>0</v>
      </c>
      <c r="FB35" s="631" t="s">
        <v>92</v>
      </c>
      <c r="FC35" s="631">
        <f t="shared" si="152"/>
        <v>0.36269792669966</v>
      </c>
      <c r="FD35" s="618"/>
      <c r="FE35" s="439">
        <f t="shared" si="56"/>
        <v>2.0367899999999999</v>
      </c>
      <c r="FF35" s="440">
        <f t="shared" si="57"/>
        <v>1.55979</v>
      </c>
      <c r="FG35" s="439">
        <f t="shared" si="58"/>
        <v>-1.0827900000000001</v>
      </c>
      <c r="FH35" s="441">
        <f t="shared" si="59"/>
        <v>0</v>
      </c>
      <c r="FI35" s="439">
        <f t="shared" si="60"/>
        <v>0</v>
      </c>
      <c r="FJ35" s="439">
        <f t="shared" si="61"/>
        <v>0</v>
      </c>
      <c r="FK35" s="439">
        <f t="shared" si="62"/>
        <v>0</v>
      </c>
      <c r="FL35" s="439">
        <f t="shared" si="63"/>
        <v>0</v>
      </c>
      <c r="FM35" s="439">
        <f t="shared" si="64"/>
        <v>0</v>
      </c>
      <c r="FN35" s="439">
        <f t="shared" si="65"/>
        <v>0</v>
      </c>
      <c r="FO35" s="439">
        <f t="shared" si="66"/>
        <v>0</v>
      </c>
      <c r="FP35" s="439">
        <f t="shared" si="67"/>
        <v>0</v>
      </c>
      <c r="FQ35" s="439">
        <f t="shared" si="68"/>
        <v>0</v>
      </c>
      <c r="FR35" s="439">
        <f t="shared" si="69"/>
        <v>0</v>
      </c>
      <c r="FS35" s="442">
        <f t="shared" si="70"/>
        <v>0</v>
      </c>
      <c r="FT35" s="442">
        <f t="shared" si="71"/>
        <v>0</v>
      </c>
      <c r="FU35" s="439">
        <f t="shared" si="72"/>
        <v>0</v>
      </c>
      <c r="FV35" s="439">
        <f t="shared" si="73"/>
        <v>0</v>
      </c>
      <c r="FW35" s="661">
        <f t="shared" si="74"/>
        <v>0</v>
      </c>
      <c r="FX35" s="661">
        <f t="shared" si="75"/>
        <v>0</v>
      </c>
      <c r="FY35" s="439">
        <f t="shared" si="76"/>
        <v>0</v>
      </c>
      <c r="FZ35" s="439">
        <f t="shared" si="77"/>
        <v>0</v>
      </c>
      <c r="GA35" s="439">
        <f t="shared" si="78"/>
        <v>0</v>
      </c>
      <c r="GB35" s="439">
        <f t="shared" si="79"/>
        <v>0</v>
      </c>
      <c r="GC35" s="631" t="s">
        <v>92</v>
      </c>
      <c r="GD35" s="631">
        <f t="shared" si="153"/>
        <v>0.20744233937138826</v>
      </c>
      <c r="GE35" s="618"/>
      <c r="GF35" s="439">
        <f t="shared" si="81"/>
        <v>2.0367899999999999</v>
      </c>
      <c r="GG35" s="440">
        <f t="shared" si="82"/>
        <v>1.55979</v>
      </c>
      <c r="GH35" s="439">
        <f t="shared" si="83"/>
        <v>-1.0827900000000001</v>
      </c>
      <c r="GI35" s="439">
        <f t="shared" si="84"/>
        <v>0</v>
      </c>
      <c r="GJ35" s="439">
        <f t="shared" si="85"/>
        <v>0</v>
      </c>
      <c r="GK35" s="439">
        <f t="shared" si="86"/>
        <v>0</v>
      </c>
      <c r="GL35" s="439">
        <f t="shared" si="87"/>
        <v>0</v>
      </c>
      <c r="GM35" s="439">
        <f t="shared" si="88"/>
        <v>0</v>
      </c>
      <c r="GN35" s="439">
        <f t="shared" si="89"/>
        <v>0</v>
      </c>
      <c r="GO35" s="439">
        <f t="shared" si="90"/>
        <v>0</v>
      </c>
      <c r="GP35" s="439">
        <f t="shared" si="91"/>
        <v>0</v>
      </c>
      <c r="GQ35" s="439">
        <f t="shared" si="92"/>
        <v>0</v>
      </c>
      <c r="GR35" s="439">
        <f t="shared" si="93"/>
        <v>0</v>
      </c>
      <c r="GS35" s="439">
        <f t="shared" si="94"/>
        <v>0</v>
      </c>
      <c r="GT35" s="442">
        <f t="shared" si="95"/>
        <v>0</v>
      </c>
      <c r="GU35" s="442">
        <f t="shared" si="96"/>
        <v>0</v>
      </c>
      <c r="GV35" s="439">
        <f t="shared" si="97"/>
        <v>0</v>
      </c>
      <c r="GW35" s="439">
        <f t="shared" si="98"/>
        <v>0</v>
      </c>
      <c r="GX35" s="661">
        <f t="shared" si="99"/>
        <v>0</v>
      </c>
      <c r="GY35" s="661">
        <f t="shared" si="100"/>
        <v>0</v>
      </c>
      <c r="GZ35" s="439">
        <f t="shared" si="101"/>
        <v>0</v>
      </c>
      <c r="HA35" s="439">
        <f t="shared" si="102"/>
        <v>0</v>
      </c>
      <c r="HB35" s="439">
        <f t="shared" si="103"/>
        <v>0</v>
      </c>
      <c r="HC35" s="439">
        <f t="shared" si="104"/>
        <v>0</v>
      </c>
      <c r="HD35" s="631" t="s">
        <v>92</v>
      </c>
      <c r="HE35" s="631">
        <f t="shared" si="176"/>
        <v>0.20744233937138826</v>
      </c>
      <c r="HF35" s="618"/>
      <c r="HG35" s="618">
        <f>HLOOKUP(CQ35,Spec_Sheet!$F$3:$DV$19,11,FALSE)+HLOOKUP(CQ35,Spec_Sheet!$F$3:$DV$21,19,FALSE)</f>
        <v>60</v>
      </c>
      <c r="HH35" s="618">
        <f t="shared" si="154"/>
        <v>100</v>
      </c>
      <c r="HI35" s="634">
        <f t="shared" si="155"/>
        <v>100</v>
      </c>
      <c r="HJ35" s="634">
        <f>HLOOKUP(IF(LEN(CQ35)&gt;6,LEFT(CQ35,5),CQ35),'LSM List Pricing'!$B$1:$BW$2,2,0)</f>
        <v>17</v>
      </c>
      <c r="HK35" s="634">
        <f>HLOOKUP(HJ35,'LSM List Pricing'!$B$2:$BW$3,2)</f>
        <v>370</v>
      </c>
      <c r="HL35" s="634">
        <f>VLOOKUP(HH35,'LSM List Pricing'!$A$7:$BW$87,HJ35,0)</f>
        <v>500</v>
      </c>
      <c r="HM35" s="627">
        <f>VLOOKUP(HI35,'LSM List Pricing'!$A$7:$BW$87,HJ35,1)</f>
        <v>500</v>
      </c>
      <c r="HN35" s="628">
        <f t="shared" si="106"/>
        <v>2.2307692307692308</v>
      </c>
      <c r="HO35" s="628">
        <f t="shared" si="107"/>
        <v>4.4615384615384617</v>
      </c>
      <c r="HP35" s="628">
        <f t="shared" si="108"/>
        <v>3.1794871794871793</v>
      </c>
      <c r="HQ35" s="618"/>
      <c r="HR35" s="618">
        <v>1.6E-2</v>
      </c>
      <c r="HS35" s="618">
        <f t="shared" si="109"/>
        <v>107.42857142857143</v>
      </c>
      <c r="HT35" s="618">
        <f t="shared" si="110"/>
        <v>1</v>
      </c>
      <c r="HU35" s="618">
        <f t="shared" si="170"/>
        <v>0.40718963094775357</v>
      </c>
      <c r="HV35" s="618"/>
      <c r="HW35" s="618">
        <f t="shared" si="111"/>
        <v>35.42179072405419</v>
      </c>
      <c r="HX35" s="618">
        <f t="shared" si="171"/>
        <v>0.40381742792066599</v>
      </c>
      <c r="HY35" s="618">
        <f t="shared" si="172"/>
        <v>1.6E-2</v>
      </c>
      <c r="HZ35" s="618"/>
      <c r="IA35" s="618"/>
      <c r="IB35" s="618">
        <f t="shared" si="113"/>
        <v>25.000350341399081</v>
      </c>
      <c r="IC35" s="618">
        <f t="shared" si="114"/>
        <v>1E-3</v>
      </c>
      <c r="ID35" s="618"/>
      <c r="IE35" s="618">
        <f t="shared" si="115"/>
        <v>0</v>
      </c>
      <c r="IF35" s="618">
        <f t="shared" si="116"/>
        <v>40.704999999999998</v>
      </c>
      <c r="IG35" s="618"/>
      <c r="IH35" s="618">
        <f t="shared" si="117"/>
        <v>0</v>
      </c>
      <c r="II35" s="618">
        <f t="shared" si="118"/>
        <v>40.704999999999998</v>
      </c>
      <c r="IJ35" s="618"/>
      <c r="IK35" s="618">
        <f t="shared" si="119"/>
        <v>0</v>
      </c>
      <c r="IL35" s="618">
        <f t="shared" si="120"/>
        <v>40.704999999999998</v>
      </c>
      <c r="IM35" s="618"/>
      <c r="IN35" s="618">
        <f t="shared" si="121"/>
        <v>0</v>
      </c>
      <c r="IO35" s="618">
        <f t="shared" si="122"/>
        <v>40.704999999999998</v>
      </c>
      <c r="IP35" s="618"/>
      <c r="IQ35" s="618">
        <f t="shared" si="123"/>
        <v>0</v>
      </c>
      <c r="IR35" s="618">
        <f t="shared" si="124"/>
        <v>40.704999999999998</v>
      </c>
      <c r="IS35" s="635"/>
      <c r="IT35" s="660" t="str">
        <f t="shared" si="125"/>
        <v>L320SS</v>
      </c>
      <c r="IU35" s="628"/>
      <c r="IV35" s="439">
        <f t="shared" si="126"/>
        <v>1.6396800000000002</v>
      </c>
      <c r="IW35" s="440">
        <f t="shared" si="127"/>
        <v>1.2556800000000001</v>
      </c>
      <c r="IX35" s="439">
        <f t="shared" si="128"/>
        <v>-0.87168000000000012</v>
      </c>
      <c r="IY35" s="439">
        <f t="shared" si="129"/>
        <v>0</v>
      </c>
      <c r="IZ35" s="439">
        <f t="shared" si="130"/>
        <v>0</v>
      </c>
      <c r="JA35" s="439">
        <f t="shared" si="131"/>
        <v>0</v>
      </c>
      <c r="JB35" s="439">
        <f t="shared" si="132"/>
        <v>0</v>
      </c>
      <c r="JC35" s="439">
        <f t="shared" si="133"/>
        <v>0</v>
      </c>
      <c r="JD35" s="439">
        <f t="shared" si="134"/>
        <v>0</v>
      </c>
      <c r="JE35" s="439">
        <f t="shared" si="135"/>
        <v>0</v>
      </c>
      <c r="JF35" s="439">
        <f t="shared" si="136"/>
        <v>0</v>
      </c>
      <c r="JG35" s="439">
        <f t="shared" si="137"/>
        <v>0</v>
      </c>
      <c r="JH35" s="439">
        <f t="shared" si="138"/>
        <v>0</v>
      </c>
      <c r="JI35" s="439">
        <f t="shared" si="139"/>
        <v>0</v>
      </c>
      <c r="JJ35" s="442">
        <f t="shared" si="140"/>
        <v>0</v>
      </c>
      <c r="JK35" s="442">
        <f t="shared" si="141"/>
        <v>0</v>
      </c>
      <c r="JL35" s="439">
        <f t="shared" si="142"/>
        <v>0</v>
      </c>
      <c r="JM35" s="439">
        <f t="shared" si="143"/>
        <v>0</v>
      </c>
      <c r="JN35" s="661">
        <f t="shared" si="144"/>
        <v>0</v>
      </c>
      <c r="JO35" s="661">
        <f t="shared" si="145"/>
        <v>0</v>
      </c>
      <c r="JP35" s="439">
        <f t="shared" si="146"/>
        <v>0</v>
      </c>
      <c r="JQ35" s="439">
        <f t="shared" si="147"/>
        <v>0</v>
      </c>
      <c r="JR35" s="439">
        <f t="shared" si="148"/>
        <v>0</v>
      </c>
      <c r="JS35" s="439">
        <f t="shared" si="149"/>
        <v>0</v>
      </c>
      <c r="JT35" s="631" t="s">
        <v>92</v>
      </c>
      <c r="JU35" s="631">
        <f t="shared" si="158"/>
        <v>0.16699760653797296</v>
      </c>
      <c r="JV35" s="651"/>
    </row>
    <row r="36" spans="1:298" ht="9.9499999999999993" customHeight="1">
      <c r="A36" s="155"/>
      <c r="B36" s="95" t="s">
        <v>137</v>
      </c>
      <c r="C36" s="95"/>
      <c r="D36" s="95">
        <f>D35</f>
        <v>0.58768269128344741</v>
      </c>
      <c r="E36" s="95">
        <f t="shared" ref="E36:AA36" si="180">IF(D36&gt;E35,D36,E35)</f>
        <v>0.58768269128344741</v>
      </c>
      <c r="F36" s="95">
        <f t="shared" si="180"/>
        <v>0.58768269128344741</v>
      </c>
      <c r="G36" s="95">
        <f t="shared" si="180"/>
        <v>0.58768269128344741</v>
      </c>
      <c r="H36" s="95">
        <f t="shared" si="180"/>
        <v>0.58768269128344741</v>
      </c>
      <c r="I36" s="95">
        <f t="shared" si="180"/>
        <v>0.58768269128344741</v>
      </c>
      <c r="J36" s="95">
        <f t="shared" si="180"/>
        <v>0.58768269128344741</v>
      </c>
      <c r="K36" s="95">
        <f t="shared" si="180"/>
        <v>0.58768269128344741</v>
      </c>
      <c r="L36" s="95">
        <f t="shared" si="180"/>
        <v>0.58768269128344741</v>
      </c>
      <c r="M36" s="95">
        <f t="shared" si="180"/>
        <v>0.58768269128344741</v>
      </c>
      <c r="N36" s="95">
        <f t="shared" si="180"/>
        <v>0.58768269128344741</v>
      </c>
      <c r="O36" s="95">
        <f t="shared" si="180"/>
        <v>0.58768269128344741</v>
      </c>
      <c r="P36" s="95">
        <f t="shared" si="180"/>
        <v>0.58768269128344741</v>
      </c>
      <c r="Q36" s="95">
        <f t="shared" si="180"/>
        <v>0.58768269128344741</v>
      </c>
      <c r="R36" s="95">
        <f t="shared" si="180"/>
        <v>0.58768269128344741</v>
      </c>
      <c r="S36" s="95">
        <f t="shared" si="180"/>
        <v>0.58768269128344741</v>
      </c>
      <c r="T36" s="95">
        <f t="shared" si="180"/>
        <v>0.58768269128344741</v>
      </c>
      <c r="U36" s="95">
        <f t="shared" si="180"/>
        <v>0.58768269128344741</v>
      </c>
      <c r="V36" s="95">
        <f t="shared" si="180"/>
        <v>0.58768269128344741</v>
      </c>
      <c r="W36" s="95">
        <f t="shared" si="180"/>
        <v>0.58768269128344741</v>
      </c>
      <c r="X36" s="95">
        <f t="shared" si="180"/>
        <v>0.58768269128344741</v>
      </c>
      <c r="Y36" s="95">
        <f t="shared" si="180"/>
        <v>0.58768269128344741</v>
      </c>
      <c r="Z36" s="95">
        <f t="shared" si="180"/>
        <v>0.58768269128344741</v>
      </c>
      <c r="AA36" s="95">
        <f t="shared" si="180"/>
        <v>0.58768269128344741</v>
      </c>
      <c r="AB36" s="95">
        <f>IF(AA37&lt;0,AA37*-1,AA37)</f>
        <v>0.3</v>
      </c>
      <c r="AC36" s="95"/>
      <c r="AD36" s="95"/>
      <c r="AE36" s="95"/>
      <c r="AF36" s="95"/>
      <c r="AG36" s="95"/>
      <c r="AH36" s="95"/>
      <c r="AI36" s="95"/>
      <c r="AJ36" s="95" t="s">
        <v>116</v>
      </c>
      <c r="AK36" s="95"/>
      <c r="AL36" s="95"/>
      <c r="AM36" s="95"/>
      <c r="AN36" s="95"/>
      <c r="AO36" s="95"/>
      <c r="AP36" s="95"/>
      <c r="AQ36" s="95">
        <f>IF(AJ49=Spec_Sheet!CV3,HLOOKUP(AJ49,Spec_Sheet!$F$3:$ED$19,7,FALSE),HLOOKUP(AJ49,Spec_Sheet!$F$3:$ED$19,7,FALSE)*IF(B17=4,4,2))</f>
        <v>1.42</v>
      </c>
      <c r="AR36" s="95"/>
      <c r="AS36" s="95"/>
      <c r="AT36" s="95"/>
      <c r="AU36" s="95"/>
      <c r="AV36" s="95">
        <f t="shared" si="178"/>
        <v>12</v>
      </c>
      <c r="AW36" s="95">
        <f>IF($AY$32,'Data Sheet'!AA57,0)</f>
        <v>0.62145000000000006</v>
      </c>
      <c r="AX36" s="95">
        <f t="shared" si="179"/>
        <v>0.04</v>
      </c>
      <c r="AY36" s="95"/>
      <c r="AZ36" s="668"/>
      <c r="BA36" s="668"/>
      <c r="BB36" s="708" t="str">
        <f t="shared" ca="1" si="168"/>
        <v>S200D</v>
      </c>
      <c r="BC36" s="709"/>
      <c r="BD36" s="710"/>
      <c r="BE36" s="342">
        <f t="shared" ca="1" si="160"/>
        <v>2.5742553501480851E-3</v>
      </c>
      <c r="BF36" s="78">
        <f t="shared" ca="1" si="161"/>
        <v>1.3133955868102473E-3</v>
      </c>
      <c r="BG36" s="490">
        <f t="shared" ca="1" si="162"/>
        <v>3.976436478626705E-3</v>
      </c>
      <c r="BH36" s="78">
        <f t="shared" ca="1" si="163"/>
        <v>2.3583331156764803E-3</v>
      </c>
      <c r="BI36" s="617">
        <f t="shared" ca="1" si="164"/>
        <v>1.2613851215725613E-3</v>
      </c>
      <c r="BJ36" s="528">
        <f t="shared" ca="1" si="165"/>
        <v>1.9487179487179487</v>
      </c>
      <c r="BK36" s="529">
        <f t="shared" ca="1" si="166"/>
        <v>3.8974358974358974</v>
      </c>
      <c r="BL36" s="530">
        <f t="shared" ca="1" si="167"/>
        <v>3.4358974358974357</v>
      </c>
      <c r="BM36" s="46">
        <f t="shared" si="177"/>
        <v>1</v>
      </c>
      <c r="BN36" s="46">
        <f>BO36*VLOOKUP(BQ36,$K$62:$L$65,2,FALSE)</f>
        <v>0</v>
      </c>
      <c r="BO36" s="717"/>
      <c r="BP36" s="717"/>
      <c r="BQ36" s="721" t="s">
        <v>24</v>
      </c>
      <c r="BR36" s="722"/>
      <c r="BS36" s="70" t="s">
        <v>104</v>
      </c>
      <c r="BT36" s="44"/>
      <c r="BU36" s="44"/>
      <c r="BV36" s="44"/>
      <c r="BW36" s="44"/>
      <c r="BX36" s="70"/>
      <c r="BY36" s="70"/>
      <c r="BZ36" s="44"/>
      <c r="CA36" s="44"/>
      <c r="CB36" s="127"/>
      <c r="CC36" s="86"/>
      <c r="CD36" s="63"/>
      <c r="CE36" s="63"/>
      <c r="CF36" s="44"/>
      <c r="CG36" s="44"/>
      <c r="CH36" s="169"/>
      <c r="CI36" s="100"/>
      <c r="CJ36" s="152"/>
      <c r="CK36" s="152"/>
      <c r="CL36" s="155"/>
      <c r="CM36" s="155"/>
      <c r="CN36" s="155"/>
      <c r="CO36" s="689" t="str">
        <f ca="1"/>
        <v>L350SS</v>
      </c>
      <c r="CP36" s="632" t="str">
        <f>IF(OR(CQ36=0,CR36="",CS36&gt;120),"",IF(HLOOKUP(CQ36,Spec_Sheet!$F$3:$ED$19,17,FALSE)&lt;$AC$46,"",CQ36))</f>
        <v>S160Q</v>
      </c>
      <c r="CQ36" s="660" t="str">
        <f>IF(Spec_Sheet!A35="","",Spec_Sheet!A35)</f>
        <v>S160Q</v>
      </c>
      <c r="CR36" s="660">
        <f>IF(CQ36="",0,HLOOKUP(CQ36,Spec_Sheet!$F$3:$ED$19,2,FALSE))</f>
        <v>20</v>
      </c>
      <c r="CS36" s="660">
        <f t="shared" si="169"/>
        <v>1.0638504253163003E-3</v>
      </c>
      <c r="CT36" s="621">
        <f t="shared" si="173"/>
        <v>2.0851468336199491E-3</v>
      </c>
      <c r="CU36" s="621">
        <f t="shared" ref="CU36:CU67" si="181">((JU36/DB36)/((CR36*2)/DB36))^2*100</f>
        <v>1.0638504253163003E-3</v>
      </c>
      <c r="CV36" s="621">
        <f t="shared" si="174"/>
        <v>2.5230276686801383E-3</v>
      </c>
      <c r="CW36" s="621">
        <f t="shared" si="175"/>
        <v>1.3825800127410652E-3</v>
      </c>
      <c r="CX36" s="621">
        <f t="shared" si="157"/>
        <v>8.8097453720442837E-4</v>
      </c>
      <c r="CY36" s="619">
        <f>HLOOKUP(CQ36,Spec_Sheet!$F$3:$ED$19,13,FALSE)</f>
        <v>0.3</v>
      </c>
      <c r="CZ36" s="619">
        <f>VLOOKUP(HH36,'Shaft Weight'!$A$6:$CD$102,HJ36,TRUE)</f>
        <v>0.37</v>
      </c>
      <c r="DA36" s="619">
        <f>VLOOKUP(HI36,'Shaft Weight'!$A$6:$CD$102,HJ36,0)</f>
        <v>0.51</v>
      </c>
      <c r="DB36" s="619">
        <f>HLOOKUP(CQ36,Spec_Sheet!$F$3:$ED$19,6,FALSE)</f>
        <v>32.5</v>
      </c>
      <c r="DC36" s="439">
        <f t="shared" ref="DC36:DC67" si="182">(ML+$CY36)*$AC$7+$DD36-IF(AND($Z$4,$V$11),Fl,0)</f>
        <v>0.89670000000000005</v>
      </c>
      <c r="DD36" s="440">
        <f t="shared" ref="DD36:DD67" si="183">(ML+$CY36)*(9.81*IF($W$11&gt;0,1,-1))*((SIN(a)*IF($W$11&gt;0,1,-1))+u*COS(a))+IF($V$11,Fl,0)+Fr</f>
        <v>0.68670000000000009</v>
      </c>
      <c r="DE36" s="439">
        <f t="shared" ref="DE36:DE67" si="184">(ML+$CY36)*$AC$10-$DD36+IF(AND($Z$4,$V$11),Fl,0)</f>
        <v>-0.47670000000000012</v>
      </c>
      <c r="DF36" s="439">
        <f t="shared" ref="DF36:DF67" si="185">(ML+$CY36)*9.81*SIN(a)+IF($V$11,Fl,0)-IF(AND($Z$4,$V$11),Fl,0)</f>
        <v>0</v>
      </c>
      <c r="DG36" s="439">
        <f t="shared" ref="DG36:DG67" si="186">IF($P$13,(ML+$CY36)*$AC$15+$DH36,0)</f>
        <v>0</v>
      </c>
      <c r="DH36" s="439">
        <f t="shared" ref="DH36:DH67" si="187">IF($P$13,(ML+$CY36)*(9.81*IF($W$19&gt;0,1,-1))*((SIN(a)*IF($W$19&gt;0,1,-1))+u*COS(a))+IF($V$19,Fl,0)+Fr,0)</f>
        <v>0</v>
      </c>
      <c r="DI36" s="439">
        <f t="shared" ref="DI36:DI67" si="188">IF($P$13,(ML+$CY36)*$AC$18-$DH36,0)</f>
        <v>0</v>
      </c>
      <c r="DJ36" s="439">
        <f t="shared" ref="DJ36:DJ67" si="189">IF($P$13,(ML+$CY36)*9.81*SIN(a)+IF($V$19,Fl,0),0)</f>
        <v>0</v>
      </c>
      <c r="DK36" s="439">
        <f t="shared" ref="DK36:DK67" si="190">IF($P$21,(ML+$CY36)*$AC$23+$DL36,0)</f>
        <v>0</v>
      </c>
      <c r="DL36" s="439">
        <f t="shared" ref="DL36:DL67" si="191">IF($P$21,(ML+$CY36)*(9.81*IF($W$27&gt;0,1,-1))*((SIN(a)*IF($W$27&gt;0,1,-1))+u*COS(a))+IF($V$27,Fl,0)+Fr,0)</f>
        <v>0</v>
      </c>
      <c r="DM36" s="439">
        <f t="shared" ref="DM36:DM67" si="192">IF($P$21,(ML+$CY36)*$AC$26-$DL36,0)</f>
        <v>0</v>
      </c>
      <c r="DN36" s="439">
        <f t="shared" ref="DN36:DN67" si="193">IF($P$21,(ML+$CY36)*9.81*SIN(a)+IF($V$27,Fl,0),0)</f>
        <v>0</v>
      </c>
      <c r="DO36" s="439">
        <f t="shared" ref="DO36:DO67" si="194">IF($AG$5,(ML+$CY36)*$AT$7+$DP36,0)</f>
        <v>0</v>
      </c>
      <c r="DP36" s="439">
        <f t="shared" ref="DP36:DP67" si="195">IF($AG$5,(ML+$CY36)*(9.81*IF($AN$11&gt;0,1,-1))*((SIN(a)*IF($AN$11&gt;0,1,-1))+u*COS(a))+IF($AM$11,Fl,0)+Fr,0)</f>
        <v>0</v>
      </c>
      <c r="DQ36" s="442">
        <f t="shared" ref="DQ36:DQ67" si="196">IF($AG$5,(ML+$CY36)*$AT$10-$DP36,0)</f>
        <v>0</v>
      </c>
      <c r="DR36" s="442">
        <f t="shared" ref="DR36:DR67" si="197">IF($AG$5,(ML+$CY36)*9.81*SIN(a)+IF($AM$11,Fl,0),0)</f>
        <v>0</v>
      </c>
      <c r="DS36" s="439">
        <f t="shared" ref="DS36:DS67" si="198">IF($AG$13,(ML+$CY36)*$AT$15+$DT36,0)</f>
        <v>0</v>
      </c>
      <c r="DT36" s="439">
        <f t="shared" ref="DT36:DT67" si="199">IF($AG$13,(ML+$CY36)*(9.81*IF($AN$19&gt;0,1,-1))*((SIN(a)*IF($AN$19&gt;0,1,-1))+u*COS(a))+IF($AM$19,Fl,0)+Fr,0)</f>
        <v>0</v>
      </c>
      <c r="DU36" s="661">
        <f t="shared" ref="DU36:DU67" si="200">IF($AG$13,(ML+$CY36)*$AT$18-$DT36,0)</f>
        <v>0</v>
      </c>
      <c r="DV36" s="661">
        <f t="shared" ref="DV36:DV67" si="201">IF($AG$13,(ML+$CY36)*9.81*SIN(a)+IF($AM$19,Fl,0),0)</f>
        <v>0</v>
      </c>
      <c r="DW36" s="439">
        <f t="shared" ref="DW36:DW67" si="202">IF($AG$21,(ML+$CY36)*$AT$23+$DX36,0)</f>
        <v>0</v>
      </c>
      <c r="DX36" s="439">
        <f t="shared" ref="DX36:DX67" si="203">IF($AG$21,(ML+$CY36)*(9.81*IF($AN$27&gt;0,1,-1))*((SIN(a)*IF($AN$27&gt;0,1,-1))+u*COS(a))+IF($AM$27,Fl,0)+Fr,0)</f>
        <v>0</v>
      </c>
      <c r="DY36" s="439">
        <f t="shared" ref="DY36:DY67" si="204">IF($AG$21,(ML+$CY36)*$AT$26-$DX36,0)</f>
        <v>0</v>
      </c>
      <c r="DZ36" s="439">
        <f t="shared" ref="DZ36:DZ67" si="205">IF($AG$21,(ML+$CY36)*9.81*SIN(a)+IF($AM$27,Fl,0),0)</f>
        <v>0</v>
      </c>
      <c r="EA36" s="631" t="s">
        <v>92</v>
      </c>
      <c r="EB36" s="631">
        <f t="shared" si="151"/>
        <v>9.1326816075453968E-2</v>
      </c>
      <c r="ED36" s="439">
        <f t="shared" ref="ED36:ED67" si="206">(ML+($CZ36*2))*$AC$7+$EE36-IF(AND($Z$4,$V$11),Fl,0)</f>
        <v>1.4603400000000004</v>
      </c>
      <c r="EE36" s="440">
        <f t="shared" ref="EE36:EE67" si="207">(ML+($CZ36*2))*(9.81*IF($W$11&gt;0,1,-1))*((SIN(a)*IF($W$11&gt;0,1,-1))+u*COS(a))+IF($V$11,Fl,0)+Fr</f>
        <v>1.1183400000000003</v>
      </c>
      <c r="EF36" s="439">
        <f t="shared" ref="EF36:EF67" si="208">(ML+($CZ36*2))*$AC$10-$EE36+IF(AND($Z$4,$V$11),Fl,0)</f>
        <v>-0.77634000000000025</v>
      </c>
      <c r="EG36" s="441">
        <f t="shared" ref="EG36:EG67" si="209">(ML+($CZ36*2))*9.81*SIN(a)+IF($V$11,Fl,0)-IF(AND($Z$4,$V$11),Fl,0)</f>
        <v>0</v>
      </c>
      <c r="EH36" s="439">
        <f t="shared" ref="EH36:EH67" si="210">IF($P$13,(ML+($CZ36*2))*$AC$15+$EI36,0)</f>
        <v>0</v>
      </c>
      <c r="EI36" s="439">
        <f t="shared" ref="EI36:EI67" si="211">IF($P$13,(ML+($CZ36*2))*(9.81*IF($W$19&gt;0,1,-1))*((SIN(a)*IF($W$19&gt;0,1,-1))+u*COS(a))+IF($V$19,Fl,0)+Fr,0)</f>
        <v>0</v>
      </c>
      <c r="EJ36" s="439">
        <f t="shared" ref="EJ36:EJ67" si="212">IF($P$13,(ML+($CZ36*2))*$AC$18-$EI36,0)</f>
        <v>0</v>
      </c>
      <c r="EK36" s="439">
        <f t="shared" ref="EK36:EK67" si="213">IF($P$13,(ML+($CZ36*2))*9.81*SIN(a)+IF($V$19,Fl,0),0)</f>
        <v>0</v>
      </c>
      <c r="EL36" s="439">
        <f t="shared" ref="EL36:EL67" si="214">IF($P$21,(ML+($CZ36*2))*$AC$23+$EM36,0)</f>
        <v>0</v>
      </c>
      <c r="EM36" s="439">
        <f t="shared" ref="EM36:EM67" si="215">IF($P$21,(ML+($CZ36*2))*(9.81*IF($W$27&gt;0,1,-1))*((SIN(a)*IF($W$27&gt;0,1,-1))+u*COS(a))+IF($V$27,Fl,0)+Fr,0)</f>
        <v>0</v>
      </c>
      <c r="EN36" s="439">
        <f t="shared" ref="EN36:EN67" si="216">IF($P$21,(ML+($CZ36*2))*$AC$26-$EM36,0)</f>
        <v>0</v>
      </c>
      <c r="EO36" s="439">
        <f t="shared" ref="EO36:EO67" si="217">IF($P$21,(ML+($CZ36*2))*9.81*SIN(a)+IF($V$27,Fl,0),0)</f>
        <v>0</v>
      </c>
      <c r="EP36" s="439">
        <f t="shared" ref="EP36:EP67" si="218">IF($AG$5,(ML+($CZ36*2))*$AT$7+$EQ36,0)</f>
        <v>0</v>
      </c>
      <c r="EQ36" s="439">
        <f t="shared" ref="EQ36:EQ67" si="219">IF($AG$5,(ML+($CZ36*2))*(9.81*IF($AN$11&gt;0,1,-1))*((SIN(a)*IF($AN$11&gt;0,1,-1))+u*COS(a))+IF($AM$11,Fl,0)+Fr,0)</f>
        <v>0</v>
      </c>
      <c r="ER36" s="442">
        <f t="shared" ref="ER36:ER67" si="220">IF($AG$5,(ML+($CZ36*2))*$AT$10-$EQ36,0)</f>
        <v>0</v>
      </c>
      <c r="ES36" s="442">
        <f t="shared" ref="ES36:ES67" si="221">IF($AG$5,(ML+($CZ36*2))*9.81*SIN(a)+IF($AM$11,Fl,0),0)</f>
        <v>0</v>
      </c>
      <c r="ET36" s="439">
        <f t="shared" ref="ET36:ET67" si="222">IF($AG$13,(ML+($CZ36*2))*$AT$15+$EU36,0)</f>
        <v>0</v>
      </c>
      <c r="EU36" s="439">
        <f t="shared" ref="EU36:EU67" si="223">IF($AG$13,(ML+($CZ36*2))*(9.81*IF($AN$19&gt;0,1,-1))*((SIN(a)*IF($AN$19&gt;0,1,-1))+u*COS(a))+IF($AM$19,Fl,0)+Fr,0)</f>
        <v>0</v>
      </c>
      <c r="EV36" s="661">
        <f t="shared" ref="EV36:EV67" si="224">IF($AG$13,(ML+($CZ36*2))*$AT$18-$EU36,0)</f>
        <v>0</v>
      </c>
      <c r="EW36" s="661">
        <f t="shared" ref="EW36:EW67" si="225">IF($AG$13,(ML+($CZ36*2))*9.81*SIN(a)+IF($AM$19,Fl,0),0)</f>
        <v>0</v>
      </c>
      <c r="EX36" s="439">
        <f t="shared" ref="EX36:EX67" si="226">IF($AG$21,(ML+($CZ36*2))*$AT$23+$EY36,0)</f>
        <v>0</v>
      </c>
      <c r="EY36" s="439">
        <f t="shared" ref="EY36:EY67" si="227">IF($AG$21,(ML+($CZ36*2))*(9.81*IF($AN$27&gt;0,1,-1))*((SIN(a)*IF($AN$27&gt;0,1,-1))+u*COS(a))+IF($AM$27,Fl,0)+Fr,0)</f>
        <v>0</v>
      </c>
      <c r="EZ36" s="439">
        <f t="shared" ref="EZ36:EZ67" si="228">IF($AG$21,(ML+($CZ36*2))*$AT$26-$EY36,0)</f>
        <v>0</v>
      </c>
      <c r="FA36" s="439">
        <f t="shared" ref="FA36:FA67" si="229">IF($AG$21,(ML+($CZ36*2))*9.81*SIN(a)+IF($AM$27,Fl,0),0)</f>
        <v>0</v>
      </c>
      <c r="FB36" s="631" t="s">
        <v>92</v>
      </c>
      <c r="FC36" s="631">
        <f t="shared" si="152"/>
        <v>0.14873224332288221</v>
      </c>
      <c r="FE36" s="439">
        <f t="shared" ref="FE36:FE67" si="230">(ML+$CZ36)*$AC$7+$FF36-IF(AND($Z$4,$V$11),Fl,0)</f>
        <v>0.98637000000000008</v>
      </c>
      <c r="FF36" s="440">
        <f t="shared" ref="FF36:FF67" si="231">(ML+$CZ36)*(9.81*IF($W$11&gt;0,1,-1))*((SIN(a)*IF($W$11&gt;0,1,-1))+u*COS(a))+IF($V$11,Fl,0)+Fr</f>
        <v>0.7553700000000001</v>
      </c>
      <c r="FG36" s="439">
        <f t="shared" ref="FG36:FG67" si="232">(ML+$CZ36)*$AC$10-$FF36+IF(AND($Z$4,$V$11),Fl,0)</f>
        <v>-0.52437000000000011</v>
      </c>
      <c r="FH36" s="441">
        <f t="shared" ref="FH36:FH67" si="233">(ML+$CZ36)*9.81*SIN(a)+IF($V$11,Fl,0)-IF(AND($Z$4,$V$11),Fl,0)</f>
        <v>0</v>
      </c>
      <c r="FI36" s="439">
        <f t="shared" ref="FI36:FI67" si="234">IF($P$13,(ML+$CZ36)*$AC$15+$FJ36,0)</f>
        <v>0</v>
      </c>
      <c r="FJ36" s="439">
        <f t="shared" ref="FJ36:FJ67" si="235">IF($P$13,(ML+$CZ36)*(9.81*IF($W$19&gt;0,1,-1))*((SIN(a)*IF($W$19&gt;0,1,-1))+u*COS(a))+IF($V$19,Fl,0)+Fr,0)</f>
        <v>0</v>
      </c>
      <c r="FK36" s="439">
        <f t="shared" ref="FK36:FK67" si="236">IF($P$13,(ML+$CZ36)*$AC$18-$FJ36,0)</f>
        <v>0</v>
      </c>
      <c r="FL36" s="439">
        <f t="shared" ref="FL36:FL67" si="237">IF($P$13,(ML+$CZ36)*9.81*SIN(a)+IF($V$19,Fl,0),0)</f>
        <v>0</v>
      </c>
      <c r="FM36" s="439">
        <f t="shared" ref="FM36:FM67" si="238">IF($P$21,(ML+$CZ36)*$AC$23+$FN36,0)</f>
        <v>0</v>
      </c>
      <c r="FN36" s="439">
        <f t="shared" ref="FN36:FN67" si="239">IF($P$21,(ML+$CZ36)*(9.81*IF($W$27&gt;0,1,-1))*((SIN(a)*IF($W$27&gt;0,1,-1))+u*COS(a))+IF($V$27,Fl,0)+Fr,0)</f>
        <v>0</v>
      </c>
      <c r="FO36" s="439">
        <f t="shared" ref="FO36:FO67" si="240">IF($P$21,(ML+$CZ36)*$AC$26-$FN36,0)</f>
        <v>0</v>
      </c>
      <c r="FP36" s="439">
        <f t="shared" ref="FP36:FP67" si="241">IF($P$21,(ML+$CZ36)*9.81*SIN(a)+IF($V$27,Fl,0),0)</f>
        <v>0</v>
      </c>
      <c r="FQ36" s="439">
        <f t="shared" ref="FQ36:FQ67" si="242">IF($AG$5,(ML+$CZ36)*$AT$7+$FR36,0)</f>
        <v>0</v>
      </c>
      <c r="FR36" s="439">
        <f t="shared" ref="FR36:FR67" si="243">IF($AG$5,(ML+$CZ36)*(9.81*IF($AN$11&gt;0,1,-1))*((SIN(a)*IF($AN$11&gt;0,1,-1))+u*COS(a))+IF($AM$11,Fl,0)+Fr,0)</f>
        <v>0</v>
      </c>
      <c r="FS36" s="442">
        <f t="shared" ref="FS36:FS67" si="244">IF($AG$5,(ML+$CZ36)*$AT$10-$FR36,0)</f>
        <v>0</v>
      </c>
      <c r="FT36" s="442">
        <f t="shared" ref="FT36:FT67" si="245">IF($AG$5,(ML+$CZ36)*9.81*SIN(a)+IF($AM$11,Fl,0),0)</f>
        <v>0</v>
      </c>
      <c r="FU36" s="439">
        <f t="shared" ref="FU36:FU67" si="246">IF($AG$13,(ML+$CZ36)*$AT$15+$FV36,0)</f>
        <v>0</v>
      </c>
      <c r="FV36" s="439">
        <f t="shared" ref="FV36:FV67" si="247">IF($AG$13,(ML+$CZ36)*(9.81*IF($AN$19&gt;0,1,-1))*((SIN(a)*IF($AN$19&gt;0,1,-1))+u*COS(a))+IF($AM$19,Fl,0)+Fr,0)</f>
        <v>0</v>
      </c>
      <c r="FW36" s="661">
        <f t="shared" ref="FW36:FW67" si="248">IF($AG$13,(ML+$CZ36)*$AT$18-$FV36,0)</f>
        <v>0</v>
      </c>
      <c r="FX36" s="661">
        <f t="shared" ref="FX36:FX67" si="249">IF($AG$13,(ML+$CZ36)*9.81*SIN(a)+IF($AM$19,Fl,0),0)</f>
        <v>0</v>
      </c>
      <c r="FY36" s="439">
        <f t="shared" ref="FY36:FY67" si="250">IF($AG$21,(ML+$CZ36)*$AT$23+$FZ36,0)</f>
        <v>0</v>
      </c>
      <c r="FZ36" s="439">
        <f t="shared" ref="FZ36:FZ67" si="251">IF($AG$21,(ML+$CZ36)*(9.81*IF($AN$27&gt;0,1,-1))*((SIN(a)*IF($AN$27&gt;0,1,-1))+u*COS(a))+IF($AM$27,Fl,0)+Fr,0)</f>
        <v>0</v>
      </c>
      <c r="GA36" s="439">
        <f t="shared" ref="GA36:GA67" si="252">IF($AG$21,(ML+$CZ36)*$AT$26-$FZ36,0)</f>
        <v>0</v>
      </c>
      <c r="GB36" s="439">
        <f t="shared" ref="GB36:GB67" si="253">IF($AG$21,(ML+$CZ36)*9.81*SIN(a)+IF($AM$27,Fl,0),0)</f>
        <v>0</v>
      </c>
      <c r="GC36" s="631" t="s">
        <v>92</v>
      </c>
      <c r="GD36" s="631">
        <f t="shared" si="153"/>
        <v>0.10045949768299936</v>
      </c>
      <c r="GF36" s="439">
        <f t="shared" ref="GF36:GF67" si="254">(ML+DA36)*$AC$7+$GG36-IF(AND($Z$4,$V$11),Fl,0)</f>
        <v>1.1657100000000002</v>
      </c>
      <c r="GG36" s="440">
        <f t="shared" ref="GG36:GG67" si="255">(ML+$DA36)*(9.81*IF($W$11&gt;0,1,-1))*((SIN(a)*IF($W$11&gt;0,1,-1))+u*COS(a))+IF($V$11,Fl,0)+Fr</f>
        <v>0.89271000000000011</v>
      </c>
      <c r="GH36" s="439">
        <f t="shared" ref="GH36:GH67" si="256">(ML+$DA36)*$AC$10-$GG36+IF(AND($Z$4,$V$11),Fl,0)</f>
        <v>-0.61971000000000009</v>
      </c>
      <c r="GI36" s="439">
        <f t="shared" ref="GI36:GI67" si="257">(ML+$DA36)*9.81*SIN(a)+IF($V$11,Fl,0)-IF(AND($Z$4,$V$11),Fl,0)</f>
        <v>0</v>
      </c>
      <c r="GJ36" s="439">
        <f t="shared" ref="GJ36:GJ67" si="258">IF($P$13,(ML+$DA36)*$AC$15+$GK36,0)</f>
        <v>0</v>
      </c>
      <c r="GK36" s="439">
        <f t="shared" ref="GK36:GK67" si="259">IF($P$13,(ML+$DA36)*(9.81*IF($W$19&gt;0,1,-1))*((SIN(a)*IF($W$19&gt;0,1,-1))+u*COS(a))+IF($V$19,Fl,0)+Fr,0)</f>
        <v>0</v>
      </c>
      <c r="GL36" s="439">
        <f t="shared" ref="GL36:GL67" si="260">IF($P$13,(ML+$DA36)*$AC$18-$GK36,0)</f>
        <v>0</v>
      </c>
      <c r="GM36" s="439">
        <f t="shared" ref="GM36:GM67" si="261">IF($P$13,(ML+$DA36)*9.81*SIN(a)+IF($V$19,Fl,0),0)</f>
        <v>0</v>
      </c>
      <c r="GN36" s="439">
        <f t="shared" ref="GN36:GN67" si="262">IF($P$21,(ML+$DA36)*$AC$23+$GO36,0)</f>
        <v>0</v>
      </c>
      <c r="GO36" s="439">
        <f t="shared" ref="GO36:GO67" si="263">IF($P$21,(ML+$DA36)*(9.81*IF($W$27&gt;0,1,-1))*((SIN(a)*IF($W$27&gt;0,1,-1))+u*COS(a))+IF($V$27,Fl,0)+Fr,0)</f>
        <v>0</v>
      </c>
      <c r="GP36" s="439">
        <f t="shared" ref="GP36:GP67" si="264">IF($P$21,(ML+$DA36)*$AC$26-$GO36,0)</f>
        <v>0</v>
      </c>
      <c r="GQ36" s="439">
        <f t="shared" ref="GQ36:GQ67" si="265">IF($P$21,(ML+$DA36)*9.81*SIN(a)+IF($V$27,Fl,0),0)</f>
        <v>0</v>
      </c>
      <c r="GR36" s="439">
        <f t="shared" ref="GR36:GR67" si="266">IF($AG$5,(ML+$DA36)*$AT$7+$GS36,0)</f>
        <v>0</v>
      </c>
      <c r="GS36" s="439">
        <f t="shared" ref="GS36:GS67" si="267">IF($AG$5,(ML+$DA36)*(9.81*IF($AN$11&gt;0,1,-1))*((SIN(a)*IF($AN$11&gt;0,1,-1))+u*COS(a))+IF($AM$11,Fl,0)+Fr,0)</f>
        <v>0</v>
      </c>
      <c r="GT36" s="442">
        <f t="shared" ref="GT36:GT67" si="268">IF($AG$5,(ML+$DA36)*$AT$10-$GS36,0)</f>
        <v>0</v>
      </c>
      <c r="GU36" s="442">
        <f t="shared" ref="GU36:GU67" si="269">IF($AG$5,(ML+$DA36)*9.81*SIN(a)+IF($AM$11,Fl,0),0)</f>
        <v>0</v>
      </c>
      <c r="GV36" s="439">
        <f t="shared" ref="GV36:GV67" si="270">IF($AG$13,(ML+$DA36)*$AT$15+$GW36,0)</f>
        <v>0</v>
      </c>
      <c r="GW36" s="439">
        <f t="shared" ref="GW36:GW67" si="271">IF($AG$13,(ML+$DA36)*(9.81*IF($AN$19&gt;0,1,-1))*((SIN(a)*IF($AN$19&gt;0,1,-1))+u*COS(a))+IF($AM$19,Fl,0)+Fr,0)</f>
        <v>0</v>
      </c>
      <c r="GX36" s="661">
        <f t="shared" ref="GX36:GX67" si="272">IF($AG$13,(ML+$DA36)*$AT$18-$GW36,0)</f>
        <v>0</v>
      </c>
      <c r="GY36" s="661">
        <f t="shared" ref="GY36:GY67" si="273">IF($AG$13,(ML+$DA36)*9.81*SIN(a)+IF($AM$19,Fl,0),0)</f>
        <v>0</v>
      </c>
      <c r="GZ36" s="439">
        <f t="shared" ref="GZ36:GZ67" si="274">IF($AG$21,(ML+$DA36)*$AT$23+$HA36,0)</f>
        <v>0</v>
      </c>
      <c r="HA36" s="439">
        <f t="shared" ref="HA36:HA67" si="275">IF($AG$21,(ML+$DA36)*(9.81*IF($AN$27&gt;0,1,-1))*((SIN(a)*IF($AN$27&gt;0,1,-1))+u*COS(a))+IF($AM$27,Fl,0)+Fr,0)</f>
        <v>0</v>
      </c>
      <c r="HB36" s="439">
        <f t="shared" ref="HB36:HB67" si="276">IF($AG$21,(ML+$DA36)*$AT$26-$HA36,0)</f>
        <v>0</v>
      </c>
      <c r="HC36" s="439">
        <f t="shared" ref="HC36:HC67" si="277">IF($AG$21,(ML+$DA36)*9.81*SIN(a)+IF($AM$27,Fl,0),0)</f>
        <v>0</v>
      </c>
      <c r="HD36" s="631" t="s">
        <v>92</v>
      </c>
      <c r="HE36" s="631">
        <f t="shared" si="176"/>
        <v>0.11872486089809015</v>
      </c>
      <c r="HG36" s="618">
        <f>HLOOKUP(CQ36,Spec_Sheet!$F$3:$DV$19,11,FALSE)+HLOOKUP(CQ36,Spec_Sheet!$F$3:$DV$21,19,FALSE)</f>
        <v>150</v>
      </c>
      <c r="HH36" s="618">
        <f t="shared" si="154"/>
        <v>100</v>
      </c>
      <c r="HI36" s="634">
        <f t="shared" si="155"/>
        <v>200</v>
      </c>
      <c r="HJ36" s="634">
        <f>HLOOKUP(IF(LEN(CQ36)&gt;6,LEFT(CQ36,5),CQ36),'LSM List Pricing'!$B$1:$BW$2,2,0)</f>
        <v>44</v>
      </c>
      <c r="HK36" s="634">
        <f>HLOOKUP(HJ36,'LSM List Pricing'!$B$2:$BW$3,2)</f>
        <v>500</v>
      </c>
      <c r="HL36" s="634">
        <f>VLOOKUP(HH36,'LSM List Pricing'!$A$7:$BW$87,HJ36,0)</f>
        <v>330</v>
      </c>
      <c r="HM36" s="627">
        <f>VLOOKUP(HI36,'LSM List Pricing'!$A$7:$BW$87,HJ36,1)</f>
        <v>380</v>
      </c>
      <c r="HN36" s="628">
        <f t="shared" si="106"/>
        <v>2.1282051282051282</v>
      </c>
      <c r="HO36" s="628">
        <f t="shared" si="107"/>
        <v>4.2564102564102564</v>
      </c>
      <c r="HP36" s="628">
        <f t="shared" si="108"/>
        <v>3.5384615384615383</v>
      </c>
      <c r="HR36" s="618">
        <v>1.6500000000000001E-2</v>
      </c>
      <c r="HS36" s="618">
        <f t="shared" si="109"/>
        <v>110.78571428571429</v>
      </c>
      <c r="HT36" s="618">
        <f t="shared" si="110"/>
        <v>1</v>
      </c>
      <c r="HU36" s="618">
        <f t="shared" si="170"/>
        <v>0.41992867492137836</v>
      </c>
      <c r="HW36" s="618">
        <f t="shared" si="111"/>
        <v>35.403701281611646</v>
      </c>
      <c r="HX36" s="618">
        <f t="shared" si="171"/>
        <v>0.41634546423887508</v>
      </c>
      <c r="HY36" s="618">
        <f t="shared" si="172"/>
        <v>1.6500000000000001E-2</v>
      </c>
      <c r="IB36" s="618">
        <f t="shared" si="113"/>
        <v>25.000350341399081</v>
      </c>
      <c r="IC36" s="618">
        <f t="shared" si="114"/>
        <v>1E-3</v>
      </c>
      <c r="IE36" s="618">
        <f t="shared" si="115"/>
        <v>0</v>
      </c>
      <c r="IF36" s="618">
        <f t="shared" si="116"/>
        <v>40.704999999999998</v>
      </c>
      <c r="IH36" s="618">
        <f t="shared" si="117"/>
        <v>0</v>
      </c>
      <c r="II36" s="618">
        <f t="shared" si="118"/>
        <v>40.704999999999998</v>
      </c>
      <c r="IK36" s="618">
        <f t="shared" si="119"/>
        <v>0</v>
      </c>
      <c r="IL36" s="618">
        <f t="shared" si="120"/>
        <v>40.704999999999998</v>
      </c>
      <c r="IN36" s="618">
        <f t="shared" si="121"/>
        <v>0</v>
      </c>
      <c r="IO36" s="618">
        <f t="shared" si="122"/>
        <v>40.704999999999998</v>
      </c>
      <c r="IQ36" s="618">
        <f t="shared" si="123"/>
        <v>0</v>
      </c>
      <c r="IR36" s="618">
        <f t="shared" si="124"/>
        <v>40.704999999999998</v>
      </c>
      <c r="IT36" s="660" t="str">
        <f t="shared" ref="IT36:IT67" si="278">CQ36</f>
        <v>S160Q</v>
      </c>
      <c r="IU36" s="628"/>
      <c r="IV36" s="439">
        <f t="shared" ref="IV36:IV67" si="279">(ML+($CY36*2))*$AC$7+$IW36-IF(AND($Z$4,$V$11),Fl,0)</f>
        <v>1.2810000000000001</v>
      </c>
      <c r="IW36" s="440">
        <f t="shared" ref="IW36:IW67" si="280">(ML+($CY36*2))*(9.81*IF($W$11&gt;0,1,-1))*((SIN(a)*IF($W$11&gt;0,1,-1))+u*COS(a))+IF($V$11,Fl,0)+Fr</f>
        <v>0.98100000000000009</v>
      </c>
      <c r="IX36" s="439">
        <f t="shared" ref="IX36:IX67" si="281">(ML+($CY36*2))*$AC$10-$IW36+IF(AND($Z$4,$V$11),Fl,0)</f>
        <v>-0.68100000000000005</v>
      </c>
      <c r="IY36" s="439">
        <f t="shared" ref="IY36:IY67" si="282">(ML+($CY36*2))*9.81*SIN(a)+IF($V$11,Fl,0)-IF(AND($Z$4,$V$11),Fl,0)</f>
        <v>0</v>
      </c>
      <c r="IZ36" s="439">
        <f t="shared" ref="IZ36:IZ67" si="283">IF($P$13,(ML+($CY36*2))*$AC$15+$JA36,0)</f>
        <v>0</v>
      </c>
      <c r="JA36" s="439">
        <f t="shared" ref="JA36:JA67" si="284">IF($P$13,(ML+($CY36*2))*(9.81*IF($W$19&gt;0,1,-1))*((SIN(a)*IF($W$19&gt;0,1,-1))+u*COS(a))+IF($V$19,Fl,0)+Fr,0)</f>
        <v>0</v>
      </c>
      <c r="JB36" s="439">
        <f t="shared" ref="JB36:JB67" si="285">IF($P$13,(ML+($CY36*2))*$AC$18-$JA36,0)</f>
        <v>0</v>
      </c>
      <c r="JC36" s="439">
        <f t="shared" ref="JC36:JC67" si="286">IF($P$13,(ML+($CY36*2))*9.81*SIN(a)+IF($V$19,Fl,0),0)</f>
        <v>0</v>
      </c>
      <c r="JD36" s="439">
        <f t="shared" ref="JD36:JD67" si="287">IF($P$21,(ML+($CY36*2))*$AC$23+$JE36,0)</f>
        <v>0</v>
      </c>
      <c r="JE36" s="439">
        <f t="shared" ref="JE36:JE67" si="288">IF($P$21,(ML+($CY36*2))*(9.81*IF($W$27&gt;0,1,-1))*((SIN(a)*IF($W$27&gt;0,1,-1))+u*COS(a))+IF($V$27,Fl,0)+Fr,0)</f>
        <v>0</v>
      </c>
      <c r="JF36" s="439">
        <f t="shared" ref="JF36:JF67" si="289">IF($P$21,(ML+($CY36*2))*$AC$26-$JE36,0)</f>
        <v>0</v>
      </c>
      <c r="JG36" s="439">
        <f t="shared" ref="JG36:JG67" si="290">IF($P$21,(ML+($CY36*2))*9.81*SIN(a)+IF($V$27,Fl,0),0)</f>
        <v>0</v>
      </c>
      <c r="JH36" s="439">
        <f t="shared" ref="JH36:JH67" si="291">IF($AG$5,(ML+($CY36*2))*$AT$7+$JI36,0)</f>
        <v>0</v>
      </c>
      <c r="JI36" s="439">
        <f t="shared" ref="JI36:JI67" si="292">IF($AG$5,(ML+($CY36*2))*(9.81*IF($AN$11&gt;0,1,-1))*((SIN(a)*IF($AN$11&gt;0,1,-1))+u*COS(a))+IF($AM$11,Fl,0)+Fr,0)</f>
        <v>0</v>
      </c>
      <c r="JJ36" s="442">
        <f t="shared" ref="JJ36:JJ67" si="293">IF($AG$5,(ML+($CY36*2))*$AT$10-$JI36,0)</f>
        <v>0</v>
      </c>
      <c r="JK36" s="442">
        <f t="shared" ref="JK36:JK67" si="294">IF($AG$5,(ML+($CY36*2))*9.81*SIN(a)+IF($AM$11,Fl,0),0)</f>
        <v>0</v>
      </c>
      <c r="JL36" s="439">
        <f t="shared" ref="JL36:JL67" si="295">IF($AG$13,(ML+($CY36*2))*$AT$15+$JM36,0)</f>
        <v>0</v>
      </c>
      <c r="JM36" s="439">
        <f t="shared" ref="JM36:JM67" si="296">IF($AG$13,(ML+($CY36*2))*(9.81*IF($AN$19&gt;0,1,-1))*((SIN(a)*IF($AN$19&gt;0,1,-1))+u*COS(a))+IF($AM$19,Fl,0)+Fr,0)</f>
        <v>0</v>
      </c>
      <c r="JN36" s="661">
        <f t="shared" ref="JN36:JN67" si="297">IF($AG$13,(ML+($CY36*2))*$AT$18-$JM36,0)</f>
        <v>0</v>
      </c>
      <c r="JO36" s="661">
        <f t="shared" ref="JO36:JO67" si="298">IF($AG$13,(ML+($CY36*2))*9.81*SIN(a)+IF($AM$19,Fl,0),0)</f>
        <v>0</v>
      </c>
      <c r="JP36" s="439">
        <f t="shared" ref="JP36:JP67" si="299">IF($AG$21,(ML+($CY36*2))*$AT$23+$JQ36,0)</f>
        <v>0</v>
      </c>
      <c r="JQ36" s="439">
        <f t="shared" ref="JQ36:JQ67" si="300">IF($AG$21,(ML+($CY36*2))*(9.81*IF($AN$27&gt;0,1,-1))*((SIN(a)*IF($AN$27&gt;0,1,-1))+u*COS(a))+IF($AM$27,Fl,0)+Fr,0)</f>
        <v>0</v>
      </c>
      <c r="JR36" s="439">
        <f t="shared" ref="JR36:JR67" si="301">IF($AG$21,(ML+($CY36*2))*$AT$26-$JQ36,0)</f>
        <v>0</v>
      </c>
      <c r="JS36" s="439">
        <f t="shared" ref="JS36:JS67" si="302">IF($AG$21,(ML+($CY36*2))*9.81*SIN(a)+IF($AM$27,Fl,0),0)</f>
        <v>0</v>
      </c>
      <c r="JT36" s="631" t="s">
        <v>92</v>
      </c>
      <c r="JU36" s="631">
        <f t="shared" si="158"/>
        <v>0.13046688010779137</v>
      </c>
      <c r="JW36" s="522"/>
      <c r="JX36" s="522"/>
      <c r="JY36" s="522"/>
      <c r="JZ36" s="522"/>
      <c r="KA36" s="522"/>
      <c r="KB36" s="522"/>
      <c r="KC36" s="522"/>
      <c r="KD36" s="522"/>
      <c r="KE36" s="522"/>
      <c r="KF36" s="522"/>
      <c r="KG36" s="522"/>
      <c r="KH36" s="522"/>
      <c r="KI36" s="522"/>
      <c r="KJ36" s="522"/>
      <c r="KK36" s="522"/>
      <c r="KL36" s="522"/>
    </row>
    <row r="37" spans="1:298" ht="9.9499999999999993" customHeight="1">
      <c r="A37" s="155"/>
      <c r="B37" s="95"/>
      <c r="C37" s="95"/>
      <c r="D37" s="95">
        <f>(D32*0.001)/D38</f>
        <v>0.3</v>
      </c>
      <c r="E37" s="95">
        <f t="shared" ref="E37:AA37" si="303">IF(E36=E35,(E32*0.001)/E38,D37)</f>
        <v>0.3</v>
      </c>
      <c r="F37" s="95">
        <f t="shared" si="303"/>
        <v>0.3</v>
      </c>
      <c r="G37" s="95">
        <f t="shared" si="303"/>
        <v>0.3</v>
      </c>
      <c r="H37" s="95">
        <f t="shared" si="303"/>
        <v>0.3</v>
      </c>
      <c r="I37" s="95">
        <f t="shared" si="303"/>
        <v>0.3</v>
      </c>
      <c r="J37" s="95">
        <f t="shared" si="303"/>
        <v>0.3</v>
      </c>
      <c r="K37" s="95">
        <f t="shared" si="303"/>
        <v>0.3</v>
      </c>
      <c r="L37" s="95">
        <f t="shared" si="303"/>
        <v>0.3</v>
      </c>
      <c r="M37" s="95">
        <f t="shared" si="303"/>
        <v>0.3</v>
      </c>
      <c r="N37" s="95">
        <f t="shared" si="303"/>
        <v>0.3</v>
      </c>
      <c r="O37" s="95">
        <f t="shared" si="303"/>
        <v>0.3</v>
      </c>
      <c r="P37" s="95">
        <f t="shared" si="303"/>
        <v>0.3</v>
      </c>
      <c r="Q37" s="95">
        <f t="shared" si="303"/>
        <v>0.3</v>
      </c>
      <c r="R37" s="95">
        <f t="shared" si="303"/>
        <v>0.3</v>
      </c>
      <c r="S37" s="95">
        <f t="shared" si="303"/>
        <v>0.3</v>
      </c>
      <c r="T37" s="95">
        <f t="shared" si="303"/>
        <v>0.3</v>
      </c>
      <c r="U37" s="95">
        <f t="shared" si="303"/>
        <v>0.3</v>
      </c>
      <c r="V37" s="95">
        <f t="shared" si="303"/>
        <v>0.3</v>
      </c>
      <c r="W37" s="95">
        <f t="shared" si="303"/>
        <v>0.3</v>
      </c>
      <c r="X37" s="95">
        <f t="shared" si="303"/>
        <v>0.3</v>
      </c>
      <c r="Y37" s="95">
        <f t="shared" si="303"/>
        <v>0.3</v>
      </c>
      <c r="Z37" s="95">
        <f t="shared" si="303"/>
        <v>0.3</v>
      </c>
      <c r="AA37" s="95">
        <f t="shared" si="303"/>
        <v>0.3</v>
      </c>
      <c r="AB37" s="95" t="s">
        <v>133</v>
      </c>
      <c r="AC37" s="95">
        <f>AC35/AQ34</f>
        <v>2.761302847925666E-2</v>
      </c>
      <c r="AD37" s="95"/>
      <c r="AE37" s="95"/>
      <c r="AF37" s="95"/>
      <c r="AG37" s="95"/>
      <c r="AH37" s="95"/>
      <c r="AI37" s="95"/>
      <c r="AJ37" s="95" t="s">
        <v>117</v>
      </c>
      <c r="AK37" s="95"/>
      <c r="AL37" s="95"/>
      <c r="AM37" s="95"/>
      <c r="AN37" s="95"/>
      <c r="AO37" s="95"/>
      <c r="AP37" s="95"/>
      <c r="AQ37" s="95">
        <f>IF(B17=3,HLOOKUP(AJ49,Spec_Sheet!$F$3:$ED$19,9,FALSE),HLOOKUP(AJ49,Spec_Sheet!$F$3:$ED$19,9,FALSE)/IF(B17=4,4,2))</f>
        <v>0.7</v>
      </c>
      <c r="AR37" s="95"/>
      <c r="AS37" s="95"/>
      <c r="AT37" s="95"/>
      <c r="AU37" s="95"/>
      <c r="AV37" s="95">
        <f t="shared" si="178"/>
        <v>15.2</v>
      </c>
      <c r="AW37" s="95">
        <f>IF($AY$32,'Data Sheet'!AA58,0)</f>
        <v>0.62145000000000006</v>
      </c>
      <c r="AX37" s="95">
        <f t="shared" si="179"/>
        <v>4.8000000000000001E-2</v>
      </c>
      <c r="AY37" s="95"/>
      <c r="AZ37" s="668"/>
      <c r="BA37" s="668"/>
      <c r="BB37" s="708" t="str">
        <f t="shared" ca="1" si="168"/>
        <v>S200D 1S</v>
      </c>
      <c r="BC37" s="709"/>
      <c r="BD37" s="710"/>
      <c r="BE37" s="342">
        <f t="shared" ca="1" si="160"/>
        <v>2.5739979439186982E-3</v>
      </c>
      <c r="BF37" s="78">
        <f t="shared" ca="1" si="161"/>
        <v>1.3132642571013764E-3</v>
      </c>
      <c r="BG37" s="490">
        <f t="shared" ca="1" si="162"/>
        <v>3.9760388648001285E-3</v>
      </c>
      <c r="BH37" s="78">
        <f t="shared" ca="1" si="163"/>
        <v>2.3580973000512317E-3</v>
      </c>
      <c r="BI37" s="617">
        <f t="shared" ca="1" si="164"/>
        <v>1.2612589925201617E-3</v>
      </c>
      <c r="BJ37" s="528">
        <f t="shared" ca="1" si="165"/>
        <v>1.9487179487179487</v>
      </c>
      <c r="BK37" s="529">
        <f t="shared" ca="1" si="166"/>
        <v>3.8974358974358974</v>
      </c>
      <c r="BL37" s="530">
        <f t="shared" ca="1" si="167"/>
        <v>3.4358974358974357</v>
      </c>
      <c r="BM37" s="44"/>
      <c r="BN37" s="294"/>
      <c r="BO37" s="44"/>
      <c r="BP37" s="44"/>
      <c r="BQ37" s="44"/>
      <c r="BR37" s="44"/>
      <c r="BS37" s="44"/>
      <c r="BT37" s="44"/>
      <c r="BU37" s="44"/>
      <c r="BV37" s="44"/>
      <c r="BW37" s="44"/>
      <c r="BX37" s="128"/>
      <c r="BY37" s="128"/>
      <c r="BZ37" s="44"/>
      <c r="CA37" s="44"/>
      <c r="CB37" s="44"/>
      <c r="CC37" s="44"/>
      <c r="CD37" s="44"/>
      <c r="CE37" s="44"/>
      <c r="CF37" s="44"/>
      <c r="CG37" s="52"/>
      <c r="CH37" s="164"/>
      <c r="CI37" s="100"/>
      <c r="CJ37" s="152"/>
      <c r="CK37" s="152"/>
      <c r="CL37" s="155"/>
      <c r="CM37" s="155"/>
      <c r="CN37" s="155"/>
      <c r="CO37" s="689" t="str">
        <f ca="1"/>
        <v>S200T</v>
      </c>
      <c r="CP37" s="632" t="str">
        <f>IF(OR(CQ37=0,CR37="",CS37&gt;120),"",IF(HLOOKUP(CQ37,Spec_Sheet!$F$3:$ED$19,17,FALSE)&lt;$AC$46,"",CQ37))</f>
        <v>S160Q 1S</v>
      </c>
      <c r="CQ37" s="660" t="str">
        <f>IF(Spec_Sheet!A36="","",Spec_Sheet!A36)</f>
        <v>S160Q 1S</v>
      </c>
      <c r="CR37" s="660">
        <f>IF(CQ37="",0,HLOOKUP(CQ37,Spec_Sheet!$F$3:$ED$19,2,FALSE))</f>
        <v>20.149999999999999</v>
      </c>
      <c r="CS37" s="660">
        <f t="shared" si="169"/>
        <v>1.0480704151285215E-3</v>
      </c>
      <c r="CT37" s="621">
        <f t="shared" si="173"/>
        <v>2.0542180136519025E-3</v>
      </c>
      <c r="CU37" s="621">
        <f t="shared" si="181"/>
        <v>1.0480704151285215E-3</v>
      </c>
      <c r="CV37" s="621">
        <f t="shared" si="174"/>
        <v>2.4856037965188026E-3</v>
      </c>
      <c r="CW37" s="621">
        <f t="shared" si="175"/>
        <v>1.3620723115010276E-3</v>
      </c>
      <c r="CX37" s="621">
        <f t="shared" si="157"/>
        <v>8.6790711076792891E-4</v>
      </c>
      <c r="CY37" s="619">
        <f>HLOOKUP(CQ37,Spec_Sheet!$F$3:$ED$19,13,FALSE)</f>
        <v>0.3</v>
      </c>
      <c r="CZ37" s="619">
        <f>VLOOKUP(HH37,'Shaft Weight'!$A$6:$CD$102,HJ37,TRUE)</f>
        <v>0.37</v>
      </c>
      <c r="DA37" s="619">
        <f>VLOOKUP(HI37,'Shaft Weight'!$A$6:$CD$102,HJ37,0)</f>
        <v>0.51</v>
      </c>
      <c r="DB37" s="619">
        <f>HLOOKUP(CQ37,Spec_Sheet!$F$3:$ED$19,6,FALSE)</f>
        <v>8.125</v>
      </c>
      <c r="DC37" s="439">
        <f t="shared" si="182"/>
        <v>0.89670000000000005</v>
      </c>
      <c r="DD37" s="440">
        <f t="shared" si="183"/>
        <v>0.68670000000000009</v>
      </c>
      <c r="DE37" s="439">
        <f t="shared" si="184"/>
        <v>-0.47670000000000012</v>
      </c>
      <c r="DF37" s="439">
        <f t="shared" si="185"/>
        <v>0</v>
      </c>
      <c r="DG37" s="439">
        <f t="shared" si="186"/>
        <v>0</v>
      </c>
      <c r="DH37" s="439">
        <f t="shared" si="187"/>
        <v>0</v>
      </c>
      <c r="DI37" s="439">
        <f t="shared" si="188"/>
        <v>0</v>
      </c>
      <c r="DJ37" s="439">
        <f t="shared" si="189"/>
        <v>0</v>
      </c>
      <c r="DK37" s="439">
        <f t="shared" si="190"/>
        <v>0</v>
      </c>
      <c r="DL37" s="439">
        <f t="shared" si="191"/>
        <v>0</v>
      </c>
      <c r="DM37" s="439">
        <f t="shared" si="192"/>
        <v>0</v>
      </c>
      <c r="DN37" s="439">
        <f t="shared" si="193"/>
        <v>0</v>
      </c>
      <c r="DO37" s="439">
        <f t="shared" si="194"/>
        <v>0</v>
      </c>
      <c r="DP37" s="439">
        <f t="shared" si="195"/>
        <v>0</v>
      </c>
      <c r="DQ37" s="442">
        <f t="shared" si="196"/>
        <v>0</v>
      </c>
      <c r="DR37" s="442">
        <f t="shared" si="197"/>
        <v>0</v>
      </c>
      <c r="DS37" s="439">
        <f t="shared" si="198"/>
        <v>0</v>
      </c>
      <c r="DT37" s="439">
        <f t="shared" si="199"/>
        <v>0</v>
      </c>
      <c r="DU37" s="661">
        <f t="shared" si="200"/>
        <v>0</v>
      </c>
      <c r="DV37" s="661">
        <f t="shared" si="201"/>
        <v>0</v>
      </c>
      <c r="DW37" s="439">
        <f t="shared" si="202"/>
        <v>0</v>
      </c>
      <c r="DX37" s="439">
        <f t="shared" si="203"/>
        <v>0</v>
      </c>
      <c r="DY37" s="439">
        <f t="shared" si="204"/>
        <v>0</v>
      </c>
      <c r="DZ37" s="439">
        <f t="shared" si="205"/>
        <v>0</v>
      </c>
      <c r="EA37" s="631" t="s">
        <v>92</v>
      </c>
      <c r="EB37" s="631">
        <f t="shared" si="151"/>
        <v>9.1326816075453968E-2</v>
      </c>
      <c r="ED37" s="439">
        <f t="shared" si="206"/>
        <v>1.4603400000000004</v>
      </c>
      <c r="EE37" s="440">
        <f t="shared" si="207"/>
        <v>1.1183400000000003</v>
      </c>
      <c r="EF37" s="439">
        <f t="shared" si="208"/>
        <v>-0.77634000000000025</v>
      </c>
      <c r="EG37" s="441">
        <f t="shared" si="209"/>
        <v>0</v>
      </c>
      <c r="EH37" s="439">
        <f t="shared" si="210"/>
        <v>0</v>
      </c>
      <c r="EI37" s="439">
        <f t="shared" si="211"/>
        <v>0</v>
      </c>
      <c r="EJ37" s="439">
        <f t="shared" si="212"/>
        <v>0</v>
      </c>
      <c r="EK37" s="439">
        <f t="shared" si="213"/>
        <v>0</v>
      </c>
      <c r="EL37" s="439">
        <f t="shared" si="214"/>
        <v>0</v>
      </c>
      <c r="EM37" s="439">
        <f t="shared" si="215"/>
        <v>0</v>
      </c>
      <c r="EN37" s="439">
        <f t="shared" si="216"/>
        <v>0</v>
      </c>
      <c r="EO37" s="439">
        <f t="shared" si="217"/>
        <v>0</v>
      </c>
      <c r="EP37" s="439">
        <f t="shared" si="218"/>
        <v>0</v>
      </c>
      <c r="EQ37" s="439">
        <f t="shared" si="219"/>
        <v>0</v>
      </c>
      <c r="ER37" s="442">
        <f t="shared" si="220"/>
        <v>0</v>
      </c>
      <c r="ES37" s="442">
        <f t="shared" si="221"/>
        <v>0</v>
      </c>
      <c r="ET37" s="439">
        <f t="shared" si="222"/>
        <v>0</v>
      </c>
      <c r="EU37" s="439">
        <f t="shared" si="223"/>
        <v>0</v>
      </c>
      <c r="EV37" s="661">
        <f t="shared" si="224"/>
        <v>0</v>
      </c>
      <c r="EW37" s="661">
        <f t="shared" si="225"/>
        <v>0</v>
      </c>
      <c r="EX37" s="439">
        <f t="shared" si="226"/>
        <v>0</v>
      </c>
      <c r="EY37" s="439">
        <f t="shared" si="227"/>
        <v>0</v>
      </c>
      <c r="EZ37" s="439">
        <f t="shared" si="228"/>
        <v>0</v>
      </c>
      <c r="FA37" s="439">
        <f t="shared" si="229"/>
        <v>0</v>
      </c>
      <c r="FB37" s="631" t="s">
        <v>92</v>
      </c>
      <c r="FC37" s="631">
        <f t="shared" si="152"/>
        <v>0.14873224332288221</v>
      </c>
      <c r="FE37" s="439">
        <f t="shared" si="230"/>
        <v>0.98637000000000008</v>
      </c>
      <c r="FF37" s="440">
        <f t="shared" si="231"/>
        <v>0.7553700000000001</v>
      </c>
      <c r="FG37" s="439">
        <f t="shared" si="232"/>
        <v>-0.52437000000000011</v>
      </c>
      <c r="FH37" s="441">
        <f t="shared" si="233"/>
        <v>0</v>
      </c>
      <c r="FI37" s="439">
        <f t="shared" si="234"/>
        <v>0</v>
      </c>
      <c r="FJ37" s="439">
        <f t="shared" si="235"/>
        <v>0</v>
      </c>
      <c r="FK37" s="439">
        <f t="shared" si="236"/>
        <v>0</v>
      </c>
      <c r="FL37" s="439">
        <f t="shared" si="237"/>
        <v>0</v>
      </c>
      <c r="FM37" s="439">
        <f t="shared" si="238"/>
        <v>0</v>
      </c>
      <c r="FN37" s="439">
        <f t="shared" si="239"/>
        <v>0</v>
      </c>
      <c r="FO37" s="439">
        <f t="shared" si="240"/>
        <v>0</v>
      </c>
      <c r="FP37" s="439">
        <f t="shared" si="241"/>
        <v>0</v>
      </c>
      <c r="FQ37" s="439">
        <f t="shared" si="242"/>
        <v>0</v>
      </c>
      <c r="FR37" s="439">
        <f t="shared" si="243"/>
        <v>0</v>
      </c>
      <c r="FS37" s="442">
        <f t="shared" si="244"/>
        <v>0</v>
      </c>
      <c r="FT37" s="442">
        <f t="shared" si="245"/>
        <v>0</v>
      </c>
      <c r="FU37" s="439">
        <f t="shared" si="246"/>
        <v>0</v>
      </c>
      <c r="FV37" s="439">
        <f t="shared" si="247"/>
        <v>0</v>
      </c>
      <c r="FW37" s="661">
        <f t="shared" si="248"/>
        <v>0</v>
      </c>
      <c r="FX37" s="661">
        <f t="shared" si="249"/>
        <v>0</v>
      </c>
      <c r="FY37" s="439">
        <f t="shared" si="250"/>
        <v>0</v>
      </c>
      <c r="FZ37" s="439">
        <f t="shared" si="251"/>
        <v>0</v>
      </c>
      <c r="GA37" s="439">
        <f t="shared" si="252"/>
        <v>0</v>
      </c>
      <c r="GB37" s="439">
        <f t="shared" si="253"/>
        <v>0</v>
      </c>
      <c r="GC37" s="631" t="s">
        <v>92</v>
      </c>
      <c r="GD37" s="631">
        <f t="shared" si="153"/>
        <v>0.10045949768299936</v>
      </c>
      <c r="GF37" s="439">
        <f t="shared" si="254"/>
        <v>1.1657100000000002</v>
      </c>
      <c r="GG37" s="440">
        <f t="shared" si="255"/>
        <v>0.89271000000000011</v>
      </c>
      <c r="GH37" s="439">
        <f t="shared" si="256"/>
        <v>-0.61971000000000009</v>
      </c>
      <c r="GI37" s="439">
        <f t="shared" si="257"/>
        <v>0</v>
      </c>
      <c r="GJ37" s="439">
        <f t="shared" si="258"/>
        <v>0</v>
      </c>
      <c r="GK37" s="439">
        <f t="shared" si="259"/>
        <v>0</v>
      </c>
      <c r="GL37" s="439">
        <f t="shared" si="260"/>
        <v>0</v>
      </c>
      <c r="GM37" s="439">
        <f t="shared" si="261"/>
        <v>0</v>
      </c>
      <c r="GN37" s="439">
        <f t="shared" si="262"/>
        <v>0</v>
      </c>
      <c r="GO37" s="439">
        <f t="shared" si="263"/>
        <v>0</v>
      </c>
      <c r="GP37" s="439">
        <f t="shared" si="264"/>
        <v>0</v>
      </c>
      <c r="GQ37" s="439">
        <f t="shared" si="265"/>
        <v>0</v>
      </c>
      <c r="GR37" s="439">
        <f t="shared" si="266"/>
        <v>0</v>
      </c>
      <c r="GS37" s="439">
        <f t="shared" si="267"/>
        <v>0</v>
      </c>
      <c r="GT37" s="442">
        <f t="shared" si="268"/>
        <v>0</v>
      </c>
      <c r="GU37" s="442">
        <f t="shared" si="269"/>
        <v>0</v>
      </c>
      <c r="GV37" s="439">
        <f t="shared" si="270"/>
        <v>0</v>
      </c>
      <c r="GW37" s="439">
        <f t="shared" si="271"/>
        <v>0</v>
      </c>
      <c r="GX37" s="661">
        <f t="shared" si="272"/>
        <v>0</v>
      </c>
      <c r="GY37" s="661">
        <f t="shared" si="273"/>
        <v>0</v>
      </c>
      <c r="GZ37" s="439">
        <f t="shared" si="274"/>
        <v>0</v>
      </c>
      <c r="HA37" s="439">
        <f t="shared" si="275"/>
        <v>0</v>
      </c>
      <c r="HB37" s="439">
        <f t="shared" si="276"/>
        <v>0</v>
      </c>
      <c r="HC37" s="439">
        <f t="shared" si="277"/>
        <v>0</v>
      </c>
      <c r="HD37" s="631" t="s">
        <v>92</v>
      </c>
      <c r="HE37" s="631">
        <f t="shared" si="176"/>
        <v>0.11872486089809015</v>
      </c>
      <c r="HF37" s="631"/>
      <c r="HG37" s="618">
        <f>HLOOKUP(CQ37,Spec_Sheet!$F$3:$DV$19,11,FALSE)+HLOOKUP(CQ37,Spec_Sheet!$F$3:$DV$21,19,FALSE)</f>
        <v>150</v>
      </c>
      <c r="HH37" s="618">
        <f t="shared" si="154"/>
        <v>100</v>
      </c>
      <c r="HI37" s="634">
        <f t="shared" si="155"/>
        <v>200</v>
      </c>
      <c r="HJ37" s="634">
        <f>HLOOKUP(IF(LEN(CQ37)&gt;6,LEFT(CQ37,5),CQ37),'LSM List Pricing'!$B$1:$BW$2,2,0)</f>
        <v>44</v>
      </c>
      <c r="HK37" s="634">
        <f>HLOOKUP(HJ37,'LSM List Pricing'!$B$2:$BW$3,2)</f>
        <v>500</v>
      </c>
      <c r="HL37" s="634">
        <f>VLOOKUP(HH37,'LSM List Pricing'!$A$7:$BW$87,HJ37,0)</f>
        <v>330</v>
      </c>
      <c r="HM37" s="627">
        <f>VLOOKUP(HI37,'LSM List Pricing'!$A$7:$BW$87,HJ37,1)</f>
        <v>380</v>
      </c>
      <c r="HN37" s="628">
        <f t="shared" si="106"/>
        <v>2.1282051282051282</v>
      </c>
      <c r="HO37" s="628">
        <f t="shared" si="107"/>
        <v>4.2564102564102564</v>
      </c>
      <c r="HP37" s="628">
        <f t="shared" si="108"/>
        <v>3.5384615384615383</v>
      </c>
      <c r="HQ37" s="631"/>
      <c r="HR37" s="618">
        <v>1.7000000000000001E-2</v>
      </c>
      <c r="HS37" s="618">
        <f t="shared" si="109"/>
        <v>114.14285714285715</v>
      </c>
      <c r="HT37" s="618">
        <f t="shared" si="110"/>
        <v>1</v>
      </c>
      <c r="HU37" s="618">
        <f t="shared" si="170"/>
        <v>0.43266771889500316</v>
      </c>
      <c r="HW37" s="618">
        <f t="shared" si="111"/>
        <v>35.385611839169094</v>
      </c>
      <c r="HX37" s="618">
        <f t="shared" si="171"/>
        <v>0.42886709938478601</v>
      </c>
      <c r="HY37" s="618">
        <f t="shared" si="172"/>
        <v>1.7000000000000001E-2</v>
      </c>
      <c r="IB37" s="618">
        <f t="shared" si="113"/>
        <v>25.000350341399081</v>
      </c>
      <c r="IC37" s="618">
        <f t="shared" si="114"/>
        <v>1E-3</v>
      </c>
      <c r="IE37" s="618">
        <f t="shared" si="115"/>
        <v>0</v>
      </c>
      <c r="IF37" s="618">
        <f t="shared" si="116"/>
        <v>40.704999999999998</v>
      </c>
      <c r="IH37" s="618">
        <f t="shared" si="117"/>
        <v>0</v>
      </c>
      <c r="II37" s="618">
        <f t="shared" si="118"/>
        <v>40.704999999999998</v>
      </c>
      <c r="IK37" s="618">
        <f t="shared" si="119"/>
        <v>0</v>
      </c>
      <c r="IL37" s="618">
        <f t="shared" si="120"/>
        <v>40.704999999999998</v>
      </c>
      <c r="IN37" s="618">
        <f t="shared" si="121"/>
        <v>0</v>
      </c>
      <c r="IO37" s="618">
        <f t="shared" si="122"/>
        <v>40.704999999999998</v>
      </c>
      <c r="IQ37" s="618">
        <f t="shared" si="123"/>
        <v>0</v>
      </c>
      <c r="IR37" s="618">
        <f t="shared" si="124"/>
        <v>40.704999999999998</v>
      </c>
      <c r="IT37" s="660" t="str">
        <f t="shared" si="278"/>
        <v>S160Q 1S</v>
      </c>
      <c r="IU37" s="628"/>
      <c r="IV37" s="439">
        <f t="shared" si="279"/>
        <v>1.2810000000000001</v>
      </c>
      <c r="IW37" s="440">
        <f t="shared" si="280"/>
        <v>0.98100000000000009</v>
      </c>
      <c r="IX37" s="439">
        <f t="shared" si="281"/>
        <v>-0.68100000000000005</v>
      </c>
      <c r="IY37" s="439">
        <f t="shared" si="282"/>
        <v>0</v>
      </c>
      <c r="IZ37" s="439">
        <f t="shared" si="283"/>
        <v>0</v>
      </c>
      <c r="JA37" s="439">
        <f t="shared" si="284"/>
        <v>0</v>
      </c>
      <c r="JB37" s="439">
        <f t="shared" si="285"/>
        <v>0</v>
      </c>
      <c r="JC37" s="439">
        <f t="shared" si="286"/>
        <v>0</v>
      </c>
      <c r="JD37" s="439">
        <f t="shared" si="287"/>
        <v>0</v>
      </c>
      <c r="JE37" s="439">
        <f t="shared" si="288"/>
        <v>0</v>
      </c>
      <c r="JF37" s="439">
        <f t="shared" si="289"/>
        <v>0</v>
      </c>
      <c r="JG37" s="439">
        <f t="shared" si="290"/>
        <v>0</v>
      </c>
      <c r="JH37" s="439">
        <f t="shared" si="291"/>
        <v>0</v>
      </c>
      <c r="JI37" s="439">
        <f t="shared" si="292"/>
        <v>0</v>
      </c>
      <c r="JJ37" s="442">
        <f t="shared" si="293"/>
        <v>0</v>
      </c>
      <c r="JK37" s="442">
        <f t="shared" si="294"/>
        <v>0</v>
      </c>
      <c r="JL37" s="439">
        <f t="shared" si="295"/>
        <v>0</v>
      </c>
      <c r="JM37" s="439">
        <f t="shared" si="296"/>
        <v>0</v>
      </c>
      <c r="JN37" s="661">
        <f t="shared" si="297"/>
        <v>0</v>
      </c>
      <c r="JO37" s="661">
        <f t="shared" si="298"/>
        <v>0</v>
      </c>
      <c r="JP37" s="439">
        <f t="shared" si="299"/>
        <v>0</v>
      </c>
      <c r="JQ37" s="439">
        <f t="shared" si="300"/>
        <v>0</v>
      </c>
      <c r="JR37" s="439">
        <f t="shared" si="301"/>
        <v>0</v>
      </c>
      <c r="JS37" s="439">
        <f t="shared" si="302"/>
        <v>0</v>
      </c>
      <c r="JT37" s="631" t="s">
        <v>92</v>
      </c>
      <c r="JU37" s="631">
        <f t="shared" si="158"/>
        <v>0.13046688010779137</v>
      </c>
      <c r="JW37" s="522"/>
      <c r="JX37" s="522"/>
      <c r="JY37" s="522"/>
      <c r="JZ37" s="522"/>
      <c r="KA37" s="522"/>
      <c r="KB37" s="522"/>
      <c r="KC37" s="522"/>
      <c r="KD37" s="522"/>
      <c r="KE37" s="522"/>
      <c r="KF37" s="522"/>
      <c r="KG37" s="522"/>
      <c r="KH37" s="522"/>
      <c r="KI37" s="522"/>
      <c r="KJ37" s="522"/>
      <c r="KK37" s="522"/>
      <c r="KL37" s="522"/>
    </row>
    <row r="38" spans="1:298" ht="9.9499999999999993" customHeight="1">
      <c r="A38" s="155"/>
      <c r="B38" s="95" t="s">
        <v>46</v>
      </c>
      <c r="C38" s="95"/>
      <c r="D38" s="95">
        <f>U6</f>
        <v>0.08</v>
      </c>
      <c r="E38" s="95">
        <f>U7</f>
        <v>0.54500000000000004</v>
      </c>
      <c r="F38" s="95">
        <f>U8</f>
        <v>0.08</v>
      </c>
      <c r="G38" s="95">
        <f>U9</f>
        <v>50</v>
      </c>
      <c r="H38" s="95">
        <f>U14</f>
        <v>0.6</v>
      </c>
      <c r="I38" s="95">
        <f>IF($P$13,U15,0)</f>
        <v>0</v>
      </c>
      <c r="J38" s="95">
        <f>IF($P$13,U16,0)</f>
        <v>0</v>
      </c>
      <c r="K38" s="95">
        <f>IF($P$13,U17,0)</f>
        <v>0</v>
      </c>
      <c r="L38" s="95">
        <f>IF($P$21,U22,0)</f>
        <v>0</v>
      </c>
      <c r="M38" s="95">
        <f>IF($P$21,U23,0)</f>
        <v>0</v>
      </c>
      <c r="N38" s="95">
        <f>IF($P$21,U24,0)</f>
        <v>0</v>
      </c>
      <c r="O38" s="95">
        <f>IF($P$21,U25,0)</f>
        <v>0</v>
      </c>
      <c r="P38" s="95">
        <f>IF($AG$5,AL6,0)</f>
        <v>0</v>
      </c>
      <c r="Q38" s="95">
        <f>IF($AG$5,AL7,0)</f>
        <v>0</v>
      </c>
      <c r="R38" s="95">
        <f>IF($AG$5,AL8,0)</f>
        <v>0</v>
      </c>
      <c r="S38" s="95">
        <f>IF($AG$5,AL9,0)</f>
        <v>0</v>
      </c>
      <c r="T38" s="95">
        <f>IF($AG$13,AL14,0)</f>
        <v>0</v>
      </c>
      <c r="U38" s="95">
        <f>IF($AG$13,AL15,0)</f>
        <v>0</v>
      </c>
      <c r="V38" s="95">
        <f>IF($AG$13,AL16,0)</f>
        <v>0</v>
      </c>
      <c r="W38" s="95">
        <f>IF($AG$13,AL17,0)</f>
        <v>0</v>
      </c>
      <c r="X38" s="95">
        <f>IF($AG$21,AL22,0)</f>
        <v>0</v>
      </c>
      <c r="Y38" s="95">
        <f>IF($AG$21,AL23,0)</f>
        <v>0</v>
      </c>
      <c r="Z38" s="95">
        <f>IF($AG$21,AL24,0)</f>
        <v>0</v>
      </c>
      <c r="AA38" s="95">
        <f>IF($AG$21,AL25,0)</f>
        <v>0</v>
      </c>
      <c r="AB38" s="95" t="s">
        <v>134</v>
      </c>
      <c r="AC38" s="95">
        <f>AE35/AQ34</f>
        <v>0.27590736679974059</v>
      </c>
      <c r="AD38" s="95"/>
      <c r="AE38" s="95"/>
      <c r="AF38" s="95"/>
      <c r="AG38" s="95"/>
      <c r="AH38" s="95"/>
      <c r="AI38" s="95"/>
      <c r="AJ38" s="95" t="s">
        <v>118</v>
      </c>
      <c r="AK38" s="95"/>
      <c r="AL38" s="95"/>
      <c r="AM38" s="95"/>
      <c r="AN38" s="95"/>
      <c r="AO38" s="95"/>
      <c r="AP38" s="95"/>
      <c r="AQ38" s="95">
        <f>IF(B17=3,HLOOKUP(AJ49,Spec_Sheet!$F$3:$ED$19,10,FALSE),HLOOKUP(AJ49,Spec_Sheet!$F$3:$ED$19,10,FALSE)/IF(B17=4,4,2))</f>
        <v>33.200000000000003</v>
      </c>
      <c r="AR38" s="95"/>
      <c r="AS38" s="95"/>
      <c r="AT38" s="95"/>
      <c r="AU38" s="95"/>
      <c r="AV38" s="95">
        <f t="shared" si="178"/>
        <v>18.400000000000002</v>
      </c>
      <c r="AW38" s="95">
        <f>IF($AY$32,'Data Sheet'!AA59,0)</f>
        <v>0.62145000000000006</v>
      </c>
      <c r="AX38" s="95">
        <f t="shared" si="179"/>
        <v>5.6000000000000001E-2</v>
      </c>
      <c r="AY38" s="95">
        <f>IF(AY33,0,K31-J31+AY34)</f>
        <v>0</v>
      </c>
      <c r="AZ38" s="668"/>
      <c r="BA38" s="668"/>
      <c r="BB38" s="708" t="str">
        <f t="shared" ca="1" si="168"/>
        <v>L320SS</v>
      </c>
      <c r="BC38" s="709"/>
      <c r="BD38" s="710"/>
      <c r="BE38" s="342">
        <f t="shared" ca="1" si="160"/>
        <v>3.4437648844029955E-3</v>
      </c>
      <c r="BF38" s="78">
        <f t="shared" ca="1" si="161"/>
        <v>1.9991016109006054E-3</v>
      </c>
      <c r="BG38" s="490">
        <f t="shared" ca="1" si="162"/>
        <v>1.2338693316693891E-2</v>
      </c>
      <c r="BH38" s="78">
        <f t="shared" ca="1" si="163"/>
        <v>9.4298442930201634E-3</v>
      </c>
      <c r="BI38" s="617">
        <f t="shared" ca="1" si="164"/>
        <v>3.0846733291734728E-3</v>
      </c>
      <c r="BJ38" s="528">
        <f t="shared" ca="1" si="165"/>
        <v>2.2307692307692308</v>
      </c>
      <c r="BK38" s="529">
        <f t="shared" ca="1" si="166"/>
        <v>4.4615384615384617</v>
      </c>
      <c r="BL38" s="530">
        <f t="shared" ca="1" si="167"/>
        <v>3.1794871794871793</v>
      </c>
      <c r="BM38" s="44"/>
      <c r="BN38" s="51" t="s">
        <v>165</v>
      </c>
      <c r="BO38" s="129"/>
      <c r="BP38" s="129"/>
      <c r="BQ38" s="122"/>
      <c r="BR38" s="129"/>
      <c r="BS38" s="83"/>
      <c r="BT38" s="83"/>
      <c r="BU38" s="83"/>
      <c r="BV38" s="83"/>
      <c r="BW38" s="83"/>
      <c r="BX38" s="764"/>
      <c r="BY38" s="764"/>
      <c r="BZ38" s="83"/>
      <c r="CA38" s="130"/>
      <c r="CB38" s="129"/>
      <c r="CC38" s="129"/>
      <c r="CD38" s="129"/>
      <c r="CE38" s="129"/>
      <c r="CF38" s="129"/>
      <c r="CG38" s="129"/>
      <c r="CH38" s="164"/>
      <c r="CI38" s="100"/>
      <c r="CJ38" s="152"/>
      <c r="CK38" s="152"/>
      <c r="CL38" s="155"/>
      <c r="CM38" s="155"/>
      <c r="CN38" s="155"/>
      <c r="CO38" s="689" t="str">
        <f ca="1"/>
        <v>S200T 1S</v>
      </c>
      <c r="CP38" s="632" t="str">
        <f>IF(OR(CQ38=0,CR38="",CS38&gt;120),"",IF(HLOOKUP(CQ38,Spec_Sheet!$F$3:$ED$19,17,FALSE)&lt;$AC$46,"",CQ38))</f>
        <v>S160Q 2S</v>
      </c>
      <c r="CQ38" s="660" t="str">
        <f>IF(Spec_Sheet!A37="","",Spec_Sheet!A37)</f>
        <v>S160Q 2S</v>
      </c>
      <c r="CR38" s="660">
        <f>IF(CQ38="",0,HLOOKUP(CQ38,Spec_Sheet!$F$3:$ED$19,2,FALSE))</f>
        <v>20.149999999999999</v>
      </c>
      <c r="CS38" s="660">
        <f t="shared" si="169"/>
        <v>1.0480704151285215E-3</v>
      </c>
      <c r="CT38" s="621">
        <f t="shared" si="173"/>
        <v>2.0542180136519025E-3</v>
      </c>
      <c r="CU38" s="621">
        <f t="shared" si="181"/>
        <v>1.0480704151285215E-3</v>
      </c>
      <c r="CV38" s="621">
        <f t="shared" si="174"/>
        <v>2.4856037965188026E-3</v>
      </c>
      <c r="CW38" s="621">
        <f t="shared" si="175"/>
        <v>1.3620723115010276E-3</v>
      </c>
      <c r="CX38" s="621">
        <f t="shared" si="157"/>
        <v>8.6790711076792891E-4</v>
      </c>
      <c r="CY38" s="619">
        <f>HLOOKUP(CQ38,Spec_Sheet!$F$3:$ED$19,13,FALSE)</f>
        <v>0.3</v>
      </c>
      <c r="CZ38" s="619">
        <f>VLOOKUP(HH38,'Shaft Weight'!$A$6:$CD$102,HJ38,TRUE)</f>
        <v>0.37</v>
      </c>
      <c r="DA38" s="619">
        <f>VLOOKUP(HI38,'Shaft Weight'!$A$6:$CD$102,HJ38,0)</f>
        <v>0.51</v>
      </c>
      <c r="DB38" s="619">
        <f>HLOOKUP(CQ38,Spec_Sheet!$F$3:$ED$19,6,FALSE)</f>
        <v>16.25</v>
      </c>
      <c r="DC38" s="439">
        <f t="shared" si="182"/>
        <v>0.89670000000000005</v>
      </c>
      <c r="DD38" s="440">
        <f t="shared" si="183"/>
        <v>0.68670000000000009</v>
      </c>
      <c r="DE38" s="439">
        <f t="shared" si="184"/>
        <v>-0.47670000000000012</v>
      </c>
      <c r="DF38" s="439">
        <f t="shared" si="185"/>
        <v>0</v>
      </c>
      <c r="DG38" s="439">
        <f t="shared" si="186"/>
        <v>0</v>
      </c>
      <c r="DH38" s="439">
        <f t="shared" si="187"/>
        <v>0</v>
      </c>
      <c r="DI38" s="439">
        <f t="shared" si="188"/>
        <v>0</v>
      </c>
      <c r="DJ38" s="439">
        <f t="shared" si="189"/>
        <v>0</v>
      </c>
      <c r="DK38" s="439">
        <f t="shared" si="190"/>
        <v>0</v>
      </c>
      <c r="DL38" s="439">
        <f t="shared" si="191"/>
        <v>0</v>
      </c>
      <c r="DM38" s="439">
        <f t="shared" si="192"/>
        <v>0</v>
      </c>
      <c r="DN38" s="439">
        <f t="shared" si="193"/>
        <v>0</v>
      </c>
      <c r="DO38" s="439">
        <f t="shared" si="194"/>
        <v>0</v>
      </c>
      <c r="DP38" s="439">
        <f t="shared" si="195"/>
        <v>0</v>
      </c>
      <c r="DQ38" s="442">
        <f t="shared" si="196"/>
        <v>0</v>
      </c>
      <c r="DR38" s="442">
        <f t="shared" si="197"/>
        <v>0</v>
      </c>
      <c r="DS38" s="439">
        <f t="shared" si="198"/>
        <v>0</v>
      </c>
      <c r="DT38" s="439">
        <f t="shared" si="199"/>
        <v>0</v>
      </c>
      <c r="DU38" s="661">
        <f t="shared" si="200"/>
        <v>0</v>
      </c>
      <c r="DV38" s="661">
        <f t="shared" si="201"/>
        <v>0</v>
      </c>
      <c r="DW38" s="439">
        <f t="shared" si="202"/>
        <v>0</v>
      </c>
      <c r="DX38" s="439">
        <f t="shared" si="203"/>
        <v>0</v>
      </c>
      <c r="DY38" s="439">
        <f t="shared" si="204"/>
        <v>0</v>
      </c>
      <c r="DZ38" s="439">
        <f t="shared" si="205"/>
        <v>0</v>
      </c>
      <c r="EA38" s="631" t="s">
        <v>92</v>
      </c>
      <c r="EB38" s="631">
        <f t="shared" si="151"/>
        <v>9.1326816075453968E-2</v>
      </c>
      <c r="ED38" s="439">
        <f t="shared" si="206"/>
        <v>1.4603400000000004</v>
      </c>
      <c r="EE38" s="440">
        <f t="shared" si="207"/>
        <v>1.1183400000000003</v>
      </c>
      <c r="EF38" s="439">
        <f t="shared" si="208"/>
        <v>-0.77634000000000025</v>
      </c>
      <c r="EG38" s="441">
        <f t="shared" si="209"/>
        <v>0</v>
      </c>
      <c r="EH38" s="439">
        <f t="shared" si="210"/>
        <v>0</v>
      </c>
      <c r="EI38" s="439">
        <f t="shared" si="211"/>
        <v>0</v>
      </c>
      <c r="EJ38" s="439">
        <f t="shared" si="212"/>
        <v>0</v>
      </c>
      <c r="EK38" s="439">
        <f t="shared" si="213"/>
        <v>0</v>
      </c>
      <c r="EL38" s="439">
        <f t="shared" si="214"/>
        <v>0</v>
      </c>
      <c r="EM38" s="439">
        <f t="shared" si="215"/>
        <v>0</v>
      </c>
      <c r="EN38" s="439">
        <f t="shared" si="216"/>
        <v>0</v>
      </c>
      <c r="EO38" s="439">
        <f t="shared" si="217"/>
        <v>0</v>
      </c>
      <c r="EP38" s="439">
        <f t="shared" si="218"/>
        <v>0</v>
      </c>
      <c r="EQ38" s="439">
        <f t="shared" si="219"/>
        <v>0</v>
      </c>
      <c r="ER38" s="442">
        <f t="shared" si="220"/>
        <v>0</v>
      </c>
      <c r="ES38" s="442">
        <f t="shared" si="221"/>
        <v>0</v>
      </c>
      <c r="ET38" s="439">
        <f t="shared" si="222"/>
        <v>0</v>
      </c>
      <c r="EU38" s="439">
        <f t="shared" si="223"/>
        <v>0</v>
      </c>
      <c r="EV38" s="661">
        <f t="shared" si="224"/>
        <v>0</v>
      </c>
      <c r="EW38" s="661">
        <f t="shared" si="225"/>
        <v>0</v>
      </c>
      <c r="EX38" s="439">
        <f t="shared" si="226"/>
        <v>0</v>
      </c>
      <c r="EY38" s="439">
        <f t="shared" si="227"/>
        <v>0</v>
      </c>
      <c r="EZ38" s="439">
        <f t="shared" si="228"/>
        <v>0</v>
      </c>
      <c r="FA38" s="439">
        <f t="shared" si="229"/>
        <v>0</v>
      </c>
      <c r="FB38" s="631" t="s">
        <v>92</v>
      </c>
      <c r="FC38" s="631">
        <f t="shared" si="152"/>
        <v>0.14873224332288221</v>
      </c>
      <c r="FE38" s="439">
        <f t="shared" si="230"/>
        <v>0.98637000000000008</v>
      </c>
      <c r="FF38" s="440">
        <f t="shared" si="231"/>
        <v>0.7553700000000001</v>
      </c>
      <c r="FG38" s="439">
        <f t="shared" si="232"/>
        <v>-0.52437000000000011</v>
      </c>
      <c r="FH38" s="441">
        <f t="shared" si="233"/>
        <v>0</v>
      </c>
      <c r="FI38" s="439">
        <f t="shared" si="234"/>
        <v>0</v>
      </c>
      <c r="FJ38" s="439">
        <f t="shared" si="235"/>
        <v>0</v>
      </c>
      <c r="FK38" s="439">
        <f t="shared" si="236"/>
        <v>0</v>
      </c>
      <c r="FL38" s="439">
        <f t="shared" si="237"/>
        <v>0</v>
      </c>
      <c r="FM38" s="439">
        <f t="shared" si="238"/>
        <v>0</v>
      </c>
      <c r="FN38" s="439">
        <f t="shared" si="239"/>
        <v>0</v>
      </c>
      <c r="FO38" s="439">
        <f t="shared" si="240"/>
        <v>0</v>
      </c>
      <c r="FP38" s="439">
        <f t="shared" si="241"/>
        <v>0</v>
      </c>
      <c r="FQ38" s="439">
        <f t="shared" si="242"/>
        <v>0</v>
      </c>
      <c r="FR38" s="439">
        <f t="shared" si="243"/>
        <v>0</v>
      </c>
      <c r="FS38" s="442">
        <f t="shared" si="244"/>
        <v>0</v>
      </c>
      <c r="FT38" s="442">
        <f t="shared" si="245"/>
        <v>0</v>
      </c>
      <c r="FU38" s="439">
        <f t="shared" si="246"/>
        <v>0</v>
      </c>
      <c r="FV38" s="439">
        <f t="shared" si="247"/>
        <v>0</v>
      </c>
      <c r="FW38" s="661">
        <f t="shared" si="248"/>
        <v>0</v>
      </c>
      <c r="FX38" s="661">
        <f t="shared" si="249"/>
        <v>0</v>
      </c>
      <c r="FY38" s="439">
        <f t="shared" si="250"/>
        <v>0</v>
      </c>
      <c r="FZ38" s="439">
        <f t="shared" si="251"/>
        <v>0</v>
      </c>
      <c r="GA38" s="439">
        <f t="shared" si="252"/>
        <v>0</v>
      </c>
      <c r="GB38" s="439">
        <f t="shared" si="253"/>
        <v>0</v>
      </c>
      <c r="GC38" s="631" t="s">
        <v>92</v>
      </c>
      <c r="GD38" s="631">
        <f t="shared" si="153"/>
        <v>0.10045949768299936</v>
      </c>
      <c r="GF38" s="439">
        <f t="shared" si="254"/>
        <v>1.1657100000000002</v>
      </c>
      <c r="GG38" s="440">
        <f t="shared" si="255"/>
        <v>0.89271000000000011</v>
      </c>
      <c r="GH38" s="439">
        <f t="shared" si="256"/>
        <v>-0.61971000000000009</v>
      </c>
      <c r="GI38" s="439">
        <f t="shared" si="257"/>
        <v>0</v>
      </c>
      <c r="GJ38" s="439">
        <f t="shared" si="258"/>
        <v>0</v>
      </c>
      <c r="GK38" s="439">
        <f t="shared" si="259"/>
        <v>0</v>
      </c>
      <c r="GL38" s="439">
        <f t="shared" si="260"/>
        <v>0</v>
      </c>
      <c r="GM38" s="439">
        <f t="shared" si="261"/>
        <v>0</v>
      </c>
      <c r="GN38" s="439">
        <f t="shared" si="262"/>
        <v>0</v>
      </c>
      <c r="GO38" s="439">
        <f t="shared" si="263"/>
        <v>0</v>
      </c>
      <c r="GP38" s="439">
        <f t="shared" si="264"/>
        <v>0</v>
      </c>
      <c r="GQ38" s="439">
        <f t="shared" si="265"/>
        <v>0</v>
      </c>
      <c r="GR38" s="439">
        <f t="shared" si="266"/>
        <v>0</v>
      </c>
      <c r="GS38" s="439">
        <f t="shared" si="267"/>
        <v>0</v>
      </c>
      <c r="GT38" s="442">
        <f t="shared" si="268"/>
        <v>0</v>
      </c>
      <c r="GU38" s="442">
        <f t="shared" si="269"/>
        <v>0</v>
      </c>
      <c r="GV38" s="439">
        <f t="shared" si="270"/>
        <v>0</v>
      </c>
      <c r="GW38" s="439">
        <f t="shared" si="271"/>
        <v>0</v>
      </c>
      <c r="GX38" s="661">
        <f t="shared" si="272"/>
        <v>0</v>
      </c>
      <c r="GY38" s="661">
        <f t="shared" si="273"/>
        <v>0</v>
      </c>
      <c r="GZ38" s="439">
        <f t="shared" si="274"/>
        <v>0</v>
      </c>
      <c r="HA38" s="439">
        <f t="shared" si="275"/>
        <v>0</v>
      </c>
      <c r="HB38" s="439">
        <f t="shared" si="276"/>
        <v>0</v>
      </c>
      <c r="HC38" s="439">
        <f t="shared" si="277"/>
        <v>0</v>
      </c>
      <c r="HD38" s="631" t="s">
        <v>92</v>
      </c>
      <c r="HE38" s="631">
        <f t="shared" si="176"/>
        <v>0.11872486089809015</v>
      </c>
      <c r="HG38" s="618">
        <f>HLOOKUP(CQ38,Spec_Sheet!$F$3:$DV$19,11,FALSE)+HLOOKUP(CQ38,Spec_Sheet!$F$3:$DV$21,19,FALSE)</f>
        <v>150</v>
      </c>
      <c r="HH38" s="618">
        <f t="shared" si="154"/>
        <v>100</v>
      </c>
      <c r="HI38" s="634">
        <f t="shared" si="155"/>
        <v>200</v>
      </c>
      <c r="HJ38" s="634">
        <f>HLOOKUP(IF(LEN(CQ38)&gt;6,LEFT(CQ38,5),CQ38),'LSM List Pricing'!$B$1:$BW$2,2,0)</f>
        <v>44</v>
      </c>
      <c r="HK38" s="634">
        <f>HLOOKUP(HJ38,'LSM List Pricing'!$B$2:$BW$3,2)</f>
        <v>500</v>
      </c>
      <c r="HL38" s="634">
        <f>VLOOKUP(HH38,'LSM List Pricing'!$A$7:$BW$87,HJ38,0)</f>
        <v>330</v>
      </c>
      <c r="HM38" s="627">
        <f>VLOOKUP(HI38,'LSM List Pricing'!$A$7:$BW$87,HJ38,1)</f>
        <v>380</v>
      </c>
      <c r="HN38" s="628">
        <f t="shared" si="106"/>
        <v>2.1282051282051282</v>
      </c>
      <c r="HO38" s="628">
        <f t="shared" si="107"/>
        <v>4.2564102564102564</v>
      </c>
      <c r="HP38" s="628">
        <f t="shared" si="108"/>
        <v>3.5384615384615383</v>
      </c>
      <c r="HR38" s="618">
        <v>1.7500000000000002E-2</v>
      </c>
      <c r="HS38" s="618">
        <f t="shared" si="109"/>
        <v>117.50000000000001</v>
      </c>
      <c r="HT38" s="618">
        <f t="shared" si="110"/>
        <v>1</v>
      </c>
      <c r="HU38" s="618">
        <f t="shared" si="170"/>
        <v>0.44540676286862796</v>
      </c>
      <c r="HW38" s="618">
        <f t="shared" si="111"/>
        <v>35.36752239672655</v>
      </c>
      <c r="HX38" s="618">
        <f t="shared" si="171"/>
        <v>0.44138233335839877</v>
      </c>
      <c r="HY38" s="618">
        <f t="shared" si="172"/>
        <v>1.7500000000000002E-2</v>
      </c>
      <c r="IB38" s="618">
        <f t="shared" si="113"/>
        <v>25.000350341399081</v>
      </c>
      <c r="IC38" s="618">
        <f t="shared" si="114"/>
        <v>1E-3</v>
      </c>
      <c r="IE38" s="618">
        <f t="shared" si="115"/>
        <v>0</v>
      </c>
      <c r="IF38" s="618">
        <f t="shared" si="116"/>
        <v>40.704999999999998</v>
      </c>
      <c r="IH38" s="618">
        <f t="shared" si="117"/>
        <v>0</v>
      </c>
      <c r="II38" s="618">
        <f t="shared" si="118"/>
        <v>40.704999999999998</v>
      </c>
      <c r="IK38" s="618">
        <f t="shared" si="119"/>
        <v>0</v>
      </c>
      <c r="IL38" s="618">
        <f t="shared" si="120"/>
        <v>40.704999999999998</v>
      </c>
      <c r="IN38" s="618">
        <f t="shared" si="121"/>
        <v>0</v>
      </c>
      <c r="IO38" s="618">
        <f t="shared" si="122"/>
        <v>40.704999999999998</v>
      </c>
      <c r="IQ38" s="618">
        <f t="shared" si="123"/>
        <v>0</v>
      </c>
      <c r="IR38" s="618">
        <f t="shared" si="124"/>
        <v>40.704999999999998</v>
      </c>
      <c r="IT38" s="660" t="str">
        <f t="shared" si="278"/>
        <v>S160Q 2S</v>
      </c>
      <c r="IU38" s="628"/>
      <c r="IV38" s="439">
        <f t="shared" si="279"/>
        <v>1.2810000000000001</v>
      </c>
      <c r="IW38" s="440">
        <f t="shared" si="280"/>
        <v>0.98100000000000009</v>
      </c>
      <c r="IX38" s="439">
        <f t="shared" si="281"/>
        <v>-0.68100000000000005</v>
      </c>
      <c r="IY38" s="439">
        <f t="shared" si="282"/>
        <v>0</v>
      </c>
      <c r="IZ38" s="439">
        <f t="shared" si="283"/>
        <v>0</v>
      </c>
      <c r="JA38" s="439">
        <f t="shared" si="284"/>
        <v>0</v>
      </c>
      <c r="JB38" s="439">
        <f t="shared" si="285"/>
        <v>0</v>
      </c>
      <c r="JC38" s="439">
        <f t="shared" si="286"/>
        <v>0</v>
      </c>
      <c r="JD38" s="439">
        <f t="shared" si="287"/>
        <v>0</v>
      </c>
      <c r="JE38" s="439">
        <f t="shared" si="288"/>
        <v>0</v>
      </c>
      <c r="JF38" s="439">
        <f t="shared" si="289"/>
        <v>0</v>
      </c>
      <c r="JG38" s="439">
        <f t="shared" si="290"/>
        <v>0</v>
      </c>
      <c r="JH38" s="439">
        <f t="shared" si="291"/>
        <v>0</v>
      </c>
      <c r="JI38" s="439">
        <f t="shared" si="292"/>
        <v>0</v>
      </c>
      <c r="JJ38" s="442">
        <f t="shared" si="293"/>
        <v>0</v>
      </c>
      <c r="JK38" s="442">
        <f t="shared" si="294"/>
        <v>0</v>
      </c>
      <c r="JL38" s="439">
        <f t="shared" si="295"/>
        <v>0</v>
      </c>
      <c r="JM38" s="439">
        <f t="shared" si="296"/>
        <v>0</v>
      </c>
      <c r="JN38" s="661">
        <f t="shared" si="297"/>
        <v>0</v>
      </c>
      <c r="JO38" s="661">
        <f t="shared" si="298"/>
        <v>0</v>
      </c>
      <c r="JP38" s="439">
        <f t="shared" si="299"/>
        <v>0</v>
      </c>
      <c r="JQ38" s="439">
        <f t="shared" si="300"/>
        <v>0</v>
      </c>
      <c r="JR38" s="439">
        <f t="shared" si="301"/>
        <v>0</v>
      </c>
      <c r="JS38" s="439">
        <f t="shared" si="302"/>
        <v>0</v>
      </c>
      <c r="JT38" s="631" t="s">
        <v>92</v>
      </c>
      <c r="JU38" s="631">
        <f t="shared" si="158"/>
        <v>0.13046688010779137</v>
      </c>
      <c r="JW38" s="522"/>
      <c r="JX38" s="522"/>
      <c r="JY38" s="522"/>
      <c r="JZ38" s="522"/>
      <c r="KA38" s="522"/>
      <c r="KB38" s="522"/>
      <c r="KC38" s="522"/>
      <c r="KD38" s="522"/>
      <c r="KE38" s="522"/>
      <c r="KF38" s="522"/>
      <c r="KG38" s="522"/>
      <c r="KH38" s="522"/>
      <c r="KI38" s="522"/>
      <c r="KJ38" s="522"/>
      <c r="KK38" s="522"/>
      <c r="KL38" s="522"/>
    </row>
    <row r="39" spans="1:298" ht="9.9499999999999993" customHeight="1">
      <c r="A39" s="155"/>
      <c r="B39" s="95"/>
      <c r="C39" s="95"/>
      <c r="D39" s="95">
        <f>AA31</f>
        <v>40.704999999999998</v>
      </c>
      <c r="E39" s="95">
        <f>G38+K38+O38+S38+W38+AA38</f>
        <v>50</v>
      </c>
      <c r="F39" s="95">
        <f>D39-E39</f>
        <v>-9.2950000000000017</v>
      </c>
      <c r="G39" s="95"/>
      <c r="H39" s="95"/>
      <c r="I39" s="95"/>
      <c r="J39" s="95"/>
      <c r="K39" s="95"/>
      <c r="L39" s="95"/>
      <c r="M39" s="95"/>
      <c r="N39" s="95"/>
      <c r="O39" s="95"/>
      <c r="P39" s="95"/>
      <c r="Q39" s="95"/>
      <c r="R39" s="95"/>
      <c r="S39" s="95"/>
      <c r="T39" s="95"/>
      <c r="U39" s="95"/>
      <c r="V39" s="95"/>
      <c r="W39" s="95"/>
      <c r="X39" s="95"/>
      <c r="Y39" s="95"/>
      <c r="Z39" s="95"/>
      <c r="AA39" s="95"/>
      <c r="AB39" s="95" t="s">
        <v>33</v>
      </c>
      <c r="AC39" s="95">
        <f>1.15*SQRT((((AE32*AQ36)+(1.225*AC38*AQ44))^2)+(((7.695*AE32*AQ37*AC38)/AQ40)^2))</f>
        <v>2.6387531786059735</v>
      </c>
      <c r="AD39" s="95"/>
      <c r="AE39" s="95"/>
      <c r="AF39" s="95"/>
      <c r="AG39" s="95"/>
      <c r="AH39" s="95"/>
      <c r="AI39" s="95"/>
      <c r="AJ39" s="95" t="s">
        <v>119</v>
      </c>
      <c r="AK39" s="95"/>
      <c r="AL39" s="95"/>
      <c r="AM39" s="95"/>
      <c r="AN39" s="95"/>
      <c r="AO39" s="95"/>
      <c r="AP39" s="95"/>
      <c r="AQ39" s="95">
        <f>IF(B17&lt;&gt;3,HLOOKUP(AJ49,Spec_Sheet!$F$3:$ED$19,8,FALSE)/IF(B17=4,4,2),HLOOKUP(AJ49,Spec_Sheet!$F$3:$ED$19,8,FALSE))</f>
        <v>4.7</v>
      </c>
      <c r="AR39" s="95"/>
      <c r="AS39" s="95"/>
      <c r="AT39" s="95"/>
      <c r="AU39" s="95"/>
      <c r="AV39" s="95">
        <f t="shared" si="178"/>
        <v>21.44</v>
      </c>
      <c r="AW39" s="95">
        <f>IF($AY$32,'Data Sheet'!AA60,0)</f>
        <v>0.58545000000000003</v>
      </c>
      <c r="AX39" s="95">
        <f t="shared" si="179"/>
        <v>6.4000000000000001E-2</v>
      </c>
      <c r="AY39" s="95"/>
      <c r="AZ39" s="668"/>
      <c r="BA39" s="668"/>
      <c r="BB39" s="708" t="str">
        <f t="shared" ca="1" si="168"/>
        <v>S160Q</v>
      </c>
      <c r="BC39" s="709"/>
      <c r="BD39" s="710"/>
      <c r="BE39" s="342">
        <f t="shared" ca="1" si="160"/>
        <v>2.0851468336199491E-3</v>
      </c>
      <c r="BF39" s="78">
        <f t="shared" ca="1" si="161"/>
        <v>1.0638504253163003E-3</v>
      </c>
      <c r="BG39" s="490">
        <f t="shared" ca="1" si="162"/>
        <v>2.5230276686801383E-3</v>
      </c>
      <c r="BH39" s="78">
        <f t="shared" ca="1" si="163"/>
        <v>1.3825800127410652E-3</v>
      </c>
      <c r="BI39" s="617">
        <f t="shared" ca="1" si="164"/>
        <v>8.8097453720442837E-4</v>
      </c>
      <c r="BJ39" s="528">
        <f t="shared" ca="1" si="165"/>
        <v>2.1282051282051282</v>
      </c>
      <c r="BK39" s="529">
        <f t="shared" ca="1" si="166"/>
        <v>4.2564102564102564</v>
      </c>
      <c r="BL39" s="530">
        <f t="shared" ca="1" si="167"/>
        <v>3.5384615384615383</v>
      </c>
      <c r="BM39" s="44"/>
      <c r="BN39" s="131" t="str">
        <f>B61</f>
        <v>Mass</v>
      </c>
      <c r="BO39" s="131"/>
      <c r="BP39" s="131"/>
      <c r="BQ39" s="131"/>
      <c r="BR39" s="131"/>
      <c r="BS39" s="132"/>
      <c r="BT39" s="132"/>
      <c r="BU39" s="132"/>
      <c r="BV39" s="132"/>
      <c r="BW39" s="132"/>
      <c r="BX39" s="180" t="str">
        <f>K61</f>
        <v>Linear Displacement</v>
      </c>
      <c r="BY39" s="180"/>
      <c r="BZ39" s="132"/>
      <c r="CA39" s="133"/>
      <c r="CB39" s="134"/>
      <c r="CC39" s="134"/>
      <c r="CD39" s="134"/>
      <c r="CE39" s="134"/>
      <c r="CF39" s="134"/>
      <c r="CG39" s="135"/>
      <c r="CH39" s="170"/>
      <c r="CI39" s="100"/>
      <c r="CJ39" s="152"/>
      <c r="CK39" s="152"/>
      <c r="CL39" s="155"/>
      <c r="CM39" s="155"/>
      <c r="CN39" s="155"/>
      <c r="CO39" s="689" t="str">
        <f ca="1"/>
        <v>L250DS</v>
      </c>
      <c r="CP39" s="632" t="str">
        <f>IF(OR(CQ39=0,CR39="",CS39&gt;120),"",IF(HLOOKUP(CQ39,Spec_Sheet!$F$3:$ED$19,17,FALSE)&lt;$AC$46,"",CQ39))</f>
        <v>L350SS</v>
      </c>
      <c r="CQ39" s="660" t="str">
        <f>IF(Spec_Sheet!A38="","",Spec_Sheet!A38)</f>
        <v>L350SS</v>
      </c>
      <c r="CR39" s="660">
        <f>IF(CQ39="",0,HLOOKUP(CQ39,Spec_Sheet!$F$3:$ED$19,2,FALSE))</f>
        <v>23.715999999999998</v>
      </c>
      <c r="CS39" s="660">
        <f t="shared" si="169"/>
        <v>8.8248064803905118E-4</v>
      </c>
      <c r="CT39" s="621">
        <f t="shared" si="173"/>
        <v>1.6572236037934989E-3</v>
      </c>
      <c r="CU39" s="621">
        <f t="shared" si="181"/>
        <v>8.8248064803905118E-4</v>
      </c>
      <c r="CV39" s="621">
        <f t="shared" si="174"/>
        <v>1.0925086212006082E-2</v>
      </c>
      <c r="CW39" s="621">
        <f t="shared" si="175"/>
        <v>8.7461216489466958E-3</v>
      </c>
      <c r="CX39" s="621">
        <f t="shared" si="157"/>
        <v>2.7312715530015204E-3</v>
      </c>
      <c r="CY39" s="619">
        <f>HLOOKUP(CQ39,Spec_Sheet!$F$3:$ED$19,13,FALSE)</f>
        <v>0.34</v>
      </c>
      <c r="CZ39" s="619">
        <f>VLOOKUP(HH39,'Shaft Weight'!$A$6:$CD$102,HJ39,TRUE)</f>
        <v>1.5</v>
      </c>
      <c r="DA39" s="619">
        <f>VLOOKUP(HI39,'Shaft Weight'!$A$6:$CD$102,HJ39,0)</f>
        <v>1.5</v>
      </c>
      <c r="DB39" s="619">
        <f>HLOOKUP(CQ39,Spec_Sheet!$F$3:$ED$19,6,FALSE)</f>
        <v>12.1</v>
      </c>
      <c r="DC39" s="439">
        <f t="shared" si="182"/>
        <v>0.94794</v>
      </c>
      <c r="DD39" s="440">
        <f t="shared" si="183"/>
        <v>0.72594000000000003</v>
      </c>
      <c r="DE39" s="439">
        <f t="shared" si="184"/>
        <v>-0.50394000000000005</v>
      </c>
      <c r="DF39" s="439">
        <f t="shared" si="185"/>
        <v>0</v>
      </c>
      <c r="DG39" s="439">
        <f t="shared" si="186"/>
        <v>0</v>
      </c>
      <c r="DH39" s="439">
        <f t="shared" si="187"/>
        <v>0</v>
      </c>
      <c r="DI39" s="439">
        <f t="shared" si="188"/>
        <v>0</v>
      </c>
      <c r="DJ39" s="439">
        <f t="shared" si="189"/>
        <v>0</v>
      </c>
      <c r="DK39" s="439">
        <f t="shared" si="190"/>
        <v>0</v>
      </c>
      <c r="DL39" s="439">
        <f t="shared" si="191"/>
        <v>0</v>
      </c>
      <c r="DM39" s="439">
        <f t="shared" si="192"/>
        <v>0</v>
      </c>
      <c r="DN39" s="439">
        <f t="shared" si="193"/>
        <v>0</v>
      </c>
      <c r="DO39" s="439">
        <f t="shared" si="194"/>
        <v>0</v>
      </c>
      <c r="DP39" s="439">
        <f t="shared" si="195"/>
        <v>0</v>
      </c>
      <c r="DQ39" s="442">
        <f t="shared" si="196"/>
        <v>0</v>
      </c>
      <c r="DR39" s="442">
        <f t="shared" si="197"/>
        <v>0</v>
      </c>
      <c r="DS39" s="439">
        <f t="shared" si="198"/>
        <v>0</v>
      </c>
      <c r="DT39" s="439">
        <f t="shared" si="199"/>
        <v>0</v>
      </c>
      <c r="DU39" s="661">
        <f t="shared" si="200"/>
        <v>0</v>
      </c>
      <c r="DV39" s="661">
        <f t="shared" si="201"/>
        <v>0</v>
      </c>
      <c r="DW39" s="439">
        <f t="shared" si="202"/>
        <v>0</v>
      </c>
      <c r="DX39" s="439">
        <f t="shared" si="203"/>
        <v>0</v>
      </c>
      <c r="DY39" s="439">
        <f t="shared" si="204"/>
        <v>0</v>
      </c>
      <c r="DZ39" s="439">
        <f t="shared" si="205"/>
        <v>0</v>
      </c>
      <c r="EA39" s="631" t="s">
        <v>92</v>
      </c>
      <c r="EB39" s="631">
        <f t="shared" si="151"/>
        <v>9.6545491279765611E-2</v>
      </c>
      <c r="ED39" s="439">
        <f t="shared" si="206"/>
        <v>4.3553999999999995</v>
      </c>
      <c r="EE39" s="440">
        <f t="shared" si="207"/>
        <v>3.3353999999999999</v>
      </c>
      <c r="EF39" s="439">
        <f t="shared" si="208"/>
        <v>-2.3153999999999999</v>
      </c>
      <c r="EG39" s="441">
        <f t="shared" si="209"/>
        <v>0</v>
      </c>
      <c r="EH39" s="439">
        <f t="shared" si="210"/>
        <v>0</v>
      </c>
      <c r="EI39" s="439">
        <f t="shared" si="211"/>
        <v>0</v>
      </c>
      <c r="EJ39" s="439">
        <f t="shared" si="212"/>
        <v>0</v>
      </c>
      <c r="EK39" s="439">
        <f t="shared" si="213"/>
        <v>0</v>
      </c>
      <c r="EL39" s="439">
        <f t="shared" si="214"/>
        <v>0</v>
      </c>
      <c r="EM39" s="439">
        <f t="shared" si="215"/>
        <v>0</v>
      </c>
      <c r="EN39" s="439">
        <f t="shared" si="216"/>
        <v>0</v>
      </c>
      <c r="EO39" s="439">
        <f t="shared" si="217"/>
        <v>0</v>
      </c>
      <c r="EP39" s="439">
        <f t="shared" si="218"/>
        <v>0</v>
      </c>
      <c r="EQ39" s="439">
        <f t="shared" si="219"/>
        <v>0</v>
      </c>
      <c r="ER39" s="442">
        <f t="shared" si="220"/>
        <v>0</v>
      </c>
      <c r="ES39" s="442">
        <f t="shared" si="221"/>
        <v>0</v>
      </c>
      <c r="ET39" s="439">
        <f t="shared" si="222"/>
        <v>0</v>
      </c>
      <c r="EU39" s="439">
        <f t="shared" si="223"/>
        <v>0</v>
      </c>
      <c r="EV39" s="661">
        <f t="shared" si="224"/>
        <v>0</v>
      </c>
      <c r="EW39" s="661">
        <f t="shared" si="225"/>
        <v>0</v>
      </c>
      <c r="EX39" s="439">
        <f t="shared" si="226"/>
        <v>0</v>
      </c>
      <c r="EY39" s="439">
        <f t="shared" si="227"/>
        <v>0</v>
      </c>
      <c r="EZ39" s="439">
        <f t="shared" si="228"/>
        <v>0</v>
      </c>
      <c r="FA39" s="439">
        <f t="shared" si="229"/>
        <v>0</v>
      </c>
      <c r="FB39" s="631" t="s">
        <v>92</v>
      </c>
      <c r="FC39" s="631">
        <f t="shared" si="152"/>
        <v>0.44358739236649058</v>
      </c>
      <c r="FE39" s="439">
        <f t="shared" si="230"/>
        <v>2.4339</v>
      </c>
      <c r="FF39" s="440">
        <f t="shared" si="231"/>
        <v>1.8639000000000001</v>
      </c>
      <c r="FG39" s="439">
        <f t="shared" si="232"/>
        <v>-1.2939000000000003</v>
      </c>
      <c r="FH39" s="441">
        <f t="shared" si="233"/>
        <v>0</v>
      </c>
      <c r="FI39" s="439">
        <f t="shared" si="234"/>
        <v>0</v>
      </c>
      <c r="FJ39" s="439">
        <f t="shared" si="235"/>
        <v>0</v>
      </c>
      <c r="FK39" s="439">
        <f t="shared" si="236"/>
        <v>0</v>
      </c>
      <c r="FL39" s="439">
        <f t="shared" si="237"/>
        <v>0</v>
      </c>
      <c r="FM39" s="439">
        <f t="shared" si="238"/>
        <v>0</v>
      </c>
      <c r="FN39" s="439">
        <f t="shared" si="239"/>
        <v>0</v>
      </c>
      <c r="FO39" s="439">
        <f t="shared" si="240"/>
        <v>0</v>
      </c>
      <c r="FP39" s="439">
        <f t="shared" si="241"/>
        <v>0</v>
      </c>
      <c r="FQ39" s="439">
        <f t="shared" si="242"/>
        <v>0</v>
      </c>
      <c r="FR39" s="439">
        <f t="shared" si="243"/>
        <v>0</v>
      </c>
      <c r="FS39" s="442">
        <f t="shared" si="244"/>
        <v>0</v>
      </c>
      <c r="FT39" s="442">
        <f t="shared" si="245"/>
        <v>0</v>
      </c>
      <c r="FU39" s="439">
        <f t="shared" si="246"/>
        <v>0</v>
      </c>
      <c r="FV39" s="439">
        <f t="shared" si="247"/>
        <v>0</v>
      </c>
      <c r="FW39" s="661">
        <f t="shared" si="248"/>
        <v>0</v>
      </c>
      <c r="FX39" s="661">
        <f t="shared" si="249"/>
        <v>0</v>
      </c>
      <c r="FY39" s="439">
        <f t="shared" si="250"/>
        <v>0</v>
      </c>
      <c r="FZ39" s="439">
        <f t="shared" si="251"/>
        <v>0</v>
      </c>
      <c r="GA39" s="439">
        <f t="shared" si="252"/>
        <v>0</v>
      </c>
      <c r="GB39" s="439">
        <f t="shared" si="253"/>
        <v>0</v>
      </c>
      <c r="GC39" s="631" t="s">
        <v>92</v>
      </c>
      <c r="GD39" s="631">
        <f t="shared" si="153"/>
        <v>0.2478870722048036</v>
      </c>
      <c r="GF39" s="439">
        <f t="shared" si="254"/>
        <v>2.4339</v>
      </c>
      <c r="GG39" s="440">
        <f t="shared" si="255"/>
        <v>1.8639000000000001</v>
      </c>
      <c r="GH39" s="439">
        <f t="shared" si="256"/>
        <v>-1.2939000000000003</v>
      </c>
      <c r="GI39" s="439">
        <f t="shared" si="257"/>
        <v>0</v>
      </c>
      <c r="GJ39" s="439">
        <f t="shared" si="258"/>
        <v>0</v>
      </c>
      <c r="GK39" s="439">
        <f t="shared" si="259"/>
        <v>0</v>
      </c>
      <c r="GL39" s="439">
        <f t="shared" si="260"/>
        <v>0</v>
      </c>
      <c r="GM39" s="439">
        <f t="shared" si="261"/>
        <v>0</v>
      </c>
      <c r="GN39" s="439">
        <f t="shared" si="262"/>
        <v>0</v>
      </c>
      <c r="GO39" s="439">
        <f t="shared" si="263"/>
        <v>0</v>
      </c>
      <c r="GP39" s="439">
        <f t="shared" si="264"/>
        <v>0</v>
      </c>
      <c r="GQ39" s="439">
        <f t="shared" si="265"/>
        <v>0</v>
      </c>
      <c r="GR39" s="439">
        <f t="shared" si="266"/>
        <v>0</v>
      </c>
      <c r="GS39" s="439">
        <f t="shared" si="267"/>
        <v>0</v>
      </c>
      <c r="GT39" s="442">
        <f t="shared" si="268"/>
        <v>0</v>
      </c>
      <c r="GU39" s="442">
        <f t="shared" si="269"/>
        <v>0</v>
      </c>
      <c r="GV39" s="439">
        <f t="shared" si="270"/>
        <v>0</v>
      </c>
      <c r="GW39" s="439">
        <f t="shared" si="271"/>
        <v>0</v>
      </c>
      <c r="GX39" s="661">
        <f t="shared" si="272"/>
        <v>0</v>
      </c>
      <c r="GY39" s="661">
        <f t="shared" si="273"/>
        <v>0</v>
      </c>
      <c r="GZ39" s="439">
        <f t="shared" si="274"/>
        <v>0</v>
      </c>
      <c r="HA39" s="439">
        <f t="shared" si="275"/>
        <v>0</v>
      </c>
      <c r="HB39" s="439">
        <f t="shared" si="276"/>
        <v>0</v>
      </c>
      <c r="HC39" s="439">
        <f t="shared" si="277"/>
        <v>0</v>
      </c>
      <c r="HD39" s="631" t="s">
        <v>92</v>
      </c>
      <c r="HE39" s="631">
        <f t="shared" si="176"/>
        <v>0.2478870722048036</v>
      </c>
      <c r="HG39" s="618">
        <f>HLOOKUP(CQ39,Spec_Sheet!$F$3:$DV$19,11,FALSE)+HLOOKUP(CQ39,Spec_Sheet!$F$3:$DV$21,19,FALSE)</f>
        <v>60</v>
      </c>
      <c r="HH39" s="618">
        <f t="shared" si="154"/>
        <v>100</v>
      </c>
      <c r="HI39" s="634">
        <f t="shared" si="155"/>
        <v>100</v>
      </c>
      <c r="HJ39" s="634">
        <f>HLOOKUP(IF(LEN(CQ39)&gt;6,LEFT(CQ39,5),CQ39),'LSM List Pricing'!$B$1:$BW$2,2,0)</f>
        <v>23</v>
      </c>
      <c r="HK39" s="634">
        <f>HLOOKUP(HJ39,'LSM List Pricing'!$B$2:$BW$3,2)</f>
        <v>490</v>
      </c>
      <c r="HL39" s="634">
        <f>VLOOKUP(HH39,'LSM List Pricing'!$A$7:$BW$87,HJ39,0)</f>
        <v>550</v>
      </c>
      <c r="HM39" s="627">
        <f>VLOOKUP(HI39,'LSM List Pricing'!$A$7:$BW$87,HJ39,1)</f>
        <v>550</v>
      </c>
      <c r="HN39" s="628">
        <f t="shared" si="106"/>
        <v>2.6666666666666665</v>
      </c>
      <c r="HO39" s="628">
        <f t="shared" si="107"/>
        <v>5.333333333333333</v>
      </c>
      <c r="HP39" s="628">
        <f t="shared" si="108"/>
        <v>3.9230769230769229</v>
      </c>
      <c r="HR39" s="618">
        <v>1.7999999999999999E-2</v>
      </c>
      <c r="HS39" s="618">
        <f t="shared" si="109"/>
        <v>120.85714285714285</v>
      </c>
      <c r="HT39" s="618">
        <f t="shared" si="110"/>
        <v>1</v>
      </c>
      <c r="HU39" s="618">
        <f t="shared" si="170"/>
        <v>0.4581458068422527</v>
      </c>
      <c r="HW39" s="618">
        <f t="shared" si="111"/>
        <v>35.349432954283998</v>
      </c>
      <c r="HX39" s="618">
        <f t="shared" si="171"/>
        <v>0.45389116615971331</v>
      </c>
      <c r="HY39" s="618">
        <f t="shared" si="172"/>
        <v>1.7999999999999999E-2</v>
      </c>
      <c r="IB39" s="618">
        <f t="shared" si="113"/>
        <v>25.000350341399081</v>
      </c>
      <c r="IC39" s="618">
        <f t="shared" si="114"/>
        <v>1E-3</v>
      </c>
      <c r="IE39" s="618">
        <f t="shared" si="115"/>
        <v>0</v>
      </c>
      <c r="IF39" s="618">
        <f t="shared" si="116"/>
        <v>40.704999999999998</v>
      </c>
      <c r="IH39" s="618">
        <f t="shared" si="117"/>
        <v>0</v>
      </c>
      <c r="II39" s="618">
        <f t="shared" si="118"/>
        <v>40.704999999999998</v>
      </c>
      <c r="IK39" s="618">
        <f t="shared" si="119"/>
        <v>0</v>
      </c>
      <c r="IL39" s="618">
        <f t="shared" si="120"/>
        <v>40.704999999999998</v>
      </c>
      <c r="IN39" s="618">
        <f t="shared" si="121"/>
        <v>0</v>
      </c>
      <c r="IO39" s="618">
        <f t="shared" si="122"/>
        <v>40.704999999999998</v>
      </c>
      <c r="IQ39" s="618">
        <f t="shared" si="123"/>
        <v>0</v>
      </c>
      <c r="IR39" s="618">
        <f t="shared" si="124"/>
        <v>40.704999999999998</v>
      </c>
      <c r="IT39" s="660" t="str">
        <f t="shared" si="278"/>
        <v>L350SS</v>
      </c>
      <c r="IU39" s="628"/>
      <c r="IV39" s="439">
        <f t="shared" si="279"/>
        <v>1.3834800000000003</v>
      </c>
      <c r="IW39" s="440">
        <f t="shared" si="280"/>
        <v>1.0594800000000002</v>
      </c>
      <c r="IX39" s="439">
        <f t="shared" si="281"/>
        <v>-0.73548000000000013</v>
      </c>
      <c r="IY39" s="439">
        <f t="shared" si="282"/>
        <v>0</v>
      </c>
      <c r="IZ39" s="439">
        <f t="shared" si="283"/>
        <v>0</v>
      </c>
      <c r="JA39" s="439">
        <f t="shared" si="284"/>
        <v>0</v>
      </c>
      <c r="JB39" s="439">
        <f t="shared" si="285"/>
        <v>0</v>
      </c>
      <c r="JC39" s="439">
        <f t="shared" si="286"/>
        <v>0</v>
      </c>
      <c r="JD39" s="439">
        <f t="shared" si="287"/>
        <v>0</v>
      </c>
      <c r="JE39" s="439">
        <f t="shared" si="288"/>
        <v>0</v>
      </c>
      <c r="JF39" s="439">
        <f t="shared" si="289"/>
        <v>0</v>
      </c>
      <c r="JG39" s="439">
        <f t="shared" si="290"/>
        <v>0</v>
      </c>
      <c r="JH39" s="439">
        <f t="shared" si="291"/>
        <v>0</v>
      </c>
      <c r="JI39" s="439">
        <f t="shared" si="292"/>
        <v>0</v>
      </c>
      <c r="JJ39" s="442">
        <f t="shared" si="293"/>
        <v>0</v>
      </c>
      <c r="JK39" s="442">
        <f t="shared" si="294"/>
        <v>0</v>
      </c>
      <c r="JL39" s="439">
        <f t="shared" si="295"/>
        <v>0</v>
      </c>
      <c r="JM39" s="439">
        <f t="shared" si="296"/>
        <v>0</v>
      </c>
      <c r="JN39" s="661">
        <f t="shared" si="297"/>
        <v>0</v>
      </c>
      <c r="JO39" s="661">
        <f t="shared" si="298"/>
        <v>0</v>
      </c>
      <c r="JP39" s="439">
        <f t="shared" si="299"/>
        <v>0</v>
      </c>
      <c r="JQ39" s="439">
        <f t="shared" si="300"/>
        <v>0</v>
      </c>
      <c r="JR39" s="439">
        <f t="shared" si="301"/>
        <v>0</v>
      </c>
      <c r="JS39" s="439">
        <f t="shared" si="302"/>
        <v>0</v>
      </c>
      <c r="JT39" s="631" t="s">
        <v>92</v>
      </c>
      <c r="JU39" s="631">
        <f t="shared" si="158"/>
        <v>0.14090423051641468</v>
      </c>
      <c r="JW39" s="522"/>
      <c r="JX39" s="522"/>
      <c r="JY39" s="522"/>
      <c r="JZ39" s="522"/>
      <c r="KA39" s="522"/>
      <c r="KB39" s="522"/>
      <c r="KC39" s="522"/>
      <c r="KD39" s="522"/>
      <c r="KE39" s="522"/>
      <c r="KF39" s="522"/>
      <c r="KG39" s="522"/>
      <c r="KH39" s="522"/>
      <c r="KI39" s="522"/>
      <c r="KJ39" s="522"/>
      <c r="KK39" s="522"/>
      <c r="KL39" s="522"/>
    </row>
    <row r="40" spans="1:298" ht="9.9499999999999993" customHeight="1">
      <c r="A40" s="155"/>
      <c r="B40" s="95" t="s">
        <v>249</v>
      </c>
      <c r="C40" s="95">
        <v>0</v>
      </c>
      <c r="D40" s="95">
        <f>C40+(((D31-C31)*D32)/2)</f>
        <v>0.96</v>
      </c>
      <c r="E40" s="95">
        <f>D40+((E31-D31)*E32)</f>
        <v>14.040000000000003</v>
      </c>
      <c r="F40" s="95">
        <f>E40+(((F31-E31)*E32)/2)</f>
        <v>15.000000000000002</v>
      </c>
      <c r="G40" s="95">
        <f>F40</f>
        <v>15.000000000000002</v>
      </c>
      <c r="H40" s="95">
        <f>IF(P13,G40+(((H31-G31)*H32)/2),G40)</f>
        <v>15.000000000000002</v>
      </c>
      <c r="I40" s="95">
        <f>IF(P13,H40+((I31-H31)*I32),H40)</f>
        <v>15.000000000000002</v>
      </c>
      <c r="J40" s="95">
        <f>IF(P13,I40+(((J31-I31)*I32)/2),I40)</f>
        <v>15.000000000000002</v>
      </c>
      <c r="K40" s="95">
        <f>J40</f>
        <v>15.000000000000002</v>
      </c>
      <c r="L40" s="95">
        <f>IF(P21,K40+(((L31-K31)*L32)/2),K40)</f>
        <v>15.000000000000002</v>
      </c>
      <c r="M40" s="95">
        <f>IF(P21,L40+((M31-L31)*M32),L40)</f>
        <v>15.000000000000002</v>
      </c>
      <c r="N40" s="95">
        <f>IF(P21,M40+(((N31-M31)*M32)/2),M40)</f>
        <v>15.000000000000002</v>
      </c>
      <c r="O40" s="95">
        <f>N40</f>
        <v>15.000000000000002</v>
      </c>
      <c r="P40" s="95">
        <f>IF(AG5,O40+(((P31-O31)*P32)/2),O40)</f>
        <v>15.000000000000002</v>
      </c>
      <c r="Q40" s="95">
        <f>IF(AG5,P40+((Q31-P31)*Q32),P40)</f>
        <v>15.000000000000002</v>
      </c>
      <c r="R40" s="95">
        <f>IF(AG5,Q40+(((R31-Q31)*Q32)/2),Q40)</f>
        <v>15.000000000000002</v>
      </c>
      <c r="S40" s="95">
        <f>R40</f>
        <v>15.000000000000002</v>
      </c>
      <c r="T40" s="95">
        <f>IF(AG13,S40+(((T31-S31)*T32)/2),S40)</f>
        <v>15.000000000000002</v>
      </c>
      <c r="U40" s="95">
        <f>IF(AG13,T40+((U31-T31)*U32),T40)</f>
        <v>15.000000000000002</v>
      </c>
      <c r="V40" s="95">
        <f>IF(AG13,U40+(((V31-U31)*U32)/2),U40)</f>
        <v>15.000000000000002</v>
      </c>
      <c r="W40" s="95">
        <f>V40</f>
        <v>15.000000000000002</v>
      </c>
      <c r="X40" s="95">
        <f>IF(AG21,W40+(((X31-W31)*X32)/2),W40)</f>
        <v>15.000000000000002</v>
      </c>
      <c r="Y40" s="95">
        <f>IF(AG21,X40+((Y31-X31)*Y32),X40)</f>
        <v>15.000000000000002</v>
      </c>
      <c r="Z40" s="95">
        <f>IF(AG21,Y40+(((Z31-Y31)*Y32)/2),Y40)</f>
        <v>15.000000000000002</v>
      </c>
      <c r="AA40" s="95">
        <f>Z40</f>
        <v>15.000000000000002</v>
      </c>
      <c r="AB40" s="95" t="s">
        <v>136</v>
      </c>
      <c r="AC40" s="95">
        <f>AD40*AQ38</f>
        <v>0.1189772764938852</v>
      </c>
      <c r="AD40" s="95">
        <f>(AC37^2*AQ39)</f>
        <v>3.583652906442325E-3</v>
      </c>
      <c r="AE40" s="95"/>
      <c r="AF40" s="95" t="s">
        <v>75</v>
      </c>
      <c r="AG40" s="95"/>
      <c r="AH40" s="95"/>
      <c r="AI40" s="95"/>
      <c r="AJ40" s="95" t="s">
        <v>73</v>
      </c>
      <c r="AK40" s="95"/>
      <c r="AL40" s="95"/>
      <c r="AM40" s="95"/>
      <c r="AN40" s="95"/>
      <c r="AO40" s="95"/>
      <c r="AP40" s="95"/>
      <c r="AQ40" s="95">
        <f>HLOOKUP(AJ49,Spec_Sheet!$F$3:$ED$19,16,FALSE)</f>
        <v>30</v>
      </c>
      <c r="AR40" s="95"/>
      <c r="AS40" s="95"/>
      <c r="AT40" s="95"/>
      <c r="AU40" s="95"/>
      <c r="AV40" s="95">
        <f>IF($AY$30,D92,0)*$D$82</f>
        <v>23.36</v>
      </c>
      <c r="AW40" s="95">
        <f>IF($AY$32,'Data Sheet'!AA61,0)</f>
        <v>0.51344999999999996</v>
      </c>
      <c r="AX40" s="95">
        <f t="shared" si="179"/>
        <v>7.2000000000000008E-2</v>
      </c>
      <c r="AY40" s="95"/>
      <c r="AZ40" s="668"/>
      <c r="BA40" s="668"/>
      <c r="BB40" s="708" t="str">
        <f t="shared" ca="1" si="168"/>
        <v>S160Q 1S</v>
      </c>
      <c r="BC40" s="709"/>
      <c r="BD40" s="710"/>
      <c r="BE40" s="342">
        <f t="shared" ca="1" si="160"/>
        <v>2.0542180136519025E-3</v>
      </c>
      <c r="BF40" s="78">
        <f t="shared" ca="1" si="161"/>
        <v>1.0480704151285215E-3</v>
      </c>
      <c r="BG40" s="490">
        <f t="shared" ca="1" si="162"/>
        <v>2.4856037965188026E-3</v>
      </c>
      <c r="BH40" s="78">
        <f t="shared" ca="1" si="163"/>
        <v>1.3620723115010276E-3</v>
      </c>
      <c r="BI40" s="617">
        <f t="shared" ca="1" si="164"/>
        <v>8.6790711076792891E-4</v>
      </c>
      <c r="BJ40" s="528">
        <f t="shared" ca="1" si="165"/>
        <v>2.1282051282051282</v>
      </c>
      <c r="BK40" s="529">
        <f t="shared" ca="1" si="166"/>
        <v>4.2564102564102564</v>
      </c>
      <c r="BL40" s="530">
        <f t="shared" ca="1" si="167"/>
        <v>3.5384615384615383</v>
      </c>
      <c r="BM40" s="44"/>
      <c r="BN40" s="109"/>
      <c r="BO40" s="720">
        <v>1</v>
      </c>
      <c r="BP40" s="720"/>
      <c r="BQ40" s="719" t="s">
        <v>145</v>
      </c>
      <c r="BR40" s="719"/>
      <c r="BS40" s="719"/>
      <c r="BT40" s="723">
        <f>BO40*VLOOKUP(BQ40,B62:C66,2,FALSE)</f>
        <v>0.45359237000000002</v>
      </c>
      <c r="BU40" s="723"/>
      <c r="BV40" s="83" t="s">
        <v>11</v>
      </c>
      <c r="BW40" s="136"/>
      <c r="BX40" s="178"/>
      <c r="BY40" s="720">
        <v>0.45</v>
      </c>
      <c r="BZ40" s="720"/>
      <c r="CA40" s="719" t="s">
        <v>152</v>
      </c>
      <c r="CB40" s="719"/>
      <c r="CC40" s="719"/>
      <c r="CD40" s="723">
        <f>BY40*VLOOKUP(CA40,K62:L65,2,FALSE)</f>
        <v>11.43</v>
      </c>
      <c r="CE40" s="723"/>
      <c r="CF40" s="83" t="s">
        <v>24</v>
      </c>
      <c r="CG40" s="129"/>
      <c r="CH40" s="164"/>
      <c r="CI40" s="100"/>
      <c r="CJ40" s="152"/>
      <c r="CK40" s="152"/>
      <c r="CL40" s="155"/>
      <c r="CM40" s="155"/>
      <c r="CN40" s="155"/>
      <c r="CO40" s="689" t="str">
        <f ca="1"/>
        <v>L320DS</v>
      </c>
      <c r="CP40" s="632" t="str">
        <f>IF(OR(CQ40=0,CR40="",CS40&gt;120),"",IF(HLOOKUP(CQ40,Spec_Sheet!$F$3:$ED$19,17,FALSE)&lt;$AC$46,"",CQ40))</f>
        <v>S200T</v>
      </c>
      <c r="CQ40" s="660" t="str">
        <f>IF(Spec_Sheet!A39="","",Spec_Sheet!A39)</f>
        <v>S200T</v>
      </c>
      <c r="CR40" s="660">
        <f>IF(CQ40="",0,HLOOKUP(CQ40,Spec_Sheet!$F$3:$ED$19,2,FALSE))</f>
        <v>28</v>
      </c>
      <c r="CS40" s="660">
        <f t="shared" si="169"/>
        <v>1.0638504253163005E-3</v>
      </c>
      <c r="CT40" s="621">
        <f t="shared" si="173"/>
        <v>1.7586098867473541E-3</v>
      </c>
      <c r="CU40" s="621">
        <f t="shared" si="181"/>
        <v>1.0638504253163005E-3</v>
      </c>
      <c r="CV40" s="621">
        <f t="shared" si="174"/>
        <v>1.9594387935672683E-3</v>
      </c>
      <c r="CW40" s="621">
        <f t="shared" si="175"/>
        <v>1.2212568657967735E-3</v>
      </c>
      <c r="CX40" s="621">
        <f t="shared" si="157"/>
        <v>7.4301267715075694E-4</v>
      </c>
      <c r="CY40" s="619">
        <f>HLOOKUP(CQ40,Spec_Sheet!$F$3:$ED$19,13,FALSE)</f>
        <v>0.5</v>
      </c>
      <c r="CZ40" s="619">
        <f>VLOOKUP(HH40,'Shaft Weight'!$A$6:$CD$102,HJ40,TRUE)</f>
        <v>0.55000000000000004</v>
      </c>
      <c r="DA40" s="619">
        <f>VLOOKUP(HI40,'Shaft Weight'!$A$6:$CD$102,HJ40,0)</f>
        <v>0.77</v>
      </c>
      <c r="DB40" s="619">
        <f>HLOOKUP(CQ40,Spec_Sheet!$F$3:$ED$19,6,FALSE)</f>
        <v>47.46</v>
      </c>
      <c r="DC40" s="439">
        <f t="shared" si="182"/>
        <v>1.1529000000000003</v>
      </c>
      <c r="DD40" s="440">
        <f t="shared" si="183"/>
        <v>0.88290000000000013</v>
      </c>
      <c r="DE40" s="439">
        <f t="shared" si="184"/>
        <v>-0.61290000000000011</v>
      </c>
      <c r="DF40" s="439">
        <f t="shared" si="185"/>
        <v>0</v>
      </c>
      <c r="DG40" s="439">
        <f t="shared" si="186"/>
        <v>0</v>
      </c>
      <c r="DH40" s="439">
        <f t="shared" si="187"/>
        <v>0</v>
      </c>
      <c r="DI40" s="439">
        <f t="shared" si="188"/>
        <v>0</v>
      </c>
      <c r="DJ40" s="439">
        <f t="shared" si="189"/>
        <v>0</v>
      </c>
      <c r="DK40" s="439">
        <f t="shared" si="190"/>
        <v>0</v>
      </c>
      <c r="DL40" s="439">
        <f t="shared" si="191"/>
        <v>0</v>
      </c>
      <c r="DM40" s="439">
        <f t="shared" si="192"/>
        <v>0</v>
      </c>
      <c r="DN40" s="439">
        <f t="shared" si="193"/>
        <v>0</v>
      </c>
      <c r="DO40" s="439">
        <f t="shared" si="194"/>
        <v>0</v>
      </c>
      <c r="DP40" s="439">
        <f t="shared" si="195"/>
        <v>0</v>
      </c>
      <c r="DQ40" s="442">
        <f t="shared" si="196"/>
        <v>0</v>
      </c>
      <c r="DR40" s="442">
        <f t="shared" si="197"/>
        <v>0</v>
      </c>
      <c r="DS40" s="439">
        <f t="shared" si="198"/>
        <v>0</v>
      </c>
      <c r="DT40" s="439">
        <f t="shared" si="199"/>
        <v>0</v>
      </c>
      <c r="DU40" s="661">
        <f t="shared" si="200"/>
        <v>0</v>
      </c>
      <c r="DV40" s="661">
        <f t="shared" si="201"/>
        <v>0</v>
      </c>
      <c r="DW40" s="439">
        <f t="shared" si="202"/>
        <v>0</v>
      </c>
      <c r="DX40" s="439">
        <f t="shared" si="203"/>
        <v>0</v>
      </c>
      <c r="DY40" s="439">
        <f t="shared" si="204"/>
        <v>0</v>
      </c>
      <c r="DZ40" s="439">
        <f t="shared" si="205"/>
        <v>0</v>
      </c>
      <c r="EA40" s="631" t="s">
        <v>92</v>
      </c>
      <c r="EB40" s="631">
        <f t="shared" si="151"/>
        <v>0.11742019209701225</v>
      </c>
      <c r="ED40" s="439">
        <f t="shared" si="206"/>
        <v>1.9215</v>
      </c>
      <c r="EE40" s="440">
        <f t="shared" si="207"/>
        <v>1.4715</v>
      </c>
      <c r="EF40" s="439">
        <f t="shared" si="208"/>
        <v>-1.0215000000000001</v>
      </c>
      <c r="EG40" s="441">
        <f t="shared" si="209"/>
        <v>0</v>
      </c>
      <c r="EH40" s="439">
        <f t="shared" si="210"/>
        <v>0</v>
      </c>
      <c r="EI40" s="439">
        <f t="shared" si="211"/>
        <v>0</v>
      </c>
      <c r="EJ40" s="439">
        <f t="shared" si="212"/>
        <v>0</v>
      </c>
      <c r="EK40" s="439">
        <f t="shared" si="213"/>
        <v>0</v>
      </c>
      <c r="EL40" s="439">
        <f t="shared" si="214"/>
        <v>0</v>
      </c>
      <c r="EM40" s="439">
        <f t="shared" si="215"/>
        <v>0</v>
      </c>
      <c r="EN40" s="439">
        <f t="shared" si="216"/>
        <v>0</v>
      </c>
      <c r="EO40" s="439">
        <f t="shared" si="217"/>
        <v>0</v>
      </c>
      <c r="EP40" s="439">
        <f t="shared" si="218"/>
        <v>0</v>
      </c>
      <c r="EQ40" s="439">
        <f t="shared" si="219"/>
        <v>0</v>
      </c>
      <c r="ER40" s="442">
        <f t="shared" si="220"/>
        <v>0</v>
      </c>
      <c r="ES40" s="442">
        <f t="shared" si="221"/>
        <v>0</v>
      </c>
      <c r="ET40" s="439">
        <f t="shared" si="222"/>
        <v>0</v>
      </c>
      <c r="EU40" s="439">
        <f t="shared" si="223"/>
        <v>0</v>
      </c>
      <c r="EV40" s="661">
        <f t="shared" si="224"/>
        <v>0</v>
      </c>
      <c r="EW40" s="661">
        <f t="shared" si="225"/>
        <v>0</v>
      </c>
      <c r="EX40" s="439">
        <f t="shared" si="226"/>
        <v>0</v>
      </c>
      <c r="EY40" s="439">
        <f t="shared" si="227"/>
        <v>0</v>
      </c>
      <c r="EZ40" s="439">
        <f t="shared" si="228"/>
        <v>0</v>
      </c>
      <c r="FA40" s="439">
        <f t="shared" si="229"/>
        <v>0</v>
      </c>
      <c r="FB40" s="631" t="s">
        <v>92</v>
      </c>
      <c r="FC40" s="631">
        <f t="shared" si="152"/>
        <v>0.19570032016168704</v>
      </c>
      <c r="FE40" s="439">
        <f t="shared" si="230"/>
        <v>1.2169500000000002</v>
      </c>
      <c r="FF40" s="440">
        <f t="shared" si="231"/>
        <v>0.93195000000000017</v>
      </c>
      <c r="FG40" s="439">
        <f t="shared" si="232"/>
        <v>-0.64695000000000014</v>
      </c>
      <c r="FH40" s="441">
        <f t="shared" si="233"/>
        <v>0</v>
      </c>
      <c r="FI40" s="439">
        <f t="shared" si="234"/>
        <v>0</v>
      </c>
      <c r="FJ40" s="439">
        <f t="shared" si="235"/>
        <v>0</v>
      </c>
      <c r="FK40" s="439">
        <f t="shared" si="236"/>
        <v>0</v>
      </c>
      <c r="FL40" s="439">
        <f t="shared" si="237"/>
        <v>0</v>
      </c>
      <c r="FM40" s="439">
        <f t="shared" si="238"/>
        <v>0</v>
      </c>
      <c r="FN40" s="439">
        <f t="shared" si="239"/>
        <v>0</v>
      </c>
      <c r="FO40" s="439">
        <f t="shared" si="240"/>
        <v>0</v>
      </c>
      <c r="FP40" s="439">
        <f t="shared" si="241"/>
        <v>0</v>
      </c>
      <c r="FQ40" s="439">
        <f t="shared" si="242"/>
        <v>0</v>
      </c>
      <c r="FR40" s="439">
        <f t="shared" si="243"/>
        <v>0</v>
      </c>
      <c r="FS40" s="442">
        <f t="shared" si="244"/>
        <v>0</v>
      </c>
      <c r="FT40" s="442">
        <f t="shared" si="245"/>
        <v>0</v>
      </c>
      <c r="FU40" s="439">
        <f t="shared" si="246"/>
        <v>0</v>
      </c>
      <c r="FV40" s="439">
        <f t="shared" si="247"/>
        <v>0</v>
      </c>
      <c r="FW40" s="661">
        <f t="shared" si="248"/>
        <v>0</v>
      </c>
      <c r="FX40" s="661">
        <f t="shared" si="249"/>
        <v>0</v>
      </c>
      <c r="FY40" s="439">
        <f t="shared" si="250"/>
        <v>0</v>
      </c>
      <c r="FZ40" s="439">
        <f t="shared" si="251"/>
        <v>0</v>
      </c>
      <c r="GA40" s="439">
        <f t="shared" si="252"/>
        <v>0</v>
      </c>
      <c r="GB40" s="439">
        <f t="shared" si="253"/>
        <v>0</v>
      </c>
      <c r="GC40" s="631" t="s">
        <v>92</v>
      </c>
      <c r="GD40" s="631">
        <f t="shared" si="153"/>
        <v>0.12394353610240182</v>
      </c>
      <c r="GF40" s="439">
        <f t="shared" si="254"/>
        <v>1.4987700000000002</v>
      </c>
      <c r="GG40" s="440">
        <f t="shared" si="255"/>
        <v>1.1477700000000002</v>
      </c>
      <c r="GH40" s="439">
        <f t="shared" si="256"/>
        <v>-0.7967700000000002</v>
      </c>
      <c r="GI40" s="439">
        <f t="shared" si="257"/>
        <v>0</v>
      </c>
      <c r="GJ40" s="439">
        <f t="shared" si="258"/>
        <v>0</v>
      </c>
      <c r="GK40" s="439">
        <f t="shared" si="259"/>
        <v>0</v>
      </c>
      <c r="GL40" s="439">
        <f t="shared" si="260"/>
        <v>0</v>
      </c>
      <c r="GM40" s="439">
        <f t="shared" si="261"/>
        <v>0</v>
      </c>
      <c r="GN40" s="439">
        <f t="shared" si="262"/>
        <v>0</v>
      </c>
      <c r="GO40" s="439">
        <f t="shared" si="263"/>
        <v>0</v>
      </c>
      <c r="GP40" s="439">
        <f t="shared" si="264"/>
        <v>0</v>
      </c>
      <c r="GQ40" s="439">
        <f t="shared" si="265"/>
        <v>0</v>
      </c>
      <c r="GR40" s="439">
        <f t="shared" si="266"/>
        <v>0</v>
      </c>
      <c r="GS40" s="439">
        <f t="shared" si="267"/>
        <v>0</v>
      </c>
      <c r="GT40" s="442">
        <f t="shared" si="268"/>
        <v>0</v>
      </c>
      <c r="GU40" s="442">
        <f t="shared" si="269"/>
        <v>0</v>
      </c>
      <c r="GV40" s="439">
        <f t="shared" si="270"/>
        <v>0</v>
      </c>
      <c r="GW40" s="439">
        <f t="shared" si="271"/>
        <v>0</v>
      </c>
      <c r="GX40" s="661">
        <f t="shared" si="272"/>
        <v>0</v>
      </c>
      <c r="GY40" s="661">
        <f t="shared" si="273"/>
        <v>0</v>
      </c>
      <c r="GZ40" s="439">
        <f t="shared" si="274"/>
        <v>0</v>
      </c>
      <c r="HA40" s="439">
        <f t="shared" si="275"/>
        <v>0</v>
      </c>
      <c r="HB40" s="439">
        <f t="shared" si="276"/>
        <v>0</v>
      </c>
      <c r="HC40" s="439">
        <f t="shared" si="277"/>
        <v>0</v>
      </c>
      <c r="HD40" s="631" t="s">
        <v>92</v>
      </c>
      <c r="HE40" s="631">
        <f t="shared" si="176"/>
        <v>0.1526462497261159</v>
      </c>
      <c r="HG40" s="618">
        <f>HLOOKUP(CQ40,Spec_Sheet!$F$3:$DV$19,11,FALSE)+HLOOKUP(CQ40,Spec_Sheet!$F$3:$DV$21,19,FALSE)</f>
        <v>144</v>
      </c>
      <c r="HH40" s="618">
        <f t="shared" si="154"/>
        <v>100</v>
      </c>
      <c r="HI40" s="634">
        <f t="shared" si="155"/>
        <v>200</v>
      </c>
      <c r="HJ40" s="634">
        <f>HLOOKUP(IF(LEN(CQ40)&gt;6,LEFT(CQ40,5),CQ40),'LSM List Pricing'!$B$1:$BW$2,2,0)</f>
        <v>46</v>
      </c>
      <c r="HK40" s="634">
        <f>HLOOKUP(HJ40,'LSM List Pricing'!$B$2:$BW$3,2)</f>
        <v>600</v>
      </c>
      <c r="HL40" s="634">
        <f>VLOOKUP(HH40,'LSM List Pricing'!$A$7:$BW$87,HJ40,0)</f>
        <v>270</v>
      </c>
      <c r="HM40" s="627">
        <f>VLOOKUP(HI40,'LSM List Pricing'!$A$7:$BW$87,HJ40,1)</f>
        <v>370</v>
      </c>
      <c r="HN40" s="628">
        <f t="shared" si="106"/>
        <v>2.2307692307692308</v>
      </c>
      <c r="HO40" s="628">
        <f t="shared" si="107"/>
        <v>4.4615384615384617</v>
      </c>
      <c r="HP40" s="628">
        <f t="shared" si="108"/>
        <v>4.0256410256410255</v>
      </c>
      <c r="HR40" s="618">
        <v>1.8499999999999999E-2</v>
      </c>
      <c r="HS40" s="618">
        <f t="shared" si="109"/>
        <v>124.21428571428571</v>
      </c>
      <c r="HT40" s="618">
        <f t="shared" si="110"/>
        <v>1</v>
      </c>
      <c r="HU40" s="618">
        <f t="shared" si="170"/>
        <v>0.4708848508158775</v>
      </c>
      <c r="HW40" s="618">
        <f t="shared" si="111"/>
        <v>35.331343511841453</v>
      </c>
      <c r="HX40" s="618">
        <f t="shared" si="171"/>
        <v>0.46639359778872974</v>
      </c>
      <c r="HY40" s="618">
        <f t="shared" si="172"/>
        <v>1.8499999999999999E-2</v>
      </c>
      <c r="IB40" s="618">
        <f t="shared" si="113"/>
        <v>25.000350341399081</v>
      </c>
      <c r="IC40" s="618">
        <f t="shared" si="114"/>
        <v>1E-3</v>
      </c>
      <c r="IE40" s="618">
        <f t="shared" si="115"/>
        <v>0</v>
      </c>
      <c r="IF40" s="618">
        <f t="shared" si="116"/>
        <v>40.704999999999998</v>
      </c>
      <c r="IH40" s="618">
        <f t="shared" si="117"/>
        <v>0</v>
      </c>
      <c r="II40" s="618">
        <f t="shared" si="118"/>
        <v>40.704999999999998</v>
      </c>
      <c r="IK40" s="618">
        <f t="shared" si="119"/>
        <v>0</v>
      </c>
      <c r="IL40" s="618">
        <f t="shared" si="120"/>
        <v>40.704999999999998</v>
      </c>
      <c r="IN40" s="618">
        <f t="shared" si="121"/>
        <v>0</v>
      </c>
      <c r="IO40" s="618">
        <f t="shared" si="122"/>
        <v>40.704999999999998</v>
      </c>
      <c r="IQ40" s="618">
        <f t="shared" si="123"/>
        <v>0</v>
      </c>
      <c r="IR40" s="618">
        <f t="shared" si="124"/>
        <v>40.704999999999998</v>
      </c>
      <c r="IT40" s="660" t="str">
        <f t="shared" si="278"/>
        <v>S200T</v>
      </c>
      <c r="IU40" s="628"/>
      <c r="IV40" s="439">
        <f t="shared" si="279"/>
        <v>1.7934000000000001</v>
      </c>
      <c r="IW40" s="440">
        <f t="shared" si="280"/>
        <v>1.3734000000000002</v>
      </c>
      <c r="IX40" s="439">
        <f t="shared" si="281"/>
        <v>-0.95340000000000025</v>
      </c>
      <c r="IY40" s="439">
        <f t="shared" si="282"/>
        <v>0</v>
      </c>
      <c r="IZ40" s="439">
        <f t="shared" si="283"/>
        <v>0</v>
      </c>
      <c r="JA40" s="439">
        <f t="shared" si="284"/>
        <v>0</v>
      </c>
      <c r="JB40" s="439">
        <f t="shared" si="285"/>
        <v>0</v>
      </c>
      <c r="JC40" s="439">
        <f t="shared" si="286"/>
        <v>0</v>
      </c>
      <c r="JD40" s="439">
        <f t="shared" si="287"/>
        <v>0</v>
      </c>
      <c r="JE40" s="439">
        <f t="shared" si="288"/>
        <v>0</v>
      </c>
      <c r="JF40" s="439">
        <f t="shared" si="289"/>
        <v>0</v>
      </c>
      <c r="JG40" s="439">
        <f t="shared" si="290"/>
        <v>0</v>
      </c>
      <c r="JH40" s="439">
        <f t="shared" si="291"/>
        <v>0</v>
      </c>
      <c r="JI40" s="439">
        <f t="shared" si="292"/>
        <v>0</v>
      </c>
      <c r="JJ40" s="442">
        <f t="shared" si="293"/>
        <v>0</v>
      </c>
      <c r="JK40" s="442">
        <f t="shared" si="294"/>
        <v>0</v>
      </c>
      <c r="JL40" s="439">
        <f t="shared" si="295"/>
        <v>0</v>
      </c>
      <c r="JM40" s="439">
        <f t="shared" si="296"/>
        <v>0</v>
      </c>
      <c r="JN40" s="661">
        <f t="shared" si="297"/>
        <v>0</v>
      </c>
      <c r="JO40" s="661">
        <f t="shared" si="298"/>
        <v>0</v>
      </c>
      <c r="JP40" s="439">
        <f t="shared" si="299"/>
        <v>0</v>
      </c>
      <c r="JQ40" s="439">
        <f t="shared" si="300"/>
        <v>0</v>
      </c>
      <c r="JR40" s="439">
        <f t="shared" si="301"/>
        <v>0</v>
      </c>
      <c r="JS40" s="439">
        <f t="shared" si="302"/>
        <v>0</v>
      </c>
      <c r="JT40" s="631" t="s">
        <v>92</v>
      </c>
      <c r="JU40" s="631">
        <f t="shared" si="158"/>
        <v>0.18265363215090794</v>
      </c>
      <c r="JW40" s="522"/>
      <c r="JX40" s="522"/>
      <c r="JY40" s="522"/>
      <c r="JZ40" s="522"/>
      <c r="KA40" s="522"/>
      <c r="KB40" s="522"/>
      <c r="KC40" s="522"/>
      <c r="KD40" s="522"/>
      <c r="KE40" s="522"/>
      <c r="KF40" s="522"/>
      <c r="KG40" s="522"/>
      <c r="KH40" s="522"/>
      <c r="KI40" s="522"/>
      <c r="KJ40" s="522"/>
      <c r="KK40" s="522"/>
      <c r="KL40" s="522"/>
    </row>
    <row r="41" spans="1:298" ht="9.9499999999999993" customHeight="1">
      <c r="A41" s="155"/>
      <c r="B41" s="95" t="s">
        <v>258</v>
      </c>
      <c r="C41" s="95"/>
      <c r="D41" s="95">
        <f>D38</f>
        <v>0.08</v>
      </c>
      <c r="E41" s="95">
        <f t="shared" ref="E41:AA41" si="304">IF(ABS(E35)=E36,E38,D41)</f>
        <v>0.08</v>
      </c>
      <c r="F41" s="95">
        <f t="shared" si="304"/>
        <v>0.08</v>
      </c>
      <c r="G41" s="95">
        <f t="shared" si="304"/>
        <v>0.08</v>
      </c>
      <c r="H41" s="95">
        <f t="shared" si="304"/>
        <v>0.08</v>
      </c>
      <c r="I41" s="95">
        <f t="shared" si="304"/>
        <v>0.08</v>
      </c>
      <c r="J41" s="95">
        <f t="shared" si="304"/>
        <v>0.08</v>
      </c>
      <c r="K41" s="95">
        <f t="shared" si="304"/>
        <v>0.08</v>
      </c>
      <c r="L41" s="95">
        <f t="shared" si="304"/>
        <v>0.08</v>
      </c>
      <c r="M41" s="95">
        <f t="shared" si="304"/>
        <v>0.08</v>
      </c>
      <c r="N41" s="95">
        <f t="shared" si="304"/>
        <v>0.08</v>
      </c>
      <c r="O41" s="95">
        <f t="shared" si="304"/>
        <v>0.08</v>
      </c>
      <c r="P41" s="95">
        <f t="shared" si="304"/>
        <v>0.08</v>
      </c>
      <c r="Q41" s="95">
        <f t="shared" si="304"/>
        <v>0.08</v>
      </c>
      <c r="R41" s="95">
        <f t="shared" si="304"/>
        <v>0.08</v>
      </c>
      <c r="S41" s="95">
        <f t="shared" si="304"/>
        <v>0.08</v>
      </c>
      <c r="T41" s="95">
        <f t="shared" si="304"/>
        <v>0.08</v>
      </c>
      <c r="U41" s="95">
        <f t="shared" si="304"/>
        <v>0.08</v>
      </c>
      <c r="V41" s="95">
        <f t="shared" si="304"/>
        <v>0.08</v>
      </c>
      <c r="W41" s="95">
        <f t="shared" si="304"/>
        <v>0.08</v>
      </c>
      <c r="X41" s="95">
        <f t="shared" si="304"/>
        <v>0.08</v>
      </c>
      <c r="Y41" s="95">
        <f t="shared" si="304"/>
        <v>0.08</v>
      </c>
      <c r="Z41" s="95">
        <f t="shared" si="304"/>
        <v>0.08</v>
      </c>
      <c r="AA41" s="95">
        <f t="shared" si="304"/>
        <v>0.08</v>
      </c>
      <c r="AB41" s="95" t="s">
        <v>135</v>
      </c>
      <c r="AC41" s="95">
        <f>AC40+O10</f>
        <v>25.118977276493887</v>
      </c>
      <c r="AD41" s="95"/>
      <c r="AE41" s="95"/>
      <c r="AF41" s="95" t="s">
        <v>251</v>
      </c>
      <c r="AG41" s="95">
        <f>HLOOKUP(AJ49,Spec_Sheet!$F$3:$ED$22,19,FALSE)</f>
        <v>5</v>
      </c>
      <c r="AH41" s="95">
        <f>IF(B17=4,IF(D20&lt;=AG41,AG41+AG42,CEILING(D20,(AQ40/2))+AG42),AG42+AG41)</f>
        <v>45</v>
      </c>
      <c r="AI41" s="95"/>
      <c r="AJ41" s="95" t="s">
        <v>439</v>
      </c>
      <c r="AK41" s="95"/>
      <c r="AL41" s="95"/>
      <c r="AM41" s="95"/>
      <c r="AN41" s="95"/>
      <c r="AO41" s="95"/>
      <c r="AP41" s="95"/>
      <c r="AQ41" s="95">
        <f>VLOOKUP(AC50,'Shaft Weight'!$A$6:$CD$102,HLOOKUP(AJ49,'Shaft Weight'!$B$2:$CD$5,4),TRUE)*IF(OR(B17=1,B17=4),2,1)</f>
        <v>0.02</v>
      </c>
      <c r="AR41" s="95"/>
      <c r="AS41" s="95"/>
      <c r="AT41" s="95"/>
      <c r="AU41" s="95"/>
      <c r="AV41" s="95">
        <f>IF($AY$30,D93,0)*$D$82</f>
        <v>24</v>
      </c>
      <c r="AW41" s="95">
        <f>IF($AY$32,'Data Sheet'!AA62,0)</f>
        <v>0.44145000000000001</v>
      </c>
      <c r="AX41" s="95">
        <f>AX40+$D$76</f>
        <v>8.0000000000000016E-2</v>
      </c>
      <c r="AY41" s="95"/>
      <c r="AZ41" s="668"/>
      <c r="BA41" s="668"/>
      <c r="BB41" s="708" t="str">
        <f t="shared" ca="1" si="168"/>
        <v>S160Q 2S</v>
      </c>
      <c r="BC41" s="709"/>
      <c r="BD41" s="710"/>
      <c r="BE41" s="342">
        <f t="shared" ca="1" si="160"/>
        <v>2.0542180136519025E-3</v>
      </c>
      <c r="BF41" s="78">
        <f t="shared" ca="1" si="161"/>
        <v>1.0480704151285215E-3</v>
      </c>
      <c r="BG41" s="490">
        <f t="shared" ca="1" si="162"/>
        <v>2.4856037965188026E-3</v>
      </c>
      <c r="BH41" s="78">
        <f t="shared" ca="1" si="163"/>
        <v>1.3620723115010276E-3</v>
      </c>
      <c r="BI41" s="617">
        <f t="shared" ca="1" si="164"/>
        <v>8.6790711076792891E-4</v>
      </c>
      <c r="BJ41" s="528">
        <f t="shared" ca="1" si="165"/>
        <v>2.1282051282051282</v>
      </c>
      <c r="BK41" s="529">
        <f t="shared" ca="1" si="166"/>
        <v>4.2564102564102564</v>
      </c>
      <c r="BL41" s="530">
        <f t="shared" ca="1" si="167"/>
        <v>3.5384615384615383</v>
      </c>
      <c r="BM41" s="44"/>
      <c r="BN41" s="109"/>
      <c r="BO41" s="109"/>
      <c r="BP41" s="109"/>
      <c r="BQ41" s="137"/>
      <c r="BR41" s="137"/>
      <c r="BS41" s="83"/>
      <c r="BT41" s="83"/>
      <c r="BU41" s="63"/>
      <c r="BV41" s="63"/>
      <c r="BW41" s="63"/>
      <c r="BX41" s="178"/>
      <c r="BY41" s="178"/>
      <c r="BZ41" s="83"/>
      <c r="CA41" s="84"/>
      <c r="CB41" s="138"/>
      <c r="CC41" s="139"/>
      <c r="CD41" s="129"/>
      <c r="CE41" s="129"/>
      <c r="CF41" s="129"/>
      <c r="CG41" s="129"/>
      <c r="CH41" s="164"/>
      <c r="CI41" s="100"/>
      <c r="CJ41" s="152"/>
      <c r="CK41" s="152"/>
      <c r="CL41" s="155"/>
      <c r="CM41" s="155"/>
      <c r="CN41" s="155"/>
      <c r="CO41" s="689" t="str">
        <f ca="1"/>
        <v>L250D</v>
      </c>
      <c r="CP41" s="632" t="str">
        <f>IF(OR(CQ41=0,CR41="",CS41&gt;120),"",IF(HLOOKUP(CQ41,Spec_Sheet!$F$3:$ED$19,17,FALSE)&lt;$AC$46,"",CQ41))</f>
        <v>S200T 1S</v>
      </c>
      <c r="CQ41" s="660" t="str">
        <f>IF(Spec_Sheet!A40="","",Spec_Sheet!A40)</f>
        <v>S200T 1S</v>
      </c>
      <c r="CR41" s="660">
        <f>IF(CQ41="",0,HLOOKUP(CQ41,Spec_Sheet!$F$3:$ED$19,2,FALSE))</f>
        <v>28.0014</v>
      </c>
      <c r="CS41" s="660">
        <f t="shared" si="169"/>
        <v>1.0637440482521151E-3</v>
      </c>
      <c r="CT41" s="621">
        <f t="shared" si="173"/>
        <v>1.7584340389473745E-3</v>
      </c>
      <c r="CU41" s="621">
        <f t="shared" si="181"/>
        <v>1.0637440482521151E-3</v>
      </c>
      <c r="CV41" s="621">
        <f t="shared" si="174"/>
        <v>1.9592428643827229E-3</v>
      </c>
      <c r="CW41" s="621">
        <f t="shared" si="175"/>
        <v>1.2211347492690095E-3</v>
      </c>
      <c r="CX41" s="621">
        <f t="shared" si="157"/>
        <v>7.4293838145526533E-4</v>
      </c>
      <c r="CY41" s="619">
        <f>HLOOKUP(CQ41,Spec_Sheet!$F$3:$ED$19,13,FALSE)</f>
        <v>0.5</v>
      </c>
      <c r="CZ41" s="619">
        <f>VLOOKUP(HH41,'Shaft Weight'!$A$6:$CD$102,HJ41,TRUE)</f>
        <v>0.55000000000000004</v>
      </c>
      <c r="DA41" s="619">
        <f>VLOOKUP(HI41,'Shaft Weight'!$A$6:$CD$102,HJ41,0)</f>
        <v>0.77</v>
      </c>
      <c r="DB41" s="619">
        <f>HLOOKUP(CQ41,Spec_Sheet!$F$3:$ED$19,6,FALSE)</f>
        <v>15.82</v>
      </c>
      <c r="DC41" s="439">
        <f t="shared" si="182"/>
        <v>1.1529000000000003</v>
      </c>
      <c r="DD41" s="440">
        <f t="shared" si="183"/>
        <v>0.88290000000000013</v>
      </c>
      <c r="DE41" s="439">
        <f t="shared" si="184"/>
        <v>-0.61290000000000011</v>
      </c>
      <c r="DF41" s="439">
        <f t="shared" si="185"/>
        <v>0</v>
      </c>
      <c r="DG41" s="439">
        <f t="shared" si="186"/>
        <v>0</v>
      </c>
      <c r="DH41" s="439">
        <f t="shared" si="187"/>
        <v>0</v>
      </c>
      <c r="DI41" s="439">
        <f t="shared" si="188"/>
        <v>0</v>
      </c>
      <c r="DJ41" s="439">
        <f t="shared" si="189"/>
        <v>0</v>
      </c>
      <c r="DK41" s="439">
        <f t="shared" si="190"/>
        <v>0</v>
      </c>
      <c r="DL41" s="439">
        <f t="shared" si="191"/>
        <v>0</v>
      </c>
      <c r="DM41" s="439">
        <f t="shared" si="192"/>
        <v>0</v>
      </c>
      <c r="DN41" s="439">
        <f t="shared" si="193"/>
        <v>0</v>
      </c>
      <c r="DO41" s="439">
        <f t="shared" si="194"/>
        <v>0</v>
      </c>
      <c r="DP41" s="439">
        <f t="shared" si="195"/>
        <v>0</v>
      </c>
      <c r="DQ41" s="442">
        <f t="shared" si="196"/>
        <v>0</v>
      </c>
      <c r="DR41" s="442">
        <f t="shared" si="197"/>
        <v>0</v>
      </c>
      <c r="DS41" s="439">
        <f t="shared" si="198"/>
        <v>0</v>
      </c>
      <c r="DT41" s="439">
        <f t="shared" si="199"/>
        <v>0</v>
      </c>
      <c r="DU41" s="661">
        <f t="shared" si="200"/>
        <v>0</v>
      </c>
      <c r="DV41" s="661">
        <f t="shared" si="201"/>
        <v>0</v>
      </c>
      <c r="DW41" s="439">
        <f t="shared" si="202"/>
        <v>0</v>
      </c>
      <c r="DX41" s="439">
        <f t="shared" si="203"/>
        <v>0</v>
      </c>
      <c r="DY41" s="439">
        <f t="shared" si="204"/>
        <v>0</v>
      </c>
      <c r="DZ41" s="439">
        <f t="shared" si="205"/>
        <v>0</v>
      </c>
      <c r="EA41" s="631" t="s">
        <v>92</v>
      </c>
      <c r="EB41" s="631">
        <f t="shared" si="151"/>
        <v>0.11742019209701225</v>
      </c>
      <c r="ED41" s="439">
        <f t="shared" si="206"/>
        <v>1.9215</v>
      </c>
      <c r="EE41" s="440">
        <f t="shared" si="207"/>
        <v>1.4715</v>
      </c>
      <c r="EF41" s="439">
        <f t="shared" si="208"/>
        <v>-1.0215000000000001</v>
      </c>
      <c r="EG41" s="441">
        <f t="shared" si="209"/>
        <v>0</v>
      </c>
      <c r="EH41" s="439">
        <f t="shared" si="210"/>
        <v>0</v>
      </c>
      <c r="EI41" s="439">
        <f t="shared" si="211"/>
        <v>0</v>
      </c>
      <c r="EJ41" s="439">
        <f t="shared" si="212"/>
        <v>0</v>
      </c>
      <c r="EK41" s="439">
        <f t="shared" si="213"/>
        <v>0</v>
      </c>
      <c r="EL41" s="439">
        <f t="shared" si="214"/>
        <v>0</v>
      </c>
      <c r="EM41" s="439">
        <f t="shared" si="215"/>
        <v>0</v>
      </c>
      <c r="EN41" s="439">
        <f t="shared" si="216"/>
        <v>0</v>
      </c>
      <c r="EO41" s="439">
        <f t="shared" si="217"/>
        <v>0</v>
      </c>
      <c r="EP41" s="439">
        <f t="shared" si="218"/>
        <v>0</v>
      </c>
      <c r="EQ41" s="439">
        <f t="shared" si="219"/>
        <v>0</v>
      </c>
      <c r="ER41" s="442">
        <f t="shared" si="220"/>
        <v>0</v>
      </c>
      <c r="ES41" s="442">
        <f t="shared" si="221"/>
        <v>0</v>
      </c>
      <c r="ET41" s="439">
        <f t="shared" si="222"/>
        <v>0</v>
      </c>
      <c r="EU41" s="439">
        <f t="shared" si="223"/>
        <v>0</v>
      </c>
      <c r="EV41" s="661">
        <f t="shared" si="224"/>
        <v>0</v>
      </c>
      <c r="EW41" s="661">
        <f t="shared" si="225"/>
        <v>0</v>
      </c>
      <c r="EX41" s="439">
        <f t="shared" si="226"/>
        <v>0</v>
      </c>
      <c r="EY41" s="439">
        <f t="shared" si="227"/>
        <v>0</v>
      </c>
      <c r="EZ41" s="439">
        <f t="shared" si="228"/>
        <v>0</v>
      </c>
      <c r="FA41" s="439">
        <f t="shared" si="229"/>
        <v>0</v>
      </c>
      <c r="FB41" s="631" t="s">
        <v>92</v>
      </c>
      <c r="FC41" s="631">
        <f t="shared" si="152"/>
        <v>0.19570032016168704</v>
      </c>
      <c r="FE41" s="439">
        <f t="shared" si="230"/>
        <v>1.2169500000000002</v>
      </c>
      <c r="FF41" s="440">
        <f t="shared" si="231"/>
        <v>0.93195000000000017</v>
      </c>
      <c r="FG41" s="439">
        <f t="shared" si="232"/>
        <v>-0.64695000000000014</v>
      </c>
      <c r="FH41" s="441">
        <f t="shared" si="233"/>
        <v>0</v>
      </c>
      <c r="FI41" s="439">
        <f t="shared" si="234"/>
        <v>0</v>
      </c>
      <c r="FJ41" s="439">
        <f t="shared" si="235"/>
        <v>0</v>
      </c>
      <c r="FK41" s="439">
        <f t="shared" si="236"/>
        <v>0</v>
      </c>
      <c r="FL41" s="439">
        <f t="shared" si="237"/>
        <v>0</v>
      </c>
      <c r="FM41" s="439">
        <f t="shared" si="238"/>
        <v>0</v>
      </c>
      <c r="FN41" s="439">
        <f t="shared" si="239"/>
        <v>0</v>
      </c>
      <c r="FO41" s="439">
        <f t="shared" si="240"/>
        <v>0</v>
      </c>
      <c r="FP41" s="439">
        <f t="shared" si="241"/>
        <v>0</v>
      </c>
      <c r="FQ41" s="439">
        <f t="shared" si="242"/>
        <v>0</v>
      </c>
      <c r="FR41" s="439">
        <f t="shared" si="243"/>
        <v>0</v>
      </c>
      <c r="FS41" s="442">
        <f t="shared" si="244"/>
        <v>0</v>
      </c>
      <c r="FT41" s="442">
        <f t="shared" si="245"/>
        <v>0</v>
      </c>
      <c r="FU41" s="439">
        <f t="shared" si="246"/>
        <v>0</v>
      </c>
      <c r="FV41" s="439">
        <f t="shared" si="247"/>
        <v>0</v>
      </c>
      <c r="FW41" s="661">
        <f t="shared" si="248"/>
        <v>0</v>
      </c>
      <c r="FX41" s="661">
        <f t="shared" si="249"/>
        <v>0</v>
      </c>
      <c r="FY41" s="439">
        <f t="shared" si="250"/>
        <v>0</v>
      </c>
      <c r="FZ41" s="439">
        <f t="shared" si="251"/>
        <v>0</v>
      </c>
      <c r="GA41" s="439">
        <f t="shared" si="252"/>
        <v>0</v>
      </c>
      <c r="GB41" s="439">
        <f t="shared" si="253"/>
        <v>0</v>
      </c>
      <c r="GC41" s="631" t="s">
        <v>92</v>
      </c>
      <c r="GD41" s="631">
        <f t="shared" si="153"/>
        <v>0.12394353610240182</v>
      </c>
      <c r="GF41" s="439">
        <f t="shared" si="254"/>
        <v>1.4987700000000002</v>
      </c>
      <c r="GG41" s="440">
        <f t="shared" si="255"/>
        <v>1.1477700000000002</v>
      </c>
      <c r="GH41" s="439">
        <f t="shared" si="256"/>
        <v>-0.7967700000000002</v>
      </c>
      <c r="GI41" s="439">
        <f t="shared" si="257"/>
        <v>0</v>
      </c>
      <c r="GJ41" s="439">
        <f t="shared" si="258"/>
        <v>0</v>
      </c>
      <c r="GK41" s="439">
        <f t="shared" si="259"/>
        <v>0</v>
      </c>
      <c r="GL41" s="439">
        <f t="shared" si="260"/>
        <v>0</v>
      </c>
      <c r="GM41" s="439">
        <f t="shared" si="261"/>
        <v>0</v>
      </c>
      <c r="GN41" s="439">
        <f t="shared" si="262"/>
        <v>0</v>
      </c>
      <c r="GO41" s="439">
        <f t="shared" si="263"/>
        <v>0</v>
      </c>
      <c r="GP41" s="439">
        <f t="shared" si="264"/>
        <v>0</v>
      </c>
      <c r="GQ41" s="439">
        <f t="shared" si="265"/>
        <v>0</v>
      </c>
      <c r="GR41" s="439">
        <f t="shared" si="266"/>
        <v>0</v>
      </c>
      <c r="GS41" s="439">
        <f t="shared" si="267"/>
        <v>0</v>
      </c>
      <c r="GT41" s="442">
        <f t="shared" si="268"/>
        <v>0</v>
      </c>
      <c r="GU41" s="442">
        <f t="shared" si="269"/>
        <v>0</v>
      </c>
      <c r="GV41" s="439">
        <f t="shared" si="270"/>
        <v>0</v>
      </c>
      <c r="GW41" s="439">
        <f t="shared" si="271"/>
        <v>0</v>
      </c>
      <c r="GX41" s="661">
        <f t="shared" si="272"/>
        <v>0</v>
      </c>
      <c r="GY41" s="661">
        <f t="shared" si="273"/>
        <v>0</v>
      </c>
      <c r="GZ41" s="439">
        <f t="shared" si="274"/>
        <v>0</v>
      </c>
      <c r="HA41" s="439">
        <f t="shared" si="275"/>
        <v>0</v>
      </c>
      <c r="HB41" s="439">
        <f t="shared" si="276"/>
        <v>0</v>
      </c>
      <c r="HC41" s="439">
        <f t="shared" si="277"/>
        <v>0</v>
      </c>
      <c r="HD41" s="631" t="s">
        <v>92</v>
      </c>
      <c r="HE41" s="631">
        <f t="shared" si="176"/>
        <v>0.1526462497261159</v>
      </c>
      <c r="HG41" s="618">
        <f>HLOOKUP(CQ41,Spec_Sheet!$F$3:$DV$19,11,FALSE)+HLOOKUP(CQ41,Spec_Sheet!$F$3:$DV$21,19,FALSE)</f>
        <v>144</v>
      </c>
      <c r="HH41" s="618">
        <f t="shared" si="154"/>
        <v>100</v>
      </c>
      <c r="HI41" s="634">
        <f t="shared" si="155"/>
        <v>200</v>
      </c>
      <c r="HJ41" s="634">
        <f>HLOOKUP(IF(LEN(CQ41)&gt;6,LEFT(CQ41,5),CQ41),'LSM List Pricing'!$B$1:$BW$2,2,0)</f>
        <v>46</v>
      </c>
      <c r="HK41" s="634">
        <f>HLOOKUP(HJ41,'LSM List Pricing'!$B$2:$BW$3,2)</f>
        <v>600</v>
      </c>
      <c r="HL41" s="634">
        <f>VLOOKUP(HH41,'LSM List Pricing'!$A$7:$BW$87,HJ41,0)</f>
        <v>270</v>
      </c>
      <c r="HM41" s="627">
        <f>VLOOKUP(HI41,'LSM List Pricing'!$A$7:$BW$87,HJ41,1)</f>
        <v>370</v>
      </c>
      <c r="HN41" s="628">
        <f t="shared" si="106"/>
        <v>2.2307692307692308</v>
      </c>
      <c r="HO41" s="628">
        <f t="shared" si="107"/>
        <v>4.4615384615384617</v>
      </c>
      <c r="HP41" s="628">
        <f t="shared" si="108"/>
        <v>4.0256410256410255</v>
      </c>
      <c r="HR41" s="618">
        <v>1.9E-2</v>
      </c>
      <c r="HS41" s="618">
        <f t="shared" si="109"/>
        <v>127.57142857142857</v>
      </c>
      <c r="HT41" s="618">
        <f t="shared" si="110"/>
        <v>1</v>
      </c>
      <c r="HU41" s="618">
        <f t="shared" si="170"/>
        <v>0.4836238947895023</v>
      </c>
      <c r="HW41" s="618">
        <f t="shared" si="111"/>
        <v>35.313254069398909</v>
      </c>
      <c r="HX41" s="618">
        <f t="shared" si="171"/>
        <v>0.47888962824544801</v>
      </c>
      <c r="HY41" s="618">
        <f t="shared" si="172"/>
        <v>1.9E-2</v>
      </c>
      <c r="IB41" s="618">
        <f t="shared" si="113"/>
        <v>25.000350341399081</v>
      </c>
      <c r="IC41" s="618">
        <f t="shared" si="114"/>
        <v>1E-3</v>
      </c>
      <c r="IE41" s="618">
        <f t="shared" si="115"/>
        <v>0</v>
      </c>
      <c r="IF41" s="618">
        <f t="shared" si="116"/>
        <v>40.704999999999998</v>
      </c>
      <c r="IH41" s="618">
        <f t="shared" si="117"/>
        <v>0</v>
      </c>
      <c r="II41" s="618">
        <f t="shared" si="118"/>
        <v>40.704999999999998</v>
      </c>
      <c r="IK41" s="618">
        <f t="shared" si="119"/>
        <v>0</v>
      </c>
      <c r="IL41" s="618">
        <f t="shared" si="120"/>
        <v>40.704999999999998</v>
      </c>
      <c r="IN41" s="618">
        <f t="shared" si="121"/>
        <v>0</v>
      </c>
      <c r="IO41" s="618">
        <f t="shared" si="122"/>
        <v>40.704999999999998</v>
      </c>
      <c r="IQ41" s="618">
        <f t="shared" si="123"/>
        <v>0</v>
      </c>
      <c r="IR41" s="618">
        <f t="shared" si="124"/>
        <v>40.704999999999998</v>
      </c>
      <c r="IT41" s="660" t="str">
        <f t="shared" si="278"/>
        <v>S200T 1S</v>
      </c>
      <c r="IU41" s="628"/>
      <c r="IV41" s="439">
        <f t="shared" si="279"/>
        <v>1.7934000000000001</v>
      </c>
      <c r="IW41" s="440">
        <f t="shared" si="280"/>
        <v>1.3734000000000002</v>
      </c>
      <c r="IX41" s="439">
        <f t="shared" si="281"/>
        <v>-0.95340000000000025</v>
      </c>
      <c r="IY41" s="439">
        <f t="shared" si="282"/>
        <v>0</v>
      </c>
      <c r="IZ41" s="439">
        <f t="shared" si="283"/>
        <v>0</v>
      </c>
      <c r="JA41" s="439">
        <f t="shared" si="284"/>
        <v>0</v>
      </c>
      <c r="JB41" s="439">
        <f t="shared" si="285"/>
        <v>0</v>
      </c>
      <c r="JC41" s="439">
        <f t="shared" si="286"/>
        <v>0</v>
      </c>
      <c r="JD41" s="439">
        <f t="shared" si="287"/>
        <v>0</v>
      </c>
      <c r="JE41" s="439">
        <f t="shared" si="288"/>
        <v>0</v>
      </c>
      <c r="JF41" s="439">
        <f t="shared" si="289"/>
        <v>0</v>
      </c>
      <c r="JG41" s="439">
        <f t="shared" si="290"/>
        <v>0</v>
      </c>
      <c r="JH41" s="439">
        <f t="shared" si="291"/>
        <v>0</v>
      </c>
      <c r="JI41" s="439">
        <f t="shared" si="292"/>
        <v>0</v>
      </c>
      <c r="JJ41" s="442">
        <f t="shared" si="293"/>
        <v>0</v>
      </c>
      <c r="JK41" s="442">
        <f t="shared" si="294"/>
        <v>0</v>
      </c>
      <c r="JL41" s="439">
        <f t="shared" si="295"/>
        <v>0</v>
      </c>
      <c r="JM41" s="439">
        <f t="shared" si="296"/>
        <v>0</v>
      </c>
      <c r="JN41" s="661">
        <f t="shared" si="297"/>
        <v>0</v>
      </c>
      <c r="JO41" s="661">
        <f t="shared" si="298"/>
        <v>0</v>
      </c>
      <c r="JP41" s="439">
        <f t="shared" si="299"/>
        <v>0</v>
      </c>
      <c r="JQ41" s="439">
        <f t="shared" si="300"/>
        <v>0</v>
      </c>
      <c r="JR41" s="439">
        <f t="shared" si="301"/>
        <v>0</v>
      </c>
      <c r="JS41" s="439">
        <f t="shared" si="302"/>
        <v>0</v>
      </c>
      <c r="JT41" s="631" t="s">
        <v>92</v>
      </c>
      <c r="JU41" s="631">
        <f t="shared" si="158"/>
        <v>0.18265363215090794</v>
      </c>
      <c r="JW41" s="522"/>
      <c r="JX41" s="522"/>
      <c r="JY41" s="522"/>
      <c r="JZ41" s="522"/>
      <c r="KA41" s="522"/>
      <c r="KB41" s="522"/>
      <c r="KC41" s="522"/>
      <c r="KD41" s="522"/>
      <c r="KE41" s="522"/>
      <c r="KF41" s="522"/>
      <c r="KG41" s="522"/>
      <c r="KH41" s="522"/>
      <c r="KI41" s="522"/>
      <c r="KJ41" s="522"/>
      <c r="KK41" s="522"/>
      <c r="KL41" s="522"/>
    </row>
    <row r="42" spans="1:298" ht="9.9499999999999993" customHeight="1">
      <c r="A42" s="155"/>
      <c r="B42" s="95" t="s">
        <v>301</v>
      </c>
      <c r="C42" s="95"/>
      <c r="D42" s="95"/>
      <c r="E42" s="95">
        <f>IF(E35&lt;0,-E35,E35)/C44</f>
        <v>3.9758432461253346E-5</v>
      </c>
      <c r="F42" s="95">
        <f>4*AC10/B44^2</f>
        <v>1.2158542037080531E-5</v>
      </c>
      <c r="G42" s="95">
        <f>LN(F42/E42)*D44</f>
        <v>-3.7713036524813053E-3</v>
      </c>
      <c r="H42" s="95"/>
      <c r="I42" s="95">
        <f>IF(I35&lt;0,-I35,I35)/C44</f>
        <v>0</v>
      </c>
      <c r="J42" s="95">
        <f>4*AC18/B44^2</f>
        <v>2.0489394914339419E-5</v>
      </c>
      <c r="K42" s="95" t="e">
        <f>LN(J42/I42)*D44</f>
        <v>#DIV/0!</v>
      </c>
      <c r="L42" s="95"/>
      <c r="M42" s="95">
        <f>IF(M35&lt;0,-M35,M35)/C44</f>
        <v>0</v>
      </c>
      <c r="N42" s="95">
        <f>4*AC26/B44^2</f>
        <v>3.7995443865876665E-4</v>
      </c>
      <c r="O42" s="95" t="e">
        <f>LN(N42/M42)*D44</f>
        <v>#DIV/0!</v>
      </c>
      <c r="P42" s="95"/>
      <c r="Q42" s="95">
        <f>IF(Q35&lt;0,-Q35,Q35)/C44</f>
        <v>0</v>
      </c>
      <c r="R42" s="95">
        <f>4*AT10/B44^2</f>
        <v>2.5330295910584445E-4</v>
      </c>
      <c r="S42" s="95" t="e">
        <f>LN(R42/Q42)*D44</f>
        <v>#DIV/0!</v>
      </c>
      <c r="T42" s="95"/>
      <c r="U42" s="95">
        <f>IF(U35&lt;0,-U35,U35)/C44</f>
        <v>0</v>
      </c>
      <c r="V42" s="95">
        <f>4*AT18/B44^2</f>
        <v>8.1056946913870219E-4</v>
      </c>
      <c r="W42" s="95" t="e">
        <f>LN(V42/U42)*D44</f>
        <v>#DIV/0!</v>
      </c>
      <c r="X42" s="95"/>
      <c r="Y42" s="95">
        <f>IF(Y35&lt;0,-Y35,Y35)/C44</f>
        <v>0</v>
      </c>
      <c r="Z42" s="95">
        <f>4*AT26/B44^2</f>
        <v>1.6211389382774044E-4</v>
      </c>
      <c r="AA42" s="95" t="e">
        <f>LN(Z42/Y42)*D44</f>
        <v>#DIV/0!</v>
      </c>
      <c r="AB42" s="95"/>
      <c r="AC42" s="95"/>
      <c r="AD42" s="95"/>
      <c r="AE42" s="95"/>
      <c r="AF42" s="95"/>
      <c r="AG42" s="95">
        <f>HLOOKUP(AJ49,Spec_Sheet!$F$3:$ED$22,11,FALSE)</f>
        <v>40</v>
      </c>
      <c r="AH42" s="95"/>
      <c r="AI42" s="95"/>
      <c r="AJ42" s="95" t="s">
        <v>252</v>
      </c>
      <c r="AK42" s="95"/>
      <c r="AL42" s="95">
        <f>(AC37/AI32)^2</f>
        <v>1.0676828783319004E-3</v>
      </c>
      <c r="AM42" s="95"/>
      <c r="AN42" s="95" t="s">
        <v>414</v>
      </c>
      <c r="AO42" s="95"/>
      <c r="AP42" s="95"/>
      <c r="AQ42" s="95">
        <f>IF(B17=3,HLOOKUP(AJ49,Spec_Sheet!$F$3:$ED$19,13,FALSE),HLOOKUP(AJ49,Spec_Sheet!$F$3:$ED$19,13,FALSE)*IF(B17=4,4,2))</f>
        <v>0.05</v>
      </c>
      <c r="AR42" s="95"/>
      <c r="AS42" s="95"/>
      <c r="AT42" s="95"/>
      <c r="AU42" s="95"/>
      <c r="AV42" s="95">
        <f>IF($AY$30,D32,0)</f>
        <v>24</v>
      </c>
      <c r="AW42" s="95">
        <f>IF($AY$32,'Data Sheet'!AA63,0)</f>
        <v>0.44145000000000006</v>
      </c>
      <c r="AX42" s="95">
        <f>D31</f>
        <v>0.08</v>
      </c>
      <c r="AY42" s="95">
        <f>IF(AY33,0,O31-N31+AY38)</f>
        <v>0</v>
      </c>
      <c r="AZ42" s="668"/>
      <c r="BA42" s="668"/>
      <c r="BB42" s="708" t="str">
        <f t="shared" ca="1" si="168"/>
        <v>L350SS</v>
      </c>
      <c r="BC42" s="709"/>
      <c r="BD42" s="710"/>
      <c r="BE42" s="342">
        <f t="shared" ca="1" si="160"/>
        <v>1.6572236037934989E-3</v>
      </c>
      <c r="BF42" s="78">
        <f t="shared" ca="1" si="161"/>
        <v>8.8248064803905118E-4</v>
      </c>
      <c r="BG42" s="490">
        <f t="shared" ca="1" si="162"/>
        <v>1.0925086212006082E-2</v>
      </c>
      <c r="BH42" s="78">
        <f t="shared" ca="1" si="163"/>
        <v>8.7461216489466958E-3</v>
      </c>
      <c r="BI42" s="617">
        <f t="shared" ca="1" si="164"/>
        <v>2.7312715530015204E-3</v>
      </c>
      <c r="BJ42" s="528">
        <f t="shared" ca="1" si="165"/>
        <v>2.6666666666666665</v>
      </c>
      <c r="BK42" s="529">
        <f t="shared" ca="1" si="166"/>
        <v>5.333333333333333</v>
      </c>
      <c r="BL42" s="530">
        <f t="shared" ca="1" si="167"/>
        <v>3.9230769230769229</v>
      </c>
      <c r="BM42" s="44"/>
      <c r="BN42" s="131" t="str">
        <f>E61</f>
        <v>Force</v>
      </c>
      <c r="BO42" s="131"/>
      <c r="BP42" s="131"/>
      <c r="BQ42" s="140"/>
      <c r="BR42" s="140"/>
      <c r="BS42" s="141"/>
      <c r="BT42" s="141"/>
      <c r="BU42" s="141"/>
      <c r="BV42" s="141"/>
      <c r="BW42" s="141"/>
      <c r="BX42" s="180" t="str">
        <f>N61</f>
        <v>Time</v>
      </c>
      <c r="BY42" s="181"/>
      <c r="BZ42" s="132"/>
      <c r="CA42" s="132"/>
      <c r="CB42" s="142"/>
      <c r="CC42" s="141"/>
      <c r="CD42" s="134"/>
      <c r="CE42" s="134"/>
      <c r="CF42" s="134"/>
      <c r="CG42" s="135"/>
      <c r="CH42" s="170"/>
      <c r="CI42" s="100"/>
      <c r="CJ42" s="152"/>
      <c r="CK42" s="152"/>
      <c r="CL42" s="153"/>
      <c r="CM42" s="153"/>
      <c r="CN42" s="153"/>
      <c r="CO42" s="689" t="str">
        <f ca="1"/>
        <v>L250D-1S</v>
      </c>
      <c r="CP42" s="632" t="str">
        <f>IF(OR(CQ42=0,CR42="",CS42&gt;120),"",IF(HLOOKUP(CQ42,Spec_Sheet!$F$3:$ED$19,17,FALSE)&lt;$AC$46,"",CQ42))</f>
        <v>L250DS</v>
      </c>
      <c r="CQ42" s="660" t="str">
        <f>IF(Spec_Sheet!A41="","",Spec_Sheet!A41)</f>
        <v>L250DS</v>
      </c>
      <c r="CR42" s="660">
        <f>IF(CQ42="",0,HLOOKUP(CQ42,Spec_Sheet!$F$3:$ED$19,2,FALSE))</f>
        <v>29.395116614867703</v>
      </c>
      <c r="CS42" s="660">
        <f t="shared" si="169"/>
        <v>1.6673463917114056E-3</v>
      </c>
      <c r="CT42" s="621">
        <f t="shared" si="173"/>
        <v>2.4710766939541442E-3</v>
      </c>
      <c r="CU42" s="621">
        <f t="shared" si="181"/>
        <v>1.6673463917114056E-3</v>
      </c>
      <c r="CV42" s="621">
        <f t="shared" si="174"/>
        <v>2.6966333596570697E-3</v>
      </c>
      <c r="CW42" s="621">
        <f t="shared" si="175"/>
        <v>1.853504513186747E-3</v>
      </c>
      <c r="CX42" s="621">
        <f t="shared" si="157"/>
        <v>8.8430032518815025E-4</v>
      </c>
      <c r="CY42" s="619">
        <f>HLOOKUP(CQ42,Spec_Sheet!$F$3:$ED$19,13,FALSE)</f>
        <v>0.72</v>
      </c>
      <c r="CZ42" s="619">
        <f>VLOOKUP(HH42,'Shaft Weight'!$A$6:$CD$102,HJ42,TRUE)</f>
        <v>0.77</v>
      </c>
      <c r="DA42" s="619">
        <f>VLOOKUP(HI42,'Shaft Weight'!$A$6:$CD$102,HJ42,0)</f>
        <v>0.94</v>
      </c>
      <c r="DB42" s="619">
        <f>HLOOKUP(CQ42,Spec_Sheet!$F$3:$ED$19,6,FALSE)</f>
        <v>27.6</v>
      </c>
      <c r="DC42" s="439">
        <f t="shared" si="182"/>
        <v>1.4347200000000002</v>
      </c>
      <c r="DD42" s="440">
        <f t="shared" si="183"/>
        <v>1.0987200000000001</v>
      </c>
      <c r="DE42" s="439">
        <f t="shared" si="184"/>
        <v>-0.76272000000000006</v>
      </c>
      <c r="DF42" s="439">
        <f t="shared" si="185"/>
        <v>0</v>
      </c>
      <c r="DG42" s="439">
        <f t="shared" si="186"/>
        <v>0</v>
      </c>
      <c r="DH42" s="439">
        <f t="shared" si="187"/>
        <v>0</v>
      </c>
      <c r="DI42" s="439">
        <f t="shared" si="188"/>
        <v>0</v>
      </c>
      <c r="DJ42" s="439">
        <f t="shared" si="189"/>
        <v>0</v>
      </c>
      <c r="DK42" s="439">
        <f t="shared" si="190"/>
        <v>0</v>
      </c>
      <c r="DL42" s="439">
        <f t="shared" si="191"/>
        <v>0</v>
      </c>
      <c r="DM42" s="439">
        <f t="shared" si="192"/>
        <v>0</v>
      </c>
      <c r="DN42" s="439">
        <f t="shared" si="193"/>
        <v>0</v>
      </c>
      <c r="DO42" s="439">
        <f t="shared" si="194"/>
        <v>0</v>
      </c>
      <c r="DP42" s="439">
        <f t="shared" si="195"/>
        <v>0</v>
      </c>
      <c r="DQ42" s="442">
        <f t="shared" si="196"/>
        <v>0</v>
      </c>
      <c r="DR42" s="442">
        <f t="shared" si="197"/>
        <v>0</v>
      </c>
      <c r="DS42" s="439">
        <f t="shared" si="198"/>
        <v>0</v>
      </c>
      <c r="DT42" s="439">
        <f t="shared" si="199"/>
        <v>0</v>
      </c>
      <c r="DU42" s="661">
        <f t="shared" si="200"/>
        <v>0</v>
      </c>
      <c r="DV42" s="661">
        <f t="shared" si="201"/>
        <v>0</v>
      </c>
      <c r="DW42" s="439">
        <f t="shared" si="202"/>
        <v>0</v>
      </c>
      <c r="DX42" s="439">
        <f t="shared" si="203"/>
        <v>0</v>
      </c>
      <c r="DY42" s="439">
        <f t="shared" si="204"/>
        <v>0</v>
      </c>
      <c r="DZ42" s="439">
        <f t="shared" si="205"/>
        <v>0</v>
      </c>
      <c r="EA42" s="631" t="s">
        <v>92</v>
      </c>
      <c r="EB42" s="631">
        <f t="shared" si="151"/>
        <v>0.14612290572072634</v>
      </c>
      <c r="ED42" s="439">
        <f t="shared" si="206"/>
        <v>2.4851400000000003</v>
      </c>
      <c r="EE42" s="440">
        <f t="shared" si="207"/>
        <v>1.9031400000000003</v>
      </c>
      <c r="EF42" s="439">
        <f t="shared" si="208"/>
        <v>-1.3211400000000002</v>
      </c>
      <c r="EG42" s="441">
        <f t="shared" si="209"/>
        <v>0</v>
      </c>
      <c r="EH42" s="439">
        <f t="shared" si="210"/>
        <v>0</v>
      </c>
      <c r="EI42" s="439">
        <f t="shared" si="211"/>
        <v>0</v>
      </c>
      <c r="EJ42" s="439">
        <f t="shared" si="212"/>
        <v>0</v>
      </c>
      <c r="EK42" s="439">
        <f t="shared" si="213"/>
        <v>0</v>
      </c>
      <c r="EL42" s="439">
        <f t="shared" si="214"/>
        <v>0</v>
      </c>
      <c r="EM42" s="439">
        <f t="shared" si="215"/>
        <v>0</v>
      </c>
      <c r="EN42" s="439">
        <f t="shared" si="216"/>
        <v>0</v>
      </c>
      <c r="EO42" s="439">
        <f t="shared" si="217"/>
        <v>0</v>
      </c>
      <c r="EP42" s="439">
        <f t="shared" si="218"/>
        <v>0</v>
      </c>
      <c r="EQ42" s="439">
        <f t="shared" si="219"/>
        <v>0</v>
      </c>
      <c r="ER42" s="442">
        <f t="shared" si="220"/>
        <v>0</v>
      </c>
      <c r="ES42" s="442">
        <f t="shared" si="221"/>
        <v>0</v>
      </c>
      <c r="ET42" s="439">
        <f t="shared" si="222"/>
        <v>0</v>
      </c>
      <c r="EU42" s="439">
        <f t="shared" si="223"/>
        <v>0</v>
      </c>
      <c r="EV42" s="661">
        <f t="shared" si="224"/>
        <v>0</v>
      </c>
      <c r="EW42" s="661">
        <f t="shared" si="225"/>
        <v>0</v>
      </c>
      <c r="EX42" s="439">
        <f t="shared" si="226"/>
        <v>0</v>
      </c>
      <c r="EY42" s="439">
        <f t="shared" si="227"/>
        <v>0</v>
      </c>
      <c r="EZ42" s="439">
        <f t="shared" si="228"/>
        <v>0</v>
      </c>
      <c r="FA42" s="439">
        <f t="shared" si="229"/>
        <v>0</v>
      </c>
      <c r="FB42" s="631" t="s">
        <v>92</v>
      </c>
      <c r="FC42" s="631">
        <f t="shared" si="152"/>
        <v>0.25310574740911529</v>
      </c>
      <c r="FE42" s="439">
        <f t="shared" si="230"/>
        <v>1.4987700000000002</v>
      </c>
      <c r="FF42" s="440">
        <f t="shared" si="231"/>
        <v>1.1477700000000002</v>
      </c>
      <c r="FG42" s="439">
        <f t="shared" si="232"/>
        <v>-0.7967700000000002</v>
      </c>
      <c r="FH42" s="441">
        <f t="shared" si="233"/>
        <v>0</v>
      </c>
      <c r="FI42" s="439">
        <f t="shared" si="234"/>
        <v>0</v>
      </c>
      <c r="FJ42" s="439">
        <f t="shared" si="235"/>
        <v>0</v>
      </c>
      <c r="FK42" s="439">
        <f t="shared" si="236"/>
        <v>0</v>
      </c>
      <c r="FL42" s="439">
        <f t="shared" si="237"/>
        <v>0</v>
      </c>
      <c r="FM42" s="439">
        <f t="shared" si="238"/>
        <v>0</v>
      </c>
      <c r="FN42" s="439">
        <f t="shared" si="239"/>
        <v>0</v>
      </c>
      <c r="FO42" s="439">
        <f t="shared" si="240"/>
        <v>0</v>
      </c>
      <c r="FP42" s="439">
        <f t="shared" si="241"/>
        <v>0</v>
      </c>
      <c r="FQ42" s="439">
        <f t="shared" si="242"/>
        <v>0</v>
      </c>
      <c r="FR42" s="439">
        <f t="shared" si="243"/>
        <v>0</v>
      </c>
      <c r="FS42" s="442">
        <f t="shared" si="244"/>
        <v>0</v>
      </c>
      <c r="FT42" s="442">
        <f t="shared" si="245"/>
        <v>0</v>
      </c>
      <c r="FU42" s="439">
        <f t="shared" si="246"/>
        <v>0</v>
      </c>
      <c r="FV42" s="439">
        <f t="shared" si="247"/>
        <v>0</v>
      </c>
      <c r="FW42" s="661">
        <f t="shared" si="248"/>
        <v>0</v>
      </c>
      <c r="FX42" s="661">
        <f t="shared" si="249"/>
        <v>0</v>
      </c>
      <c r="FY42" s="439">
        <f t="shared" si="250"/>
        <v>0</v>
      </c>
      <c r="FZ42" s="439">
        <f t="shared" si="251"/>
        <v>0</v>
      </c>
      <c r="GA42" s="439">
        <f t="shared" si="252"/>
        <v>0</v>
      </c>
      <c r="GB42" s="439">
        <f t="shared" si="253"/>
        <v>0</v>
      </c>
      <c r="GC42" s="631" t="s">
        <v>92</v>
      </c>
      <c r="GD42" s="631">
        <f t="shared" si="153"/>
        <v>0.1526462497261159</v>
      </c>
      <c r="GF42" s="439">
        <f t="shared" si="254"/>
        <v>1.71654</v>
      </c>
      <c r="GG42" s="440">
        <f t="shared" si="255"/>
        <v>1.31454</v>
      </c>
      <c r="GH42" s="439">
        <f t="shared" si="256"/>
        <v>-0.91254000000000013</v>
      </c>
      <c r="GI42" s="439">
        <f t="shared" si="257"/>
        <v>0</v>
      </c>
      <c r="GJ42" s="439">
        <f t="shared" si="258"/>
        <v>0</v>
      </c>
      <c r="GK42" s="439">
        <f t="shared" si="259"/>
        <v>0</v>
      </c>
      <c r="GL42" s="439">
        <f t="shared" si="260"/>
        <v>0</v>
      </c>
      <c r="GM42" s="439">
        <f t="shared" si="261"/>
        <v>0</v>
      </c>
      <c r="GN42" s="439">
        <f t="shared" si="262"/>
        <v>0</v>
      </c>
      <c r="GO42" s="439">
        <f t="shared" si="263"/>
        <v>0</v>
      </c>
      <c r="GP42" s="439">
        <f t="shared" si="264"/>
        <v>0</v>
      </c>
      <c r="GQ42" s="439">
        <f t="shared" si="265"/>
        <v>0</v>
      </c>
      <c r="GR42" s="439">
        <f t="shared" si="266"/>
        <v>0</v>
      </c>
      <c r="GS42" s="439">
        <f t="shared" si="267"/>
        <v>0</v>
      </c>
      <c r="GT42" s="442">
        <f t="shared" si="268"/>
        <v>0</v>
      </c>
      <c r="GU42" s="442">
        <f t="shared" si="269"/>
        <v>0</v>
      </c>
      <c r="GV42" s="439">
        <f t="shared" si="270"/>
        <v>0</v>
      </c>
      <c r="GW42" s="439">
        <f t="shared" si="271"/>
        <v>0</v>
      </c>
      <c r="GX42" s="661">
        <f t="shared" si="272"/>
        <v>0</v>
      </c>
      <c r="GY42" s="661">
        <f t="shared" si="273"/>
        <v>0</v>
      </c>
      <c r="GZ42" s="439">
        <f t="shared" si="274"/>
        <v>0</v>
      </c>
      <c r="HA42" s="439">
        <f t="shared" si="275"/>
        <v>0</v>
      </c>
      <c r="HB42" s="439">
        <f t="shared" si="276"/>
        <v>0</v>
      </c>
      <c r="HC42" s="439">
        <f t="shared" si="277"/>
        <v>0</v>
      </c>
      <c r="HD42" s="631" t="s">
        <v>92</v>
      </c>
      <c r="HE42" s="631">
        <f t="shared" si="176"/>
        <v>0.17482561934444044</v>
      </c>
      <c r="HG42" s="618">
        <f>HLOOKUP(CQ42,Spec_Sheet!$F$3:$DV$19,11,FALSE)+HLOOKUP(CQ42,Spec_Sheet!$F$3:$DV$21,19,FALSE)</f>
        <v>90</v>
      </c>
      <c r="HH42" s="618">
        <f t="shared" si="154"/>
        <v>100</v>
      </c>
      <c r="HI42" s="634">
        <f t="shared" si="155"/>
        <v>150</v>
      </c>
      <c r="HJ42" s="634">
        <f>HLOOKUP(IF(LEN(CQ42)&gt;6,LEFT(CQ42,5),CQ42),'LSM List Pricing'!$B$1:$BW$2,2,0)</f>
        <v>9</v>
      </c>
      <c r="HK42" s="634">
        <f>HLOOKUP(HJ42,'LSM List Pricing'!$B$2:$BW$3,2)</f>
        <v>490</v>
      </c>
      <c r="HL42" s="634">
        <f>VLOOKUP(HH42,'LSM List Pricing'!$A$7:$BW$87,HJ42,0)</f>
        <v>410</v>
      </c>
      <c r="HM42" s="627">
        <f>VLOOKUP(HI42,'LSM List Pricing'!$A$7:$BW$87,HJ42,1)</f>
        <v>480</v>
      </c>
      <c r="HN42" s="628">
        <f t="shared" si="106"/>
        <v>2.3076923076923075</v>
      </c>
      <c r="HO42" s="628">
        <f t="shared" si="107"/>
        <v>4.615384615384615</v>
      </c>
      <c r="HP42" s="628">
        <f t="shared" si="108"/>
        <v>3.7435897435897436</v>
      </c>
      <c r="HR42" s="618">
        <v>1.95E-2</v>
      </c>
      <c r="HS42" s="618">
        <f t="shared" si="109"/>
        <v>130.92857142857142</v>
      </c>
      <c r="HT42" s="618">
        <f t="shared" si="110"/>
        <v>1</v>
      </c>
      <c r="HU42" s="618">
        <f t="shared" si="170"/>
        <v>0.49636293876312709</v>
      </c>
      <c r="HW42" s="618">
        <f t="shared" si="111"/>
        <v>35.295164626956357</v>
      </c>
      <c r="HX42" s="618">
        <f t="shared" si="171"/>
        <v>0.49137925752986811</v>
      </c>
      <c r="HY42" s="618">
        <f t="shared" si="172"/>
        <v>1.95E-2</v>
      </c>
      <c r="IB42" s="618">
        <f t="shared" si="113"/>
        <v>25.000350341399081</v>
      </c>
      <c r="IC42" s="618">
        <f t="shared" si="114"/>
        <v>1E-3</v>
      </c>
      <c r="IE42" s="618">
        <f t="shared" si="115"/>
        <v>0</v>
      </c>
      <c r="IF42" s="618">
        <f t="shared" si="116"/>
        <v>40.704999999999998</v>
      </c>
      <c r="IH42" s="618">
        <f t="shared" si="117"/>
        <v>0</v>
      </c>
      <c r="II42" s="618">
        <f t="shared" si="118"/>
        <v>40.704999999999998</v>
      </c>
      <c r="IK42" s="618">
        <f t="shared" si="119"/>
        <v>0</v>
      </c>
      <c r="IL42" s="618">
        <f t="shared" si="120"/>
        <v>40.704999999999998</v>
      </c>
      <c r="IN42" s="618">
        <f t="shared" si="121"/>
        <v>0</v>
      </c>
      <c r="IO42" s="618">
        <f t="shared" si="122"/>
        <v>40.704999999999998</v>
      </c>
      <c r="IQ42" s="618">
        <f t="shared" si="123"/>
        <v>0</v>
      </c>
      <c r="IR42" s="618">
        <f t="shared" si="124"/>
        <v>40.704999999999998</v>
      </c>
      <c r="IT42" s="660" t="str">
        <f t="shared" si="278"/>
        <v>L250DS</v>
      </c>
      <c r="IU42" s="628"/>
      <c r="IV42" s="439">
        <f t="shared" si="279"/>
        <v>2.35704</v>
      </c>
      <c r="IW42" s="440">
        <f t="shared" si="280"/>
        <v>1.80504</v>
      </c>
      <c r="IX42" s="439">
        <f t="shared" si="281"/>
        <v>-1.2530399999999999</v>
      </c>
      <c r="IY42" s="439">
        <f t="shared" si="282"/>
        <v>0</v>
      </c>
      <c r="IZ42" s="439">
        <f t="shared" si="283"/>
        <v>0</v>
      </c>
      <c r="JA42" s="439">
        <f t="shared" si="284"/>
        <v>0</v>
      </c>
      <c r="JB42" s="439">
        <f t="shared" si="285"/>
        <v>0</v>
      </c>
      <c r="JC42" s="439">
        <f t="shared" si="286"/>
        <v>0</v>
      </c>
      <c r="JD42" s="439">
        <f t="shared" si="287"/>
        <v>0</v>
      </c>
      <c r="JE42" s="439">
        <f t="shared" si="288"/>
        <v>0</v>
      </c>
      <c r="JF42" s="439">
        <f t="shared" si="289"/>
        <v>0</v>
      </c>
      <c r="JG42" s="439">
        <f t="shared" si="290"/>
        <v>0</v>
      </c>
      <c r="JH42" s="439">
        <f t="shared" si="291"/>
        <v>0</v>
      </c>
      <c r="JI42" s="439">
        <f t="shared" si="292"/>
        <v>0</v>
      </c>
      <c r="JJ42" s="442">
        <f t="shared" si="293"/>
        <v>0</v>
      </c>
      <c r="JK42" s="442">
        <f t="shared" si="294"/>
        <v>0</v>
      </c>
      <c r="JL42" s="439">
        <f t="shared" si="295"/>
        <v>0</v>
      </c>
      <c r="JM42" s="439">
        <f t="shared" si="296"/>
        <v>0</v>
      </c>
      <c r="JN42" s="661">
        <f t="shared" si="297"/>
        <v>0</v>
      </c>
      <c r="JO42" s="661">
        <f t="shared" si="298"/>
        <v>0</v>
      </c>
      <c r="JP42" s="439">
        <f t="shared" si="299"/>
        <v>0</v>
      </c>
      <c r="JQ42" s="439">
        <f t="shared" si="300"/>
        <v>0</v>
      </c>
      <c r="JR42" s="439">
        <f t="shared" si="301"/>
        <v>0</v>
      </c>
      <c r="JS42" s="439">
        <f t="shared" si="302"/>
        <v>0</v>
      </c>
      <c r="JT42" s="631" t="s">
        <v>92</v>
      </c>
      <c r="JU42" s="631">
        <f t="shared" si="158"/>
        <v>0.24005905939833611</v>
      </c>
      <c r="JW42" s="522"/>
      <c r="JX42" s="522"/>
      <c r="JY42" s="522"/>
      <c r="JZ42" s="522"/>
      <c r="KA42" s="522"/>
      <c r="KB42" s="522"/>
      <c r="KC42" s="522"/>
      <c r="KD42" s="522"/>
      <c r="KE42" s="522"/>
      <c r="KF42" s="522"/>
      <c r="KG42" s="522"/>
      <c r="KH42" s="522"/>
      <c r="KI42" s="522"/>
      <c r="KJ42" s="522"/>
      <c r="KK42" s="522"/>
      <c r="KL42" s="522"/>
    </row>
    <row r="43" spans="1:298" ht="9.9499999999999993" customHeight="1">
      <c r="A43" s="155"/>
      <c r="B43" s="95" t="s">
        <v>300</v>
      </c>
      <c r="C43" s="95" t="s">
        <v>302</v>
      </c>
      <c r="D43" s="95" t="s">
        <v>303</v>
      </c>
      <c r="E43" s="95"/>
      <c r="F43" s="95"/>
      <c r="G43" s="95"/>
      <c r="H43" s="95"/>
      <c r="I43" s="95"/>
      <c r="J43" s="95"/>
      <c r="K43" s="95"/>
      <c r="L43" s="95"/>
      <c r="M43" s="95"/>
      <c r="N43" s="95"/>
      <c r="O43" s="95"/>
      <c r="P43" s="95"/>
      <c r="Q43" s="95"/>
      <c r="R43" s="95"/>
      <c r="S43" s="95"/>
      <c r="T43" s="95"/>
      <c r="U43" s="95"/>
      <c r="V43" s="95"/>
      <c r="W43" s="95"/>
      <c r="X43" s="95"/>
      <c r="Y43" s="95"/>
      <c r="Z43" s="95"/>
      <c r="AA43" s="95"/>
      <c r="AB43" s="95"/>
      <c r="AC43" s="95" t="s">
        <v>433</v>
      </c>
      <c r="AD43" s="95"/>
      <c r="AE43" s="95"/>
      <c r="AF43" s="95"/>
      <c r="AG43" s="95"/>
      <c r="AH43" s="95"/>
      <c r="AI43" s="95"/>
      <c r="AJ43" s="95" t="s">
        <v>323</v>
      </c>
      <c r="AK43" s="95"/>
      <c r="AL43" s="95"/>
      <c r="AM43" s="95"/>
      <c r="AN43" s="95"/>
      <c r="AO43" s="95"/>
      <c r="AP43" s="95"/>
      <c r="AQ43" s="95">
        <f>(AQ37/AQ39)/1000</f>
        <v>1.4893617021276596E-4</v>
      </c>
      <c r="AR43" s="95"/>
      <c r="AS43" s="95"/>
      <c r="AT43" s="95"/>
      <c r="AU43" s="95"/>
      <c r="AV43" s="95">
        <f>IF($AY$30,E32,0)</f>
        <v>24</v>
      </c>
      <c r="AW43" s="95">
        <f>IF($AY$32,'Data Sheet'!AA64,0)</f>
        <v>0.44145000000000006</v>
      </c>
      <c r="AX43" s="95">
        <f>E31</f>
        <v>0.625</v>
      </c>
      <c r="AY43" s="95"/>
      <c r="AZ43" s="668"/>
      <c r="BA43" s="668"/>
      <c r="BB43" s="708" t="str">
        <f t="shared" ca="1" si="168"/>
        <v>S200T</v>
      </c>
      <c r="BC43" s="709"/>
      <c r="BD43" s="710"/>
      <c r="BE43" s="342">
        <f t="shared" ca="1" si="160"/>
        <v>1.7586098867473541E-3</v>
      </c>
      <c r="BF43" s="78">
        <f t="shared" ca="1" si="161"/>
        <v>1.0638504253163005E-3</v>
      </c>
      <c r="BG43" s="490">
        <f t="shared" ca="1" si="162"/>
        <v>1.9594387935672683E-3</v>
      </c>
      <c r="BH43" s="78">
        <f t="shared" ca="1" si="163"/>
        <v>1.2212568657967735E-3</v>
      </c>
      <c r="BI43" s="617">
        <f t="shared" ca="1" si="164"/>
        <v>7.4301267715075694E-4</v>
      </c>
      <c r="BJ43" s="528">
        <f t="shared" ca="1" si="165"/>
        <v>2.2307692307692308</v>
      </c>
      <c r="BK43" s="529">
        <f t="shared" ca="1" si="166"/>
        <v>4.4615384615384617</v>
      </c>
      <c r="BL43" s="530">
        <f t="shared" ca="1" si="167"/>
        <v>4.0256410256410255</v>
      </c>
      <c r="BM43" s="44"/>
      <c r="BN43" s="109"/>
      <c r="BO43" s="720">
        <v>8</v>
      </c>
      <c r="BP43" s="720"/>
      <c r="BQ43" s="719" t="s">
        <v>12</v>
      </c>
      <c r="BR43" s="719"/>
      <c r="BS43" s="719"/>
      <c r="BT43" s="723">
        <f>BO43*VLOOKUP(BQ43,E62:F66,2,FALSE)</f>
        <v>35.585772919999997</v>
      </c>
      <c r="BU43" s="723"/>
      <c r="BV43" s="83" t="s">
        <v>52</v>
      </c>
      <c r="BW43" s="139"/>
      <c r="BX43" s="139"/>
      <c r="BY43" s="720">
        <v>1</v>
      </c>
      <c r="BZ43" s="720"/>
      <c r="CA43" s="719" t="s">
        <v>157</v>
      </c>
      <c r="CB43" s="719"/>
      <c r="CC43" s="719"/>
      <c r="CD43" s="723">
        <f>BY43*VLOOKUP(CA43,N62:O64,2,FALSE)</f>
        <v>60</v>
      </c>
      <c r="CE43" s="723"/>
      <c r="CF43" s="83" t="s">
        <v>120</v>
      </c>
      <c r="CG43" s="129"/>
      <c r="CH43" s="164"/>
      <c r="CI43" s="100"/>
      <c r="CJ43" s="152"/>
      <c r="CK43" s="152"/>
      <c r="CL43" s="153"/>
      <c r="CM43" s="153"/>
      <c r="CN43" s="153"/>
      <c r="CO43" s="689" t="str">
        <f ca="1"/>
        <v>S200Q</v>
      </c>
      <c r="CP43" s="632" t="str">
        <f>IF(OR(CQ43=0,CR43="",CS43&gt;120),"",IF(HLOOKUP(CQ43,Spec_Sheet!$F$3:$ED$19,17,FALSE)&lt;$AC$46,"",CQ43))</f>
        <v>L320DS</v>
      </c>
      <c r="CQ43" s="660" t="str">
        <f>IF(Spec_Sheet!A42="","",Spec_Sheet!A42)</f>
        <v>L320DS</v>
      </c>
      <c r="CR43" s="660">
        <f>IF(CQ43="",0,HLOOKUP(CQ43,Spec_Sheet!$F$3:$ED$19,2,FALSE))</f>
        <v>33.072148370925269</v>
      </c>
      <c r="CS43" s="660">
        <f t="shared" si="169"/>
        <v>1.2051499392034069E-3</v>
      </c>
      <c r="CT43" s="621">
        <f t="shared" si="173"/>
        <v>1.8151948464448001E-3</v>
      </c>
      <c r="CU43" s="621">
        <f t="shared" si="181"/>
        <v>1.2051499392034069E-3</v>
      </c>
      <c r="CV43" s="621">
        <f t="shared" si="174"/>
        <v>4.8205997568136275E-3</v>
      </c>
      <c r="CW43" s="621">
        <f t="shared" si="175"/>
        <v>3.7872583833231019E-3</v>
      </c>
      <c r="CX43" s="621">
        <f t="shared" si="157"/>
        <v>1.6191089834029235E-3</v>
      </c>
      <c r="CY43" s="619">
        <f>HLOOKUP(CQ43,Spec_Sheet!$F$3:$ED$19,13,FALSE)</f>
        <v>0.68</v>
      </c>
      <c r="CZ43" s="619">
        <f>VLOOKUP(HH43,'Shaft Weight'!$A$6:$CD$102,HJ43,TRUE)</f>
        <v>1.36</v>
      </c>
      <c r="DA43" s="619">
        <f>VLOOKUP(HI43,'Shaft Weight'!$A$6:$CD$102,HJ43,0)</f>
        <v>1.64</v>
      </c>
      <c r="DB43" s="619">
        <f>HLOOKUP(CQ43,Spec_Sheet!$F$3:$ED$19,6,FALSE)</f>
        <v>22</v>
      </c>
      <c r="DC43" s="439">
        <f t="shared" si="182"/>
        <v>1.3834800000000003</v>
      </c>
      <c r="DD43" s="440">
        <f t="shared" si="183"/>
        <v>1.0594800000000002</v>
      </c>
      <c r="DE43" s="439">
        <f t="shared" si="184"/>
        <v>-0.73548000000000013</v>
      </c>
      <c r="DF43" s="439">
        <f t="shared" si="185"/>
        <v>0</v>
      </c>
      <c r="DG43" s="439">
        <f t="shared" si="186"/>
        <v>0</v>
      </c>
      <c r="DH43" s="439">
        <f t="shared" si="187"/>
        <v>0</v>
      </c>
      <c r="DI43" s="439">
        <f t="shared" si="188"/>
        <v>0</v>
      </c>
      <c r="DJ43" s="439">
        <f t="shared" si="189"/>
        <v>0</v>
      </c>
      <c r="DK43" s="439">
        <f t="shared" si="190"/>
        <v>0</v>
      </c>
      <c r="DL43" s="439">
        <f t="shared" si="191"/>
        <v>0</v>
      </c>
      <c r="DM43" s="439">
        <f t="shared" si="192"/>
        <v>0</v>
      </c>
      <c r="DN43" s="439">
        <f t="shared" si="193"/>
        <v>0</v>
      </c>
      <c r="DO43" s="439">
        <f t="shared" si="194"/>
        <v>0</v>
      </c>
      <c r="DP43" s="439">
        <f t="shared" si="195"/>
        <v>0</v>
      </c>
      <c r="DQ43" s="442">
        <f t="shared" si="196"/>
        <v>0</v>
      </c>
      <c r="DR43" s="442">
        <f t="shared" si="197"/>
        <v>0</v>
      </c>
      <c r="DS43" s="439">
        <f t="shared" si="198"/>
        <v>0</v>
      </c>
      <c r="DT43" s="439">
        <f t="shared" si="199"/>
        <v>0</v>
      </c>
      <c r="DU43" s="661">
        <f t="shared" si="200"/>
        <v>0</v>
      </c>
      <c r="DV43" s="661">
        <f t="shared" si="201"/>
        <v>0</v>
      </c>
      <c r="DW43" s="439">
        <f t="shared" si="202"/>
        <v>0</v>
      </c>
      <c r="DX43" s="439">
        <f t="shared" si="203"/>
        <v>0</v>
      </c>
      <c r="DY43" s="439">
        <f t="shared" si="204"/>
        <v>0</v>
      </c>
      <c r="DZ43" s="439">
        <f t="shared" si="205"/>
        <v>0</v>
      </c>
      <c r="EA43" s="631" t="s">
        <v>92</v>
      </c>
      <c r="EB43" s="631">
        <f t="shared" si="151"/>
        <v>0.14090423051641468</v>
      </c>
      <c r="ED43" s="439">
        <f t="shared" si="206"/>
        <v>3.9967200000000003</v>
      </c>
      <c r="EE43" s="440">
        <f t="shared" si="207"/>
        <v>3.0607200000000003</v>
      </c>
      <c r="EF43" s="439">
        <f t="shared" si="208"/>
        <v>-2.1247200000000004</v>
      </c>
      <c r="EG43" s="441">
        <f t="shared" si="209"/>
        <v>0</v>
      </c>
      <c r="EH43" s="439">
        <f t="shared" si="210"/>
        <v>0</v>
      </c>
      <c r="EI43" s="439">
        <f t="shared" si="211"/>
        <v>0</v>
      </c>
      <c r="EJ43" s="439">
        <f t="shared" si="212"/>
        <v>0</v>
      </c>
      <c r="EK43" s="439">
        <f t="shared" si="213"/>
        <v>0</v>
      </c>
      <c r="EL43" s="439">
        <f t="shared" si="214"/>
        <v>0</v>
      </c>
      <c r="EM43" s="439">
        <f t="shared" si="215"/>
        <v>0</v>
      </c>
      <c r="EN43" s="439">
        <f t="shared" si="216"/>
        <v>0</v>
      </c>
      <c r="EO43" s="439">
        <f t="shared" si="217"/>
        <v>0</v>
      </c>
      <c r="EP43" s="439">
        <f t="shared" si="218"/>
        <v>0</v>
      </c>
      <c r="EQ43" s="439">
        <f t="shared" si="219"/>
        <v>0</v>
      </c>
      <c r="ER43" s="442">
        <f t="shared" si="220"/>
        <v>0</v>
      </c>
      <c r="ES43" s="442">
        <f t="shared" si="221"/>
        <v>0</v>
      </c>
      <c r="ET43" s="439">
        <f t="shared" si="222"/>
        <v>0</v>
      </c>
      <c r="EU43" s="439">
        <f t="shared" si="223"/>
        <v>0</v>
      </c>
      <c r="EV43" s="661">
        <f t="shared" si="224"/>
        <v>0</v>
      </c>
      <c r="EW43" s="661">
        <f t="shared" si="225"/>
        <v>0</v>
      </c>
      <c r="EX43" s="439">
        <f t="shared" si="226"/>
        <v>0</v>
      </c>
      <c r="EY43" s="439">
        <f t="shared" si="227"/>
        <v>0</v>
      </c>
      <c r="EZ43" s="439">
        <f t="shared" si="228"/>
        <v>0</v>
      </c>
      <c r="FA43" s="439">
        <f t="shared" si="229"/>
        <v>0</v>
      </c>
      <c r="FB43" s="631" t="s">
        <v>92</v>
      </c>
      <c r="FC43" s="631">
        <f t="shared" si="152"/>
        <v>0.40705666593630907</v>
      </c>
      <c r="FE43" s="439">
        <f t="shared" si="230"/>
        <v>2.2545600000000006</v>
      </c>
      <c r="FF43" s="440">
        <f t="shared" si="231"/>
        <v>1.7265600000000003</v>
      </c>
      <c r="FG43" s="439">
        <f t="shared" si="232"/>
        <v>-1.1985600000000003</v>
      </c>
      <c r="FH43" s="441">
        <f t="shared" si="233"/>
        <v>0</v>
      </c>
      <c r="FI43" s="439">
        <f t="shared" si="234"/>
        <v>0</v>
      </c>
      <c r="FJ43" s="439">
        <f t="shared" si="235"/>
        <v>0</v>
      </c>
      <c r="FK43" s="439">
        <f t="shared" si="236"/>
        <v>0</v>
      </c>
      <c r="FL43" s="439">
        <f t="shared" si="237"/>
        <v>0</v>
      </c>
      <c r="FM43" s="439">
        <f t="shared" si="238"/>
        <v>0</v>
      </c>
      <c r="FN43" s="439">
        <f t="shared" si="239"/>
        <v>0</v>
      </c>
      <c r="FO43" s="439">
        <f t="shared" si="240"/>
        <v>0</v>
      </c>
      <c r="FP43" s="439">
        <f t="shared" si="241"/>
        <v>0</v>
      </c>
      <c r="FQ43" s="439">
        <f t="shared" si="242"/>
        <v>0</v>
      </c>
      <c r="FR43" s="439">
        <f t="shared" si="243"/>
        <v>0</v>
      </c>
      <c r="FS43" s="442">
        <f t="shared" si="244"/>
        <v>0</v>
      </c>
      <c r="FT43" s="442">
        <f t="shared" si="245"/>
        <v>0</v>
      </c>
      <c r="FU43" s="439">
        <f t="shared" si="246"/>
        <v>0</v>
      </c>
      <c r="FV43" s="439">
        <f t="shared" si="247"/>
        <v>0</v>
      </c>
      <c r="FW43" s="661">
        <f t="shared" si="248"/>
        <v>0</v>
      </c>
      <c r="FX43" s="661">
        <f t="shared" si="249"/>
        <v>0</v>
      </c>
      <c r="FY43" s="439">
        <f t="shared" si="250"/>
        <v>0</v>
      </c>
      <c r="FZ43" s="439">
        <f t="shared" si="251"/>
        <v>0</v>
      </c>
      <c r="GA43" s="439">
        <f t="shared" si="252"/>
        <v>0</v>
      </c>
      <c r="GB43" s="439">
        <f t="shared" si="253"/>
        <v>0</v>
      </c>
      <c r="GC43" s="631" t="s">
        <v>92</v>
      </c>
      <c r="GD43" s="631">
        <f t="shared" si="153"/>
        <v>0.22962170898971285</v>
      </c>
      <c r="GF43" s="439">
        <f t="shared" si="254"/>
        <v>2.6132400000000007</v>
      </c>
      <c r="GG43" s="440">
        <f t="shared" si="255"/>
        <v>2.0012400000000006</v>
      </c>
      <c r="GH43" s="439">
        <f t="shared" si="256"/>
        <v>-1.3892400000000005</v>
      </c>
      <c r="GI43" s="439">
        <f t="shared" si="257"/>
        <v>0</v>
      </c>
      <c r="GJ43" s="439">
        <f t="shared" si="258"/>
        <v>0</v>
      </c>
      <c r="GK43" s="439">
        <f t="shared" si="259"/>
        <v>0</v>
      </c>
      <c r="GL43" s="439">
        <f t="shared" si="260"/>
        <v>0</v>
      </c>
      <c r="GM43" s="439">
        <f t="shared" si="261"/>
        <v>0</v>
      </c>
      <c r="GN43" s="439">
        <f t="shared" si="262"/>
        <v>0</v>
      </c>
      <c r="GO43" s="439">
        <f t="shared" si="263"/>
        <v>0</v>
      </c>
      <c r="GP43" s="439">
        <f t="shared" si="264"/>
        <v>0</v>
      </c>
      <c r="GQ43" s="439">
        <f t="shared" si="265"/>
        <v>0</v>
      </c>
      <c r="GR43" s="439">
        <f t="shared" si="266"/>
        <v>0</v>
      </c>
      <c r="GS43" s="439">
        <f t="shared" si="267"/>
        <v>0</v>
      </c>
      <c r="GT43" s="442">
        <f t="shared" si="268"/>
        <v>0</v>
      </c>
      <c r="GU43" s="442">
        <f t="shared" si="269"/>
        <v>0</v>
      </c>
      <c r="GV43" s="439">
        <f t="shared" si="270"/>
        <v>0</v>
      </c>
      <c r="GW43" s="439">
        <f t="shared" si="271"/>
        <v>0</v>
      </c>
      <c r="GX43" s="661">
        <f t="shared" si="272"/>
        <v>0</v>
      </c>
      <c r="GY43" s="661">
        <f t="shared" si="273"/>
        <v>0</v>
      </c>
      <c r="GZ43" s="439">
        <f t="shared" si="274"/>
        <v>0</v>
      </c>
      <c r="HA43" s="439">
        <f t="shared" si="275"/>
        <v>0</v>
      </c>
      <c r="HB43" s="439">
        <f t="shared" si="276"/>
        <v>0</v>
      </c>
      <c r="HC43" s="439">
        <f t="shared" si="277"/>
        <v>0</v>
      </c>
      <c r="HD43" s="631" t="s">
        <v>92</v>
      </c>
      <c r="HE43" s="631">
        <f t="shared" si="176"/>
        <v>0.26615243541989442</v>
      </c>
      <c r="HG43" s="618">
        <f>HLOOKUP(CQ43,Spec_Sheet!$F$3:$DV$19,11,FALSE)+HLOOKUP(CQ43,Spec_Sheet!$F$3:$DV$21,19,FALSE)</f>
        <v>90</v>
      </c>
      <c r="HH43" s="618">
        <f t="shared" si="154"/>
        <v>100</v>
      </c>
      <c r="HI43" s="634">
        <f t="shared" si="155"/>
        <v>150</v>
      </c>
      <c r="HJ43" s="634">
        <f>HLOOKUP(IF(LEN(CQ43)&gt;6,LEFT(CQ43,5),CQ43),'LSM List Pricing'!$B$1:$BW$2,2,0)</f>
        <v>16</v>
      </c>
      <c r="HK43" s="634">
        <f>HLOOKUP(HJ43,'LSM List Pricing'!$B$2:$BW$3,2)</f>
        <v>460</v>
      </c>
      <c r="HL43" s="634">
        <f>VLOOKUP(HH43,'LSM List Pricing'!$A$7:$BW$87,HJ43,0)</f>
        <v>560</v>
      </c>
      <c r="HM43" s="627">
        <f>VLOOKUP(HI43,'LSM List Pricing'!$A$7:$BW$87,HJ43,1)</f>
        <v>660</v>
      </c>
      <c r="HN43" s="628">
        <f t="shared" si="106"/>
        <v>2.6153846153846154</v>
      </c>
      <c r="HO43" s="628">
        <f t="shared" si="107"/>
        <v>5.2307692307692308</v>
      </c>
      <c r="HP43" s="628">
        <f t="shared" si="108"/>
        <v>4.0512820512820511</v>
      </c>
      <c r="HR43" s="618">
        <v>0.02</v>
      </c>
      <c r="HS43" s="618">
        <f t="shared" si="109"/>
        <v>134.28571428571428</v>
      </c>
      <c r="HT43" s="618">
        <f t="shared" si="110"/>
        <v>1</v>
      </c>
      <c r="HU43" s="618">
        <f t="shared" si="170"/>
        <v>0.50910198273675189</v>
      </c>
      <c r="HW43" s="618">
        <f t="shared" si="111"/>
        <v>35.277075184513812</v>
      </c>
      <c r="HX43" s="618">
        <f t="shared" si="171"/>
        <v>0.5038624856419901</v>
      </c>
      <c r="HY43" s="618">
        <f t="shared" si="172"/>
        <v>0.02</v>
      </c>
      <c r="IB43" s="618">
        <f t="shared" si="113"/>
        <v>25.000350341399081</v>
      </c>
      <c r="IC43" s="618">
        <f t="shared" si="114"/>
        <v>1E-3</v>
      </c>
      <c r="IE43" s="618">
        <f t="shared" si="115"/>
        <v>0</v>
      </c>
      <c r="IF43" s="618">
        <f t="shared" si="116"/>
        <v>40.704999999999998</v>
      </c>
      <c r="IH43" s="618">
        <f t="shared" si="117"/>
        <v>0</v>
      </c>
      <c r="II43" s="618">
        <f t="shared" si="118"/>
        <v>40.704999999999998</v>
      </c>
      <c r="IK43" s="618">
        <f t="shared" si="119"/>
        <v>0</v>
      </c>
      <c r="IL43" s="618">
        <f t="shared" si="120"/>
        <v>40.704999999999998</v>
      </c>
      <c r="IN43" s="618">
        <f t="shared" si="121"/>
        <v>0</v>
      </c>
      <c r="IO43" s="618">
        <f t="shared" si="122"/>
        <v>40.704999999999998</v>
      </c>
      <c r="IQ43" s="618">
        <f t="shared" si="123"/>
        <v>0</v>
      </c>
      <c r="IR43" s="618">
        <f t="shared" si="124"/>
        <v>40.704999999999998</v>
      </c>
      <c r="IT43" s="660" t="str">
        <f t="shared" si="278"/>
        <v>L320DS</v>
      </c>
      <c r="IU43" s="628"/>
      <c r="IV43" s="439">
        <f t="shared" si="279"/>
        <v>2.2545600000000006</v>
      </c>
      <c r="IW43" s="440">
        <f t="shared" si="280"/>
        <v>1.7265600000000003</v>
      </c>
      <c r="IX43" s="439">
        <f t="shared" si="281"/>
        <v>-1.1985600000000003</v>
      </c>
      <c r="IY43" s="439">
        <f t="shared" si="282"/>
        <v>0</v>
      </c>
      <c r="IZ43" s="439">
        <f t="shared" si="283"/>
        <v>0</v>
      </c>
      <c r="JA43" s="439">
        <f t="shared" si="284"/>
        <v>0</v>
      </c>
      <c r="JB43" s="439">
        <f t="shared" si="285"/>
        <v>0</v>
      </c>
      <c r="JC43" s="439">
        <f t="shared" si="286"/>
        <v>0</v>
      </c>
      <c r="JD43" s="439">
        <f t="shared" si="287"/>
        <v>0</v>
      </c>
      <c r="JE43" s="439">
        <f t="shared" si="288"/>
        <v>0</v>
      </c>
      <c r="JF43" s="439">
        <f t="shared" si="289"/>
        <v>0</v>
      </c>
      <c r="JG43" s="439">
        <f t="shared" si="290"/>
        <v>0</v>
      </c>
      <c r="JH43" s="439">
        <f t="shared" si="291"/>
        <v>0</v>
      </c>
      <c r="JI43" s="439">
        <f t="shared" si="292"/>
        <v>0</v>
      </c>
      <c r="JJ43" s="442">
        <f t="shared" si="293"/>
        <v>0</v>
      </c>
      <c r="JK43" s="442">
        <f t="shared" si="294"/>
        <v>0</v>
      </c>
      <c r="JL43" s="439">
        <f t="shared" si="295"/>
        <v>0</v>
      </c>
      <c r="JM43" s="439">
        <f t="shared" si="296"/>
        <v>0</v>
      </c>
      <c r="JN43" s="661">
        <f t="shared" si="297"/>
        <v>0</v>
      </c>
      <c r="JO43" s="661">
        <f t="shared" si="298"/>
        <v>0</v>
      </c>
      <c r="JP43" s="439">
        <f t="shared" si="299"/>
        <v>0</v>
      </c>
      <c r="JQ43" s="439">
        <f t="shared" si="300"/>
        <v>0</v>
      </c>
      <c r="JR43" s="439">
        <f t="shared" si="301"/>
        <v>0</v>
      </c>
      <c r="JS43" s="439">
        <f t="shared" si="302"/>
        <v>0</v>
      </c>
      <c r="JT43" s="631" t="s">
        <v>92</v>
      </c>
      <c r="JU43" s="631">
        <f t="shared" si="158"/>
        <v>0.22962170898971285</v>
      </c>
      <c r="JW43" s="522"/>
      <c r="JX43" s="522"/>
      <c r="JY43" s="522"/>
      <c r="JZ43" s="522"/>
      <c r="KA43" s="522"/>
      <c r="KB43" s="522"/>
      <c r="KC43" s="522"/>
      <c r="KD43" s="522"/>
      <c r="KE43" s="522"/>
      <c r="KF43" s="522"/>
      <c r="KG43" s="522"/>
      <c r="KH43" s="522"/>
      <c r="KI43" s="522"/>
      <c r="KJ43" s="522"/>
      <c r="KK43" s="522"/>
      <c r="KL43" s="522"/>
    </row>
    <row r="44" spans="1:298" ht="9.9499999999999993" customHeight="1">
      <c r="A44" s="155"/>
      <c r="B44" s="95">
        <f>2*PI()*50</f>
        <v>314.15926535897933</v>
      </c>
      <c r="C44" s="95">
        <f>((Mc+ML)*B44^2)/4</f>
        <v>11103.304951225529</v>
      </c>
      <c r="D44" s="95">
        <f>1/B44</f>
        <v>3.1830988618379067E-3</v>
      </c>
      <c r="E44" s="95"/>
      <c r="F44" s="95"/>
      <c r="G44" s="95"/>
      <c r="H44" s="95"/>
      <c r="I44" s="95"/>
      <c r="J44" s="95"/>
      <c r="K44" s="95"/>
      <c r="L44" s="95"/>
      <c r="M44" s="95"/>
      <c r="N44" s="95"/>
      <c r="O44" s="95"/>
      <c r="P44" s="95"/>
      <c r="Q44" s="95"/>
      <c r="R44" s="95"/>
      <c r="S44" s="95"/>
      <c r="T44" s="95"/>
      <c r="U44" s="95"/>
      <c r="V44" s="95"/>
      <c r="W44" s="95"/>
      <c r="X44" s="95"/>
      <c r="Y44" s="95"/>
      <c r="Z44" s="95"/>
      <c r="AA44" s="95"/>
      <c r="AB44" s="95" t="s">
        <v>319</v>
      </c>
      <c r="AC44" s="95">
        <f>IF(AE34&gt;=100,ROUNDUP(AE34/100,0)*100,100)</f>
        <v>100</v>
      </c>
      <c r="AD44" s="95"/>
      <c r="AE44" s="95"/>
      <c r="AF44" s="95"/>
      <c r="AG44" s="95"/>
      <c r="AH44" s="95"/>
      <c r="AI44" s="95"/>
      <c r="AJ44" s="95" t="s">
        <v>324</v>
      </c>
      <c r="AK44" s="95"/>
      <c r="AL44" s="95"/>
      <c r="AM44" s="95"/>
      <c r="AN44" s="95"/>
      <c r="AO44" s="95"/>
      <c r="AP44" s="95"/>
      <c r="AQ44" s="95">
        <f>AQ39*1.423</f>
        <v>6.6881000000000004</v>
      </c>
      <c r="AR44" s="95"/>
      <c r="AS44" s="95"/>
      <c r="AT44" s="95"/>
      <c r="AU44" s="95"/>
      <c r="AV44" s="95">
        <f>IF($AY$30,E93,0)*$D$82</f>
        <v>24</v>
      </c>
      <c r="AW44" s="95">
        <f>IF($AY$32,'Data Sheet'!AA65,0)</f>
        <v>0.44145000000000006</v>
      </c>
      <c r="AX44" s="95">
        <f>AX43</f>
        <v>0.625</v>
      </c>
      <c r="AY44" s="95"/>
      <c r="AZ44" s="668"/>
      <c r="BA44" s="668"/>
      <c r="BB44" s="708" t="str">
        <f t="shared" ca="1" si="168"/>
        <v>S200T 1S</v>
      </c>
      <c r="BC44" s="709"/>
      <c r="BD44" s="710"/>
      <c r="BE44" s="342">
        <f t="shared" ca="1" si="160"/>
        <v>1.7584340389473745E-3</v>
      </c>
      <c r="BF44" s="78">
        <f t="shared" ca="1" si="161"/>
        <v>1.0637440482521151E-3</v>
      </c>
      <c r="BG44" s="490">
        <f t="shared" ca="1" si="162"/>
        <v>1.9592428643827229E-3</v>
      </c>
      <c r="BH44" s="78">
        <f t="shared" ca="1" si="163"/>
        <v>1.2211347492690095E-3</v>
      </c>
      <c r="BI44" s="617">
        <f t="shared" ca="1" si="164"/>
        <v>7.4293838145526533E-4</v>
      </c>
      <c r="BJ44" s="528">
        <f t="shared" ca="1" si="165"/>
        <v>2.2307692307692308</v>
      </c>
      <c r="BK44" s="529">
        <f t="shared" ca="1" si="166"/>
        <v>4.4615384615384617</v>
      </c>
      <c r="BL44" s="530">
        <f t="shared" ca="1" si="167"/>
        <v>4.0256410256410255</v>
      </c>
      <c r="BM44" s="44"/>
      <c r="BN44" s="109"/>
      <c r="BO44" s="109"/>
      <c r="BP44" s="109"/>
      <c r="BQ44" s="137"/>
      <c r="BR44" s="137"/>
      <c r="BS44" s="83"/>
      <c r="BT44" s="83"/>
      <c r="BU44" s="83"/>
      <c r="BV44" s="83"/>
      <c r="BW44" s="83"/>
      <c r="BX44" s="139"/>
      <c r="BY44" s="139"/>
      <c r="BZ44" s="139"/>
      <c r="CA44" s="143"/>
      <c r="CB44" s="144"/>
      <c r="CC44" s="139"/>
      <c r="CD44" s="129"/>
      <c r="CE44" s="129"/>
      <c r="CF44" s="129"/>
      <c r="CG44" s="129"/>
      <c r="CH44" s="164"/>
      <c r="CI44" s="100"/>
      <c r="CJ44" s="152"/>
      <c r="CK44" s="152"/>
      <c r="CL44" s="153"/>
      <c r="CM44" s="153"/>
      <c r="CN44" s="153"/>
      <c r="CO44" s="689" t="str">
        <f ca="1"/>
        <v>S200Q 1S</v>
      </c>
      <c r="CP44" s="632" t="str">
        <f>IF(OR(CQ44=0,CR44="",CS44&gt;120),"",IF(HLOOKUP(CQ44,Spec_Sheet!$F$3:$ED$19,17,FALSE)&lt;$AC$46,"",CQ44))</f>
        <v>L250D</v>
      </c>
      <c r="CQ44" s="660" t="str">
        <f>IF(Spec_Sheet!A43="","",Spec_Sheet!A43)</f>
        <v>L250D</v>
      </c>
      <c r="CR44" s="660">
        <f>IF(CQ44="",0,HLOOKUP(CQ44,Spec_Sheet!$F$3:$ED$19,2,FALSE))</f>
        <v>34.450000000000003</v>
      </c>
      <c r="CS44" s="660">
        <f t="shared" si="169"/>
        <v>1.3372963100839823E-3</v>
      </c>
      <c r="CT44" s="621">
        <f t="shared" si="173"/>
        <v>1.9486341843426805E-3</v>
      </c>
      <c r="CU44" s="621">
        <f t="shared" si="181"/>
        <v>1.3372963100839823E-3</v>
      </c>
      <c r="CV44" s="621">
        <f t="shared" si="174"/>
        <v>2.4238671135722056E-3</v>
      </c>
      <c r="CW44" s="621">
        <f t="shared" si="175"/>
        <v>1.7354314836818745E-3</v>
      </c>
      <c r="CX44" s="621">
        <f t="shared" si="157"/>
        <v>7.8539031443321825E-4</v>
      </c>
      <c r="CY44" s="619">
        <f>HLOOKUP(CQ44,Spec_Sheet!$F$3:$ED$19,13,FALSE)</f>
        <v>0.76561226243810554</v>
      </c>
      <c r="CZ44" s="619">
        <f>VLOOKUP(HH44,'Shaft Weight'!$A$6:$CD$102,HJ44,TRUE)</f>
        <v>0.9</v>
      </c>
      <c r="DA44" s="619">
        <f>VLOOKUP(HI44,'Shaft Weight'!$A$6:$CD$102,HJ44,0)</f>
        <v>1.08</v>
      </c>
      <c r="DB44" s="619">
        <f>HLOOKUP(CQ44,Spec_Sheet!$F$3:$ED$19,6,FALSE)</f>
        <v>26.5</v>
      </c>
      <c r="DC44" s="439">
        <f t="shared" si="182"/>
        <v>1.4931493081832135</v>
      </c>
      <c r="DD44" s="440">
        <f t="shared" si="183"/>
        <v>1.1434656294517818</v>
      </c>
      <c r="DE44" s="439">
        <f t="shared" si="184"/>
        <v>-0.79378195072035007</v>
      </c>
      <c r="DF44" s="439">
        <f t="shared" si="185"/>
        <v>0</v>
      </c>
      <c r="DG44" s="439">
        <f t="shared" si="186"/>
        <v>0</v>
      </c>
      <c r="DH44" s="439">
        <f t="shared" si="187"/>
        <v>0</v>
      </c>
      <c r="DI44" s="439">
        <f t="shared" si="188"/>
        <v>0</v>
      </c>
      <c r="DJ44" s="439">
        <f t="shared" si="189"/>
        <v>0</v>
      </c>
      <c r="DK44" s="439">
        <f t="shared" si="190"/>
        <v>0</v>
      </c>
      <c r="DL44" s="439">
        <f t="shared" si="191"/>
        <v>0</v>
      </c>
      <c r="DM44" s="439">
        <f t="shared" si="192"/>
        <v>0</v>
      </c>
      <c r="DN44" s="439">
        <f t="shared" si="193"/>
        <v>0</v>
      </c>
      <c r="DO44" s="439">
        <f t="shared" si="194"/>
        <v>0</v>
      </c>
      <c r="DP44" s="439">
        <f t="shared" si="195"/>
        <v>0</v>
      </c>
      <c r="DQ44" s="442">
        <f t="shared" si="196"/>
        <v>0</v>
      </c>
      <c r="DR44" s="442">
        <f t="shared" si="197"/>
        <v>0</v>
      </c>
      <c r="DS44" s="439">
        <f t="shared" si="198"/>
        <v>0</v>
      </c>
      <c r="DT44" s="439">
        <f t="shared" si="199"/>
        <v>0</v>
      </c>
      <c r="DU44" s="661">
        <f t="shared" si="200"/>
        <v>0</v>
      </c>
      <c r="DV44" s="661">
        <f t="shared" si="201"/>
        <v>0</v>
      </c>
      <c r="DW44" s="439">
        <f t="shared" si="202"/>
        <v>0</v>
      </c>
      <c r="DX44" s="439">
        <f t="shared" si="203"/>
        <v>0</v>
      </c>
      <c r="DY44" s="439">
        <f t="shared" si="204"/>
        <v>0</v>
      </c>
      <c r="DZ44" s="439">
        <f t="shared" si="205"/>
        <v>0</v>
      </c>
      <c r="EA44" s="631" t="s">
        <v>92</v>
      </c>
      <c r="EB44" s="631">
        <f t="shared" si="151"/>
        <v>0.15207379529568379</v>
      </c>
      <c r="ED44" s="439">
        <f t="shared" si="206"/>
        <v>2.8182000000000005</v>
      </c>
      <c r="EE44" s="440">
        <f t="shared" si="207"/>
        <v>2.1582000000000003</v>
      </c>
      <c r="EF44" s="439">
        <f t="shared" si="208"/>
        <v>-1.4982000000000002</v>
      </c>
      <c r="EG44" s="441">
        <f t="shared" si="209"/>
        <v>0</v>
      </c>
      <c r="EH44" s="439">
        <f t="shared" si="210"/>
        <v>0</v>
      </c>
      <c r="EI44" s="439">
        <f t="shared" si="211"/>
        <v>0</v>
      </c>
      <c r="EJ44" s="439">
        <f t="shared" si="212"/>
        <v>0</v>
      </c>
      <c r="EK44" s="439">
        <f t="shared" si="213"/>
        <v>0</v>
      </c>
      <c r="EL44" s="439">
        <f t="shared" si="214"/>
        <v>0</v>
      </c>
      <c r="EM44" s="439">
        <f t="shared" si="215"/>
        <v>0</v>
      </c>
      <c r="EN44" s="439">
        <f t="shared" si="216"/>
        <v>0</v>
      </c>
      <c r="EO44" s="439">
        <f t="shared" si="217"/>
        <v>0</v>
      </c>
      <c r="EP44" s="439">
        <f t="shared" si="218"/>
        <v>0</v>
      </c>
      <c r="EQ44" s="439">
        <f t="shared" si="219"/>
        <v>0</v>
      </c>
      <c r="ER44" s="442">
        <f t="shared" si="220"/>
        <v>0</v>
      </c>
      <c r="ES44" s="442">
        <f t="shared" si="221"/>
        <v>0</v>
      </c>
      <c r="ET44" s="439">
        <f t="shared" si="222"/>
        <v>0</v>
      </c>
      <c r="EU44" s="439">
        <f t="shared" si="223"/>
        <v>0</v>
      </c>
      <c r="EV44" s="661">
        <f t="shared" si="224"/>
        <v>0</v>
      </c>
      <c r="EW44" s="661">
        <f t="shared" si="225"/>
        <v>0</v>
      </c>
      <c r="EX44" s="439">
        <f t="shared" si="226"/>
        <v>0</v>
      </c>
      <c r="EY44" s="439">
        <f t="shared" si="227"/>
        <v>0</v>
      </c>
      <c r="EZ44" s="439">
        <f t="shared" si="228"/>
        <v>0</v>
      </c>
      <c r="FA44" s="439">
        <f t="shared" si="229"/>
        <v>0</v>
      </c>
      <c r="FB44" s="631" t="s">
        <v>92</v>
      </c>
      <c r="FC44" s="631">
        <f t="shared" si="152"/>
        <v>0.28702713623714105</v>
      </c>
      <c r="FE44" s="439">
        <f t="shared" si="230"/>
        <v>1.6653000000000002</v>
      </c>
      <c r="FF44" s="440">
        <f t="shared" si="231"/>
        <v>1.2753000000000003</v>
      </c>
      <c r="FG44" s="439">
        <f t="shared" si="232"/>
        <v>-0.88530000000000031</v>
      </c>
      <c r="FH44" s="441">
        <f t="shared" si="233"/>
        <v>0</v>
      </c>
      <c r="FI44" s="439">
        <f t="shared" si="234"/>
        <v>0</v>
      </c>
      <c r="FJ44" s="439">
        <f t="shared" si="235"/>
        <v>0</v>
      </c>
      <c r="FK44" s="439">
        <f t="shared" si="236"/>
        <v>0</v>
      </c>
      <c r="FL44" s="439">
        <f t="shared" si="237"/>
        <v>0</v>
      </c>
      <c r="FM44" s="439">
        <f t="shared" si="238"/>
        <v>0</v>
      </c>
      <c r="FN44" s="439">
        <f t="shared" si="239"/>
        <v>0</v>
      </c>
      <c r="FO44" s="439">
        <f t="shared" si="240"/>
        <v>0</v>
      </c>
      <c r="FP44" s="439">
        <f t="shared" si="241"/>
        <v>0</v>
      </c>
      <c r="FQ44" s="439">
        <f t="shared" si="242"/>
        <v>0</v>
      </c>
      <c r="FR44" s="439">
        <f t="shared" si="243"/>
        <v>0</v>
      </c>
      <c r="FS44" s="442">
        <f t="shared" si="244"/>
        <v>0</v>
      </c>
      <c r="FT44" s="442">
        <f t="shared" si="245"/>
        <v>0</v>
      </c>
      <c r="FU44" s="439">
        <f t="shared" si="246"/>
        <v>0</v>
      </c>
      <c r="FV44" s="439">
        <f t="shared" si="247"/>
        <v>0</v>
      </c>
      <c r="FW44" s="661">
        <f t="shared" si="248"/>
        <v>0</v>
      </c>
      <c r="FX44" s="661">
        <f t="shared" si="249"/>
        <v>0</v>
      </c>
      <c r="FY44" s="439">
        <f t="shared" si="250"/>
        <v>0</v>
      </c>
      <c r="FZ44" s="439">
        <f t="shared" si="251"/>
        <v>0</v>
      </c>
      <c r="GA44" s="439">
        <f t="shared" si="252"/>
        <v>0</v>
      </c>
      <c r="GB44" s="439">
        <f t="shared" si="253"/>
        <v>0</v>
      </c>
      <c r="GC44" s="631" t="s">
        <v>92</v>
      </c>
      <c r="GD44" s="631">
        <f t="shared" si="153"/>
        <v>0.16960694414012881</v>
      </c>
      <c r="GF44" s="439">
        <f t="shared" si="254"/>
        <v>1.89588</v>
      </c>
      <c r="GG44" s="440">
        <f t="shared" si="255"/>
        <v>1.4518800000000001</v>
      </c>
      <c r="GH44" s="439">
        <f t="shared" si="256"/>
        <v>-1.0078800000000001</v>
      </c>
      <c r="GI44" s="439">
        <f t="shared" si="257"/>
        <v>0</v>
      </c>
      <c r="GJ44" s="439">
        <f t="shared" si="258"/>
        <v>0</v>
      </c>
      <c r="GK44" s="439">
        <f t="shared" si="259"/>
        <v>0</v>
      </c>
      <c r="GL44" s="439">
        <f t="shared" si="260"/>
        <v>0</v>
      </c>
      <c r="GM44" s="439">
        <f t="shared" si="261"/>
        <v>0</v>
      </c>
      <c r="GN44" s="439">
        <f t="shared" si="262"/>
        <v>0</v>
      </c>
      <c r="GO44" s="439">
        <f t="shared" si="263"/>
        <v>0</v>
      </c>
      <c r="GP44" s="439">
        <f t="shared" si="264"/>
        <v>0</v>
      </c>
      <c r="GQ44" s="439">
        <f t="shared" si="265"/>
        <v>0</v>
      </c>
      <c r="GR44" s="439">
        <f t="shared" si="266"/>
        <v>0</v>
      </c>
      <c r="GS44" s="439">
        <f t="shared" si="267"/>
        <v>0</v>
      </c>
      <c r="GT44" s="442">
        <f t="shared" si="268"/>
        <v>0</v>
      </c>
      <c r="GU44" s="442">
        <f t="shared" si="269"/>
        <v>0</v>
      </c>
      <c r="GV44" s="439">
        <f t="shared" si="270"/>
        <v>0</v>
      </c>
      <c r="GW44" s="439">
        <f t="shared" si="271"/>
        <v>0</v>
      </c>
      <c r="GX44" s="661">
        <f t="shared" si="272"/>
        <v>0</v>
      </c>
      <c r="GY44" s="661">
        <f t="shared" si="273"/>
        <v>0</v>
      </c>
      <c r="GZ44" s="439">
        <f t="shared" si="274"/>
        <v>0</v>
      </c>
      <c r="HA44" s="439">
        <f t="shared" si="275"/>
        <v>0</v>
      </c>
      <c r="HB44" s="439">
        <f t="shared" si="276"/>
        <v>0</v>
      </c>
      <c r="HC44" s="439">
        <f t="shared" si="277"/>
        <v>0</v>
      </c>
      <c r="HD44" s="631" t="s">
        <v>92</v>
      </c>
      <c r="HE44" s="631">
        <f t="shared" si="176"/>
        <v>0.19309098255953122</v>
      </c>
      <c r="HG44" s="618">
        <f>HLOOKUP(CQ44,Spec_Sheet!$F$3:$DV$19,11,FALSE)+HLOOKUP(CQ44,Spec_Sheet!$F$3:$DV$21,19,FALSE)</f>
        <v>135</v>
      </c>
      <c r="HH44" s="618">
        <f t="shared" si="154"/>
        <v>100</v>
      </c>
      <c r="HI44" s="634">
        <f t="shared" si="155"/>
        <v>150</v>
      </c>
      <c r="HJ44" s="634">
        <f>HLOOKUP(IF(LEN(CQ44)&gt;6,LEFT(CQ44,5),CQ44),'LSM List Pricing'!$B$1:$BW$2,2,0)</f>
        <v>8</v>
      </c>
      <c r="HK44" s="634">
        <f>HLOOKUP(HJ44,'LSM List Pricing'!$B$2:$BW$3,2)</f>
        <v>460</v>
      </c>
      <c r="HL44" s="634">
        <f>VLOOKUP(HH44,'LSM List Pricing'!$A$7:$BW$87,HJ44,0)</f>
        <v>470</v>
      </c>
      <c r="HM44" s="627">
        <f>VLOOKUP(HI44,'LSM List Pricing'!$A$7:$BW$87,HJ44,1)</f>
        <v>540</v>
      </c>
      <c r="HN44" s="628">
        <f t="shared" si="106"/>
        <v>2.3846153846153846</v>
      </c>
      <c r="HO44" s="628">
        <f t="shared" si="107"/>
        <v>4.7692307692307692</v>
      </c>
      <c r="HP44" s="628">
        <f t="shared" si="108"/>
        <v>3.7435897435897436</v>
      </c>
      <c r="HR44" s="618">
        <v>2.0500000000000001E-2</v>
      </c>
      <c r="HS44" s="618">
        <f t="shared" si="109"/>
        <v>137.64285714285714</v>
      </c>
      <c r="HT44" s="618">
        <f t="shared" si="110"/>
        <v>1</v>
      </c>
      <c r="HU44" s="618">
        <f t="shared" si="170"/>
        <v>0.52184102671037669</v>
      </c>
      <c r="HW44" s="618">
        <f t="shared" si="111"/>
        <v>35.258985742071268</v>
      </c>
      <c r="HX44" s="618">
        <f t="shared" si="171"/>
        <v>0.51633931258181387</v>
      </c>
      <c r="HY44" s="618">
        <f t="shared" si="172"/>
        <v>2.0500000000000001E-2</v>
      </c>
      <c r="IB44" s="618">
        <f t="shared" si="113"/>
        <v>25.000350341399081</v>
      </c>
      <c r="IC44" s="618">
        <f t="shared" si="114"/>
        <v>1E-3</v>
      </c>
      <c r="IE44" s="618">
        <f t="shared" si="115"/>
        <v>0</v>
      </c>
      <c r="IF44" s="618">
        <f t="shared" si="116"/>
        <v>40.704999999999998</v>
      </c>
      <c r="IH44" s="618">
        <f t="shared" si="117"/>
        <v>0</v>
      </c>
      <c r="II44" s="618">
        <f t="shared" si="118"/>
        <v>40.704999999999998</v>
      </c>
      <c r="IK44" s="618">
        <f t="shared" si="119"/>
        <v>0</v>
      </c>
      <c r="IL44" s="618">
        <f t="shared" si="120"/>
        <v>40.704999999999998</v>
      </c>
      <c r="IN44" s="618">
        <f t="shared" si="121"/>
        <v>0</v>
      </c>
      <c r="IO44" s="618">
        <f t="shared" si="122"/>
        <v>40.704999999999998</v>
      </c>
      <c r="IQ44" s="618">
        <f t="shared" si="123"/>
        <v>0</v>
      </c>
      <c r="IR44" s="618">
        <f t="shared" si="124"/>
        <v>40.704999999999998</v>
      </c>
      <c r="IT44" s="660" t="str">
        <f t="shared" si="278"/>
        <v>L250D</v>
      </c>
      <c r="IU44" s="628"/>
      <c r="IV44" s="439">
        <f t="shared" si="279"/>
        <v>2.4738986163664269</v>
      </c>
      <c r="IW44" s="440">
        <f t="shared" si="280"/>
        <v>1.8945312589035634</v>
      </c>
      <c r="IX44" s="439">
        <f t="shared" si="281"/>
        <v>-1.3151639014406999</v>
      </c>
      <c r="IY44" s="439">
        <f t="shared" si="282"/>
        <v>0</v>
      </c>
      <c r="IZ44" s="439">
        <f t="shared" si="283"/>
        <v>0</v>
      </c>
      <c r="JA44" s="439">
        <f t="shared" si="284"/>
        <v>0</v>
      </c>
      <c r="JB44" s="439">
        <f t="shared" si="285"/>
        <v>0</v>
      </c>
      <c r="JC44" s="439">
        <f t="shared" si="286"/>
        <v>0</v>
      </c>
      <c r="JD44" s="439">
        <f t="shared" si="287"/>
        <v>0</v>
      </c>
      <c r="JE44" s="439">
        <f t="shared" si="288"/>
        <v>0</v>
      </c>
      <c r="JF44" s="439">
        <f t="shared" si="289"/>
        <v>0</v>
      </c>
      <c r="JG44" s="439">
        <f t="shared" si="290"/>
        <v>0</v>
      </c>
      <c r="JH44" s="439">
        <f t="shared" si="291"/>
        <v>0</v>
      </c>
      <c r="JI44" s="439">
        <f t="shared" si="292"/>
        <v>0</v>
      </c>
      <c r="JJ44" s="442">
        <f t="shared" si="293"/>
        <v>0</v>
      </c>
      <c r="JK44" s="442">
        <f t="shared" si="294"/>
        <v>0</v>
      </c>
      <c r="JL44" s="439">
        <f t="shared" si="295"/>
        <v>0</v>
      </c>
      <c r="JM44" s="439">
        <f t="shared" si="296"/>
        <v>0</v>
      </c>
      <c r="JN44" s="661">
        <f t="shared" si="297"/>
        <v>0</v>
      </c>
      <c r="JO44" s="661">
        <f t="shared" si="298"/>
        <v>0</v>
      </c>
      <c r="JP44" s="439">
        <f t="shared" si="299"/>
        <v>0</v>
      </c>
      <c r="JQ44" s="439">
        <f t="shared" si="300"/>
        <v>0</v>
      </c>
      <c r="JR44" s="439">
        <f t="shared" si="301"/>
        <v>0</v>
      </c>
      <c r="JS44" s="439">
        <f t="shared" si="302"/>
        <v>0</v>
      </c>
      <c r="JT44" s="631" t="s">
        <v>92</v>
      </c>
      <c r="JU44" s="631">
        <f t="shared" si="158"/>
        <v>0.25196083854825102</v>
      </c>
      <c r="JW44" s="522"/>
      <c r="JX44" s="522"/>
      <c r="JY44" s="522"/>
      <c r="JZ44" s="522"/>
      <c r="KA44" s="522"/>
      <c r="KB44" s="522"/>
      <c r="KC44" s="522"/>
      <c r="KD44" s="522"/>
      <c r="KE44" s="522"/>
      <c r="KF44" s="522"/>
      <c r="KG44" s="522"/>
      <c r="KH44" s="522"/>
      <c r="KI44" s="522"/>
      <c r="KJ44" s="522"/>
      <c r="KK44" s="522"/>
      <c r="KL44" s="522"/>
    </row>
    <row r="45" spans="1:298" ht="9.9499999999999993" customHeight="1">
      <c r="A45" s="155"/>
      <c r="B45" s="95" t="s">
        <v>329</v>
      </c>
      <c r="C45" s="95">
        <v>0</v>
      </c>
      <c r="D45" s="95">
        <f>D32</f>
        <v>24</v>
      </c>
      <c r="E45" s="95">
        <f>VLOOKUP(E46-C46,$HR$3:$HX$505,7,TRUE)*IF(D45&lt;0,-1000,1000)</f>
        <v>5586.4892926366083</v>
      </c>
      <c r="F45" s="95"/>
      <c r="G45" s="95">
        <v>0</v>
      </c>
      <c r="H45" s="95" t="str">
        <f>IF(P13,((W19/(U14+U15))+(W19/(U15+U16)))/2,"")</f>
        <v/>
      </c>
      <c r="I45" s="95">
        <f>VLOOKUP(I46-G46,$HR$3:$HX$505,7,TRUE)*IF(H45&lt;0,-1000,1000)</f>
        <v>0</v>
      </c>
      <c r="J45" s="95"/>
      <c r="K45" s="95" t="str">
        <f>IF(P13,0,"")</f>
        <v/>
      </c>
      <c r="L45" s="95" t="str">
        <f>IF(P21,((W27/(U23+U22))+(W27/(U23+U24)))/2,"")</f>
        <v/>
      </c>
      <c r="M45" s="95">
        <f>VLOOKUP(M46-K46,$HR$3:$HX$505,7,TRUE)*IF(L45&lt;0,-1000,1000)</f>
        <v>0</v>
      </c>
      <c r="N45" s="95"/>
      <c r="O45" s="95" t="str">
        <f>IF(P21,0,"")</f>
        <v/>
      </c>
      <c r="P45" s="95" t="str">
        <f>IF(AG5,((AN11/(AL6+AL7))+(AN11/(AL8+AL7)))/2,"")</f>
        <v/>
      </c>
      <c r="Q45" s="95">
        <f>VLOOKUP(Q46-O46,$HR$3:$HX$505,7,TRUE)*IF(P45&lt;0,-1000,1000)</f>
        <v>0</v>
      </c>
      <c r="R45" s="95"/>
      <c r="S45" s="95" t="str">
        <f>IF(AG5,0,"")</f>
        <v/>
      </c>
      <c r="T45" s="95" t="str">
        <f>IF(AG13,((AN19/(AL14+AL15))+(AN19/(AL15+AL16)))/2,"")</f>
        <v/>
      </c>
      <c r="U45" s="95">
        <f>VLOOKUP(U46-S46,$HR$3:$HX$505,7,TRUE)*IF(T45&lt;0,-1000,1000)</f>
        <v>0</v>
      </c>
      <c r="V45" s="95"/>
      <c r="W45" s="95" t="str">
        <f>IF(AG13,0,"")</f>
        <v/>
      </c>
      <c r="X45" s="95" t="str">
        <f>IF(AG21,((AN27/(AL23+AL22))+(AN27/(AL23+AL24)))/2,"")</f>
        <v/>
      </c>
      <c r="Y45" s="95">
        <f>VLOOKUP(Y46-W46,$HR$3:$HX$505,7,TRUE)*IF(X45&lt;0,-1000,1000)</f>
        <v>0</v>
      </c>
      <c r="Z45" s="95"/>
      <c r="AA45" s="95"/>
      <c r="AB45" s="95" t="s">
        <v>314</v>
      </c>
      <c r="AC45" s="95">
        <f>IF(AE34&gt;40,ROUNDUP(AE34/50,0)*50,IF(AE34&gt;20,40,20))</f>
        <v>20</v>
      </c>
      <c r="AD45" s="95"/>
      <c r="AE45" s="95"/>
      <c r="AF45" s="95"/>
      <c r="AG45" s="95"/>
      <c r="AH45" s="95"/>
      <c r="AI45" s="95"/>
      <c r="AJ45" s="95" t="s">
        <v>325</v>
      </c>
      <c r="AK45" s="95"/>
      <c r="AL45" s="95"/>
      <c r="AM45" s="95"/>
      <c r="AN45" s="95"/>
      <c r="AO45" s="95"/>
      <c r="AP45" s="95"/>
      <c r="AQ45" s="95">
        <f>O13/AQ44</f>
        <v>5.3826946367428716</v>
      </c>
      <c r="AR45" s="95"/>
      <c r="AS45" s="95"/>
      <c r="AT45" s="95"/>
      <c r="AU45" s="95"/>
      <c r="AV45" s="95">
        <f>IF($AY$30,E92,0)*$D$82</f>
        <v>23.36</v>
      </c>
      <c r="AW45" s="95">
        <f>IF($AY$32,'Data Sheet'!AA66,0)</f>
        <v>0.51345000000000007</v>
      </c>
      <c r="AX45" s="95">
        <f>AX44+$E$76</f>
        <v>0.63300000000000001</v>
      </c>
      <c r="AY45" s="95"/>
      <c r="AZ45" s="668"/>
      <c r="BA45" s="668"/>
      <c r="BB45" s="708" t="str">
        <f t="shared" ca="1" si="168"/>
        <v>L250DS</v>
      </c>
      <c r="BC45" s="709"/>
      <c r="BD45" s="710"/>
      <c r="BE45" s="342">
        <f t="shared" ca="1" si="160"/>
        <v>2.4710766939541442E-3</v>
      </c>
      <c r="BF45" s="78">
        <f t="shared" ca="1" si="161"/>
        <v>1.6673463917114056E-3</v>
      </c>
      <c r="BG45" s="490">
        <f t="shared" ca="1" si="162"/>
        <v>2.6966333596570697E-3</v>
      </c>
      <c r="BH45" s="78">
        <f t="shared" ca="1" si="163"/>
        <v>1.853504513186747E-3</v>
      </c>
      <c r="BI45" s="617">
        <f t="shared" ca="1" si="164"/>
        <v>8.8430032518815025E-4</v>
      </c>
      <c r="BJ45" s="528">
        <f t="shared" ca="1" si="165"/>
        <v>2.3076923076923075</v>
      </c>
      <c r="BK45" s="529">
        <f t="shared" ca="1" si="166"/>
        <v>4.615384615384615</v>
      </c>
      <c r="BL45" s="530">
        <f t="shared" ca="1" si="167"/>
        <v>3.7435897435897436</v>
      </c>
      <c r="BM45" s="44"/>
      <c r="BN45" s="131" t="str">
        <f>H61</f>
        <v>Linear Speed</v>
      </c>
      <c r="BO45" s="131"/>
      <c r="BP45" s="131"/>
      <c r="BQ45" s="140"/>
      <c r="BR45" s="140"/>
      <c r="BS45" s="141"/>
      <c r="BT45" s="141"/>
      <c r="BU45" s="141"/>
      <c r="BV45" s="141"/>
      <c r="BW45" s="141"/>
      <c r="BX45" s="141" t="str">
        <f>Q61</f>
        <v>Linear Acceleration</v>
      </c>
      <c r="BY45" s="141"/>
      <c r="BZ45" s="141"/>
      <c r="CA45" s="145"/>
      <c r="CB45" s="146"/>
      <c r="CC45" s="141"/>
      <c r="CD45" s="134"/>
      <c r="CE45" s="134"/>
      <c r="CF45" s="134"/>
      <c r="CG45" s="135"/>
      <c r="CH45" s="170"/>
      <c r="CI45" s="100"/>
      <c r="CJ45" s="152"/>
      <c r="CK45" s="152"/>
      <c r="CL45" s="153"/>
      <c r="CM45" s="153"/>
      <c r="CN45" s="153"/>
      <c r="CO45" s="689" t="str">
        <f ca="1"/>
        <v>S200Q 2S</v>
      </c>
      <c r="CP45" s="632" t="str">
        <f>IF(OR(CQ45=0,CR45="",CS45&gt;120),"",IF(HLOOKUP(CQ45,Spec_Sheet!$F$3:$ED$19,17,FALSE)&lt;$AC$46,"",CQ45))</f>
        <v>L250D-1S</v>
      </c>
      <c r="CQ45" s="660" t="str">
        <f>IF(Spec_Sheet!A44="","",Spec_Sheet!A44)</f>
        <v>L250D-1S</v>
      </c>
      <c r="CR45" s="660">
        <f>IF(CQ45="",0,HLOOKUP(CQ45,Spec_Sheet!$F$3:$ED$19,2,FALSE))</f>
        <v>34.450000000000003</v>
      </c>
      <c r="CS45" s="660">
        <f t="shared" si="169"/>
        <v>1.3372963100839823E-3</v>
      </c>
      <c r="CT45" s="621">
        <f t="shared" si="173"/>
        <v>1.9486341843426805E-3</v>
      </c>
      <c r="CU45" s="621">
        <f t="shared" si="181"/>
        <v>1.3372963100839823E-3</v>
      </c>
      <c r="CV45" s="621">
        <f t="shared" si="174"/>
        <v>2.4238671135722056E-3</v>
      </c>
      <c r="CW45" s="621">
        <f t="shared" si="175"/>
        <v>1.7354314836818745E-3</v>
      </c>
      <c r="CX45" s="621">
        <f t="shared" si="157"/>
        <v>7.8539031443321825E-4</v>
      </c>
      <c r="CY45" s="619">
        <f>HLOOKUP(CQ45,Spec_Sheet!$F$3:$ED$19,13,FALSE)</f>
        <v>0.76561226243810554</v>
      </c>
      <c r="CZ45" s="619">
        <f>VLOOKUP(HH45,'Shaft Weight'!$A$6:$CD$102,HJ45,TRUE)</f>
        <v>0.9</v>
      </c>
      <c r="DA45" s="619">
        <f>VLOOKUP(HI45,'Shaft Weight'!$A$6:$CD$102,HJ45,0)</f>
        <v>1.08</v>
      </c>
      <c r="DB45" s="619">
        <f>HLOOKUP(CQ45,Spec_Sheet!$F$3:$ED$19,6,FALSE)</f>
        <v>13.25</v>
      </c>
      <c r="DC45" s="439">
        <f t="shared" si="182"/>
        <v>1.4931493081832135</v>
      </c>
      <c r="DD45" s="440">
        <f t="shared" si="183"/>
        <v>1.1434656294517818</v>
      </c>
      <c r="DE45" s="439">
        <f t="shared" si="184"/>
        <v>-0.79378195072035007</v>
      </c>
      <c r="DF45" s="439">
        <f t="shared" si="185"/>
        <v>0</v>
      </c>
      <c r="DG45" s="439">
        <f t="shared" si="186"/>
        <v>0</v>
      </c>
      <c r="DH45" s="439">
        <f t="shared" si="187"/>
        <v>0</v>
      </c>
      <c r="DI45" s="439">
        <f t="shared" si="188"/>
        <v>0</v>
      </c>
      <c r="DJ45" s="439">
        <f t="shared" si="189"/>
        <v>0</v>
      </c>
      <c r="DK45" s="439">
        <f t="shared" si="190"/>
        <v>0</v>
      </c>
      <c r="DL45" s="439">
        <f t="shared" si="191"/>
        <v>0</v>
      </c>
      <c r="DM45" s="439">
        <f t="shared" si="192"/>
        <v>0</v>
      </c>
      <c r="DN45" s="439">
        <f t="shared" si="193"/>
        <v>0</v>
      </c>
      <c r="DO45" s="439">
        <f t="shared" si="194"/>
        <v>0</v>
      </c>
      <c r="DP45" s="439">
        <f t="shared" si="195"/>
        <v>0</v>
      </c>
      <c r="DQ45" s="442">
        <f t="shared" si="196"/>
        <v>0</v>
      </c>
      <c r="DR45" s="442">
        <f t="shared" si="197"/>
        <v>0</v>
      </c>
      <c r="DS45" s="439">
        <f t="shared" si="198"/>
        <v>0</v>
      </c>
      <c r="DT45" s="439">
        <f t="shared" si="199"/>
        <v>0</v>
      </c>
      <c r="DU45" s="661">
        <f t="shared" si="200"/>
        <v>0</v>
      </c>
      <c r="DV45" s="661">
        <f t="shared" si="201"/>
        <v>0</v>
      </c>
      <c r="DW45" s="439">
        <f t="shared" si="202"/>
        <v>0</v>
      </c>
      <c r="DX45" s="439">
        <f t="shared" si="203"/>
        <v>0</v>
      </c>
      <c r="DY45" s="439">
        <f t="shared" si="204"/>
        <v>0</v>
      </c>
      <c r="DZ45" s="439">
        <f t="shared" si="205"/>
        <v>0</v>
      </c>
      <c r="EA45" s="631" t="s">
        <v>92</v>
      </c>
      <c r="EB45" s="631">
        <f t="shared" si="151"/>
        <v>0.15207379529568379</v>
      </c>
      <c r="ED45" s="439">
        <f t="shared" si="206"/>
        <v>2.8182000000000005</v>
      </c>
      <c r="EE45" s="440">
        <f t="shared" si="207"/>
        <v>2.1582000000000003</v>
      </c>
      <c r="EF45" s="439">
        <f t="shared" si="208"/>
        <v>-1.4982000000000002</v>
      </c>
      <c r="EG45" s="441">
        <f t="shared" si="209"/>
        <v>0</v>
      </c>
      <c r="EH45" s="439">
        <f t="shared" si="210"/>
        <v>0</v>
      </c>
      <c r="EI45" s="439">
        <f t="shared" si="211"/>
        <v>0</v>
      </c>
      <c r="EJ45" s="439">
        <f t="shared" si="212"/>
        <v>0</v>
      </c>
      <c r="EK45" s="439">
        <f t="shared" si="213"/>
        <v>0</v>
      </c>
      <c r="EL45" s="439">
        <f t="shared" si="214"/>
        <v>0</v>
      </c>
      <c r="EM45" s="439">
        <f t="shared" si="215"/>
        <v>0</v>
      </c>
      <c r="EN45" s="439">
        <f t="shared" si="216"/>
        <v>0</v>
      </c>
      <c r="EO45" s="439">
        <f t="shared" si="217"/>
        <v>0</v>
      </c>
      <c r="EP45" s="439">
        <f t="shared" si="218"/>
        <v>0</v>
      </c>
      <c r="EQ45" s="439">
        <f t="shared" si="219"/>
        <v>0</v>
      </c>
      <c r="ER45" s="442">
        <f t="shared" si="220"/>
        <v>0</v>
      </c>
      <c r="ES45" s="442">
        <f t="shared" si="221"/>
        <v>0</v>
      </c>
      <c r="ET45" s="439">
        <f t="shared" si="222"/>
        <v>0</v>
      </c>
      <c r="EU45" s="439">
        <f t="shared" si="223"/>
        <v>0</v>
      </c>
      <c r="EV45" s="661">
        <f t="shared" si="224"/>
        <v>0</v>
      </c>
      <c r="EW45" s="661">
        <f t="shared" si="225"/>
        <v>0</v>
      </c>
      <c r="EX45" s="439">
        <f t="shared" si="226"/>
        <v>0</v>
      </c>
      <c r="EY45" s="439">
        <f t="shared" si="227"/>
        <v>0</v>
      </c>
      <c r="EZ45" s="439">
        <f t="shared" si="228"/>
        <v>0</v>
      </c>
      <c r="FA45" s="439">
        <f t="shared" si="229"/>
        <v>0</v>
      </c>
      <c r="FB45" s="631" t="s">
        <v>92</v>
      </c>
      <c r="FC45" s="631">
        <f t="shared" si="152"/>
        <v>0.28702713623714105</v>
      </c>
      <c r="FE45" s="439">
        <f t="shared" si="230"/>
        <v>1.6653000000000002</v>
      </c>
      <c r="FF45" s="440">
        <f t="shared" si="231"/>
        <v>1.2753000000000003</v>
      </c>
      <c r="FG45" s="439">
        <f t="shared" si="232"/>
        <v>-0.88530000000000031</v>
      </c>
      <c r="FH45" s="441">
        <f t="shared" si="233"/>
        <v>0</v>
      </c>
      <c r="FI45" s="439">
        <f t="shared" si="234"/>
        <v>0</v>
      </c>
      <c r="FJ45" s="439">
        <f t="shared" si="235"/>
        <v>0</v>
      </c>
      <c r="FK45" s="439">
        <f t="shared" si="236"/>
        <v>0</v>
      </c>
      <c r="FL45" s="439">
        <f t="shared" si="237"/>
        <v>0</v>
      </c>
      <c r="FM45" s="439">
        <f t="shared" si="238"/>
        <v>0</v>
      </c>
      <c r="FN45" s="439">
        <f t="shared" si="239"/>
        <v>0</v>
      </c>
      <c r="FO45" s="439">
        <f t="shared" si="240"/>
        <v>0</v>
      </c>
      <c r="FP45" s="439">
        <f t="shared" si="241"/>
        <v>0</v>
      </c>
      <c r="FQ45" s="439">
        <f t="shared" si="242"/>
        <v>0</v>
      </c>
      <c r="FR45" s="439">
        <f t="shared" si="243"/>
        <v>0</v>
      </c>
      <c r="FS45" s="442">
        <f t="shared" si="244"/>
        <v>0</v>
      </c>
      <c r="FT45" s="442">
        <f t="shared" si="245"/>
        <v>0</v>
      </c>
      <c r="FU45" s="439">
        <f t="shared" si="246"/>
        <v>0</v>
      </c>
      <c r="FV45" s="439">
        <f t="shared" si="247"/>
        <v>0</v>
      </c>
      <c r="FW45" s="661">
        <f t="shared" si="248"/>
        <v>0</v>
      </c>
      <c r="FX45" s="661">
        <f t="shared" si="249"/>
        <v>0</v>
      </c>
      <c r="FY45" s="439">
        <f t="shared" si="250"/>
        <v>0</v>
      </c>
      <c r="FZ45" s="439">
        <f t="shared" si="251"/>
        <v>0</v>
      </c>
      <c r="GA45" s="439">
        <f t="shared" si="252"/>
        <v>0</v>
      </c>
      <c r="GB45" s="439">
        <f t="shared" si="253"/>
        <v>0</v>
      </c>
      <c r="GC45" s="631" t="s">
        <v>92</v>
      </c>
      <c r="GD45" s="631">
        <f t="shared" si="153"/>
        <v>0.16960694414012881</v>
      </c>
      <c r="GF45" s="439">
        <f t="shared" si="254"/>
        <v>1.89588</v>
      </c>
      <c r="GG45" s="440">
        <f t="shared" si="255"/>
        <v>1.4518800000000001</v>
      </c>
      <c r="GH45" s="439">
        <f t="shared" si="256"/>
        <v>-1.0078800000000001</v>
      </c>
      <c r="GI45" s="439">
        <f t="shared" si="257"/>
        <v>0</v>
      </c>
      <c r="GJ45" s="439">
        <f t="shared" si="258"/>
        <v>0</v>
      </c>
      <c r="GK45" s="439">
        <f t="shared" si="259"/>
        <v>0</v>
      </c>
      <c r="GL45" s="439">
        <f t="shared" si="260"/>
        <v>0</v>
      </c>
      <c r="GM45" s="439">
        <f t="shared" si="261"/>
        <v>0</v>
      </c>
      <c r="GN45" s="439">
        <f t="shared" si="262"/>
        <v>0</v>
      </c>
      <c r="GO45" s="439">
        <f t="shared" si="263"/>
        <v>0</v>
      </c>
      <c r="GP45" s="439">
        <f t="shared" si="264"/>
        <v>0</v>
      </c>
      <c r="GQ45" s="439">
        <f t="shared" si="265"/>
        <v>0</v>
      </c>
      <c r="GR45" s="439">
        <f t="shared" si="266"/>
        <v>0</v>
      </c>
      <c r="GS45" s="439">
        <f t="shared" si="267"/>
        <v>0</v>
      </c>
      <c r="GT45" s="442">
        <f t="shared" si="268"/>
        <v>0</v>
      </c>
      <c r="GU45" s="442">
        <f t="shared" si="269"/>
        <v>0</v>
      </c>
      <c r="GV45" s="439">
        <f t="shared" si="270"/>
        <v>0</v>
      </c>
      <c r="GW45" s="439">
        <f t="shared" si="271"/>
        <v>0</v>
      </c>
      <c r="GX45" s="661">
        <f t="shared" si="272"/>
        <v>0</v>
      </c>
      <c r="GY45" s="661">
        <f t="shared" si="273"/>
        <v>0</v>
      </c>
      <c r="GZ45" s="439">
        <f t="shared" si="274"/>
        <v>0</v>
      </c>
      <c r="HA45" s="439">
        <f t="shared" si="275"/>
        <v>0</v>
      </c>
      <c r="HB45" s="439">
        <f t="shared" si="276"/>
        <v>0</v>
      </c>
      <c r="HC45" s="439">
        <f t="shared" si="277"/>
        <v>0</v>
      </c>
      <c r="HD45" s="631" t="s">
        <v>92</v>
      </c>
      <c r="HE45" s="631">
        <f t="shared" si="176"/>
        <v>0.19309098255953122</v>
      </c>
      <c r="HG45" s="618">
        <f>HLOOKUP(CQ45,Spec_Sheet!$F$3:$DV$19,11,FALSE)+HLOOKUP(CQ45,Spec_Sheet!$F$3:$DV$21,19,FALSE)</f>
        <v>135</v>
      </c>
      <c r="HH45" s="618">
        <f t="shared" si="154"/>
        <v>100</v>
      </c>
      <c r="HI45" s="634">
        <f t="shared" si="155"/>
        <v>150</v>
      </c>
      <c r="HJ45" s="634">
        <f>HLOOKUP(IF(LEN(CQ45)&gt;6,LEFT(CQ45,5),CQ45),'LSM List Pricing'!$B$1:$BW$2,2,0)</f>
        <v>8</v>
      </c>
      <c r="HK45" s="634">
        <f>HLOOKUP(HJ45,'LSM List Pricing'!$B$2:$BW$3,2)</f>
        <v>460</v>
      </c>
      <c r="HL45" s="634">
        <f>VLOOKUP(HH45,'LSM List Pricing'!$A$7:$BW$87,HJ45,0)</f>
        <v>470</v>
      </c>
      <c r="HM45" s="627">
        <f>VLOOKUP(HI45,'LSM List Pricing'!$A$7:$BW$87,HJ45,1)</f>
        <v>540</v>
      </c>
      <c r="HN45" s="628">
        <f t="shared" si="106"/>
        <v>2.3846153846153846</v>
      </c>
      <c r="HO45" s="628">
        <f t="shared" si="107"/>
        <v>4.7692307692307692</v>
      </c>
      <c r="HP45" s="628">
        <f t="shared" si="108"/>
        <v>3.7435897435897436</v>
      </c>
      <c r="HR45" s="618">
        <v>2.1000000000000001E-2</v>
      </c>
      <c r="HS45" s="618">
        <f t="shared" si="109"/>
        <v>141</v>
      </c>
      <c r="HT45" s="618">
        <f t="shared" si="110"/>
        <v>1</v>
      </c>
      <c r="HU45" s="618">
        <f t="shared" si="170"/>
        <v>0.53458007068400148</v>
      </c>
      <c r="HW45" s="618">
        <f t="shared" si="111"/>
        <v>35.240896299628716</v>
      </c>
      <c r="HX45" s="618">
        <f t="shared" si="171"/>
        <v>0.52880973834933953</v>
      </c>
      <c r="HY45" s="618">
        <f t="shared" si="172"/>
        <v>2.1000000000000001E-2</v>
      </c>
      <c r="IB45" s="618">
        <f t="shared" si="113"/>
        <v>25.000350341399081</v>
      </c>
      <c r="IC45" s="618">
        <f t="shared" si="114"/>
        <v>1E-3</v>
      </c>
      <c r="IE45" s="618">
        <f t="shared" si="115"/>
        <v>0</v>
      </c>
      <c r="IF45" s="618">
        <f t="shared" si="116"/>
        <v>40.704999999999998</v>
      </c>
      <c r="IH45" s="618">
        <f t="shared" si="117"/>
        <v>0</v>
      </c>
      <c r="II45" s="618">
        <f t="shared" si="118"/>
        <v>40.704999999999998</v>
      </c>
      <c r="IK45" s="618">
        <f t="shared" si="119"/>
        <v>0</v>
      </c>
      <c r="IL45" s="618">
        <f t="shared" si="120"/>
        <v>40.704999999999998</v>
      </c>
      <c r="IN45" s="618">
        <f t="shared" si="121"/>
        <v>0</v>
      </c>
      <c r="IO45" s="618">
        <f t="shared" si="122"/>
        <v>40.704999999999998</v>
      </c>
      <c r="IQ45" s="618">
        <f t="shared" si="123"/>
        <v>0</v>
      </c>
      <c r="IR45" s="618">
        <f t="shared" si="124"/>
        <v>40.704999999999998</v>
      </c>
      <c r="IT45" s="660" t="str">
        <f t="shared" si="278"/>
        <v>L250D-1S</v>
      </c>
      <c r="IU45" s="628"/>
      <c r="IV45" s="439">
        <f t="shared" si="279"/>
        <v>2.4738986163664269</v>
      </c>
      <c r="IW45" s="440">
        <f t="shared" si="280"/>
        <v>1.8945312589035634</v>
      </c>
      <c r="IX45" s="439">
        <f t="shared" si="281"/>
        <v>-1.3151639014406999</v>
      </c>
      <c r="IY45" s="439">
        <f t="shared" si="282"/>
        <v>0</v>
      </c>
      <c r="IZ45" s="439">
        <f t="shared" si="283"/>
        <v>0</v>
      </c>
      <c r="JA45" s="439">
        <f t="shared" si="284"/>
        <v>0</v>
      </c>
      <c r="JB45" s="439">
        <f t="shared" si="285"/>
        <v>0</v>
      </c>
      <c r="JC45" s="439">
        <f t="shared" si="286"/>
        <v>0</v>
      </c>
      <c r="JD45" s="439">
        <f t="shared" si="287"/>
        <v>0</v>
      </c>
      <c r="JE45" s="439">
        <f t="shared" si="288"/>
        <v>0</v>
      </c>
      <c r="JF45" s="439">
        <f t="shared" si="289"/>
        <v>0</v>
      </c>
      <c r="JG45" s="439">
        <f t="shared" si="290"/>
        <v>0</v>
      </c>
      <c r="JH45" s="439">
        <f t="shared" si="291"/>
        <v>0</v>
      </c>
      <c r="JI45" s="439">
        <f t="shared" si="292"/>
        <v>0</v>
      </c>
      <c r="JJ45" s="442">
        <f t="shared" si="293"/>
        <v>0</v>
      </c>
      <c r="JK45" s="442">
        <f t="shared" si="294"/>
        <v>0</v>
      </c>
      <c r="JL45" s="439">
        <f t="shared" si="295"/>
        <v>0</v>
      </c>
      <c r="JM45" s="439">
        <f t="shared" si="296"/>
        <v>0</v>
      </c>
      <c r="JN45" s="661">
        <f t="shared" si="297"/>
        <v>0</v>
      </c>
      <c r="JO45" s="661">
        <f t="shared" si="298"/>
        <v>0</v>
      </c>
      <c r="JP45" s="439">
        <f t="shared" si="299"/>
        <v>0</v>
      </c>
      <c r="JQ45" s="439">
        <f t="shared" si="300"/>
        <v>0</v>
      </c>
      <c r="JR45" s="439">
        <f t="shared" si="301"/>
        <v>0</v>
      </c>
      <c r="JS45" s="439">
        <f t="shared" si="302"/>
        <v>0</v>
      </c>
      <c r="JT45" s="631" t="s">
        <v>92</v>
      </c>
      <c r="JU45" s="631">
        <f t="shared" si="158"/>
        <v>0.25196083854825102</v>
      </c>
      <c r="JW45" s="522"/>
      <c r="JX45" s="522"/>
      <c r="JY45" s="522"/>
      <c r="JZ45" s="522"/>
      <c r="KA45" s="522"/>
      <c r="KB45" s="522"/>
      <c r="KC45" s="522"/>
      <c r="KD45" s="522"/>
      <c r="KE45" s="522"/>
      <c r="KF45" s="522"/>
      <c r="KG45" s="522"/>
      <c r="KH45" s="522"/>
      <c r="KI45" s="522"/>
      <c r="KJ45" s="522"/>
      <c r="KK45" s="522"/>
      <c r="KL45" s="522"/>
    </row>
    <row r="46" spans="1:298" ht="9.9499999999999993" customHeight="1">
      <c r="A46" s="155"/>
      <c r="B46" s="95" t="s">
        <v>46</v>
      </c>
      <c r="C46" s="95">
        <v>0</v>
      </c>
      <c r="D46" s="95">
        <f>VLOOKUP(IF(D45&lt;0,(D45/1000)*-1,D45/1000),$HX$3:$HY$505,2,TRUE)</f>
        <v>5.0000000000000001E-4</v>
      </c>
      <c r="E46" s="95">
        <f>G31</f>
        <v>40.704999999999998</v>
      </c>
      <c r="F46" s="95"/>
      <c r="G46" s="95">
        <f>G31</f>
        <v>40.704999999999998</v>
      </c>
      <c r="H46" s="95" t="e">
        <f>G46+VLOOKUP(IF(H45&lt;0,(H45/1000)*-1,H45/1000),$HX$3:$HY$505,2,TRUE)</f>
        <v>#VALUE!</v>
      </c>
      <c r="I46" s="95">
        <f>K31</f>
        <v>40.704999999999998</v>
      </c>
      <c r="J46" s="95"/>
      <c r="K46" s="95">
        <f>K31</f>
        <v>40.704999999999998</v>
      </c>
      <c r="L46" s="95" t="e">
        <f>K46+VLOOKUP(IF(L45&lt;0,(L45/1000)*-1,L45/1000),$HX$3:$HY$505,2,TRUE)</f>
        <v>#VALUE!</v>
      </c>
      <c r="M46" s="95">
        <f>O31</f>
        <v>40.704999999999998</v>
      </c>
      <c r="N46" s="95"/>
      <c r="O46" s="95">
        <f>O31</f>
        <v>40.704999999999998</v>
      </c>
      <c r="P46" s="95" t="e">
        <f>O46+VLOOKUP(IF(P45&lt;0,(P45/1000)*-1,P45/1000),$HX$3:$HY$505,2,TRUE)</f>
        <v>#VALUE!</v>
      </c>
      <c r="Q46" s="95">
        <f>S31</f>
        <v>40.704999999999998</v>
      </c>
      <c r="R46" s="95"/>
      <c r="S46" s="95">
        <f>S31</f>
        <v>40.704999999999998</v>
      </c>
      <c r="T46" s="95" t="e">
        <f>S46+VLOOKUP(IF(T45&lt;0,(T45/1000)*-1,T45/1000),$HX$3:$HY$505,2,TRUE)</f>
        <v>#VALUE!</v>
      </c>
      <c r="U46" s="95">
        <f>W31</f>
        <v>40.704999999999998</v>
      </c>
      <c r="V46" s="95"/>
      <c r="W46" s="95">
        <f>W31</f>
        <v>40.704999999999998</v>
      </c>
      <c r="X46" s="95" t="e">
        <f>W46+VLOOKUP(IF(X45&lt;0,(X45/1000)*-1,X45/1000),$HX$3:$HY$505,2,TRUE)</f>
        <v>#VALUE!</v>
      </c>
      <c r="Y46" s="95">
        <f>AA31</f>
        <v>40.704999999999998</v>
      </c>
      <c r="Z46" s="95"/>
      <c r="AA46" s="95"/>
      <c r="AB46" s="95" t="s">
        <v>434</v>
      </c>
      <c r="AC46" s="95">
        <f>IF(AE34&gt;40,AF34,IF(AG34&lt;20,20,AG34))</f>
        <v>20</v>
      </c>
      <c r="AD46" s="95"/>
      <c r="AE46" s="95"/>
      <c r="AF46" s="95"/>
      <c r="AG46" s="95"/>
      <c r="AH46" s="95"/>
      <c r="AI46" s="95"/>
      <c r="AJ46" s="95" t="s">
        <v>397</v>
      </c>
      <c r="AK46" s="95"/>
      <c r="AL46" s="95"/>
      <c r="AM46" s="95"/>
      <c r="AN46" s="95"/>
      <c r="AO46" s="95"/>
      <c r="AP46" s="95"/>
      <c r="AQ46" s="95">
        <f>IF(I16=Custom!J13,Custom!L15,0)</f>
        <v>0</v>
      </c>
      <c r="AR46" s="95"/>
      <c r="AS46" s="95"/>
      <c r="AT46" s="95"/>
      <c r="AU46" s="95"/>
      <c r="AV46" s="95">
        <f>IF($AY$30,E91,0)*$D$82</f>
        <v>21.44</v>
      </c>
      <c r="AW46" s="95">
        <f>IF($AY$32,'Data Sheet'!AA67,0)</f>
        <v>0.58545000000000014</v>
      </c>
      <c r="AX46" s="95">
        <f t="shared" ref="AX46:AX54" si="305">AX45+$E$76</f>
        <v>0.64100000000000001</v>
      </c>
      <c r="AY46" s="95">
        <f>IF(AY33,0,S31-R31+AY42)</f>
        <v>0</v>
      </c>
      <c r="AZ46" s="668"/>
      <c r="BA46" s="668"/>
      <c r="BB46" s="708" t="str">
        <f t="shared" ca="1" si="168"/>
        <v>L320DS</v>
      </c>
      <c r="BC46" s="709"/>
      <c r="BD46" s="710"/>
      <c r="BE46" s="342">
        <f t="shared" ca="1" si="160"/>
        <v>1.8151948464448001E-3</v>
      </c>
      <c r="BF46" s="78">
        <f t="shared" ca="1" si="161"/>
        <v>1.2051499392034069E-3</v>
      </c>
      <c r="BG46" s="490">
        <f t="shared" ca="1" si="162"/>
        <v>4.8205997568136275E-3</v>
      </c>
      <c r="BH46" s="78">
        <f t="shared" ca="1" si="163"/>
        <v>3.7872583833231019E-3</v>
      </c>
      <c r="BI46" s="617">
        <f t="shared" ca="1" si="164"/>
        <v>1.6191089834029235E-3</v>
      </c>
      <c r="BJ46" s="528">
        <f t="shared" ca="1" si="165"/>
        <v>2.6153846153846154</v>
      </c>
      <c r="BK46" s="529">
        <f t="shared" ca="1" si="166"/>
        <v>5.2307692307692308</v>
      </c>
      <c r="BL46" s="530">
        <f t="shared" ca="1" si="167"/>
        <v>4.0512820512820511</v>
      </c>
      <c r="BM46" s="44"/>
      <c r="BN46" s="129"/>
      <c r="BO46" s="720">
        <v>127</v>
      </c>
      <c r="BP46" s="720"/>
      <c r="BQ46" s="719" t="s">
        <v>150</v>
      </c>
      <c r="BR46" s="719"/>
      <c r="BS46" s="719"/>
      <c r="BT46" s="723">
        <f>BO46*VLOOKUP(BQ46,H62:I68,2,FALSE)</f>
        <v>2116.6666670900004</v>
      </c>
      <c r="BU46" s="723"/>
      <c r="BV46" s="83" t="s">
        <v>148</v>
      </c>
      <c r="BW46" s="138"/>
      <c r="BX46" s="138"/>
      <c r="BY46" s="720">
        <v>1</v>
      </c>
      <c r="BZ46" s="720"/>
      <c r="CA46" s="719" t="s">
        <v>110</v>
      </c>
      <c r="CB46" s="719"/>
      <c r="CC46" s="719"/>
      <c r="CD46" s="723">
        <f>BY46*VLOOKUP(CA46,Q62:R67,2,FALSE)</f>
        <v>9.8066499999999994</v>
      </c>
      <c r="CE46" s="723"/>
      <c r="CF46" s="83" t="s">
        <v>164</v>
      </c>
      <c r="CG46" s="129"/>
      <c r="CH46" s="164"/>
      <c r="CI46" s="100"/>
      <c r="CJ46" s="152"/>
      <c r="CK46" s="152"/>
      <c r="CL46" s="153"/>
      <c r="CM46" s="153"/>
      <c r="CN46" s="153"/>
      <c r="CO46" s="689" t="str">
        <f ca="1"/>
        <v>S250D</v>
      </c>
      <c r="CP46" s="632" t="str">
        <f>IF(OR(CQ46=0,CR46="",CS46&gt;120),"",IF(HLOOKUP(CQ46,Spec_Sheet!$F$3:$ED$19,17,FALSE)&lt;$AC$46,"",CQ46))</f>
        <v>S200Q</v>
      </c>
      <c r="CQ46" s="660" t="str">
        <f>IF(Spec_Sheet!A45="","",Spec_Sheet!A45)</f>
        <v>S200Q</v>
      </c>
      <c r="CR46" s="660">
        <f>IF(CQ46="",0,HLOOKUP(CQ46,Spec_Sheet!$F$3:$ED$19,2,FALSE))</f>
        <v>38</v>
      </c>
      <c r="CS46" s="660">
        <f t="shared" si="169"/>
        <v>9.5481312410659609E-4</v>
      </c>
      <c r="CT46" s="621">
        <f t="shared" si="173"/>
        <v>1.4263257779863977E-3</v>
      </c>
      <c r="CU46" s="621">
        <f t="shared" si="181"/>
        <v>9.5481312410659609E-4</v>
      </c>
      <c r="CV46" s="621">
        <f t="shared" si="174"/>
        <v>1.2505694362527017E-3</v>
      </c>
      <c r="CW46" s="621">
        <f t="shared" si="175"/>
        <v>8.1206266814448712E-4</v>
      </c>
      <c r="CX46" s="621">
        <f t="shared" si="157"/>
        <v>4.6046157605449307E-4</v>
      </c>
      <c r="CY46" s="619">
        <f>HLOOKUP(CQ46,Spec_Sheet!$F$3:$ED$19,13,FALSE)</f>
        <v>0.7</v>
      </c>
      <c r="CZ46" s="619">
        <f>VLOOKUP(HH46,'Shaft Weight'!$A$6:$CD$102,HJ46,TRUE)</f>
        <v>0.63</v>
      </c>
      <c r="DA46" s="619">
        <f>VLOOKUP(HI46,'Shaft Weight'!$A$6:$CD$102,HJ46,0)</f>
        <v>0.85</v>
      </c>
      <c r="DB46" s="619">
        <f>HLOOKUP(CQ46,Spec_Sheet!$F$3:$ED$19,6,FALSE)</f>
        <v>64.41</v>
      </c>
      <c r="DC46" s="439">
        <f t="shared" si="182"/>
        <v>1.4091000000000002</v>
      </c>
      <c r="DD46" s="440">
        <f t="shared" si="183"/>
        <v>1.0791000000000002</v>
      </c>
      <c r="DE46" s="439">
        <f t="shared" si="184"/>
        <v>-0.7491000000000001</v>
      </c>
      <c r="DF46" s="439">
        <f t="shared" si="185"/>
        <v>0</v>
      </c>
      <c r="DG46" s="439">
        <f t="shared" si="186"/>
        <v>0</v>
      </c>
      <c r="DH46" s="439">
        <f t="shared" si="187"/>
        <v>0</v>
      </c>
      <c r="DI46" s="439">
        <f t="shared" si="188"/>
        <v>0</v>
      </c>
      <c r="DJ46" s="439">
        <f t="shared" si="189"/>
        <v>0</v>
      </c>
      <c r="DK46" s="439">
        <f t="shared" si="190"/>
        <v>0</v>
      </c>
      <c r="DL46" s="439">
        <f t="shared" si="191"/>
        <v>0</v>
      </c>
      <c r="DM46" s="439">
        <f t="shared" si="192"/>
        <v>0</v>
      </c>
      <c r="DN46" s="439">
        <f t="shared" si="193"/>
        <v>0</v>
      </c>
      <c r="DO46" s="439">
        <f t="shared" si="194"/>
        <v>0</v>
      </c>
      <c r="DP46" s="439">
        <f t="shared" si="195"/>
        <v>0</v>
      </c>
      <c r="DQ46" s="442">
        <f t="shared" si="196"/>
        <v>0</v>
      </c>
      <c r="DR46" s="442">
        <f t="shared" si="197"/>
        <v>0</v>
      </c>
      <c r="DS46" s="439">
        <f t="shared" si="198"/>
        <v>0</v>
      </c>
      <c r="DT46" s="439">
        <f t="shared" si="199"/>
        <v>0</v>
      </c>
      <c r="DU46" s="661">
        <f t="shared" si="200"/>
        <v>0</v>
      </c>
      <c r="DV46" s="661">
        <f t="shared" si="201"/>
        <v>0</v>
      </c>
      <c r="DW46" s="439">
        <f t="shared" si="202"/>
        <v>0</v>
      </c>
      <c r="DX46" s="439">
        <f t="shared" si="203"/>
        <v>0</v>
      </c>
      <c r="DY46" s="439">
        <f t="shared" si="204"/>
        <v>0</v>
      </c>
      <c r="DZ46" s="439">
        <f t="shared" si="205"/>
        <v>0</v>
      </c>
      <c r="EA46" s="631" t="s">
        <v>92</v>
      </c>
      <c r="EB46" s="631">
        <f t="shared" si="151"/>
        <v>0.14351356811857052</v>
      </c>
      <c r="ED46" s="439">
        <f t="shared" si="206"/>
        <v>2.1264600000000002</v>
      </c>
      <c r="EE46" s="440">
        <f t="shared" si="207"/>
        <v>1.6284600000000002</v>
      </c>
      <c r="EF46" s="439">
        <f t="shared" si="208"/>
        <v>-1.1304600000000002</v>
      </c>
      <c r="EG46" s="441">
        <f t="shared" si="209"/>
        <v>0</v>
      </c>
      <c r="EH46" s="439">
        <f t="shared" si="210"/>
        <v>0</v>
      </c>
      <c r="EI46" s="439">
        <f t="shared" si="211"/>
        <v>0</v>
      </c>
      <c r="EJ46" s="439">
        <f t="shared" si="212"/>
        <v>0</v>
      </c>
      <c r="EK46" s="439">
        <f t="shared" si="213"/>
        <v>0</v>
      </c>
      <c r="EL46" s="439">
        <f t="shared" si="214"/>
        <v>0</v>
      </c>
      <c r="EM46" s="439">
        <f t="shared" si="215"/>
        <v>0</v>
      </c>
      <c r="EN46" s="439">
        <f t="shared" si="216"/>
        <v>0</v>
      </c>
      <c r="EO46" s="439">
        <f t="shared" si="217"/>
        <v>0</v>
      </c>
      <c r="EP46" s="439">
        <f t="shared" si="218"/>
        <v>0</v>
      </c>
      <c r="EQ46" s="439">
        <f t="shared" si="219"/>
        <v>0</v>
      </c>
      <c r="ER46" s="442">
        <f t="shared" si="220"/>
        <v>0</v>
      </c>
      <c r="ES46" s="442">
        <f t="shared" si="221"/>
        <v>0</v>
      </c>
      <c r="ET46" s="439">
        <f t="shared" si="222"/>
        <v>0</v>
      </c>
      <c r="EU46" s="439">
        <f t="shared" si="223"/>
        <v>0</v>
      </c>
      <c r="EV46" s="661">
        <f t="shared" si="224"/>
        <v>0</v>
      </c>
      <c r="EW46" s="661">
        <f t="shared" si="225"/>
        <v>0</v>
      </c>
      <c r="EX46" s="439">
        <f t="shared" si="226"/>
        <v>0</v>
      </c>
      <c r="EY46" s="439">
        <f t="shared" si="227"/>
        <v>0</v>
      </c>
      <c r="EZ46" s="439">
        <f t="shared" si="228"/>
        <v>0</v>
      </c>
      <c r="FA46" s="439">
        <f t="shared" si="229"/>
        <v>0</v>
      </c>
      <c r="FB46" s="631" t="s">
        <v>92</v>
      </c>
      <c r="FC46" s="631">
        <f t="shared" si="152"/>
        <v>0.21657502097893369</v>
      </c>
      <c r="FE46" s="439">
        <f t="shared" si="230"/>
        <v>1.3194300000000001</v>
      </c>
      <c r="FF46" s="440">
        <f t="shared" si="231"/>
        <v>1.0104300000000002</v>
      </c>
      <c r="FG46" s="439">
        <f t="shared" si="232"/>
        <v>-0.70143000000000022</v>
      </c>
      <c r="FH46" s="441">
        <f t="shared" si="233"/>
        <v>0</v>
      </c>
      <c r="FI46" s="439">
        <f t="shared" si="234"/>
        <v>0</v>
      </c>
      <c r="FJ46" s="439">
        <f t="shared" si="235"/>
        <v>0</v>
      </c>
      <c r="FK46" s="439">
        <f t="shared" si="236"/>
        <v>0</v>
      </c>
      <c r="FL46" s="439">
        <f t="shared" si="237"/>
        <v>0</v>
      </c>
      <c r="FM46" s="439">
        <f t="shared" si="238"/>
        <v>0</v>
      </c>
      <c r="FN46" s="439">
        <f t="shared" si="239"/>
        <v>0</v>
      </c>
      <c r="FO46" s="439">
        <f t="shared" si="240"/>
        <v>0</v>
      </c>
      <c r="FP46" s="439">
        <f t="shared" si="241"/>
        <v>0</v>
      </c>
      <c r="FQ46" s="439">
        <f t="shared" si="242"/>
        <v>0</v>
      </c>
      <c r="FR46" s="439">
        <f t="shared" si="243"/>
        <v>0</v>
      </c>
      <c r="FS46" s="442">
        <f t="shared" si="244"/>
        <v>0</v>
      </c>
      <c r="FT46" s="442">
        <f t="shared" si="245"/>
        <v>0</v>
      </c>
      <c r="FU46" s="439">
        <f t="shared" si="246"/>
        <v>0</v>
      </c>
      <c r="FV46" s="439">
        <f t="shared" si="247"/>
        <v>0</v>
      </c>
      <c r="FW46" s="661">
        <f t="shared" si="248"/>
        <v>0</v>
      </c>
      <c r="FX46" s="661">
        <f t="shared" si="249"/>
        <v>0</v>
      </c>
      <c r="FY46" s="439">
        <f t="shared" si="250"/>
        <v>0</v>
      </c>
      <c r="FZ46" s="439">
        <f t="shared" si="251"/>
        <v>0</v>
      </c>
      <c r="GA46" s="439">
        <f t="shared" si="252"/>
        <v>0</v>
      </c>
      <c r="GB46" s="439">
        <f t="shared" si="253"/>
        <v>0</v>
      </c>
      <c r="GC46" s="631" t="s">
        <v>92</v>
      </c>
      <c r="GD46" s="631">
        <f t="shared" si="153"/>
        <v>0.13438088651102512</v>
      </c>
      <c r="GF46" s="439">
        <f t="shared" si="254"/>
        <v>1.6012500000000003</v>
      </c>
      <c r="GG46" s="440">
        <f t="shared" si="255"/>
        <v>1.2262500000000003</v>
      </c>
      <c r="GH46" s="439">
        <f t="shared" si="256"/>
        <v>-0.85125000000000028</v>
      </c>
      <c r="GI46" s="439">
        <f t="shared" si="257"/>
        <v>0</v>
      </c>
      <c r="GJ46" s="439">
        <f t="shared" si="258"/>
        <v>0</v>
      </c>
      <c r="GK46" s="439">
        <f t="shared" si="259"/>
        <v>0</v>
      </c>
      <c r="GL46" s="439">
        <f t="shared" si="260"/>
        <v>0</v>
      </c>
      <c r="GM46" s="439">
        <f t="shared" si="261"/>
        <v>0</v>
      </c>
      <c r="GN46" s="439">
        <f t="shared" si="262"/>
        <v>0</v>
      </c>
      <c r="GO46" s="439">
        <f t="shared" si="263"/>
        <v>0</v>
      </c>
      <c r="GP46" s="439">
        <f t="shared" si="264"/>
        <v>0</v>
      </c>
      <c r="GQ46" s="439">
        <f t="shared" si="265"/>
        <v>0</v>
      </c>
      <c r="GR46" s="439">
        <f t="shared" si="266"/>
        <v>0</v>
      </c>
      <c r="GS46" s="439">
        <f t="shared" si="267"/>
        <v>0</v>
      </c>
      <c r="GT46" s="442">
        <f t="shared" si="268"/>
        <v>0</v>
      </c>
      <c r="GU46" s="442">
        <f t="shared" si="269"/>
        <v>0</v>
      </c>
      <c r="GV46" s="439">
        <f t="shared" si="270"/>
        <v>0</v>
      </c>
      <c r="GW46" s="439">
        <f t="shared" si="271"/>
        <v>0</v>
      </c>
      <c r="GX46" s="661">
        <f t="shared" si="272"/>
        <v>0</v>
      </c>
      <c r="GY46" s="661">
        <f t="shared" si="273"/>
        <v>0</v>
      </c>
      <c r="GZ46" s="439">
        <f t="shared" si="274"/>
        <v>0</v>
      </c>
      <c r="HA46" s="439">
        <f t="shared" si="275"/>
        <v>0</v>
      </c>
      <c r="HB46" s="439">
        <f t="shared" si="276"/>
        <v>0</v>
      </c>
      <c r="HC46" s="439">
        <f t="shared" si="277"/>
        <v>0</v>
      </c>
      <c r="HD46" s="631" t="s">
        <v>92</v>
      </c>
      <c r="HE46" s="631">
        <f t="shared" ref="HE46:HE109" si="306">SQRT((((IF(GF46&gt;0,GF46,GF46*-1))^2*$D$38)+((IF(GG46&gt;0,GG46,GG46*-1))^2*$E$38)+((IF(GH46&gt;0,GH46,GH46*-1))^2*$F$38)+((IF(GI46&gt;0,GI46,GI46*-1))^2*$G$38)+((IF(GJ46&gt;0,GJ46,GJ46*-1))^2*$H$38)+((IF(GK46&gt;0,GK46,GK46*-1))^2*$I$38)+((IF(GL46&gt;0,GL46,GL46*-1))^2*$J$38)+((IF(GM46&gt;0,GM46,GM46*-1))^2*$K$38)+((IF(GN46&gt;0,GN46,GN46*-1))^2*$L$38)+((IF(GO46&gt;0,GO46,GO46*-1))^2*$M$38)+((IF(GP46&gt;0,GP46,GP46*-1))^2*$N$38)+((IF(GQ46&gt;0,GQ46,GQ46*-1))^2*$O$38)+((IF(GR46&gt;0,GR46,GR46*-1))^2*$P$38)+((IF(GS46&gt;0,GS46,GS46*-1))^2*$Q$38)+((IF(GT46&gt;0,GT46,GT46*-1))^2*$R$38)+((IF(GU46&gt;0,GU46,GU46*-1))^2*$S$38)+((IF(GV46&gt;0,GV46,GV46*-1))^2*$T$38)+((IF(GW46&gt;0,GW46,GW46*-1))^2*$U$38)+((IF(GX46&gt;0,GX46,GX46*-1))^2*$V$38)+((IF(GY46&gt;0,GY46,GY46*-1))^2*$W$38)+((IF(GZ46&gt;0,GZ46,GZ46*-1))^2*$X$38)+((IF(HA46&gt;0,HA46,HA46*-1))^2*$Y$38)+((IF(HB46&gt;0,HB46,HB46*-1))^2*$Z$38)+((IF(HC46&gt;0,HC46,HC46*-1))^2*$AA$38))/$AA$31)</f>
        <v>0.16308360013473924</v>
      </c>
      <c r="HG46" s="618">
        <f>HLOOKUP(CQ46,Spec_Sheet!$F$3:$DV$19,11,FALSE)+HLOOKUP(CQ46,Spec_Sheet!$F$3:$DV$21,19,FALSE)</f>
        <v>180</v>
      </c>
      <c r="HH46" s="618">
        <f t="shared" si="154"/>
        <v>100</v>
      </c>
      <c r="HI46" s="634">
        <f t="shared" si="155"/>
        <v>200</v>
      </c>
      <c r="HJ46" s="634">
        <f>HLOOKUP(IF(LEN(CQ46)&gt;6,LEFT(CQ46,5),CQ46),'LSM List Pricing'!$B$1:$BW$2,2,0)</f>
        <v>47</v>
      </c>
      <c r="HK46" s="634">
        <f>HLOOKUP(HJ46,'LSM List Pricing'!$B$2:$BW$3,2)</f>
        <v>720</v>
      </c>
      <c r="HL46" s="634">
        <f>VLOOKUP(HH46,'LSM List Pricing'!$A$7:$BW$87,HJ46,0)</f>
        <v>310</v>
      </c>
      <c r="HM46" s="627">
        <f>VLOOKUP(HI46,'LSM List Pricing'!$A$7:$BW$87,HJ46,1)</f>
        <v>400</v>
      </c>
      <c r="HN46" s="628">
        <f t="shared" si="106"/>
        <v>2.641025641025641</v>
      </c>
      <c r="HO46" s="628">
        <f t="shared" si="107"/>
        <v>5.2820512820512819</v>
      </c>
      <c r="HP46" s="628">
        <f t="shared" si="108"/>
        <v>4.7179487179487181</v>
      </c>
      <c r="HR46" s="618">
        <v>2.1499999999999998E-2</v>
      </c>
      <c r="HS46" s="618">
        <f t="shared" si="109"/>
        <v>144.35714285714283</v>
      </c>
      <c r="HT46" s="618">
        <f t="shared" si="110"/>
        <v>1</v>
      </c>
      <c r="HU46" s="618">
        <f t="shared" si="170"/>
        <v>0.54731911465762617</v>
      </c>
      <c r="HW46" s="618">
        <f t="shared" si="111"/>
        <v>35.222806857186171</v>
      </c>
      <c r="HX46" s="618">
        <f t="shared" si="171"/>
        <v>0.54127376294456686</v>
      </c>
      <c r="HY46" s="618">
        <f t="shared" si="172"/>
        <v>2.1499999999999998E-2</v>
      </c>
      <c r="IB46" s="618">
        <f t="shared" si="113"/>
        <v>25.000350341399081</v>
      </c>
      <c r="IC46" s="618">
        <f t="shared" si="114"/>
        <v>1E-3</v>
      </c>
      <c r="IE46" s="618">
        <f t="shared" si="115"/>
        <v>0</v>
      </c>
      <c r="IF46" s="618">
        <f t="shared" si="116"/>
        <v>40.704999999999998</v>
      </c>
      <c r="IH46" s="618">
        <f t="shared" si="117"/>
        <v>0</v>
      </c>
      <c r="II46" s="618">
        <f t="shared" si="118"/>
        <v>40.704999999999998</v>
      </c>
      <c r="IK46" s="618">
        <f t="shared" si="119"/>
        <v>0</v>
      </c>
      <c r="IL46" s="618">
        <f t="shared" si="120"/>
        <v>40.704999999999998</v>
      </c>
      <c r="IN46" s="618">
        <f t="shared" si="121"/>
        <v>0</v>
      </c>
      <c r="IO46" s="618">
        <f t="shared" si="122"/>
        <v>40.704999999999998</v>
      </c>
      <c r="IQ46" s="618">
        <f t="shared" si="123"/>
        <v>0</v>
      </c>
      <c r="IR46" s="618">
        <f t="shared" si="124"/>
        <v>40.704999999999998</v>
      </c>
      <c r="IT46" s="660" t="str">
        <f t="shared" si="278"/>
        <v>S200Q</v>
      </c>
      <c r="IU46" s="628"/>
      <c r="IV46" s="439">
        <f t="shared" si="279"/>
        <v>2.3057999999999996</v>
      </c>
      <c r="IW46" s="440">
        <f t="shared" si="280"/>
        <v>1.7657999999999998</v>
      </c>
      <c r="IX46" s="439">
        <f t="shared" si="281"/>
        <v>-1.2258</v>
      </c>
      <c r="IY46" s="439">
        <f t="shared" si="282"/>
        <v>0</v>
      </c>
      <c r="IZ46" s="439">
        <f t="shared" si="283"/>
        <v>0</v>
      </c>
      <c r="JA46" s="439">
        <f t="shared" si="284"/>
        <v>0</v>
      </c>
      <c r="JB46" s="439">
        <f t="shared" si="285"/>
        <v>0</v>
      </c>
      <c r="JC46" s="439">
        <f t="shared" si="286"/>
        <v>0</v>
      </c>
      <c r="JD46" s="439">
        <f t="shared" si="287"/>
        <v>0</v>
      </c>
      <c r="JE46" s="439">
        <f t="shared" si="288"/>
        <v>0</v>
      </c>
      <c r="JF46" s="439">
        <f t="shared" si="289"/>
        <v>0</v>
      </c>
      <c r="JG46" s="439">
        <f t="shared" si="290"/>
        <v>0</v>
      </c>
      <c r="JH46" s="439">
        <f t="shared" si="291"/>
        <v>0</v>
      </c>
      <c r="JI46" s="439">
        <f t="shared" si="292"/>
        <v>0</v>
      </c>
      <c r="JJ46" s="442">
        <f t="shared" si="293"/>
        <v>0</v>
      </c>
      <c r="JK46" s="442">
        <f t="shared" si="294"/>
        <v>0</v>
      </c>
      <c r="JL46" s="439">
        <f t="shared" si="295"/>
        <v>0</v>
      </c>
      <c r="JM46" s="439">
        <f t="shared" si="296"/>
        <v>0</v>
      </c>
      <c r="JN46" s="661">
        <f t="shared" si="297"/>
        <v>0</v>
      </c>
      <c r="JO46" s="661">
        <f t="shared" si="298"/>
        <v>0</v>
      </c>
      <c r="JP46" s="439">
        <f t="shared" si="299"/>
        <v>0</v>
      </c>
      <c r="JQ46" s="439">
        <f t="shared" si="300"/>
        <v>0</v>
      </c>
      <c r="JR46" s="439">
        <f t="shared" si="301"/>
        <v>0</v>
      </c>
      <c r="JS46" s="439">
        <f t="shared" si="302"/>
        <v>0</v>
      </c>
      <c r="JT46" s="631" t="s">
        <v>92</v>
      </c>
      <c r="JU46" s="631">
        <f t="shared" si="158"/>
        <v>0.23484038419402439</v>
      </c>
      <c r="JW46" s="522"/>
      <c r="JX46" s="522"/>
      <c r="JY46" s="522"/>
      <c r="JZ46" s="522"/>
      <c r="KA46" s="522"/>
      <c r="KB46" s="522"/>
      <c r="KC46" s="522"/>
      <c r="KD46" s="522"/>
      <c r="KE46" s="522"/>
      <c r="KF46" s="522"/>
      <c r="KG46" s="522"/>
      <c r="KH46" s="522"/>
      <c r="KI46" s="522"/>
      <c r="KJ46" s="522"/>
      <c r="KK46" s="522"/>
      <c r="KL46" s="522"/>
    </row>
    <row r="47" spans="1:298" ht="9.9499999999999993" customHeight="1" thickBot="1">
      <c r="A47" s="155"/>
      <c r="B47" s="95"/>
      <c r="C47" s="95"/>
      <c r="D47" s="95"/>
      <c r="E47" s="95"/>
      <c r="F47" s="95"/>
      <c r="G47" s="95"/>
      <c r="H47" s="95"/>
      <c r="I47" s="95"/>
      <c r="J47" s="95"/>
      <c r="K47" s="95"/>
      <c r="L47" s="95"/>
      <c r="M47" s="95"/>
      <c r="N47" s="95"/>
      <c r="O47" s="95"/>
      <c r="P47" s="95"/>
      <c r="Q47" s="95"/>
      <c r="R47" s="95"/>
      <c r="S47" s="95"/>
      <c r="T47" s="95"/>
      <c r="U47" s="95"/>
      <c r="V47" s="95"/>
      <c r="W47" s="95"/>
      <c r="X47" s="95"/>
      <c r="Y47" s="95"/>
      <c r="Z47" s="95"/>
      <c r="AA47" s="95"/>
      <c r="AB47" s="95" t="s">
        <v>435</v>
      </c>
      <c r="AC47" s="95">
        <f>IF(AE34&gt;25,AF34,25)</f>
        <v>25</v>
      </c>
      <c r="AD47" s="95"/>
      <c r="AE47" s="95"/>
      <c r="AF47" s="95"/>
      <c r="AG47" s="95"/>
      <c r="AH47" s="95"/>
      <c r="AI47" s="95"/>
      <c r="AJ47" s="95" t="s">
        <v>623</v>
      </c>
      <c r="AK47" s="95"/>
      <c r="AL47" s="95"/>
      <c r="AM47" s="95"/>
      <c r="AN47" s="95"/>
      <c r="AO47" s="95"/>
      <c r="AP47" s="95"/>
      <c r="AQ47" s="95">
        <f>HLOOKUP(AJ49,Spec_Sheet!$F$3:$ED$23,20,FALSE)</f>
        <v>240</v>
      </c>
      <c r="AR47" s="95"/>
      <c r="AS47" s="95"/>
      <c r="AT47" s="95"/>
      <c r="AU47" s="95"/>
      <c r="AV47" s="95">
        <f>IF($AY$30,E90,0)*$D$82</f>
        <v>18.400000000000002</v>
      </c>
      <c r="AW47" s="95">
        <f>IF($AY$32,'Data Sheet'!AA68,0)</f>
        <v>0.62145000000000006</v>
      </c>
      <c r="AX47" s="95">
        <f t="shared" si="305"/>
        <v>0.64900000000000002</v>
      </c>
      <c r="AY47" s="95"/>
      <c r="AZ47" s="668"/>
      <c r="BA47" s="671"/>
      <c r="BB47" s="708" t="str">
        <f t="shared" ca="1" si="168"/>
        <v>L250D</v>
      </c>
      <c r="BC47" s="709"/>
      <c r="BD47" s="710"/>
      <c r="BE47" s="342">
        <f t="shared" ca="1" si="160"/>
        <v>1.9486341843426805E-3</v>
      </c>
      <c r="BF47" s="78">
        <f t="shared" ca="1" si="161"/>
        <v>1.3372963100839823E-3</v>
      </c>
      <c r="BG47" s="490">
        <f t="shared" ca="1" si="162"/>
        <v>2.4238671135722056E-3</v>
      </c>
      <c r="BH47" s="78">
        <f t="shared" ca="1" si="163"/>
        <v>1.7354314836818745E-3</v>
      </c>
      <c r="BI47" s="617">
        <f t="shared" ca="1" si="164"/>
        <v>7.8539031443321825E-4</v>
      </c>
      <c r="BJ47" s="528">
        <f t="shared" ca="1" si="165"/>
        <v>2.3846153846153846</v>
      </c>
      <c r="BK47" s="529">
        <f t="shared" ca="1" si="166"/>
        <v>4.7692307692307692</v>
      </c>
      <c r="BL47" s="530">
        <f t="shared" ca="1" si="167"/>
        <v>3.7435897435897436</v>
      </c>
      <c r="BM47" s="519"/>
      <c r="BN47" s="148"/>
      <c r="BO47" s="148"/>
      <c r="BP47" s="148"/>
      <c r="BQ47" s="148"/>
      <c r="BR47" s="148"/>
      <c r="BS47" s="149"/>
      <c r="BT47" s="149"/>
      <c r="BU47" s="149"/>
      <c r="BV47" s="149"/>
      <c r="BW47" s="149"/>
      <c r="BX47" s="149"/>
      <c r="BY47" s="149"/>
      <c r="BZ47" s="149"/>
      <c r="CA47" s="149"/>
      <c r="CB47" s="149"/>
      <c r="CC47" s="149"/>
      <c r="CD47" s="148"/>
      <c r="CE47" s="148"/>
      <c r="CF47" s="148"/>
      <c r="CG47" s="148"/>
      <c r="CH47" s="171"/>
      <c r="CI47" s="100"/>
      <c r="CJ47" s="152"/>
      <c r="CK47" s="152"/>
      <c r="CL47" s="153"/>
      <c r="CM47" s="153"/>
      <c r="CN47" s="153"/>
      <c r="CO47" s="689" t="str">
        <f ca="1"/>
        <v>S250D 1S</v>
      </c>
      <c r="CP47" s="632" t="str">
        <f>IF(OR(CQ47=0,CR47="",CS47&gt;120),"",IF(HLOOKUP(CQ47,Spec_Sheet!$F$3:$ED$19,17,FALSE)&lt;$AC$46,"",CQ47))</f>
        <v>S200Q 1S</v>
      </c>
      <c r="CQ47" s="660" t="str">
        <f>IF(Spec_Sheet!A46="","",Spec_Sheet!A46)</f>
        <v>S200Q 1S</v>
      </c>
      <c r="CR47" s="660">
        <f>IF(CQ47="",0,HLOOKUP(CQ47,Spec_Sheet!$F$3:$ED$19,2,FALSE))</f>
        <v>38.001899999999999</v>
      </c>
      <c r="CS47" s="660">
        <f t="shared" si="169"/>
        <v>9.5471764995480634E-4</v>
      </c>
      <c r="CT47" s="621">
        <f t="shared" si="173"/>
        <v>1.4261831561053293E-3</v>
      </c>
      <c r="CU47" s="621">
        <f t="shared" si="181"/>
        <v>9.5471764995480634E-4</v>
      </c>
      <c r="CV47" s="621">
        <f t="shared" si="174"/>
        <v>1.2504443886877223E-3</v>
      </c>
      <c r="CW47" s="621">
        <f t="shared" si="175"/>
        <v>8.1198146796773664E-4</v>
      </c>
      <c r="CX47" s="621">
        <f t="shared" si="157"/>
        <v>4.6041553335011932E-4</v>
      </c>
      <c r="CY47" s="619">
        <f>HLOOKUP(CQ47,Spec_Sheet!$F$3:$ED$19,13,FALSE)</f>
        <v>0.7</v>
      </c>
      <c r="CZ47" s="619">
        <f>VLOOKUP(HH47,'Shaft Weight'!$A$6:$CD$102,HJ47,TRUE)</f>
        <v>0.63</v>
      </c>
      <c r="DA47" s="619">
        <f>VLOOKUP(HI47,'Shaft Weight'!$A$6:$CD$102,HJ47,0)</f>
        <v>0.85</v>
      </c>
      <c r="DB47" s="619">
        <f>HLOOKUP(CQ47,Spec_Sheet!$F$3:$ED$19,6,FALSE)</f>
        <v>16.102499999999999</v>
      </c>
      <c r="DC47" s="439">
        <f t="shared" si="182"/>
        <v>1.4091000000000002</v>
      </c>
      <c r="DD47" s="440">
        <f t="shared" si="183"/>
        <v>1.0791000000000002</v>
      </c>
      <c r="DE47" s="439">
        <f t="shared" si="184"/>
        <v>-0.7491000000000001</v>
      </c>
      <c r="DF47" s="439">
        <f t="shared" si="185"/>
        <v>0</v>
      </c>
      <c r="DG47" s="439">
        <f t="shared" si="186"/>
        <v>0</v>
      </c>
      <c r="DH47" s="439">
        <f t="shared" si="187"/>
        <v>0</v>
      </c>
      <c r="DI47" s="439">
        <f t="shared" si="188"/>
        <v>0</v>
      </c>
      <c r="DJ47" s="439">
        <f t="shared" si="189"/>
        <v>0</v>
      </c>
      <c r="DK47" s="439">
        <f t="shared" si="190"/>
        <v>0</v>
      </c>
      <c r="DL47" s="439">
        <f t="shared" si="191"/>
        <v>0</v>
      </c>
      <c r="DM47" s="439">
        <f t="shared" si="192"/>
        <v>0</v>
      </c>
      <c r="DN47" s="439">
        <f t="shared" si="193"/>
        <v>0</v>
      </c>
      <c r="DO47" s="439">
        <f t="shared" si="194"/>
        <v>0</v>
      </c>
      <c r="DP47" s="439">
        <f t="shared" si="195"/>
        <v>0</v>
      </c>
      <c r="DQ47" s="442">
        <f t="shared" si="196"/>
        <v>0</v>
      </c>
      <c r="DR47" s="442">
        <f t="shared" si="197"/>
        <v>0</v>
      </c>
      <c r="DS47" s="439">
        <f t="shared" si="198"/>
        <v>0</v>
      </c>
      <c r="DT47" s="439">
        <f t="shared" si="199"/>
        <v>0</v>
      </c>
      <c r="DU47" s="661">
        <f t="shared" si="200"/>
        <v>0</v>
      </c>
      <c r="DV47" s="661">
        <f t="shared" si="201"/>
        <v>0</v>
      </c>
      <c r="DW47" s="439">
        <f t="shared" si="202"/>
        <v>0</v>
      </c>
      <c r="DX47" s="439">
        <f t="shared" si="203"/>
        <v>0</v>
      </c>
      <c r="DY47" s="439">
        <f t="shared" si="204"/>
        <v>0</v>
      </c>
      <c r="DZ47" s="439">
        <f t="shared" si="205"/>
        <v>0</v>
      </c>
      <c r="EA47" s="631" t="s">
        <v>92</v>
      </c>
      <c r="EB47" s="631">
        <f t="shared" si="151"/>
        <v>0.14351356811857052</v>
      </c>
      <c r="ED47" s="439">
        <f t="shared" si="206"/>
        <v>2.1264600000000002</v>
      </c>
      <c r="EE47" s="440">
        <f t="shared" si="207"/>
        <v>1.6284600000000002</v>
      </c>
      <c r="EF47" s="439">
        <f t="shared" si="208"/>
        <v>-1.1304600000000002</v>
      </c>
      <c r="EG47" s="441">
        <f t="shared" si="209"/>
        <v>0</v>
      </c>
      <c r="EH47" s="439">
        <f t="shared" si="210"/>
        <v>0</v>
      </c>
      <c r="EI47" s="439">
        <f t="shared" si="211"/>
        <v>0</v>
      </c>
      <c r="EJ47" s="439">
        <f t="shared" si="212"/>
        <v>0</v>
      </c>
      <c r="EK47" s="439">
        <f t="shared" si="213"/>
        <v>0</v>
      </c>
      <c r="EL47" s="439">
        <f t="shared" si="214"/>
        <v>0</v>
      </c>
      <c r="EM47" s="439">
        <f t="shared" si="215"/>
        <v>0</v>
      </c>
      <c r="EN47" s="439">
        <f t="shared" si="216"/>
        <v>0</v>
      </c>
      <c r="EO47" s="439">
        <f t="shared" si="217"/>
        <v>0</v>
      </c>
      <c r="EP47" s="439">
        <f t="shared" si="218"/>
        <v>0</v>
      </c>
      <c r="EQ47" s="439">
        <f t="shared" si="219"/>
        <v>0</v>
      </c>
      <c r="ER47" s="442">
        <f t="shared" si="220"/>
        <v>0</v>
      </c>
      <c r="ES47" s="442">
        <f t="shared" si="221"/>
        <v>0</v>
      </c>
      <c r="ET47" s="439">
        <f t="shared" si="222"/>
        <v>0</v>
      </c>
      <c r="EU47" s="439">
        <f t="shared" si="223"/>
        <v>0</v>
      </c>
      <c r="EV47" s="661">
        <f t="shared" si="224"/>
        <v>0</v>
      </c>
      <c r="EW47" s="661">
        <f t="shared" si="225"/>
        <v>0</v>
      </c>
      <c r="EX47" s="439">
        <f t="shared" si="226"/>
        <v>0</v>
      </c>
      <c r="EY47" s="439">
        <f t="shared" si="227"/>
        <v>0</v>
      </c>
      <c r="EZ47" s="439">
        <f t="shared" si="228"/>
        <v>0</v>
      </c>
      <c r="FA47" s="439">
        <f t="shared" si="229"/>
        <v>0</v>
      </c>
      <c r="FB47" s="631" t="s">
        <v>92</v>
      </c>
      <c r="FC47" s="631">
        <f t="shared" si="152"/>
        <v>0.21657502097893369</v>
      </c>
      <c r="FE47" s="439">
        <f t="shared" si="230"/>
        <v>1.3194300000000001</v>
      </c>
      <c r="FF47" s="440">
        <f t="shared" si="231"/>
        <v>1.0104300000000002</v>
      </c>
      <c r="FG47" s="439">
        <f t="shared" si="232"/>
        <v>-0.70143000000000022</v>
      </c>
      <c r="FH47" s="441">
        <f t="shared" si="233"/>
        <v>0</v>
      </c>
      <c r="FI47" s="439">
        <f t="shared" si="234"/>
        <v>0</v>
      </c>
      <c r="FJ47" s="439">
        <f t="shared" si="235"/>
        <v>0</v>
      </c>
      <c r="FK47" s="439">
        <f t="shared" si="236"/>
        <v>0</v>
      </c>
      <c r="FL47" s="439">
        <f t="shared" si="237"/>
        <v>0</v>
      </c>
      <c r="FM47" s="439">
        <f t="shared" si="238"/>
        <v>0</v>
      </c>
      <c r="FN47" s="439">
        <f t="shared" si="239"/>
        <v>0</v>
      </c>
      <c r="FO47" s="439">
        <f t="shared" si="240"/>
        <v>0</v>
      </c>
      <c r="FP47" s="439">
        <f t="shared" si="241"/>
        <v>0</v>
      </c>
      <c r="FQ47" s="439">
        <f t="shared" si="242"/>
        <v>0</v>
      </c>
      <c r="FR47" s="439">
        <f t="shared" si="243"/>
        <v>0</v>
      </c>
      <c r="FS47" s="442">
        <f t="shared" si="244"/>
        <v>0</v>
      </c>
      <c r="FT47" s="442">
        <f t="shared" si="245"/>
        <v>0</v>
      </c>
      <c r="FU47" s="439">
        <f t="shared" si="246"/>
        <v>0</v>
      </c>
      <c r="FV47" s="439">
        <f t="shared" si="247"/>
        <v>0</v>
      </c>
      <c r="FW47" s="661">
        <f t="shared" si="248"/>
        <v>0</v>
      </c>
      <c r="FX47" s="661">
        <f t="shared" si="249"/>
        <v>0</v>
      </c>
      <c r="FY47" s="439">
        <f t="shared" si="250"/>
        <v>0</v>
      </c>
      <c r="FZ47" s="439">
        <f t="shared" si="251"/>
        <v>0</v>
      </c>
      <c r="GA47" s="439">
        <f t="shared" si="252"/>
        <v>0</v>
      </c>
      <c r="GB47" s="439">
        <f t="shared" si="253"/>
        <v>0</v>
      </c>
      <c r="GC47" s="631" t="s">
        <v>92</v>
      </c>
      <c r="GD47" s="631">
        <f t="shared" si="153"/>
        <v>0.13438088651102512</v>
      </c>
      <c r="GF47" s="439">
        <f t="shared" si="254"/>
        <v>1.6012500000000003</v>
      </c>
      <c r="GG47" s="440">
        <f t="shared" si="255"/>
        <v>1.2262500000000003</v>
      </c>
      <c r="GH47" s="439">
        <f t="shared" si="256"/>
        <v>-0.85125000000000028</v>
      </c>
      <c r="GI47" s="439">
        <f t="shared" si="257"/>
        <v>0</v>
      </c>
      <c r="GJ47" s="439">
        <f t="shared" si="258"/>
        <v>0</v>
      </c>
      <c r="GK47" s="439">
        <f t="shared" si="259"/>
        <v>0</v>
      </c>
      <c r="GL47" s="439">
        <f t="shared" si="260"/>
        <v>0</v>
      </c>
      <c r="GM47" s="439">
        <f t="shared" si="261"/>
        <v>0</v>
      </c>
      <c r="GN47" s="439">
        <f t="shared" si="262"/>
        <v>0</v>
      </c>
      <c r="GO47" s="439">
        <f t="shared" si="263"/>
        <v>0</v>
      </c>
      <c r="GP47" s="439">
        <f t="shared" si="264"/>
        <v>0</v>
      </c>
      <c r="GQ47" s="439">
        <f t="shared" si="265"/>
        <v>0</v>
      </c>
      <c r="GR47" s="439">
        <f t="shared" si="266"/>
        <v>0</v>
      </c>
      <c r="GS47" s="439">
        <f t="shared" si="267"/>
        <v>0</v>
      </c>
      <c r="GT47" s="442">
        <f t="shared" si="268"/>
        <v>0</v>
      </c>
      <c r="GU47" s="442">
        <f t="shared" si="269"/>
        <v>0</v>
      </c>
      <c r="GV47" s="439">
        <f t="shared" si="270"/>
        <v>0</v>
      </c>
      <c r="GW47" s="439">
        <f t="shared" si="271"/>
        <v>0</v>
      </c>
      <c r="GX47" s="661">
        <f t="shared" si="272"/>
        <v>0</v>
      </c>
      <c r="GY47" s="661">
        <f t="shared" si="273"/>
        <v>0</v>
      </c>
      <c r="GZ47" s="439">
        <f t="shared" si="274"/>
        <v>0</v>
      </c>
      <c r="HA47" s="439">
        <f t="shared" si="275"/>
        <v>0</v>
      </c>
      <c r="HB47" s="439">
        <f t="shared" si="276"/>
        <v>0</v>
      </c>
      <c r="HC47" s="439">
        <f t="shared" si="277"/>
        <v>0</v>
      </c>
      <c r="HD47" s="631" t="s">
        <v>92</v>
      </c>
      <c r="HE47" s="631">
        <f t="shared" si="306"/>
        <v>0.16308360013473924</v>
      </c>
      <c r="HG47" s="618">
        <f>HLOOKUP(CQ47,Spec_Sheet!$F$3:$DV$19,11,FALSE)+HLOOKUP(CQ47,Spec_Sheet!$F$3:$DV$21,19,FALSE)</f>
        <v>180</v>
      </c>
      <c r="HH47" s="618">
        <f t="shared" si="154"/>
        <v>100</v>
      </c>
      <c r="HI47" s="634">
        <f t="shared" si="155"/>
        <v>200</v>
      </c>
      <c r="HJ47" s="634">
        <f>HLOOKUP(IF(LEN(CQ47)&gt;6,LEFT(CQ47,5),CQ47),'LSM List Pricing'!$B$1:$BW$2,2,0)</f>
        <v>47</v>
      </c>
      <c r="HK47" s="634">
        <f>HLOOKUP(HJ47,'LSM List Pricing'!$B$2:$BW$3,2)</f>
        <v>720</v>
      </c>
      <c r="HL47" s="634">
        <f>VLOOKUP(HH47,'LSM List Pricing'!$A$7:$BW$87,HJ47,0)</f>
        <v>310</v>
      </c>
      <c r="HM47" s="627">
        <f>VLOOKUP(HI47,'LSM List Pricing'!$A$7:$BW$87,HJ47,1)</f>
        <v>400</v>
      </c>
      <c r="HN47" s="628">
        <f t="shared" si="106"/>
        <v>2.641025641025641</v>
      </c>
      <c r="HO47" s="628">
        <f t="shared" si="107"/>
        <v>5.2820512820512819</v>
      </c>
      <c r="HP47" s="628">
        <f t="shared" si="108"/>
        <v>4.7179487179487181</v>
      </c>
      <c r="HR47" s="618">
        <v>2.1999999999999999E-2</v>
      </c>
      <c r="HS47" s="618">
        <f t="shared" si="109"/>
        <v>147.71428571428569</v>
      </c>
      <c r="HT47" s="618">
        <f t="shared" si="110"/>
        <v>1</v>
      </c>
      <c r="HU47" s="618">
        <f t="shared" si="170"/>
        <v>0.56005815863125097</v>
      </c>
      <c r="HW47" s="618">
        <f t="shared" si="111"/>
        <v>35.204717414743627</v>
      </c>
      <c r="HX47" s="618">
        <f t="shared" si="171"/>
        <v>0.55373138636749619</v>
      </c>
      <c r="HY47" s="618">
        <f t="shared" si="172"/>
        <v>2.1999999999999999E-2</v>
      </c>
      <c r="IB47" s="618">
        <f t="shared" si="113"/>
        <v>25.000350341399081</v>
      </c>
      <c r="IC47" s="618">
        <f t="shared" si="114"/>
        <v>1E-3</v>
      </c>
      <c r="IE47" s="618">
        <f t="shared" si="115"/>
        <v>0</v>
      </c>
      <c r="IF47" s="618">
        <f t="shared" si="116"/>
        <v>40.704999999999998</v>
      </c>
      <c r="IH47" s="618">
        <f t="shared" si="117"/>
        <v>0</v>
      </c>
      <c r="II47" s="618">
        <f t="shared" si="118"/>
        <v>40.704999999999998</v>
      </c>
      <c r="IK47" s="618">
        <f t="shared" si="119"/>
        <v>0</v>
      </c>
      <c r="IL47" s="618">
        <f t="shared" si="120"/>
        <v>40.704999999999998</v>
      </c>
      <c r="IN47" s="618">
        <f t="shared" si="121"/>
        <v>0</v>
      </c>
      <c r="IO47" s="618">
        <f t="shared" si="122"/>
        <v>40.704999999999998</v>
      </c>
      <c r="IQ47" s="618">
        <f t="shared" si="123"/>
        <v>0</v>
      </c>
      <c r="IR47" s="618">
        <f t="shared" si="124"/>
        <v>40.704999999999998</v>
      </c>
      <c r="IT47" s="660" t="str">
        <f t="shared" si="278"/>
        <v>S200Q 1S</v>
      </c>
      <c r="IU47" s="628"/>
      <c r="IV47" s="439">
        <f t="shared" si="279"/>
        <v>2.3057999999999996</v>
      </c>
      <c r="IW47" s="440">
        <f t="shared" si="280"/>
        <v>1.7657999999999998</v>
      </c>
      <c r="IX47" s="439">
        <f t="shared" si="281"/>
        <v>-1.2258</v>
      </c>
      <c r="IY47" s="439">
        <f t="shared" si="282"/>
        <v>0</v>
      </c>
      <c r="IZ47" s="439">
        <f t="shared" si="283"/>
        <v>0</v>
      </c>
      <c r="JA47" s="439">
        <f t="shared" si="284"/>
        <v>0</v>
      </c>
      <c r="JB47" s="439">
        <f t="shared" si="285"/>
        <v>0</v>
      </c>
      <c r="JC47" s="439">
        <f t="shared" si="286"/>
        <v>0</v>
      </c>
      <c r="JD47" s="439">
        <f t="shared" si="287"/>
        <v>0</v>
      </c>
      <c r="JE47" s="439">
        <f t="shared" si="288"/>
        <v>0</v>
      </c>
      <c r="JF47" s="439">
        <f t="shared" si="289"/>
        <v>0</v>
      </c>
      <c r="JG47" s="439">
        <f t="shared" si="290"/>
        <v>0</v>
      </c>
      <c r="JH47" s="439">
        <f t="shared" si="291"/>
        <v>0</v>
      </c>
      <c r="JI47" s="439">
        <f t="shared" si="292"/>
        <v>0</v>
      </c>
      <c r="JJ47" s="442">
        <f t="shared" si="293"/>
        <v>0</v>
      </c>
      <c r="JK47" s="442">
        <f t="shared" si="294"/>
        <v>0</v>
      </c>
      <c r="JL47" s="439">
        <f t="shared" si="295"/>
        <v>0</v>
      </c>
      <c r="JM47" s="439">
        <f t="shared" si="296"/>
        <v>0</v>
      </c>
      <c r="JN47" s="661">
        <f t="shared" si="297"/>
        <v>0</v>
      </c>
      <c r="JO47" s="661">
        <f t="shared" si="298"/>
        <v>0</v>
      </c>
      <c r="JP47" s="439">
        <f t="shared" si="299"/>
        <v>0</v>
      </c>
      <c r="JQ47" s="439">
        <f t="shared" si="300"/>
        <v>0</v>
      </c>
      <c r="JR47" s="439">
        <f t="shared" si="301"/>
        <v>0</v>
      </c>
      <c r="JS47" s="439">
        <f t="shared" si="302"/>
        <v>0</v>
      </c>
      <c r="JT47" s="631" t="s">
        <v>92</v>
      </c>
      <c r="JU47" s="631">
        <f t="shared" si="158"/>
        <v>0.23484038419402439</v>
      </c>
      <c r="JW47" s="522"/>
      <c r="JX47" s="522"/>
      <c r="JY47" s="522"/>
      <c r="JZ47" s="522"/>
      <c r="KA47" s="522"/>
      <c r="KB47" s="522"/>
      <c r="KC47" s="522"/>
      <c r="KD47" s="522"/>
      <c r="KE47" s="522"/>
      <c r="KF47" s="522"/>
      <c r="KG47" s="522"/>
      <c r="KH47" s="522"/>
      <c r="KI47" s="522"/>
      <c r="KJ47" s="522"/>
      <c r="KK47" s="522"/>
      <c r="KL47" s="522"/>
    </row>
    <row r="48" spans="1:298" ht="9.9499999999999993" customHeight="1">
      <c r="A48" s="155"/>
      <c r="B48" s="95"/>
      <c r="C48" s="95"/>
      <c r="D48" s="95"/>
      <c r="E48" s="95"/>
      <c r="F48" s="95"/>
      <c r="G48" s="95"/>
      <c r="H48" s="95"/>
      <c r="I48" s="95"/>
      <c r="J48" s="95"/>
      <c r="K48" s="95"/>
      <c r="L48" s="95"/>
      <c r="M48" s="95"/>
      <c r="N48" s="95"/>
      <c r="O48" s="95"/>
      <c r="P48" s="95"/>
      <c r="Q48" s="95"/>
      <c r="R48" s="95"/>
      <c r="S48" s="95"/>
      <c r="T48" s="95"/>
      <c r="U48" s="95"/>
      <c r="V48" s="95"/>
      <c r="W48" s="95"/>
      <c r="X48" s="95"/>
      <c r="Y48" s="95"/>
      <c r="Z48" s="95"/>
      <c r="AA48" s="95"/>
      <c r="AB48" s="95" t="s">
        <v>436</v>
      </c>
      <c r="AC48" s="95">
        <f>AF34</f>
        <v>50</v>
      </c>
      <c r="AD48" s="95"/>
      <c r="AE48" s="95"/>
      <c r="AF48" s="95"/>
      <c r="AG48" s="95"/>
      <c r="AH48" s="95"/>
      <c r="AI48" s="95"/>
      <c r="AJ48" s="95"/>
      <c r="AK48" s="95"/>
      <c r="AL48" s="95"/>
      <c r="AM48" s="95"/>
      <c r="AN48" s="95"/>
      <c r="AO48" s="95"/>
      <c r="AP48" s="95"/>
      <c r="AQ48" s="95"/>
      <c r="AR48" s="95"/>
      <c r="AS48" s="95"/>
      <c r="AT48" s="95"/>
      <c r="AU48" s="95"/>
      <c r="AV48" s="95">
        <f>IF($AY$30,E89,0)*$D$82</f>
        <v>15.2</v>
      </c>
      <c r="AW48" s="95">
        <f>IF($AY$32,'Data Sheet'!AA69,0)</f>
        <v>0.62145000000000006</v>
      </c>
      <c r="AX48" s="95">
        <f t="shared" si="305"/>
        <v>0.65700000000000003</v>
      </c>
      <c r="AY48" s="95"/>
      <c r="AZ48" s="668"/>
      <c r="BA48" s="671"/>
      <c r="BB48" s="708" t="str">
        <f t="shared" ca="1" si="168"/>
        <v>L250D-1S</v>
      </c>
      <c r="BC48" s="709"/>
      <c r="BD48" s="710"/>
      <c r="BE48" s="342">
        <f t="shared" ca="1" si="160"/>
        <v>1.9486341843426805E-3</v>
      </c>
      <c r="BF48" s="78">
        <f t="shared" ca="1" si="161"/>
        <v>1.3372963100839823E-3</v>
      </c>
      <c r="BG48" s="490">
        <f t="shared" ca="1" si="162"/>
        <v>2.4238671135722056E-3</v>
      </c>
      <c r="BH48" s="78">
        <f t="shared" ca="1" si="163"/>
        <v>1.7354314836818745E-3</v>
      </c>
      <c r="BI48" s="617">
        <f t="shared" ca="1" si="164"/>
        <v>7.8539031443321825E-4</v>
      </c>
      <c r="BJ48" s="528">
        <f t="shared" ca="1" si="165"/>
        <v>2.3846153846153846</v>
      </c>
      <c r="BK48" s="529">
        <f t="shared" ca="1" si="166"/>
        <v>4.7692307692307692</v>
      </c>
      <c r="BL48" s="530">
        <f t="shared" ca="1" si="167"/>
        <v>3.7435897435897436</v>
      </c>
      <c r="BM48" s="162"/>
      <c r="BN48" s="162"/>
      <c r="BO48" s="162"/>
      <c r="BP48" s="162"/>
      <c r="BQ48" s="162"/>
      <c r="BR48" s="162"/>
      <c r="BS48" s="162"/>
      <c r="BT48" s="162"/>
      <c r="BU48" s="162"/>
      <c r="BV48" s="162"/>
      <c r="BW48" s="162"/>
      <c r="BX48" s="162"/>
      <c r="BY48" s="162"/>
      <c r="BZ48" s="162"/>
      <c r="CA48" s="162"/>
      <c r="CB48" s="162"/>
      <c r="CC48" s="162"/>
      <c r="CD48" s="162"/>
      <c r="CE48" s="162"/>
      <c r="CF48" s="162"/>
      <c r="CG48" s="162"/>
      <c r="CH48" s="147"/>
      <c r="CI48" s="100"/>
      <c r="CJ48" s="152"/>
      <c r="CK48" s="152"/>
      <c r="CL48" s="153"/>
      <c r="CM48" s="153"/>
      <c r="CN48" s="153"/>
      <c r="CO48" s="689" t="str">
        <f ca="1"/>
        <v>L350DS</v>
      </c>
      <c r="CP48" s="632" t="str">
        <f>IF(OR(CQ48=0,CR48="",CS48&gt;120),"",IF(HLOOKUP(CQ48,Spec_Sheet!$F$3:$ED$19,17,FALSE)&lt;$AC$46,"",CQ48))</f>
        <v>S200Q 2S</v>
      </c>
      <c r="CQ48" s="660" t="str">
        <f>IF(Spec_Sheet!A47="","",Spec_Sheet!A47)</f>
        <v>S200Q 2S</v>
      </c>
      <c r="CR48" s="660">
        <f>IF(CQ48="",0,HLOOKUP(CQ48,Spec_Sheet!$F$3:$ED$19,2,FALSE))</f>
        <v>38.001899999999999</v>
      </c>
      <c r="CS48" s="660">
        <f t="shared" si="169"/>
        <v>9.5471764995480634E-4</v>
      </c>
      <c r="CT48" s="621">
        <f>((EB48/DB48)/(CR48/DB48))^2*100</f>
        <v>1.4261831561053293E-3</v>
      </c>
      <c r="CU48" s="621">
        <f t="shared" si="181"/>
        <v>9.5471764995480634E-4</v>
      </c>
      <c r="CV48" s="621">
        <f t="shared" si="174"/>
        <v>1.2504443886877223E-3</v>
      </c>
      <c r="CW48" s="621">
        <f t="shared" si="175"/>
        <v>8.1198146796773664E-4</v>
      </c>
      <c r="CX48" s="621">
        <f t="shared" si="157"/>
        <v>4.6041553335011932E-4</v>
      </c>
      <c r="CY48" s="619">
        <f>HLOOKUP(CQ48,Spec_Sheet!$F$3:$ED$19,13,FALSE)</f>
        <v>0.7</v>
      </c>
      <c r="CZ48" s="619">
        <f>VLOOKUP(HH48,'Shaft Weight'!$A$6:$CD$102,HJ48,TRUE)</f>
        <v>0.63</v>
      </c>
      <c r="DA48" s="619">
        <f>VLOOKUP(HI48,'Shaft Weight'!$A$6:$CD$102,HJ48,0)</f>
        <v>0.85</v>
      </c>
      <c r="DB48" s="619">
        <f>HLOOKUP(CQ48,Spec_Sheet!$F$3:$ED$19,6,FALSE)</f>
        <v>32.204999999999998</v>
      </c>
      <c r="DC48" s="439">
        <f t="shared" si="182"/>
        <v>1.4091000000000002</v>
      </c>
      <c r="DD48" s="440">
        <f t="shared" si="183"/>
        <v>1.0791000000000002</v>
      </c>
      <c r="DE48" s="439">
        <f t="shared" si="184"/>
        <v>-0.7491000000000001</v>
      </c>
      <c r="DF48" s="439">
        <f t="shared" si="185"/>
        <v>0</v>
      </c>
      <c r="DG48" s="439">
        <f t="shared" si="186"/>
        <v>0</v>
      </c>
      <c r="DH48" s="439">
        <f t="shared" si="187"/>
        <v>0</v>
      </c>
      <c r="DI48" s="439">
        <f t="shared" si="188"/>
        <v>0</v>
      </c>
      <c r="DJ48" s="439">
        <f t="shared" si="189"/>
        <v>0</v>
      </c>
      <c r="DK48" s="439">
        <f t="shared" si="190"/>
        <v>0</v>
      </c>
      <c r="DL48" s="439">
        <f t="shared" si="191"/>
        <v>0</v>
      </c>
      <c r="DM48" s="439">
        <f t="shared" si="192"/>
        <v>0</v>
      </c>
      <c r="DN48" s="439">
        <f t="shared" si="193"/>
        <v>0</v>
      </c>
      <c r="DO48" s="439">
        <f t="shared" si="194"/>
        <v>0</v>
      </c>
      <c r="DP48" s="439">
        <f t="shared" si="195"/>
        <v>0</v>
      </c>
      <c r="DQ48" s="442">
        <f t="shared" si="196"/>
        <v>0</v>
      </c>
      <c r="DR48" s="442">
        <f t="shared" si="197"/>
        <v>0</v>
      </c>
      <c r="DS48" s="439">
        <f t="shared" si="198"/>
        <v>0</v>
      </c>
      <c r="DT48" s="439">
        <f t="shared" si="199"/>
        <v>0</v>
      </c>
      <c r="DU48" s="661">
        <f t="shared" si="200"/>
        <v>0</v>
      </c>
      <c r="DV48" s="661">
        <f t="shared" si="201"/>
        <v>0</v>
      </c>
      <c r="DW48" s="439">
        <f t="shared" si="202"/>
        <v>0</v>
      </c>
      <c r="DX48" s="439">
        <f t="shared" si="203"/>
        <v>0</v>
      </c>
      <c r="DY48" s="439">
        <f t="shared" si="204"/>
        <v>0</v>
      </c>
      <c r="DZ48" s="439">
        <f t="shared" si="205"/>
        <v>0</v>
      </c>
      <c r="EA48" s="631" t="s">
        <v>92</v>
      </c>
      <c r="EB48" s="631">
        <f t="shared" si="151"/>
        <v>0.14351356811857052</v>
      </c>
      <c r="ED48" s="439">
        <f t="shared" si="206"/>
        <v>2.1264600000000002</v>
      </c>
      <c r="EE48" s="440">
        <f t="shared" si="207"/>
        <v>1.6284600000000002</v>
      </c>
      <c r="EF48" s="439">
        <f t="shared" si="208"/>
        <v>-1.1304600000000002</v>
      </c>
      <c r="EG48" s="441">
        <f t="shared" si="209"/>
        <v>0</v>
      </c>
      <c r="EH48" s="439">
        <f t="shared" si="210"/>
        <v>0</v>
      </c>
      <c r="EI48" s="439">
        <f t="shared" si="211"/>
        <v>0</v>
      </c>
      <c r="EJ48" s="439">
        <f t="shared" si="212"/>
        <v>0</v>
      </c>
      <c r="EK48" s="439">
        <f t="shared" si="213"/>
        <v>0</v>
      </c>
      <c r="EL48" s="439">
        <f t="shared" si="214"/>
        <v>0</v>
      </c>
      <c r="EM48" s="439">
        <f t="shared" si="215"/>
        <v>0</v>
      </c>
      <c r="EN48" s="439">
        <f t="shared" si="216"/>
        <v>0</v>
      </c>
      <c r="EO48" s="439">
        <f t="shared" si="217"/>
        <v>0</v>
      </c>
      <c r="EP48" s="439">
        <f t="shared" si="218"/>
        <v>0</v>
      </c>
      <c r="EQ48" s="439">
        <f t="shared" si="219"/>
        <v>0</v>
      </c>
      <c r="ER48" s="442">
        <f t="shared" si="220"/>
        <v>0</v>
      </c>
      <c r="ES48" s="442">
        <f t="shared" si="221"/>
        <v>0</v>
      </c>
      <c r="ET48" s="439">
        <f t="shared" si="222"/>
        <v>0</v>
      </c>
      <c r="EU48" s="439">
        <f t="shared" si="223"/>
        <v>0</v>
      </c>
      <c r="EV48" s="661">
        <f t="shared" si="224"/>
        <v>0</v>
      </c>
      <c r="EW48" s="661">
        <f t="shared" si="225"/>
        <v>0</v>
      </c>
      <c r="EX48" s="439">
        <f t="shared" si="226"/>
        <v>0</v>
      </c>
      <c r="EY48" s="439">
        <f t="shared" si="227"/>
        <v>0</v>
      </c>
      <c r="EZ48" s="439">
        <f t="shared" si="228"/>
        <v>0</v>
      </c>
      <c r="FA48" s="439">
        <f t="shared" si="229"/>
        <v>0</v>
      </c>
      <c r="FB48" s="631" t="s">
        <v>92</v>
      </c>
      <c r="FC48" s="631">
        <f t="shared" si="152"/>
        <v>0.21657502097893369</v>
      </c>
      <c r="FE48" s="439">
        <f t="shared" si="230"/>
        <v>1.3194300000000001</v>
      </c>
      <c r="FF48" s="440">
        <f t="shared" si="231"/>
        <v>1.0104300000000002</v>
      </c>
      <c r="FG48" s="439">
        <f t="shared" si="232"/>
        <v>-0.70143000000000022</v>
      </c>
      <c r="FH48" s="441">
        <f t="shared" si="233"/>
        <v>0</v>
      </c>
      <c r="FI48" s="439">
        <f t="shared" si="234"/>
        <v>0</v>
      </c>
      <c r="FJ48" s="439">
        <f t="shared" si="235"/>
        <v>0</v>
      </c>
      <c r="FK48" s="439">
        <f t="shared" si="236"/>
        <v>0</v>
      </c>
      <c r="FL48" s="439">
        <f t="shared" si="237"/>
        <v>0</v>
      </c>
      <c r="FM48" s="439">
        <f t="shared" si="238"/>
        <v>0</v>
      </c>
      <c r="FN48" s="439">
        <f t="shared" si="239"/>
        <v>0</v>
      </c>
      <c r="FO48" s="439">
        <f t="shared" si="240"/>
        <v>0</v>
      </c>
      <c r="FP48" s="439">
        <f t="shared" si="241"/>
        <v>0</v>
      </c>
      <c r="FQ48" s="439">
        <f t="shared" si="242"/>
        <v>0</v>
      </c>
      <c r="FR48" s="439">
        <f t="shared" si="243"/>
        <v>0</v>
      </c>
      <c r="FS48" s="442">
        <f t="shared" si="244"/>
        <v>0</v>
      </c>
      <c r="FT48" s="442">
        <f t="shared" si="245"/>
        <v>0</v>
      </c>
      <c r="FU48" s="439">
        <f t="shared" si="246"/>
        <v>0</v>
      </c>
      <c r="FV48" s="439">
        <f t="shared" si="247"/>
        <v>0</v>
      </c>
      <c r="FW48" s="661">
        <f t="shared" si="248"/>
        <v>0</v>
      </c>
      <c r="FX48" s="661">
        <f t="shared" si="249"/>
        <v>0</v>
      </c>
      <c r="FY48" s="439">
        <f t="shared" si="250"/>
        <v>0</v>
      </c>
      <c r="FZ48" s="439">
        <f t="shared" si="251"/>
        <v>0</v>
      </c>
      <c r="GA48" s="439">
        <f t="shared" si="252"/>
        <v>0</v>
      </c>
      <c r="GB48" s="439">
        <f t="shared" si="253"/>
        <v>0</v>
      </c>
      <c r="GC48" s="631" t="s">
        <v>92</v>
      </c>
      <c r="GD48" s="631">
        <f t="shared" si="153"/>
        <v>0.13438088651102512</v>
      </c>
      <c r="GF48" s="439">
        <f t="shared" si="254"/>
        <v>1.6012500000000003</v>
      </c>
      <c r="GG48" s="440">
        <f t="shared" si="255"/>
        <v>1.2262500000000003</v>
      </c>
      <c r="GH48" s="439">
        <f t="shared" si="256"/>
        <v>-0.85125000000000028</v>
      </c>
      <c r="GI48" s="439">
        <f t="shared" si="257"/>
        <v>0</v>
      </c>
      <c r="GJ48" s="439">
        <f t="shared" si="258"/>
        <v>0</v>
      </c>
      <c r="GK48" s="439">
        <f t="shared" si="259"/>
        <v>0</v>
      </c>
      <c r="GL48" s="439">
        <f t="shared" si="260"/>
        <v>0</v>
      </c>
      <c r="GM48" s="439">
        <f t="shared" si="261"/>
        <v>0</v>
      </c>
      <c r="GN48" s="439">
        <f t="shared" si="262"/>
        <v>0</v>
      </c>
      <c r="GO48" s="439">
        <f t="shared" si="263"/>
        <v>0</v>
      </c>
      <c r="GP48" s="439">
        <f t="shared" si="264"/>
        <v>0</v>
      </c>
      <c r="GQ48" s="439">
        <f t="shared" si="265"/>
        <v>0</v>
      </c>
      <c r="GR48" s="439">
        <f t="shared" si="266"/>
        <v>0</v>
      </c>
      <c r="GS48" s="439">
        <f t="shared" si="267"/>
        <v>0</v>
      </c>
      <c r="GT48" s="442">
        <f t="shared" si="268"/>
        <v>0</v>
      </c>
      <c r="GU48" s="442">
        <f t="shared" si="269"/>
        <v>0</v>
      </c>
      <c r="GV48" s="439">
        <f t="shared" si="270"/>
        <v>0</v>
      </c>
      <c r="GW48" s="439">
        <f t="shared" si="271"/>
        <v>0</v>
      </c>
      <c r="GX48" s="661">
        <f t="shared" si="272"/>
        <v>0</v>
      </c>
      <c r="GY48" s="661">
        <f t="shared" si="273"/>
        <v>0</v>
      </c>
      <c r="GZ48" s="439">
        <f t="shared" si="274"/>
        <v>0</v>
      </c>
      <c r="HA48" s="439">
        <f t="shared" si="275"/>
        <v>0</v>
      </c>
      <c r="HB48" s="439">
        <f t="shared" si="276"/>
        <v>0</v>
      </c>
      <c r="HC48" s="439">
        <f t="shared" si="277"/>
        <v>0</v>
      </c>
      <c r="HD48" s="631" t="s">
        <v>92</v>
      </c>
      <c r="HE48" s="631">
        <f t="shared" si="306"/>
        <v>0.16308360013473924</v>
      </c>
      <c r="HG48" s="618">
        <f>HLOOKUP(CQ48,Spec_Sheet!$F$3:$DV$19,11,FALSE)+HLOOKUP(CQ48,Spec_Sheet!$F$3:$DV$21,19,FALSE)</f>
        <v>180</v>
      </c>
      <c r="HH48" s="618">
        <f t="shared" si="154"/>
        <v>100</v>
      </c>
      <c r="HI48" s="634">
        <f t="shared" si="155"/>
        <v>200</v>
      </c>
      <c r="HJ48" s="634">
        <f>HLOOKUP(IF(LEN(CQ48)&gt;6,LEFT(CQ48,5),CQ48),'LSM List Pricing'!$B$1:$BW$2,2,0)</f>
        <v>47</v>
      </c>
      <c r="HK48" s="634">
        <f>HLOOKUP(HJ48,'LSM List Pricing'!$B$2:$BW$3,2)</f>
        <v>720</v>
      </c>
      <c r="HL48" s="634">
        <f>VLOOKUP(HH48,'LSM List Pricing'!$A$7:$BW$87,HJ48,0)</f>
        <v>310</v>
      </c>
      <c r="HM48" s="627">
        <f>VLOOKUP(HI48,'LSM List Pricing'!$A$7:$BW$87,HJ48,1)</f>
        <v>400</v>
      </c>
      <c r="HN48" s="628">
        <f t="shared" ref="HN48:HN111" si="307">(HK48+HL48)/$HN$3</f>
        <v>2.641025641025641</v>
      </c>
      <c r="HO48" s="628">
        <f t="shared" ref="HO48:HO111" si="308">((HK48+HL48)*2)/$HN$3</f>
        <v>5.2820512820512819</v>
      </c>
      <c r="HP48" s="628">
        <f t="shared" ref="HP48:HP111" si="309">((HK48*2)+HM48)/$HN$3</f>
        <v>4.7179487179487181</v>
      </c>
      <c r="HR48" s="618">
        <v>2.2499999999999999E-2</v>
      </c>
      <c r="HS48" s="618">
        <f t="shared" si="109"/>
        <v>151.07142857142856</v>
      </c>
      <c r="HT48" s="618">
        <f t="shared" si="110"/>
        <v>1</v>
      </c>
      <c r="HU48" s="618">
        <f t="shared" si="170"/>
        <v>0.57279720260487577</v>
      </c>
      <c r="HW48" s="618">
        <f t="shared" si="111"/>
        <v>35.186627972301075</v>
      </c>
      <c r="HX48" s="618">
        <f t="shared" si="171"/>
        <v>0.5661826086181273</v>
      </c>
      <c r="HY48" s="618">
        <f t="shared" si="172"/>
        <v>2.2499999999999999E-2</v>
      </c>
      <c r="IB48" s="618">
        <f t="shared" si="113"/>
        <v>25.000350341399081</v>
      </c>
      <c r="IC48" s="618">
        <f t="shared" si="114"/>
        <v>1E-3</v>
      </c>
      <c r="IE48" s="618">
        <f t="shared" si="115"/>
        <v>0</v>
      </c>
      <c r="IF48" s="618">
        <f t="shared" si="116"/>
        <v>40.704999999999998</v>
      </c>
      <c r="IH48" s="618">
        <f t="shared" si="117"/>
        <v>0</v>
      </c>
      <c r="II48" s="618">
        <f t="shared" si="118"/>
        <v>40.704999999999998</v>
      </c>
      <c r="IK48" s="618">
        <f t="shared" si="119"/>
        <v>0</v>
      </c>
      <c r="IL48" s="618">
        <f t="shared" si="120"/>
        <v>40.704999999999998</v>
      </c>
      <c r="IN48" s="618">
        <f t="shared" si="121"/>
        <v>0</v>
      </c>
      <c r="IO48" s="618">
        <f t="shared" si="122"/>
        <v>40.704999999999998</v>
      </c>
      <c r="IQ48" s="618">
        <f t="shared" si="123"/>
        <v>0</v>
      </c>
      <c r="IR48" s="618">
        <f t="shared" si="124"/>
        <v>40.704999999999998</v>
      </c>
      <c r="IT48" s="660" t="str">
        <f t="shared" si="278"/>
        <v>S200Q 2S</v>
      </c>
      <c r="IU48" s="628"/>
      <c r="IV48" s="439">
        <f t="shared" si="279"/>
        <v>2.3057999999999996</v>
      </c>
      <c r="IW48" s="440">
        <f t="shared" si="280"/>
        <v>1.7657999999999998</v>
      </c>
      <c r="IX48" s="439">
        <f t="shared" si="281"/>
        <v>-1.2258</v>
      </c>
      <c r="IY48" s="439">
        <f t="shared" si="282"/>
        <v>0</v>
      </c>
      <c r="IZ48" s="439">
        <f t="shared" si="283"/>
        <v>0</v>
      </c>
      <c r="JA48" s="439">
        <f t="shared" si="284"/>
        <v>0</v>
      </c>
      <c r="JB48" s="439">
        <f t="shared" si="285"/>
        <v>0</v>
      </c>
      <c r="JC48" s="439">
        <f t="shared" si="286"/>
        <v>0</v>
      </c>
      <c r="JD48" s="439">
        <f t="shared" si="287"/>
        <v>0</v>
      </c>
      <c r="JE48" s="439">
        <f t="shared" si="288"/>
        <v>0</v>
      </c>
      <c r="JF48" s="439">
        <f t="shared" si="289"/>
        <v>0</v>
      </c>
      <c r="JG48" s="439">
        <f t="shared" si="290"/>
        <v>0</v>
      </c>
      <c r="JH48" s="439">
        <f t="shared" si="291"/>
        <v>0</v>
      </c>
      <c r="JI48" s="439">
        <f t="shared" si="292"/>
        <v>0</v>
      </c>
      <c r="JJ48" s="442">
        <f t="shared" si="293"/>
        <v>0</v>
      </c>
      <c r="JK48" s="442">
        <f t="shared" si="294"/>
        <v>0</v>
      </c>
      <c r="JL48" s="439">
        <f t="shared" si="295"/>
        <v>0</v>
      </c>
      <c r="JM48" s="439">
        <f t="shared" si="296"/>
        <v>0</v>
      </c>
      <c r="JN48" s="661">
        <f t="shared" si="297"/>
        <v>0</v>
      </c>
      <c r="JO48" s="661">
        <f t="shared" si="298"/>
        <v>0</v>
      </c>
      <c r="JP48" s="439">
        <f t="shared" si="299"/>
        <v>0</v>
      </c>
      <c r="JQ48" s="439">
        <f t="shared" si="300"/>
        <v>0</v>
      </c>
      <c r="JR48" s="439">
        <f t="shared" si="301"/>
        <v>0</v>
      </c>
      <c r="JS48" s="439">
        <f t="shared" si="302"/>
        <v>0</v>
      </c>
      <c r="JT48" s="631" t="s">
        <v>92</v>
      </c>
      <c r="JU48" s="631">
        <f t="shared" si="158"/>
        <v>0.23484038419402439</v>
      </c>
      <c r="JW48" s="522"/>
      <c r="JX48" s="522"/>
      <c r="JY48" s="522"/>
      <c r="JZ48" s="522"/>
      <c r="KA48" s="522"/>
      <c r="KB48" s="522"/>
      <c r="KC48" s="522"/>
      <c r="KD48" s="522"/>
      <c r="KE48" s="522"/>
      <c r="KF48" s="522"/>
      <c r="KG48" s="522"/>
      <c r="KH48" s="522"/>
      <c r="KI48" s="522"/>
      <c r="KJ48" s="522"/>
      <c r="KK48" s="522"/>
      <c r="KL48" s="522"/>
    </row>
    <row r="49" spans="1:298" ht="9.9499999999999993" customHeight="1">
      <c r="A49" s="155"/>
      <c r="B49" s="95"/>
      <c r="C49" s="95"/>
      <c r="D49" s="95"/>
      <c r="E49" s="95"/>
      <c r="F49" s="95"/>
      <c r="G49" s="95"/>
      <c r="H49" s="95"/>
      <c r="I49" s="95"/>
      <c r="J49" s="95"/>
      <c r="K49" s="95"/>
      <c r="L49" s="95"/>
      <c r="M49" s="95"/>
      <c r="N49" s="95"/>
      <c r="O49" s="95"/>
      <c r="P49" s="95"/>
      <c r="Q49" s="95"/>
      <c r="R49" s="95"/>
      <c r="S49" s="95"/>
      <c r="T49" s="95"/>
      <c r="U49" s="95"/>
      <c r="V49" s="95"/>
      <c r="W49" s="95"/>
      <c r="X49" s="95"/>
      <c r="Y49" s="95"/>
      <c r="Z49" s="95"/>
      <c r="AA49" s="95"/>
      <c r="AB49" s="95" t="s">
        <v>437</v>
      </c>
      <c r="AC49" s="95">
        <f>IF(AE34&gt;100,AF34,100)</f>
        <v>100</v>
      </c>
      <c r="AD49" s="95"/>
      <c r="AE49" s="95"/>
      <c r="AF49" s="95"/>
      <c r="AG49" s="95"/>
      <c r="AH49" s="95"/>
      <c r="AI49" s="95"/>
      <c r="AJ49" s="95" t="str">
        <f>IF(I16=Custom!J13,Spec_Sheet!CV3,IF(I16=Custom!H17,Spec_Sheet!AO3,I16))</f>
        <v>S080D</v>
      </c>
      <c r="AK49" s="95"/>
      <c r="AL49" s="95"/>
      <c r="AM49" s="95"/>
      <c r="AN49" s="95"/>
      <c r="AO49" s="95"/>
      <c r="AP49" s="95"/>
      <c r="AQ49" s="95"/>
      <c r="AR49" s="95"/>
      <c r="AS49" s="95"/>
      <c r="AT49" s="95"/>
      <c r="AU49" s="95"/>
      <c r="AV49" s="95">
        <f>IF($AY$30,E88,0)*$D$82</f>
        <v>12</v>
      </c>
      <c r="AW49" s="95">
        <f>IF($AY$32,'Data Sheet'!AA70,0)</f>
        <v>0.62145000000000006</v>
      </c>
      <c r="AX49" s="95">
        <f t="shared" si="305"/>
        <v>0.66500000000000004</v>
      </c>
      <c r="AY49" s="95"/>
      <c r="AZ49" s="668"/>
      <c r="BA49" s="671"/>
      <c r="BB49" s="708" t="str">
        <f t="shared" ca="1" si="168"/>
        <v>S200Q</v>
      </c>
      <c r="BC49" s="709"/>
      <c r="BD49" s="710"/>
      <c r="BE49" s="342">
        <f t="shared" ca="1" si="160"/>
        <v>1.4263257779863977E-3</v>
      </c>
      <c r="BF49" s="78">
        <f t="shared" ca="1" si="161"/>
        <v>9.5481312410659609E-4</v>
      </c>
      <c r="BG49" s="490">
        <f t="shared" ca="1" si="162"/>
        <v>1.2505694362527017E-3</v>
      </c>
      <c r="BH49" s="78">
        <f t="shared" ca="1" si="163"/>
        <v>8.1206266814448712E-4</v>
      </c>
      <c r="BI49" s="617">
        <f t="shared" ca="1" si="164"/>
        <v>4.6046157605449307E-4</v>
      </c>
      <c r="BJ49" s="528">
        <f t="shared" ca="1" si="165"/>
        <v>2.641025641025641</v>
      </c>
      <c r="BK49" s="529">
        <f t="shared" ca="1" si="166"/>
        <v>5.2820512820512819</v>
      </c>
      <c r="BL49" s="530">
        <f t="shared" ca="1" si="167"/>
        <v>4.7179487179487181</v>
      </c>
      <c r="BM49" s="153"/>
      <c r="BN49" s="162"/>
      <c r="BO49" s="162"/>
      <c r="BP49" s="162"/>
      <c r="BQ49" s="162"/>
      <c r="BR49" s="162"/>
      <c r="BS49" s="162"/>
      <c r="BT49" s="162"/>
      <c r="BU49" s="162"/>
      <c r="BV49" s="162"/>
      <c r="BW49" s="162"/>
      <c r="BX49" s="162"/>
      <c r="BY49" s="162"/>
      <c r="BZ49" s="162"/>
      <c r="CA49" s="162"/>
      <c r="CB49" s="162"/>
      <c r="CC49" s="162"/>
      <c r="CD49" s="162"/>
      <c r="CE49" s="162"/>
      <c r="CF49" s="162"/>
      <c r="CG49" s="162"/>
      <c r="CH49" s="147"/>
      <c r="CI49" s="100"/>
      <c r="CJ49" s="152"/>
      <c r="CK49" s="152"/>
      <c r="CL49" s="153"/>
      <c r="CM49" s="153"/>
      <c r="CN49" s="153"/>
      <c r="CO49" s="689" t="str">
        <f ca="1"/>
        <v>L250TS</v>
      </c>
      <c r="CP49" s="632" t="str">
        <f>IF(OR(CQ49=0,CR49="",CS49&gt;120),"",IF(HLOOKUP(CQ49,Spec_Sheet!$F$3:$ED$19,17,FALSE)&lt;$AC$46,"",CQ49))</f>
        <v>S250D</v>
      </c>
      <c r="CQ49" s="660" t="str">
        <f>IF(Spec_Sheet!A48="","",Spec_Sheet!A48)</f>
        <v>S250D</v>
      </c>
      <c r="CR49" s="660">
        <f>IF(CQ49="",0,HLOOKUP(CQ49,Spec_Sheet!$F$3:$ED$19,2,FALSE))</f>
        <v>40</v>
      </c>
      <c r="CS49" s="660">
        <f t="shared" si="169"/>
        <v>1.0638504253163005E-3</v>
      </c>
      <c r="CT49" s="621">
        <f t="shared" ref="CT49:CT107" si="310">((EB49/DB49)/(CR49/DB49))^2*100</f>
        <v>1.5319446124554732E-3</v>
      </c>
      <c r="CU49" s="621">
        <f t="shared" si="181"/>
        <v>1.0638504253163005E-3</v>
      </c>
      <c r="CV49" s="621">
        <f t="shared" ref="CV49:CV107" si="311">((GD49/DB49)/(CR49/DB49))^2*100</f>
        <v>1.7979072187845485E-3</v>
      </c>
      <c r="CW49" s="621">
        <f t="shared" ref="CW49:CW107" si="312">((FC49/DB49)/((CR49*2)/DB49))^2*100</f>
        <v>1.2872590146327239E-3</v>
      </c>
      <c r="CX49" s="621">
        <f t="shared" si="157"/>
        <v>5.8256449290320614E-4</v>
      </c>
      <c r="CY49" s="619">
        <f>HLOOKUP(CQ49,Spec_Sheet!$F$3:$ED$19,13,FALSE)</f>
        <v>0.8</v>
      </c>
      <c r="CZ49" s="619">
        <f>VLOOKUP(HH49,'Shaft Weight'!$A$6:$CD$102,HJ49,TRUE)</f>
        <v>0.9</v>
      </c>
      <c r="DA49" s="619">
        <f>VLOOKUP(HI49,'Shaft Weight'!$A$6:$CD$102,HJ49,0)</f>
        <v>1.08</v>
      </c>
      <c r="DB49" s="619">
        <f>HLOOKUP(CQ49,Spec_Sheet!$F$3:$ED$19,6,FALSE)</f>
        <v>31.25</v>
      </c>
      <c r="DC49" s="439">
        <f t="shared" si="182"/>
        <v>1.5372000000000003</v>
      </c>
      <c r="DD49" s="440">
        <f t="shared" si="183"/>
        <v>1.1772000000000002</v>
      </c>
      <c r="DE49" s="439">
        <f t="shared" si="184"/>
        <v>-0.81720000000000015</v>
      </c>
      <c r="DF49" s="439">
        <f t="shared" si="185"/>
        <v>0</v>
      </c>
      <c r="DG49" s="439">
        <f t="shared" si="186"/>
        <v>0</v>
      </c>
      <c r="DH49" s="439">
        <f t="shared" si="187"/>
        <v>0</v>
      </c>
      <c r="DI49" s="439">
        <f t="shared" si="188"/>
        <v>0</v>
      </c>
      <c r="DJ49" s="439">
        <f t="shared" si="189"/>
        <v>0</v>
      </c>
      <c r="DK49" s="439">
        <f t="shared" si="190"/>
        <v>0</v>
      </c>
      <c r="DL49" s="439">
        <f t="shared" si="191"/>
        <v>0</v>
      </c>
      <c r="DM49" s="439">
        <f t="shared" si="192"/>
        <v>0</v>
      </c>
      <c r="DN49" s="439">
        <f t="shared" si="193"/>
        <v>0</v>
      </c>
      <c r="DO49" s="439">
        <f t="shared" si="194"/>
        <v>0</v>
      </c>
      <c r="DP49" s="439">
        <f t="shared" si="195"/>
        <v>0</v>
      </c>
      <c r="DQ49" s="442">
        <f t="shared" si="196"/>
        <v>0</v>
      </c>
      <c r="DR49" s="442">
        <f t="shared" si="197"/>
        <v>0</v>
      </c>
      <c r="DS49" s="439">
        <f t="shared" si="198"/>
        <v>0</v>
      </c>
      <c r="DT49" s="439">
        <f t="shared" si="199"/>
        <v>0</v>
      </c>
      <c r="DU49" s="661">
        <f t="shared" si="200"/>
        <v>0</v>
      </c>
      <c r="DV49" s="661">
        <f t="shared" si="201"/>
        <v>0</v>
      </c>
      <c r="DW49" s="439">
        <f t="shared" si="202"/>
        <v>0</v>
      </c>
      <c r="DX49" s="439">
        <f t="shared" si="203"/>
        <v>0</v>
      </c>
      <c r="DY49" s="439">
        <f t="shared" si="204"/>
        <v>0</v>
      </c>
      <c r="DZ49" s="439">
        <f t="shared" si="205"/>
        <v>0</v>
      </c>
      <c r="EA49" s="631" t="s">
        <v>92</v>
      </c>
      <c r="EB49" s="631">
        <f t="shared" si="151"/>
        <v>0.15656025612934968</v>
      </c>
      <c r="ED49" s="439">
        <f t="shared" si="206"/>
        <v>2.8182000000000005</v>
      </c>
      <c r="EE49" s="440">
        <f t="shared" si="207"/>
        <v>2.1582000000000003</v>
      </c>
      <c r="EF49" s="439">
        <f t="shared" si="208"/>
        <v>-1.4982000000000002</v>
      </c>
      <c r="EG49" s="441">
        <f t="shared" si="209"/>
        <v>0</v>
      </c>
      <c r="EH49" s="439">
        <f t="shared" si="210"/>
        <v>0</v>
      </c>
      <c r="EI49" s="439">
        <f t="shared" si="211"/>
        <v>0</v>
      </c>
      <c r="EJ49" s="439">
        <f t="shared" si="212"/>
        <v>0</v>
      </c>
      <c r="EK49" s="439">
        <f t="shared" si="213"/>
        <v>0</v>
      </c>
      <c r="EL49" s="439">
        <f t="shared" si="214"/>
        <v>0</v>
      </c>
      <c r="EM49" s="439">
        <f t="shared" si="215"/>
        <v>0</v>
      </c>
      <c r="EN49" s="439">
        <f t="shared" si="216"/>
        <v>0</v>
      </c>
      <c r="EO49" s="439">
        <f t="shared" si="217"/>
        <v>0</v>
      </c>
      <c r="EP49" s="439">
        <f t="shared" si="218"/>
        <v>0</v>
      </c>
      <c r="EQ49" s="439">
        <f t="shared" si="219"/>
        <v>0</v>
      </c>
      <c r="ER49" s="442">
        <f t="shared" si="220"/>
        <v>0</v>
      </c>
      <c r="ES49" s="442">
        <f t="shared" si="221"/>
        <v>0</v>
      </c>
      <c r="ET49" s="439">
        <f t="shared" si="222"/>
        <v>0</v>
      </c>
      <c r="EU49" s="439">
        <f t="shared" si="223"/>
        <v>0</v>
      </c>
      <c r="EV49" s="661">
        <f t="shared" si="224"/>
        <v>0</v>
      </c>
      <c r="EW49" s="661">
        <f t="shared" si="225"/>
        <v>0</v>
      </c>
      <c r="EX49" s="439">
        <f t="shared" si="226"/>
        <v>0</v>
      </c>
      <c r="EY49" s="439">
        <f t="shared" si="227"/>
        <v>0</v>
      </c>
      <c r="EZ49" s="439">
        <f t="shared" si="228"/>
        <v>0</v>
      </c>
      <c r="FA49" s="439">
        <f t="shared" si="229"/>
        <v>0</v>
      </c>
      <c r="FB49" s="631" t="s">
        <v>92</v>
      </c>
      <c r="FC49" s="631">
        <f t="shared" si="152"/>
        <v>0.28702713623714105</v>
      </c>
      <c r="FE49" s="439">
        <f t="shared" si="230"/>
        <v>1.6653000000000002</v>
      </c>
      <c r="FF49" s="440">
        <f t="shared" si="231"/>
        <v>1.2753000000000003</v>
      </c>
      <c r="FG49" s="439">
        <f t="shared" si="232"/>
        <v>-0.88530000000000031</v>
      </c>
      <c r="FH49" s="441">
        <f t="shared" si="233"/>
        <v>0</v>
      </c>
      <c r="FI49" s="439">
        <f t="shared" si="234"/>
        <v>0</v>
      </c>
      <c r="FJ49" s="439">
        <f t="shared" si="235"/>
        <v>0</v>
      </c>
      <c r="FK49" s="439">
        <f t="shared" si="236"/>
        <v>0</v>
      </c>
      <c r="FL49" s="439">
        <f t="shared" si="237"/>
        <v>0</v>
      </c>
      <c r="FM49" s="439">
        <f t="shared" si="238"/>
        <v>0</v>
      </c>
      <c r="FN49" s="439">
        <f t="shared" si="239"/>
        <v>0</v>
      </c>
      <c r="FO49" s="439">
        <f t="shared" si="240"/>
        <v>0</v>
      </c>
      <c r="FP49" s="439">
        <f t="shared" si="241"/>
        <v>0</v>
      </c>
      <c r="FQ49" s="439">
        <f t="shared" si="242"/>
        <v>0</v>
      </c>
      <c r="FR49" s="439">
        <f t="shared" si="243"/>
        <v>0</v>
      </c>
      <c r="FS49" s="442">
        <f t="shared" si="244"/>
        <v>0</v>
      </c>
      <c r="FT49" s="442">
        <f t="shared" si="245"/>
        <v>0</v>
      </c>
      <c r="FU49" s="439">
        <f t="shared" si="246"/>
        <v>0</v>
      </c>
      <c r="FV49" s="439">
        <f t="shared" si="247"/>
        <v>0</v>
      </c>
      <c r="FW49" s="661">
        <f t="shared" si="248"/>
        <v>0</v>
      </c>
      <c r="FX49" s="661">
        <f t="shared" si="249"/>
        <v>0</v>
      </c>
      <c r="FY49" s="439">
        <f t="shared" si="250"/>
        <v>0</v>
      </c>
      <c r="FZ49" s="439">
        <f t="shared" si="251"/>
        <v>0</v>
      </c>
      <c r="GA49" s="439">
        <f t="shared" si="252"/>
        <v>0</v>
      </c>
      <c r="GB49" s="439">
        <f t="shared" si="253"/>
        <v>0</v>
      </c>
      <c r="GC49" s="631" t="s">
        <v>92</v>
      </c>
      <c r="GD49" s="631">
        <f t="shared" si="153"/>
        <v>0.16960694414012881</v>
      </c>
      <c r="GF49" s="439">
        <f t="shared" si="254"/>
        <v>1.89588</v>
      </c>
      <c r="GG49" s="440">
        <f t="shared" si="255"/>
        <v>1.4518800000000001</v>
      </c>
      <c r="GH49" s="439">
        <f t="shared" si="256"/>
        <v>-1.0078800000000001</v>
      </c>
      <c r="GI49" s="439">
        <f t="shared" si="257"/>
        <v>0</v>
      </c>
      <c r="GJ49" s="439">
        <f t="shared" si="258"/>
        <v>0</v>
      </c>
      <c r="GK49" s="439">
        <f t="shared" si="259"/>
        <v>0</v>
      </c>
      <c r="GL49" s="439">
        <f t="shared" si="260"/>
        <v>0</v>
      </c>
      <c r="GM49" s="439">
        <f t="shared" si="261"/>
        <v>0</v>
      </c>
      <c r="GN49" s="439">
        <f t="shared" si="262"/>
        <v>0</v>
      </c>
      <c r="GO49" s="439">
        <f t="shared" si="263"/>
        <v>0</v>
      </c>
      <c r="GP49" s="439">
        <f t="shared" si="264"/>
        <v>0</v>
      </c>
      <c r="GQ49" s="439">
        <f t="shared" si="265"/>
        <v>0</v>
      </c>
      <c r="GR49" s="439">
        <f t="shared" si="266"/>
        <v>0</v>
      </c>
      <c r="GS49" s="439">
        <f t="shared" si="267"/>
        <v>0</v>
      </c>
      <c r="GT49" s="442">
        <f t="shared" si="268"/>
        <v>0</v>
      </c>
      <c r="GU49" s="442">
        <f t="shared" si="269"/>
        <v>0</v>
      </c>
      <c r="GV49" s="439">
        <f t="shared" si="270"/>
        <v>0</v>
      </c>
      <c r="GW49" s="439">
        <f t="shared" si="271"/>
        <v>0</v>
      </c>
      <c r="GX49" s="661">
        <f t="shared" si="272"/>
        <v>0</v>
      </c>
      <c r="GY49" s="661">
        <f t="shared" si="273"/>
        <v>0</v>
      </c>
      <c r="GZ49" s="439">
        <f t="shared" si="274"/>
        <v>0</v>
      </c>
      <c r="HA49" s="439">
        <f t="shared" si="275"/>
        <v>0</v>
      </c>
      <c r="HB49" s="439">
        <f t="shared" si="276"/>
        <v>0</v>
      </c>
      <c r="HC49" s="439">
        <f t="shared" si="277"/>
        <v>0</v>
      </c>
      <c r="HD49" s="631" t="s">
        <v>92</v>
      </c>
      <c r="HE49" s="631">
        <f t="shared" si="306"/>
        <v>0.19309098255953122</v>
      </c>
      <c r="HG49" s="618">
        <f>HLOOKUP(CQ49,Spec_Sheet!$F$3:$DV$19,11,FALSE)+HLOOKUP(CQ49,Spec_Sheet!$F$3:$DV$21,19,FALSE)</f>
        <v>135</v>
      </c>
      <c r="HH49" s="618">
        <f t="shared" si="154"/>
        <v>100</v>
      </c>
      <c r="HI49" s="634">
        <f t="shared" si="155"/>
        <v>150</v>
      </c>
      <c r="HJ49" s="634">
        <f>HLOOKUP(IF(LEN(CQ49)&gt;6,LEFT(CQ49,5),CQ49),'LSM List Pricing'!$B$1:$BW$2,2,0)</f>
        <v>48</v>
      </c>
      <c r="HK49" s="634">
        <f>HLOOKUP(HJ49,'LSM List Pricing'!$B$2:$BW$3,2)</f>
        <v>460</v>
      </c>
      <c r="HL49" s="634">
        <f>VLOOKUP(HH49,'LSM List Pricing'!$A$7:$BW$87,HJ49,0)</f>
        <v>470</v>
      </c>
      <c r="HM49" s="627">
        <f>VLOOKUP(HI49,'LSM List Pricing'!$A$7:$BW$87,HJ49,1)</f>
        <v>540</v>
      </c>
      <c r="HN49" s="628">
        <f t="shared" si="307"/>
        <v>2.3846153846153846</v>
      </c>
      <c r="HO49" s="628">
        <f t="shared" si="308"/>
        <v>4.7692307692307692</v>
      </c>
      <c r="HP49" s="628">
        <f t="shared" si="309"/>
        <v>3.7435897435897436</v>
      </c>
      <c r="HR49" s="618">
        <v>2.3E-2</v>
      </c>
      <c r="HS49" s="618">
        <f t="shared" si="109"/>
        <v>154.42857142857142</v>
      </c>
      <c r="HT49" s="618">
        <f t="shared" si="110"/>
        <v>1</v>
      </c>
      <c r="HU49" s="618">
        <f t="shared" si="170"/>
        <v>0.58553624657850056</v>
      </c>
      <c r="HW49" s="618">
        <f t="shared" si="111"/>
        <v>35.16853852985853</v>
      </c>
      <c r="HX49" s="618">
        <f t="shared" si="171"/>
        <v>0.57862742969646019</v>
      </c>
      <c r="HY49" s="618">
        <f t="shared" si="172"/>
        <v>2.3E-2</v>
      </c>
      <c r="IB49" s="618">
        <f t="shared" si="113"/>
        <v>25.000350341399081</v>
      </c>
      <c r="IC49" s="618">
        <f t="shared" si="114"/>
        <v>1E-3</v>
      </c>
      <c r="IE49" s="618">
        <f t="shared" si="115"/>
        <v>0</v>
      </c>
      <c r="IF49" s="618">
        <f t="shared" si="116"/>
        <v>40.704999999999998</v>
      </c>
      <c r="IH49" s="618">
        <f t="shared" si="117"/>
        <v>0</v>
      </c>
      <c r="II49" s="618">
        <f t="shared" si="118"/>
        <v>40.704999999999998</v>
      </c>
      <c r="IK49" s="618">
        <f t="shared" si="119"/>
        <v>0</v>
      </c>
      <c r="IL49" s="618">
        <f t="shared" si="120"/>
        <v>40.704999999999998</v>
      </c>
      <c r="IN49" s="618">
        <f t="shared" si="121"/>
        <v>0</v>
      </c>
      <c r="IO49" s="618">
        <f t="shared" si="122"/>
        <v>40.704999999999998</v>
      </c>
      <c r="IQ49" s="618">
        <f t="shared" si="123"/>
        <v>0</v>
      </c>
      <c r="IR49" s="618">
        <f t="shared" si="124"/>
        <v>40.704999999999998</v>
      </c>
      <c r="IT49" s="660" t="str">
        <f t="shared" si="278"/>
        <v>S250D</v>
      </c>
      <c r="IU49" s="628"/>
      <c r="IV49" s="439">
        <f t="shared" si="279"/>
        <v>2.5620000000000003</v>
      </c>
      <c r="IW49" s="440">
        <f t="shared" si="280"/>
        <v>1.9620000000000002</v>
      </c>
      <c r="IX49" s="439">
        <f t="shared" si="281"/>
        <v>-1.3620000000000001</v>
      </c>
      <c r="IY49" s="439">
        <f t="shared" si="282"/>
        <v>0</v>
      </c>
      <c r="IZ49" s="439">
        <f t="shared" si="283"/>
        <v>0</v>
      </c>
      <c r="JA49" s="439">
        <f t="shared" si="284"/>
        <v>0</v>
      </c>
      <c r="JB49" s="439">
        <f t="shared" si="285"/>
        <v>0</v>
      </c>
      <c r="JC49" s="439">
        <f t="shared" si="286"/>
        <v>0</v>
      </c>
      <c r="JD49" s="439">
        <f t="shared" si="287"/>
        <v>0</v>
      </c>
      <c r="JE49" s="439">
        <f t="shared" si="288"/>
        <v>0</v>
      </c>
      <c r="JF49" s="439">
        <f t="shared" si="289"/>
        <v>0</v>
      </c>
      <c r="JG49" s="439">
        <f t="shared" si="290"/>
        <v>0</v>
      </c>
      <c r="JH49" s="439">
        <f t="shared" si="291"/>
        <v>0</v>
      </c>
      <c r="JI49" s="439">
        <f t="shared" si="292"/>
        <v>0</v>
      </c>
      <c r="JJ49" s="442">
        <f t="shared" si="293"/>
        <v>0</v>
      </c>
      <c r="JK49" s="442">
        <f t="shared" si="294"/>
        <v>0</v>
      </c>
      <c r="JL49" s="439">
        <f t="shared" si="295"/>
        <v>0</v>
      </c>
      <c r="JM49" s="439">
        <f t="shared" si="296"/>
        <v>0</v>
      </c>
      <c r="JN49" s="661">
        <f t="shared" si="297"/>
        <v>0</v>
      </c>
      <c r="JO49" s="661">
        <f t="shared" si="298"/>
        <v>0</v>
      </c>
      <c r="JP49" s="439">
        <f t="shared" si="299"/>
        <v>0</v>
      </c>
      <c r="JQ49" s="439">
        <f t="shared" si="300"/>
        <v>0</v>
      </c>
      <c r="JR49" s="439">
        <f t="shared" si="301"/>
        <v>0</v>
      </c>
      <c r="JS49" s="439">
        <f t="shared" si="302"/>
        <v>0</v>
      </c>
      <c r="JT49" s="631" t="s">
        <v>92</v>
      </c>
      <c r="JU49" s="631">
        <f t="shared" si="158"/>
        <v>0.26093376021558273</v>
      </c>
      <c r="JW49" s="522"/>
      <c r="JX49" s="522"/>
      <c r="JY49" s="522"/>
      <c r="JZ49" s="522"/>
      <c r="KA49" s="522"/>
      <c r="KB49" s="522"/>
      <c r="KC49" s="522"/>
      <c r="KD49" s="522"/>
      <c r="KE49" s="522"/>
      <c r="KF49" s="522"/>
      <c r="KG49" s="522"/>
      <c r="KH49" s="522"/>
      <c r="KI49" s="522"/>
      <c r="KJ49" s="522"/>
      <c r="KK49" s="522"/>
      <c r="KL49" s="522"/>
    </row>
    <row r="50" spans="1:298" ht="9.9499999999999993" customHeight="1">
      <c r="A50" s="155"/>
      <c r="B50" s="95"/>
      <c r="C50" s="95"/>
      <c r="D50" s="95"/>
      <c r="E50" s="95"/>
      <c r="F50" s="95"/>
      <c r="G50" s="95"/>
      <c r="H50" s="95"/>
      <c r="I50" s="95"/>
      <c r="J50" s="95"/>
      <c r="K50" s="95"/>
      <c r="L50" s="95"/>
      <c r="M50" s="95"/>
      <c r="N50" s="95"/>
      <c r="O50" s="95"/>
      <c r="P50" s="95"/>
      <c r="Q50" s="95"/>
      <c r="R50" s="95"/>
      <c r="S50" s="95"/>
      <c r="T50" s="95"/>
      <c r="U50" s="95"/>
      <c r="V50" s="95"/>
      <c r="W50" s="95"/>
      <c r="X50" s="95"/>
      <c r="Y50" s="95"/>
      <c r="Z50" s="95"/>
      <c r="AA50" s="95"/>
      <c r="AB50" s="95" t="s">
        <v>94</v>
      </c>
      <c r="AC50" s="95">
        <f>IF(LEFT(AJ49,3)="S04",AC46,IF(LEFT(AJ49,3)="S08",AC47,IF(LEFT(AJ49,3)="S12",AC48,IF(LEFT(AJ49,3)="SLP",AC44,IF(AJ49=AB45,AC45,IF(AJ49="SCR150",AC49,IF(LEFT(AJ49,3)="SCR",AC48,AC49)))))))</f>
        <v>25</v>
      </c>
      <c r="AD50" s="95"/>
      <c r="AE50" s="95"/>
      <c r="AF50" s="95"/>
      <c r="AG50" s="95"/>
      <c r="AH50" s="95"/>
      <c r="AI50" s="95"/>
      <c r="AJ50" s="95"/>
      <c r="AK50" s="95"/>
      <c r="AL50" s="95"/>
      <c r="AM50" s="95"/>
      <c r="AN50" s="95"/>
      <c r="AO50" s="95"/>
      <c r="AP50" s="95"/>
      <c r="AQ50" s="95"/>
      <c r="AR50" s="95"/>
      <c r="AS50" s="95"/>
      <c r="AT50" s="95"/>
      <c r="AU50" s="95"/>
      <c r="AV50" s="95">
        <f>IF($AY$30,E87,0)*$D$82</f>
        <v>8.7999999999999989</v>
      </c>
      <c r="AW50" s="95">
        <f>IF($AY$32,'Data Sheet'!AA71,0)</f>
        <v>0.62145000000000006</v>
      </c>
      <c r="AX50" s="95">
        <f t="shared" si="305"/>
        <v>0.67300000000000004</v>
      </c>
      <c r="AY50" s="95">
        <f>IF(AY33,0,W31-V31+AY46)</f>
        <v>0</v>
      </c>
      <c r="AZ50" s="668"/>
      <c r="BA50" s="672"/>
      <c r="BB50" s="708" t="str">
        <f t="shared" ca="1" si="168"/>
        <v>S200Q 1S</v>
      </c>
      <c r="BC50" s="709"/>
      <c r="BD50" s="710"/>
      <c r="BE50" s="342">
        <f t="shared" ca="1" si="160"/>
        <v>1.4261831561053293E-3</v>
      </c>
      <c r="BF50" s="78">
        <f t="shared" ca="1" si="161"/>
        <v>9.5471764995480634E-4</v>
      </c>
      <c r="BG50" s="490">
        <f t="shared" ca="1" si="162"/>
        <v>1.2504443886877223E-3</v>
      </c>
      <c r="BH50" s="78">
        <f t="shared" ca="1" si="163"/>
        <v>8.1198146796773664E-4</v>
      </c>
      <c r="BI50" s="617">
        <f t="shared" ca="1" si="164"/>
        <v>4.6041553335011932E-4</v>
      </c>
      <c r="BJ50" s="528">
        <f t="shared" ca="1" si="165"/>
        <v>2.641025641025641</v>
      </c>
      <c r="BK50" s="529">
        <f t="shared" ca="1" si="166"/>
        <v>5.2820512820512819</v>
      </c>
      <c r="BL50" s="530">
        <f t="shared" ca="1" si="167"/>
        <v>4.7179487179487181</v>
      </c>
      <c r="BM50" s="153"/>
      <c r="BN50" s="153"/>
      <c r="BO50" s="153"/>
      <c r="BP50" s="153"/>
      <c r="BQ50" s="153"/>
      <c r="BR50" s="153"/>
      <c r="BS50" s="153"/>
      <c r="BT50" s="153"/>
      <c r="BU50" s="153"/>
      <c r="BV50" s="153"/>
      <c r="BW50" s="153"/>
      <c r="BX50" s="153"/>
      <c r="BY50" s="153"/>
      <c r="BZ50" s="153"/>
      <c r="CA50" s="153"/>
      <c r="CB50" s="153"/>
      <c r="CC50" s="153"/>
      <c r="CD50" s="153"/>
      <c r="CE50" s="153"/>
      <c r="CF50" s="153"/>
      <c r="CG50" s="153"/>
      <c r="CH50" s="155"/>
      <c r="CI50" s="100"/>
      <c r="CJ50" s="152"/>
      <c r="CK50" s="152"/>
      <c r="CL50" s="153"/>
      <c r="CM50" s="153"/>
      <c r="CN50" s="153"/>
      <c r="CO50" s="689" t="str">
        <f ca="1"/>
        <v>L320TS</v>
      </c>
      <c r="CP50" s="632" t="str">
        <f>IF(OR(CQ50=0,CR50="",CS50&gt;120),"",IF(HLOOKUP(CQ50,Spec_Sheet!$F$3:$ED$19,17,FALSE)&lt;$AC$46,"",CQ50))</f>
        <v>S250D 1S</v>
      </c>
      <c r="CQ50" s="660" t="str">
        <f>IF(Spec_Sheet!A49="","",Spec_Sheet!A49)</f>
        <v>S250D 1S</v>
      </c>
      <c r="CR50" s="660">
        <f>IF(CQ50="",0,HLOOKUP(CQ50,Spec_Sheet!$F$3:$ED$19,2,FALSE))</f>
        <v>40</v>
      </c>
      <c r="CS50" s="660">
        <f t="shared" si="169"/>
        <v>1.0638504253163005E-3</v>
      </c>
      <c r="CT50" s="621">
        <f t="shared" si="310"/>
        <v>1.5319446124554732E-3</v>
      </c>
      <c r="CU50" s="621">
        <f t="shared" si="181"/>
        <v>1.0638504253163005E-3</v>
      </c>
      <c r="CV50" s="621">
        <f t="shared" si="311"/>
        <v>1.7979072187845485E-3</v>
      </c>
      <c r="CW50" s="621">
        <f t="shared" si="312"/>
        <v>1.2872590146327239E-3</v>
      </c>
      <c r="CX50" s="621">
        <f t="shared" si="157"/>
        <v>5.8256449290320614E-4</v>
      </c>
      <c r="CY50" s="619">
        <f>HLOOKUP(CQ50,Spec_Sheet!$F$3:$ED$19,13,FALSE)</f>
        <v>0.8</v>
      </c>
      <c r="CZ50" s="619">
        <f>VLOOKUP(HH50,'Shaft Weight'!$A$6:$CD$102,HJ50,TRUE)</f>
        <v>0.9</v>
      </c>
      <c r="DA50" s="619">
        <f>VLOOKUP(HI50,'Shaft Weight'!$A$6:$CD$102,HJ50,0)</f>
        <v>1.08</v>
      </c>
      <c r="DB50" s="619">
        <f>HLOOKUP(CQ50,Spec_Sheet!$F$3:$ED$19,6,FALSE)</f>
        <v>15.625</v>
      </c>
      <c r="DC50" s="439">
        <f t="shared" si="182"/>
        <v>1.5372000000000003</v>
      </c>
      <c r="DD50" s="440">
        <f t="shared" si="183"/>
        <v>1.1772000000000002</v>
      </c>
      <c r="DE50" s="439">
        <f t="shared" si="184"/>
        <v>-0.81720000000000015</v>
      </c>
      <c r="DF50" s="439">
        <f t="shared" si="185"/>
        <v>0</v>
      </c>
      <c r="DG50" s="439">
        <f t="shared" si="186"/>
        <v>0</v>
      </c>
      <c r="DH50" s="439">
        <f t="shared" si="187"/>
        <v>0</v>
      </c>
      <c r="DI50" s="439">
        <f t="shared" si="188"/>
        <v>0</v>
      </c>
      <c r="DJ50" s="439">
        <f t="shared" si="189"/>
        <v>0</v>
      </c>
      <c r="DK50" s="439">
        <f t="shared" si="190"/>
        <v>0</v>
      </c>
      <c r="DL50" s="439">
        <f t="shared" si="191"/>
        <v>0</v>
      </c>
      <c r="DM50" s="439">
        <f t="shared" si="192"/>
        <v>0</v>
      </c>
      <c r="DN50" s="439">
        <f t="shared" si="193"/>
        <v>0</v>
      </c>
      <c r="DO50" s="439">
        <f t="shared" si="194"/>
        <v>0</v>
      </c>
      <c r="DP50" s="439">
        <f t="shared" si="195"/>
        <v>0</v>
      </c>
      <c r="DQ50" s="442">
        <f t="shared" si="196"/>
        <v>0</v>
      </c>
      <c r="DR50" s="442">
        <f t="shared" si="197"/>
        <v>0</v>
      </c>
      <c r="DS50" s="439">
        <f t="shared" si="198"/>
        <v>0</v>
      </c>
      <c r="DT50" s="439">
        <f t="shared" si="199"/>
        <v>0</v>
      </c>
      <c r="DU50" s="661">
        <f t="shared" si="200"/>
        <v>0</v>
      </c>
      <c r="DV50" s="661">
        <f t="shared" si="201"/>
        <v>0</v>
      </c>
      <c r="DW50" s="439">
        <f t="shared" si="202"/>
        <v>0</v>
      </c>
      <c r="DX50" s="439">
        <f t="shared" si="203"/>
        <v>0</v>
      </c>
      <c r="DY50" s="439">
        <f t="shared" si="204"/>
        <v>0</v>
      </c>
      <c r="DZ50" s="439">
        <f t="shared" si="205"/>
        <v>0</v>
      </c>
      <c r="EA50" s="631" t="s">
        <v>92</v>
      </c>
      <c r="EB50" s="631">
        <f t="shared" si="151"/>
        <v>0.15656025612934968</v>
      </c>
      <c r="ED50" s="439">
        <f t="shared" si="206"/>
        <v>2.8182000000000005</v>
      </c>
      <c r="EE50" s="440">
        <f t="shared" si="207"/>
        <v>2.1582000000000003</v>
      </c>
      <c r="EF50" s="439">
        <f t="shared" si="208"/>
        <v>-1.4982000000000002</v>
      </c>
      <c r="EG50" s="441">
        <f t="shared" si="209"/>
        <v>0</v>
      </c>
      <c r="EH50" s="439">
        <f t="shared" si="210"/>
        <v>0</v>
      </c>
      <c r="EI50" s="439">
        <f t="shared" si="211"/>
        <v>0</v>
      </c>
      <c r="EJ50" s="439">
        <f t="shared" si="212"/>
        <v>0</v>
      </c>
      <c r="EK50" s="439">
        <f t="shared" si="213"/>
        <v>0</v>
      </c>
      <c r="EL50" s="439">
        <f t="shared" si="214"/>
        <v>0</v>
      </c>
      <c r="EM50" s="439">
        <f t="shared" si="215"/>
        <v>0</v>
      </c>
      <c r="EN50" s="439">
        <f t="shared" si="216"/>
        <v>0</v>
      </c>
      <c r="EO50" s="439">
        <f t="shared" si="217"/>
        <v>0</v>
      </c>
      <c r="EP50" s="439">
        <f t="shared" si="218"/>
        <v>0</v>
      </c>
      <c r="EQ50" s="439">
        <f t="shared" si="219"/>
        <v>0</v>
      </c>
      <c r="ER50" s="442">
        <f t="shared" si="220"/>
        <v>0</v>
      </c>
      <c r="ES50" s="442">
        <f t="shared" si="221"/>
        <v>0</v>
      </c>
      <c r="ET50" s="439">
        <f t="shared" si="222"/>
        <v>0</v>
      </c>
      <c r="EU50" s="439">
        <f t="shared" si="223"/>
        <v>0</v>
      </c>
      <c r="EV50" s="661">
        <f t="shared" si="224"/>
        <v>0</v>
      </c>
      <c r="EW50" s="661">
        <f t="shared" si="225"/>
        <v>0</v>
      </c>
      <c r="EX50" s="439">
        <f t="shared" si="226"/>
        <v>0</v>
      </c>
      <c r="EY50" s="439">
        <f t="shared" si="227"/>
        <v>0</v>
      </c>
      <c r="EZ50" s="439">
        <f t="shared" si="228"/>
        <v>0</v>
      </c>
      <c r="FA50" s="439">
        <f t="shared" si="229"/>
        <v>0</v>
      </c>
      <c r="FB50" s="631" t="s">
        <v>92</v>
      </c>
      <c r="FC50" s="631">
        <f t="shared" si="152"/>
        <v>0.28702713623714105</v>
      </c>
      <c r="FE50" s="439">
        <f t="shared" si="230"/>
        <v>1.6653000000000002</v>
      </c>
      <c r="FF50" s="440">
        <f t="shared" si="231"/>
        <v>1.2753000000000003</v>
      </c>
      <c r="FG50" s="439">
        <f t="shared" si="232"/>
        <v>-0.88530000000000031</v>
      </c>
      <c r="FH50" s="441">
        <f t="shared" si="233"/>
        <v>0</v>
      </c>
      <c r="FI50" s="439">
        <f t="shared" si="234"/>
        <v>0</v>
      </c>
      <c r="FJ50" s="439">
        <f t="shared" si="235"/>
        <v>0</v>
      </c>
      <c r="FK50" s="439">
        <f t="shared" si="236"/>
        <v>0</v>
      </c>
      <c r="FL50" s="439">
        <f t="shared" si="237"/>
        <v>0</v>
      </c>
      <c r="FM50" s="439">
        <f t="shared" si="238"/>
        <v>0</v>
      </c>
      <c r="FN50" s="439">
        <f t="shared" si="239"/>
        <v>0</v>
      </c>
      <c r="FO50" s="439">
        <f t="shared" si="240"/>
        <v>0</v>
      </c>
      <c r="FP50" s="439">
        <f t="shared" si="241"/>
        <v>0</v>
      </c>
      <c r="FQ50" s="439">
        <f t="shared" si="242"/>
        <v>0</v>
      </c>
      <c r="FR50" s="439">
        <f t="shared" si="243"/>
        <v>0</v>
      </c>
      <c r="FS50" s="442">
        <f t="shared" si="244"/>
        <v>0</v>
      </c>
      <c r="FT50" s="442">
        <f t="shared" si="245"/>
        <v>0</v>
      </c>
      <c r="FU50" s="439">
        <f t="shared" si="246"/>
        <v>0</v>
      </c>
      <c r="FV50" s="439">
        <f t="shared" si="247"/>
        <v>0</v>
      </c>
      <c r="FW50" s="661">
        <f t="shared" si="248"/>
        <v>0</v>
      </c>
      <c r="FX50" s="661">
        <f t="shared" si="249"/>
        <v>0</v>
      </c>
      <c r="FY50" s="439">
        <f t="shared" si="250"/>
        <v>0</v>
      </c>
      <c r="FZ50" s="439">
        <f t="shared" si="251"/>
        <v>0</v>
      </c>
      <c r="GA50" s="439">
        <f t="shared" si="252"/>
        <v>0</v>
      </c>
      <c r="GB50" s="439">
        <f t="shared" si="253"/>
        <v>0</v>
      </c>
      <c r="GC50" s="631" t="s">
        <v>92</v>
      </c>
      <c r="GD50" s="631">
        <f t="shared" si="153"/>
        <v>0.16960694414012881</v>
      </c>
      <c r="GF50" s="439">
        <f t="shared" si="254"/>
        <v>1.89588</v>
      </c>
      <c r="GG50" s="440">
        <f t="shared" si="255"/>
        <v>1.4518800000000001</v>
      </c>
      <c r="GH50" s="439">
        <f t="shared" si="256"/>
        <v>-1.0078800000000001</v>
      </c>
      <c r="GI50" s="439">
        <f t="shared" si="257"/>
        <v>0</v>
      </c>
      <c r="GJ50" s="439">
        <f t="shared" si="258"/>
        <v>0</v>
      </c>
      <c r="GK50" s="439">
        <f t="shared" si="259"/>
        <v>0</v>
      </c>
      <c r="GL50" s="439">
        <f t="shared" si="260"/>
        <v>0</v>
      </c>
      <c r="GM50" s="439">
        <f t="shared" si="261"/>
        <v>0</v>
      </c>
      <c r="GN50" s="439">
        <f t="shared" si="262"/>
        <v>0</v>
      </c>
      <c r="GO50" s="439">
        <f t="shared" si="263"/>
        <v>0</v>
      </c>
      <c r="GP50" s="439">
        <f t="shared" si="264"/>
        <v>0</v>
      </c>
      <c r="GQ50" s="439">
        <f t="shared" si="265"/>
        <v>0</v>
      </c>
      <c r="GR50" s="439">
        <f t="shared" si="266"/>
        <v>0</v>
      </c>
      <c r="GS50" s="439">
        <f t="shared" si="267"/>
        <v>0</v>
      </c>
      <c r="GT50" s="442">
        <f t="shared" si="268"/>
        <v>0</v>
      </c>
      <c r="GU50" s="442">
        <f t="shared" si="269"/>
        <v>0</v>
      </c>
      <c r="GV50" s="439">
        <f t="shared" si="270"/>
        <v>0</v>
      </c>
      <c r="GW50" s="439">
        <f t="shared" si="271"/>
        <v>0</v>
      </c>
      <c r="GX50" s="661">
        <f t="shared" si="272"/>
        <v>0</v>
      </c>
      <c r="GY50" s="661">
        <f t="shared" si="273"/>
        <v>0</v>
      </c>
      <c r="GZ50" s="439">
        <f t="shared" si="274"/>
        <v>0</v>
      </c>
      <c r="HA50" s="439">
        <f t="shared" si="275"/>
        <v>0</v>
      </c>
      <c r="HB50" s="439">
        <f t="shared" si="276"/>
        <v>0</v>
      </c>
      <c r="HC50" s="439">
        <f t="shared" si="277"/>
        <v>0</v>
      </c>
      <c r="HD50" s="631" t="s">
        <v>92</v>
      </c>
      <c r="HE50" s="631">
        <f t="shared" si="306"/>
        <v>0.19309098255953122</v>
      </c>
      <c r="HG50" s="618">
        <f>HLOOKUP(CQ50,Spec_Sheet!$F$3:$DV$19,11,FALSE)+HLOOKUP(CQ50,Spec_Sheet!$F$3:$DV$21,19,FALSE)</f>
        <v>135</v>
      </c>
      <c r="HH50" s="618">
        <f t="shared" si="154"/>
        <v>100</v>
      </c>
      <c r="HI50" s="634">
        <f t="shared" si="155"/>
        <v>150</v>
      </c>
      <c r="HJ50" s="634">
        <f>HLOOKUP(IF(LEN(CQ50)&gt;6,LEFT(CQ50,5),CQ50),'LSM List Pricing'!$B$1:$BW$2,2,0)</f>
        <v>48</v>
      </c>
      <c r="HK50" s="634">
        <f>HLOOKUP(HJ50,'LSM List Pricing'!$B$2:$BW$3,2)</f>
        <v>460</v>
      </c>
      <c r="HL50" s="634">
        <f>VLOOKUP(HH50,'LSM List Pricing'!$A$7:$BW$87,HJ50,0)</f>
        <v>470</v>
      </c>
      <c r="HM50" s="627">
        <f>VLOOKUP(HI50,'LSM List Pricing'!$A$7:$BW$87,HJ50,1)</f>
        <v>540</v>
      </c>
      <c r="HN50" s="628">
        <f t="shared" si="307"/>
        <v>2.3846153846153846</v>
      </c>
      <c r="HO50" s="628">
        <f t="shared" si="308"/>
        <v>4.7692307692307692</v>
      </c>
      <c r="HP50" s="628">
        <f t="shared" si="309"/>
        <v>3.7435897435897436</v>
      </c>
      <c r="HR50" s="618">
        <v>2.35E-2</v>
      </c>
      <c r="HS50" s="618">
        <f t="shared" si="109"/>
        <v>157.78571428571428</v>
      </c>
      <c r="HT50" s="618">
        <f t="shared" si="110"/>
        <v>1</v>
      </c>
      <c r="HU50" s="618">
        <f t="shared" si="170"/>
        <v>0.59827529055212536</v>
      </c>
      <c r="HW50" s="618">
        <f t="shared" si="111"/>
        <v>35.150449087415979</v>
      </c>
      <c r="HX50" s="618">
        <f t="shared" si="171"/>
        <v>0.59106584960249497</v>
      </c>
      <c r="HY50" s="618">
        <f t="shared" si="172"/>
        <v>2.35E-2</v>
      </c>
      <c r="IB50" s="618">
        <f t="shared" si="113"/>
        <v>25.000350341399081</v>
      </c>
      <c r="IC50" s="618">
        <f t="shared" si="114"/>
        <v>1E-3</v>
      </c>
      <c r="IE50" s="618">
        <f t="shared" si="115"/>
        <v>0</v>
      </c>
      <c r="IF50" s="618">
        <f t="shared" si="116"/>
        <v>40.704999999999998</v>
      </c>
      <c r="IH50" s="618">
        <f t="shared" si="117"/>
        <v>0</v>
      </c>
      <c r="II50" s="618">
        <f t="shared" si="118"/>
        <v>40.704999999999998</v>
      </c>
      <c r="IK50" s="618">
        <f t="shared" si="119"/>
        <v>0</v>
      </c>
      <c r="IL50" s="618">
        <f t="shared" si="120"/>
        <v>40.704999999999998</v>
      </c>
      <c r="IN50" s="618">
        <f t="shared" si="121"/>
        <v>0</v>
      </c>
      <c r="IO50" s="618">
        <f t="shared" si="122"/>
        <v>40.704999999999998</v>
      </c>
      <c r="IQ50" s="618">
        <f t="shared" si="123"/>
        <v>0</v>
      </c>
      <c r="IR50" s="618">
        <f t="shared" si="124"/>
        <v>40.704999999999998</v>
      </c>
      <c r="IT50" s="660" t="str">
        <f t="shared" si="278"/>
        <v>S250D 1S</v>
      </c>
      <c r="IU50" s="628"/>
      <c r="IV50" s="439">
        <f t="shared" si="279"/>
        <v>2.5620000000000003</v>
      </c>
      <c r="IW50" s="440">
        <f t="shared" si="280"/>
        <v>1.9620000000000002</v>
      </c>
      <c r="IX50" s="439">
        <f t="shared" si="281"/>
        <v>-1.3620000000000001</v>
      </c>
      <c r="IY50" s="439">
        <f t="shared" si="282"/>
        <v>0</v>
      </c>
      <c r="IZ50" s="439">
        <f t="shared" si="283"/>
        <v>0</v>
      </c>
      <c r="JA50" s="439">
        <f t="shared" si="284"/>
        <v>0</v>
      </c>
      <c r="JB50" s="439">
        <f t="shared" si="285"/>
        <v>0</v>
      </c>
      <c r="JC50" s="439">
        <f t="shared" si="286"/>
        <v>0</v>
      </c>
      <c r="JD50" s="439">
        <f t="shared" si="287"/>
        <v>0</v>
      </c>
      <c r="JE50" s="439">
        <f t="shared" si="288"/>
        <v>0</v>
      </c>
      <c r="JF50" s="439">
        <f t="shared" si="289"/>
        <v>0</v>
      </c>
      <c r="JG50" s="439">
        <f t="shared" si="290"/>
        <v>0</v>
      </c>
      <c r="JH50" s="439">
        <f t="shared" si="291"/>
        <v>0</v>
      </c>
      <c r="JI50" s="439">
        <f t="shared" si="292"/>
        <v>0</v>
      </c>
      <c r="JJ50" s="442">
        <f t="shared" si="293"/>
        <v>0</v>
      </c>
      <c r="JK50" s="442">
        <f t="shared" si="294"/>
        <v>0</v>
      </c>
      <c r="JL50" s="439">
        <f t="shared" si="295"/>
        <v>0</v>
      </c>
      <c r="JM50" s="439">
        <f t="shared" si="296"/>
        <v>0</v>
      </c>
      <c r="JN50" s="661">
        <f t="shared" si="297"/>
        <v>0</v>
      </c>
      <c r="JO50" s="661">
        <f t="shared" si="298"/>
        <v>0</v>
      </c>
      <c r="JP50" s="439">
        <f t="shared" si="299"/>
        <v>0</v>
      </c>
      <c r="JQ50" s="439">
        <f t="shared" si="300"/>
        <v>0</v>
      </c>
      <c r="JR50" s="439">
        <f t="shared" si="301"/>
        <v>0</v>
      </c>
      <c r="JS50" s="439">
        <f t="shared" si="302"/>
        <v>0</v>
      </c>
      <c r="JT50" s="631" t="s">
        <v>92</v>
      </c>
      <c r="JU50" s="631">
        <f t="shared" si="158"/>
        <v>0.26093376021558273</v>
      </c>
      <c r="JW50" s="522"/>
      <c r="JX50" s="522"/>
      <c r="JY50" s="522"/>
      <c r="JZ50" s="522"/>
      <c r="KA50" s="522"/>
      <c r="KB50" s="522"/>
      <c r="KC50" s="522"/>
      <c r="KD50" s="522"/>
      <c r="KE50" s="522"/>
      <c r="KF50" s="522"/>
      <c r="KG50" s="522"/>
      <c r="KH50" s="522"/>
      <c r="KI50" s="522"/>
      <c r="KJ50" s="522"/>
      <c r="KK50" s="522"/>
      <c r="KL50" s="522"/>
    </row>
    <row r="51" spans="1:298" ht="10.5" customHeight="1">
      <c r="A51" s="155"/>
      <c r="B51" s="449"/>
      <c r="C51" s="449"/>
      <c r="D51" s="449"/>
      <c r="E51" s="449"/>
      <c r="F51" s="449"/>
      <c r="G51" s="449"/>
      <c r="H51" s="449"/>
      <c r="I51" s="449"/>
      <c r="J51" s="449"/>
      <c r="K51" s="449"/>
      <c r="L51" s="449"/>
      <c r="M51" s="449"/>
      <c r="N51" s="449"/>
      <c r="O51" s="449"/>
      <c r="P51" s="449"/>
      <c r="Q51" s="449"/>
      <c r="R51" s="449"/>
      <c r="S51" s="449"/>
      <c r="T51" s="449"/>
      <c r="U51" s="449"/>
      <c r="V51" s="449"/>
      <c r="W51" s="449"/>
      <c r="X51" s="668"/>
      <c r="Y51" s="668"/>
      <c r="Z51" s="668"/>
      <c r="AA51" s="668"/>
      <c r="AB51" s="668"/>
      <c r="AC51" s="668"/>
      <c r="AD51" s="668"/>
      <c r="AE51" s="668"/>
      <c r="AF51" s="95"/>
      <c r="AG51" s="95"/>
      <c r="AH51" s="95"/>
      <c r="AI51" s="95"/>
      <c r="AJ51" s="95"/>
      <c r="AK51" s="95"/>
      <c r="AL51" s="95"/>
      <c r="AM51" s="95"/>
      <c r="AN51" s="95"/>
      <c r="AO51" s="95"/>
      <c r="AP51" s="95"/>
      <c r="AQ51" s="95"/>
      <c r="AR51" s="95"/>
      <c r="AS51" s="95"/>
      <c r="AT51" s="95"/>
      <c r="AU51" s="95"/>
      <c r="AV51" s="95">
        <f>IF($AY$30,E86,0)*$D$82</f>
        <v>5.6000000000000005</v>
      </c>
      <c r="AW51" s="95">
        <f>IF($AY$32,'Data Sheet'!AA72,0)</f>
        <v>0.62145000000000006</v>
      </c>
      <c r="AX51" s="95">
        <f t="shared" si="305"/>
        <v>0.68100000000000005</v>
      </c>
      <c r="AY51" s="95"/>
      <c r="AZ51" s="668"/>
      <c r="BA51" s="672"/>
      <c r="BB51" s="708" t="str">
        <f t="shared" ca="1" si="168"/>
        <v>S200Q 2S</v>
      </c>
      <c r="BC51" s="709"/>
      <c r="BD51" s="710"/>
      <c r="BE51" s="342">
        <f t="shared" ca="1" si="160"/>
        <v>1.4261831561053293E-3</v>
      </c>
      <c r="BF51" s="78">
        <f t="shared" ca="1" si="161"/>
        <v>9.5471764995480634E-4</v>
      </c>
      <c r="BG51" s="490">
        <f t="shared" ca="1" si="162"/>
        <v>1.2504443886877223E-3</v>
      </c>
      <c r="BH51" s="78">
        <f t="shared" ca="1" si="163"/>
        <v>8.1198146796773664E-4</v>
      </c>
      <c r="BI51" s="617">
        <f t="shared" ca="1" si="164"/>
        <v>4.6041553335011932E-4</v>
      </c>
      <c r="BJ51" s="528">
        <f t="shared" ca="1" si="165"/>
        <v>2.641025641025641</v>
      </c>
      <c r="BK51" s="529">
        <f t="shared" ca="1" si="166"/>
        <v>5.2820512820512819</v>
      </c>
      <c r="BL51" s="530">
        <f t="shared" ca="1" si="167"/>
        <v>4.7179487179487181</v>
      </c>
      <c r="BM51" s="152"/>
      <c r="BN51" s="152"/>
      <c r="BO51" s="714"/>
      <c r="BP51" s="715"/>
      <c r="BQ51" s="715"/>
      <c r="BR51" s="152"/>
      <c r="BS51" s="152"/>
      <c r="BT51" s="152"/>
      <c r="BU51" s="152"/>
      <c r="BV51" s="152"/>
      <c r="BW51" s="152"/>
      <c r="BX51" s="152"/>
      <c r="BY51" s="152"/>
      <c r="BZ51" s="152"/>
      <c r="CA51" s="152"/>
      <c r="CB51" s="152"/>
      <c r="CC51" s="152"/>
      <c r="CD51" s="152"/>
      <c r="CE51" s="152"/>
      <c r="CF51" s="152"/>
      <c r="CG51" s="152"/>
      <c r="CH51" s="100"/>
      <c r="CI51" s="100"/>
      <c r="CJ51" s="152"/>
      <c r="CK51" s="152"/>
      <c r="CL51" s="152"/>
      <c r="CM51" s="152"/>
      <c r="CN51" s="153"/>
      <c r="CO51" s="689" t="str">
        <f ca="1"/>
        <v>L250T</v>
      </c>
      <c r="CP51" s="632" t="str">
        <f>IF(OR(CQ51=0,CR51="",CS51&gt;120),"",IF(HLOOKUP(CQ51,Spec_Sheet!$F$3:$ED$19,17,FALSE)&lt;$AC$46,"",CQ51))</f>
        <v>L350DS</v>
      </c>
      <c r="CQ51" s="660" t="str">
        <f>IF(Spec_Sheet!A50="","",Spec_Sheet!A50)</f>
        <v>L350DS</v>
      </c>
      <c r="CR51" s="660">
        <f>IF(CQ51="",0,HLOOKUP(CQ51,Spec_Sheet!$F$3:$ED$19,2,FALSE))</f>
        <v>42.572460570160445</v>
      </c>
      <c r="CS51" s="660">
        <f t="shared" si="169"/>
        <v>5.4246314176489298E-4</v>
      </c>
      <c r="CT51" s="621">
        <f t="shared" si="310"/>
        <v>8.6553675805146381E-4</v>
      </c>
      <c r="CU51" s="621">
        <f t="shared" si="181"/>
        <v>5.4246314176489298E-4</v>
      </c>
      <c r="CV51" s="621">
        <f t="shared" si="311"/>
        <v>4.1417286273946995E-3</v>
      </c>
      <c r="CW51" s="621">
        <f t="shared" si="312"/>
        <v>3.3903946360305812E-3</v>
      </c>
      <c r="CX51" s="621">
        <f t="shared" si="157"/>
        <v>1.3524011844554113E-3</v>
      </c>
      <c r="CY51" s="619">
        <f>HLOOKUP(CQ51,Spec_Sheet!$F$3:$ED$19,13,FALSE)</f>
        <v>0.56000000000000005</v>
      </c>
      <c r="CZ51" s="619">
        <f>VLOOKUP(HH51,'Shaft Weight'!$A$6:$CD$102,HJ51,TRUE)</f>
        <v>1.7</v>
      </c>
      <c r="DA51" s="619">
        <f>VLOOKUP(HI51,'Shaft Weight'!$A$6:$CD$102,HJ51,0)</f>
        <v>2</v>
      </c>
      <c r="DB51" s="619">
        <f>HLOOKUP(CQ51,Spec_Sheet!$F$3:$ED$19,6,FALSE)</f>
        <v>23.2</v>
      </c>
      <c r="DC51" s="439">
        <f t="shared" si="182"/>
        <v>1.2297600000000002</v>
      </c>
      <c r="DD51" s="440">
        <f t="shared" si="183"/>
        <v>0.94176000000000026</v>
      </c>
      <c r="DE51" s="439">
        <f t="shared" si="184"/>
        <v>-0.65376000000000023</v>
      </c>
      <c r="DF51" s="439">
        <f t="shared" si="185"/>
        <v>0</v>
      </c>
      <c r="DG51" s="439">
        <f t="shared" si="186"/>
        <v>0</v>
      </c>
      <c r="DH51" s="439">
        <f t="shared" si="187"/>
        <v>0</v>
      </c>
      <c r="DI51" s="439">
        <f t="shared" si="188"/>
        <v>0</v>
      </c>
      <c r="DJ51" s="439">
        <f t="shared" si="189"/>
        <v>0</v>
      </c>
      <c r="DK51" s="439">
        <f t="shared" si="190"/>
        <v>0</v>
      </c>
      <c r="DL51" s="439">
        <f t="shared" si="191"/>
        <v>0</v>
      </c>
      <c r="DM51" s="439">
        <f t="shared" si="192"/>
        <v>0</v>
      </c>
      <c r="DN51" s="439">
        <f t="shared" si="193"/>
        <v>0</v>
      </c>
      <c r="DO51" s="439">
        <f t="shared" si="194"/>
        <v>0</v>
      </c>
      <c r="DP51" s="439">
        <f t="shared" si="195"/>
        <v>0</v>
      </c>
      <c r="DQ51" s="442">
        <f t="shared" si="196"/>
        <v>0</v>
      </c>
      <c r="DR51" s="442">
        <f t="shared" si="197"/>
        <v>0</v>
      </c>
      <c r="DS51" s="439">
        <f t="shared" si="198"/>
        <v>0</v>
      </c>
      <c r="DT51" s="439">
        <f t="shared" si="199"/>
        <v>0</v>
      </c>
      <c r="DU51" s="661">
        <f t="shared" si="200"/>
        <v>0</v>
      </c>
      <c r="DV51" s="661">
        <f t="shared" si="201"/>
        <v>0</v>
      </c>
      <c r="DW51" s="439">
        <f t="shared" si="202"/>
        <v>0</v>
      </c>
      <c r="DX51" s="439">
        <f t="shared" si="203"/>
        <v>0</v>
      </c>
      <c r="DY51" s="439">
        <f t="shared" si="204"/>
        <v>0</v>
      </c>
      <c r="DZ51" s="439">
        <f t="shared" si="205"/>
        <v>0</v>
      </c>
      <c r="EA51" s="631" t="s">
        <v>92</v>
      </c>
      <c r="EB51" s="631">
        <f t="shared" si="151"/>
        <v>0.12524820490347974</v>
      </c>
      <c r="ED51" s="439">
        <f t="shared" si="206"/>
        <v>4.8677999999999999</v>
      </c>
      <c r="EE51" s="440">
        <f t="shared" si="207"/>
        <v>3.7278000000000002</v>
      </c>
      <c r="EF51" s="439">
        <f t="shared" si="208"/>
        <v>-2.5878000000000005</v>
      </c>
      <c r="EG51" s="441">
        <f t="shared" si="209"/>
        <v>0</v>
      </c>
      <c r="EH51" s="439">
        <f t="shared" si="210"/>
        <v>0</v>
      </c>
      <c r="EI51" s="439">
        <f t="shared" si="211"/>
        <v>0</v>
      </c>
      <c r="EJ51" s="439">
        <f t="shared" si="212"/>
        <v>0</v>
      </c>
      <c r="EK51" s="439">
        <f t="shared" si="213"/>
        <v>0</v>
      </c>
      <c r="EL51" s="439">
        <f t="shared" si="214"/>
        <v>0</v>
      </c>
      <c r="EM51" s="439">
        <f t="shared" si="215"/>
        <v>0</v>
      </c>
      <c r="EN51" s="439">
        <f t="shared" si="216"/>
        <v>0</v>
      </c>
      <c r="EO51" s="439">
        <f t="shared" si="217"/>
        <v>0</v>
      </c>
      <c r="EP51" s="439">
        <f t="shared" si="218"/>
        <v>0</v>
      </c>
      <c r="EQ51" s="439">
        <f t="shared" si="219"/>
        <v>0</v>
      </c>
      <c r="ER51" s="442">
        <f t="shared" si="220"/>
        <v>0</v>
      </c>
      <c r="ES51" s="442">
        <f t="shared" si="221"/>
        <v>0</v>
      </c>
      <c r="ET51" s="439">
        <f t="shared" si="222"/>
        <v>0</v>
      </c>
      <c r="EU51" s="439">
        <f t="shared" si="223"/>
        <v>0</v>
      </c>
      <c r="EV51" s="661">
        <f t="shared" si="224"/>
        <v>0</v>
      </c>
      <c r="EW51" s="661">
        <f t="shared" si="225"/>
        <v>0</v>
      </c>
      <c r="EX51" s="439">
        <f t="shared" si="226"/>
        <v>0</v>
      </c>
      <c r="EY51" s="439">
        <f t="shared" si="227"/>
        <v>0</v>
      </c>
      <c r="EZ51" s="439">
        <f t="shared" si="228"/>
        <v>0</v>
      </c>
      <c r="FA51" s="439">
        <f t="shared" si="229"/>
        <v>0</v>
      </c>
      <c r="FB51" s="631" t="s">
        <v>92</v>
      </c>
      <c r="FC51" s="631">
        <f t="shared" si="152"/>
        <v>0.49577414440960721</v>
      </c>
      <c r="FE51" s="439">
        <f t="shared" si="230"/>
        <v>2.6901000000000002</v>
      </c>
      <c r="FF51" s="440">
        <f t="shared" si="231"/>
        <v>2.0601000000000003</v>
      </c>
      <c r="FG51" s="439">
        <f t="shared" si="232"/>
        <v>-1.4301000000000004</v>
      </c>
      <c r="FH51" s="441">
        <f t="shared" si="233"/>
        <v>0</v>
      </c>
      <c r="FI51" s="439">
        <f t="shared" si="234"/>
        <v>0</v>
      </c>
      <c r="FJ51" s="439">
        <f t="shared" si="235"/>
        <v>0</v>
      </c>
      <c r="FK51" s="439">
        <f t="shared" si="236"/>
        <v>0</v>
      </c>
      <c r="FL51" s="439">
        <f t="shared" si="237"/>
        <v>0</v>
      </c>
      <c r="FM51" s="439">
        <f t="shared" si="238"/>
        <v>0</v>
      </c>
      <c r="FN51" s="439">
        <f t="shared" si="239"/>
        <v>0</v>
      </c>
      <c r="FO51" s="439">
        <f t="shared" si="240"/>
        <v>0</v>
      </c>
      <c r="FP51" s="439">
        <f t="shared" si="241"/>
        <v>0</v>
      </c>
      <c r="FQ51" s="439">
        <f t="shared" si="242"/>
        <v>0</v>
      </c>
      <c r="FR51" s="439">
        <f t="shared" si="243"/>
        <v>0</v>
      </c>
      <c r="FS51" s="442">
        <f t="shared" si="244"/>
        <v>0</v>
      </c>
      <c r="FT51" s="442">
        <f t="shared" si="245"/>
        <v>0</v>
      </c>
      <c r="FU51" s="439">
        <f t="shared" si="246"/>
        <v>0</v>
      </c>
      <c r="FV51" s="439">
        <f t="shared" si="247"/>
        <v>0</v>
      </c>
      <c r="FW51" s="661">
        <f t="shared" si="248"/>
        <v>0</v>
      </c>
      <c r="FX51" s="661">
        <f t="shared" si="249"/>
        <v>0</v>
      </c>
      <c r="FY51" s="439">
        <f t="shared" si="250"/>
        <v>0</v>
      </c>
      <c r="FZ51" s="439">
        <f t="shared" si="251"/>
        <v>0</v>
      </c>
      <c r="GA51" s="439">
        <f t="shared" si="252"/>
        <v>0</v>
      </c>
      <c r="GB51" s="439">
        <f t="shared" si="253"/>
        <v>0</v>
      </c>
      <c r="GC51" s="631" t="s">
        <v>92</v>
      </c>
      <c r="GD51" s="631">
        <f t="shared" si="153"/>
        <v>0.27398044822636192</v>
      </c>
      <c r="GF51" s="439">
        <f t="shared" si="254"/>
        <v>3.0743999999999998</v>
      </c>
      <c r="GG51" s="440">
        <f t="shared" si="255"/>
        <v>2.3544</v>
      </c>
      <c r="GH51" s="439">
        <f t="shared" si="256"/>
        <v>-1.6344000000000001</v>
      </c>
      <c r="GI51" s="439">
        <f t="shared" si="257"/>
        <v>0</v>
      </c>
      <c r="GJ51" s="439">
        <f t="shared" si="258"/>
        <v>0</v>
      </c>
      <c r="GK51" s="439">
        <f t="shared" si="259"/>
        <v>0</v>
      </c>
      <c r="GL51" s="439">
        <f t="shared" si="260"/>
        <v>0</v>
      </c>
      <c r="GM51" s="439">
        <f t="shared" si="261"/>
        <v>0</v>
      </c>
      <c r="GN51" s="439">
        <f t="shared" si="262"/>
        <v>0</v>
      </c>
      <c r="GO51" s="439">
        <f t="shared" si="263"/>
        <v>0</v>
      </c>
      <c r="GP51" s="439">
        <f t="shared" si="264"/>
        <v>0</v>
      </c>
      <c r="GQ51" s="439">
        <f t="shared" si="265"/>
        <v>0</v>
      </c>
      <c r="GR51" s="439">
        <f t="shared" si="266"/>
        <v>0</v>
      </c>
      <c r="GS51" s="439">
        <f t="shared" si="267"/>
        <v>0</v>
      </c>
      <c r="GT51" s="442">
        <f t="shared" si="268"/>
        <v>0</v>
      </c>
      <c r="GU51" s="442">
        <f t="shared" si="269"/>
        <v>0</v>
      </c>
      <c r="GV51" s="439">
        <f t="shared" si="270"/>
        <v>0</v>
      </c>
      <c r="GW51" s="439">
        <f t="shared" si="271"/>
        <v>0</v>
      </c>
      <c r="GX51" s="661">
        <f t="shared" si="272"/>
        <v>0</v>
      </c>
      <c r="GY51" s="661">
        <f t="shared" si="273"/>
        <v>0</v>
      </c>
      <c r="GZ51" s="439">
        <f t="shared" si="274"/>
        <v>0</v>
      </c>
      <c r="HA51" s="439">
        <f t="shared" si="275"/>
        <v>0</v>
      </c>
      <c r="HB51" s="439">
        <f t="shared" si="276"/>
        <v>0</v>
      </c>
      <c r="HC51" s="439">
        <f t="shared" si="277"/>
        <v>0</v>
      </c>
      <c r="HD51" s="631" t="s">
        <v>92</v>
      </c>
      <c r="HE51" s="631">
        <f t="shared" si="306"/>
        <v>0.31312051225869925</v>
      </c>
      <c r="HG51" s="618">
        <f>HLOOKUP(CQ51,Spec_Sheet!$F$3:$DV$19,11,FALSE)+HLOOKUP(CQ51,Spec_Sheet!$F$3:$DV$21,19,FALSE)</f>
        <v>90</v>
      </c>
      <c r="HH51" s="618">
        <f t="shared" si="154"/>
        <v>100</v>
      </c>
      <c r="HI51" s="634">
        <f t="shared" si="155"/>
        <v>150</v>
      </c>
      <c r="HJ51" s="634">
        <f>HLOOKUP(IF(LEN(CQ51)&gt;6,LEFT(CQ51,5),CQ51),'LSM List Pricing'!$B$1:$BW$2,2,0)</f>
        <v>22</v>
      </c>
      <c r="HK51" s="634">
        <f>HLOOKUP(HJ51,'LSM List Pricing'!$B$2:$BW$3,2)</f>
        <v>570</v>
      </c>
      <c r="HL51" s="634">
        <f>VLOOKUP(HH51,'LSM List Pricing'!$A$7:$BW$87,HJ51,0)</f>
        <v>620</v>
      </c>
      <c r="HM51" s="627">
        <f>VLOOKUP(HI51,'LSM List Pricing'!$A$7:$BW$87,HJ51,1)</f>
        <v>730</v>
      </c>
      <c r="HN51" s="628">
        <f t="shared" si="307"/>
        <v>3.0512820512820511</v>
      </c>
      <c r="HO51" s="628">
        <f t="shared" si="308"/>
        <v>6.1025641025641022</v>
      </c>
      <c r="HP51" s="628">
        <f t="shared" si="309"/>
        <v>4.7948717948717947</v>
      </c>
      <c r="HR51" s="618">
        <v>2.4E-2</v>
      </c>
      <c r="HS51" s="618">
        <f t="shared" si="109"/>
        <v>161.14285714285714</v>
      </c>
      <c r="HT51" s="618">
        <f t="shared" si="110"/>
        <v>1</v>
      </c>
      <c r="HU51" s="618">
        <f t="shared" si="170"/>
        <v>0.61101433452575016</v>
      </c>
      <c r="HW51" s="618">
        <f t="shared" si="111"/>
        <v>35.132359644973434</v>
      </c>
      <c r="HX51" s="618">
        <f t="shared" si="171"/>
        <v>0.60349786833623154</v>
      </c>
      <c r="HY51" s="618">
        <f t="shared" si="172"/>
        <v>2.4E-2</v>
      </c>
      <c r="IB51" s="618">
        <f t="shared" si="113"/>
        <v>25.000350341399081</v>
      </c>
      <c r="IC51" s="618">
        <f t="shared" si="114"/>
        <v>1E-3</v>
      </c>
      <c r="IE51" s="618">
        <f t="shared" si="115"/>
        <v>0</v>
      </c>
      <c r="IF51" s="618">
        <f t="shared" si="116"/>
        <v>40.704999999999998</v>
      </c>
      <c r="IH51" s="618">
        <f t="shared" si="117"/>
        <v>0</v>
      </c>
      <c r="II51" s="618">
        <f t="shared" si="118"/>
        <v>40.704999999999998</v>
      </c>
      <c r="IK51" s="618">
        <f t="shared" si="119"/>
        <v>0</v>
      </c>
      <c r="IL51" s="618">
        <f t="shared" si="120"/>
        <v>40.704999999999998</v>
      </c>
      <c r="IN51" s="618">
        <f t="shared" si="121"/>
        <v>0</v>
      </c>
      <c r="IO51" s="618">
        <f t="shared" si="122"/>
        <v>40.704999999999998</v>
      </c>
      <c r="IQ51" s="618">
        <f t="shared" si="123"/>
        <v>0</v>
      </c>
      <c r="IR51" s="618">
        <f t="shared" si="124"/>
        <v>40.704999999999998</v>
      </c>
      <c r="IT51" s="660" t="str">
        <f t="shared" si="278"/>
        <v>L350DS</v>
      </c>
      <c r="IU51" s="628"/>
      <c r="IV51" s="439">
        <f t="shared" si="279"/>
        <v>1.9471200000000002</v>
      </c>
      <c r="IW51" s="440">
        <f t="shared" si="280"/>
        <v>1.4911200000000002</v>
      </c>
      <c r="IX51" s="439">
        <f t="shared" si="281"/>
        <v>-1.0351200000000003</v>
      </c>
      <c r="IY51" s="439">
        <f t="shared" si="282"/>
        <v>0</v>
      </c>
      <c r="IZ51" s="439">
        <f t="shared" si="283"/>
        <v>0</v>
      </c>
      <c r="JA51" s="439">
        <f t="shared" si="284"/>
        <v>0</v>
      </c>
      <c r="JB51" s="439">
        <f t="shared" si="285"/>
        <v>0</v>
      </c>
      <c r="JC51" s="439">
        <f t="shared" si="286"/>
        <v>0</v>
      </c>
      <c r="JD51" s="439">
        <f t="shared" si="287"/>
        <v>0</v>
      </c>
      <c r="JE51" s="439">
        <f t="shared" si="288"/>
        <v>0</v>
      </c>
      <c r="JF51" s="439">
        <f t="shared" si="289"/>
        <v>0</v>
      </c>
      <c r="JG51" s="439">
        <f t="shared" si="290"/>
        <v>0</v>
      </c>
      <c r="JH51" s="439">
        <f t="shared" si="291"/>
        <v>0</v>
      </c>
      <c r="JI51" s="439">
        <f t="shared" si="292"/>
        <v>0</v>
      </c>
      <c r="JJ51" s="442">
        <f t="shared" si="293"/>
        <v>0</v>
      </c>
      <c r="JK51" s="442">
        <f t="shared" si="294"/>
        <v>0</v>
      </c>
      <c r="JL51" s="439">
        <f t="shared" si="295"/>
        <v>0</v>
      </c>
      <c r="JM51" s="439">
        <f t="shared" si="296"/>
        <v>0</v>
      </c>
      <c r="JN51" s="661">
        <f t="shared" si="297"/>
        <v>0</v>
      </c>
      <c r="JO51" s="661">
        <f t="shared" si="298"/>
        <v>0</v>
      </c>
      <c r="JP51" s="439">
        <f t="shared" si="299"/>
        <v>0</v>
      </c>
      <c r="JQ51" s="439">
        <f t="shared" si="300"/>
        <v>0</v>
      </c>
      <c r="JR51" s="439">
        <f t="shared" si="301"/>
        <v>0</v>
      </c>
      <c r="JS51" s="439">
        <f t="shared" si="302"/>
        <v>0</v>
      </c>
      <c r="JT51" s="631" t="s">
        <v>92</v>
      </c>
      <c r="JU51" s="631">
        <f t="shared" si="158"/>
        <v>0.19830965776384291</v>
      </c>
      <c r="JW51" s="522"/>
      <c r="JX51" s="522"/>
      <c r="JY51" s="522"/>
      <c r="JZ51" s="522"/>
      <c r="KA51" s="522"/>
      <c r="KB51" s="522"/>
      <c r="KC51" s="522"/>
      <c r="KD51" s="522"/>
      <c r="KE51" s="522"/>
      <c r="KF51" s="522"/>
      <c r="KG51" s="522"/>
      <c r="KH51" s="522"/>
      <c r="KI51" s="522"/>
      <c r="KJ51" s="522"/>
      <c r="KK51" s="522"/>
      <c r="KL51" s="522"/>
    </row>
    <row r="52" spans="1:298" ht="9.9499999999999993" customHeight="1">
      <c r="A52" s="155"/>
      <c r="B52" s="153"/>
      <c r="C52" s="153"/>
      <c r="D52" s="153"/>
      <c r="E52" s="150"/>
      <c r="F52" s="150"/>
      <c r="G52" s="150"/>
      <c r="H52" s="150"/>
      <c r="I52" s="150"/>
      <c r="J52" s="150"/>
      <c r="K52" s="150"/>
      <c r="L52" s="150"/>
      <c r="M52" s="150"/>
      <c r="N52" s="150"/>
      <c r="O52" s="150"/>
      <c r="P52" s="150"/>
      <c r="Q52" s="150"/>
      <c r="R52" s="150"/>
      <c r="S52" s="150"/>
      <c r="T52" s="150"/>
      <c r="U52" s="466"/>
      <c r="V52" s="466"/>
      <c r="W52" s="150"/>
      <c r="X52" s="673"/>
      <c r="Y52" s="673"/>
      <c r="Z52" s="673"/>
      <c r="AA52" s="673"/>
      <c r="AB52" s="674"/>
      <c r="AC52" s="675"/>
      <c r="AD52" s="675"/>
      <c r="AE52" s="673"/>
      <c r="AF52" s="673"/>
      <c r="AG52" s="676"/>
      <c r="AH52" s="673"/>
      <c r="AI52" s="673"/>
      <c r="AJ52" s="673"/>
      <c r="AK52" s="673"/>
      <c r="AL52" s="675"/>
      <c r="AM52" s="675"/>
      <c r="AN52" s="673"/>
      <c r="AO52" s="673"/>
      <c r="AP52" s="673"/>
      <c r="AQ52" s="673"/>
      <c r="AR52" s="673"/>
      <c r="AS52" s="673"/>
      <c r="AT52" s="675"/>
      <c r="AU52" s="675"/>
      <c r="AV52" s="685">
        <f>IF($AY$30,E85,0)*$D$82</f>
        <v>2.5599999999999996</v>
      </c>
      <c r="AW52" s="685">
        <f>IF($AY$32,'Data Sheet'!AA73,0)</f>
        <v>0.58545000000000003</v>
      </c>
      <c r="AX52" s="685">
        <f t="shared" si="305"/>
        <v>0.68900000000000006</v>
      </c>
      <c r="AY52" s="673"/>
      <c r="AZ52" s="672"/>
      <c r="BA52" s="672"/>
      <c r="BB52" s="708" t="str">
        <f t="shared" ca="1" si="168"/>
        <v>S250D</v>
      </c>
      <c r="BC52" s="709"/>
      <c r="BD52" s="710"/>
      <c r="BE52" s="342">
        <f t="shared" ca="1" si="160"/>
        <v>1.5319446124554732E-3</v>
      </c>
      <c r="BF52" s="78">
        <f t="shared" ca="1" si="161"/>
        <v>1.0638504253163005E-3</v>
      </c>
      <c r="BG52" s="490">
        <f t="shared" ca="1" si="162"/>
        <v>1.7979072187845485E-3</v>
      </c>
      <c r="BH52" s="78">
        <f t="shared" ca="1" si="163"/>
        <v>1.2872590146327239E-3</v>
      </c>
      <c r="BI52" s="617">
        <f t="shared" ca="1" si="164"/>
        <v>5.8256449290320614E-4</v>
      </c>
      <c r="BJ52" s="528">
        <f t="shared" ca="1" si="165"/>
        <v>2.3846153846153846</v>
      </c>
      <c r="BK52" s="529">
        <f t="shared" ca="1" si="166"/>
        <v>4.7692307692307692</v>
      </c>
      <c r="BL52" s="530">
        <f t="shared" ca="1" si="167"/>
        <v>3.7435897435897436</v>
      </c>
      <c r="BM52" s="155"/>
      <c r="BN52" s="153"/>
      <c r="BO52" s="305" t="s">
        <v>304</v>
      </c>
      <c r="BP52" s="305"/>
      <c r="BQ52" s="387"/>
      <c r="BR52" s="387"/>
      <c r="BS52" s="387"/>
      <c r="BT52" s="387"/>
      <c r="BU52" s="156"/>
      <c r="BV52" s="156"/>
      <c r="BW52" s="156"/>
      <c r="BX52" s="156"/>
      <c r="BY52" s="156"/>
      <c r="BZ52" s="156"/>
      <c r="CA52" s="156"/>
      <c r="CB52" s="156"/>
      <c r="CC52" s="156"/>
      <c r="CD52" s="156"/>
      <c r="CE52" s="156"/>
      <c r="CF52" s="156"/>
      <c r="CG52" s="156"/>
      <c r="CH52" s="151"/>
      <c r="CI52" s="151"/>
      <c r="CJ52" s="150"/>
      <c r="CN52" s="150"/>
      <c r="CO52" s="692" t="str">
        <f ca="1"/>
        <v>L250T-1S</v>
      </c>
      <c r="CP52" s="632" t="str">
        <f>IF(OR(CQ52=0,CR52="",CS52&gt;120),"",IF(HLOOKUP(CQ52,Spec_Sheet!$F$3:$ED$19,17,FALSE)&lt;$AC$46,"",CQ52))</f>
        <v>L250TS</v>
      </c>
      <c r="CQ52" s="660" t="str">
        <f>IF(Spec_Sheet!A51="","",Spec_Sheet!A51)</f>
        <v>L250TS</v>
      </c>
      <c r="CR52" s="660">
        <f>IF(CQ52="",0,HLOOKUP(CQ52,Spec_Sheet!$F$3:$ED$19,2,FALSE))</f>
        <v>44.023718028728865</v>
      </c>
      <c r="CS52" s="660">
        <f t="shared" si="169"/>
        <v>1.3504250587198429E-3</v>
      </c>
      <c r="CT52" s="621">
        <f t="shared" si="310"/>
        <v>1.8211767701362285E-3</v>
      </c>
      <c r="CU52" s="621">
        <f t="shared" si="181"/>
        <v>1.3504250587198429E-3</v>
      </c>
      <c r="CV52" s="621">
        <f t="shared" si="311"/>
        <v>1.4165586480288982E-3</v>
      </c>
      <c r="CW52" s="621">
        <f t="shared" si="312"/>
        <v>1.0055291686578744E-3</v>
      </c>
      <c r="CX52" s="621">
        <f t="shared" si="157"/>
        <v>4.5529419253405713E-4</v>
      </c>
      <c r="CY52" s="619">
        <f>HLOOKUP(CQ52,Spec_Sheet!$F$3:$ED$19,13,FALSE)</f>
        <v>1.04</v>
      </c>
      <c r="CZ52" s="619">
        <f>VLOOKUP(HH52,'Shaft Weight'!$A$6:$CD$102,HJ52,TRUE)</f>
        <v>0.87</v>
      </c>
      <c r="DA52" s="619">
        <f>VLOOKUP(HI52,'Shaft Weight'!$A$6:$CD$102,HJ52,0)</f>
        <v>1.04</v>
      </c>
      <c r="DB52" s="619">
        <f>HLOOKUP(CQ52,Spec_Sheet!$F$3:$ED$19,6,FALSE)</f>
        <v>42.1</v>
      </c>
      <c r="DC52" s="439">
        <f t="shared" si="182"/>
        <v>1.8446400000000001</v>
      </c>
      <c r="DD52" s="440">
        <f t="shared" si="183"/>
        <v>1.4126400000000001</v>
      </c>
      <c r="DE52" s="439">
        <f t="shared" si="184"/>
        <v>-0.98064000000000018</v>
      </c>
      <c r="DF52" s="439">
        <f t="shared" si="185"/>
        <v>0</v>
      </c>
      <c r="DG52" s="439">
        <f t="shared" si="186"/>
        <v>0</v>
      </c>
      <c r="DH52" s="439">
        <f t="shared" si="187"/>
        <v>0</v>
      </c>
      <c r="DI52" s="439">
        <f t="shared" si="188"/>
        <v>0</v>
      </c>
      <c r="DJ52" s="439">
        <f t="shared" si="189"/>
        <v>0</v>
      </c>
      <c r="DK52" s="439">
        <f t="shared" si="190"/>
        <v>0</v>
      </c>
      <c r="DL52" s="439">
        <f t="shared" si="191"/>
        <v>0</v>
      </c>
      <c r="DM52" s="439">
        <f t="shared" si="192"/>
        <v>0</v>
      </c>
      <c r="DN52" s="439">
        <f t="shared" si="193"/>
        <v>0</v>
      </c>
      <c r="DO52" s="439">
        <f t="shared" si="194"/>
        <v>0</v>
      </c>
      <c r="DP52" s="439">
        <f t="shared" si="195"/>
        <v>0</v>
      </c>
      <c r="DQ52" s="442">
        <f t="shared" si="196"/>
        <v>0</v>
      </c>
      <c r="DR52" s="442">
        <f t="shared" si="197"/>
        <v>0</v>
      </c>
      <c r="DS52" s="439">
        <f t="shared" si="198"/>
        <v>0</v>
      </c>
      <c r="DT52" s="439">
        <f t="shared" si="199"/>
        <v>0</v>
      </c>
      <c r="DU52" s="661">
        <f t="shared" si="200"/>
        <v>0</v>
      </c>
      <c r="DV52" s="661">
        <f t="shared" si="201"/>
        <v>0</v>
      </c>
      <c r="DW52" s="439">
        <f t="shared" si="202"/>
        <v>0</v>
      </c>
      <c r="DX52" s="439">
        <f t="shared" si="203"/>
        <v>0</v>
      </c>
      <c r="DY52" s="439">
        <f t="shared" si="204"/>
        <v>0</v>
      </c>
      <c r="DZ52" s="439">
        <f t="shared" si="205"/>
        <v>0</v>
      </c>
      <c r="EA52" s="631" t="s">
        <v>92</v>
      </c>
      <c r="EB52" s="631">
        <f t="shared" si="151"/>
        <v>0.18787230735521956</v>
      </c>
      <c r="ED52" s="439">
        <f t="shared" si="206"/>
        <v>2.7413400000000001</v>
      </c>
      <c r="EE52" s="440">
        <f t="shared" si="207"/>
        <v>2.0993400000000002</v>
      </c>
      <c r="EF52" s="439">
        <f t="shared" si="208"/>
        <v>-1.4573400000000003</v>
      </c>
      <c r="EG52" s="441">
        <f t="shared" si="209"/>
        <v>0</v>
      </c>
      <c r="EH52" s="439">
        <f t="shared" si="210"/>
        <v>0</v>
      </c>
      <c r="EI52" s="439">
        <f t="shared" si="211"/>
        <v>0</v>
      </c>
      <c r="EJ52" s="439">
        <f t="shared" si="212"/>
        <v>0</v>
      </c>
      <c r="EK52" s="439">
        <f t="shared" si="213"/>
        <v>0</v>
      </c>
      <c r="EL52" s="439">
        <f t="shared" si="214"/>
        <v>0</v>
      </c>
      <c r="EM52" s="439">
        <f t="shared" si="215"/>
        <v>0</v>
      </c>
      <c r="EN52" s="439">
        <f t="shared" si="216"/>
        <v>0</v>
      </c>
      <c r="EO52" s="439">
        <f t="shared" si="217"/>
        <v>0</v>
      </c>
      <c r="EP52" s="439">
        <f t="shared" si="218"/>
        <v>0</v>
      </c>
      <c r="EQ52" s="439">
        <f t="shared" si="219"/>
        <v>0</v>
      </c>
      <c r="ER52" s="442">
        <f t="shared" si="220"/>
        <v>0</v>
      </c>
      <c r="ES52" s="442">
        <f t="shared" si="221"/>
        <v>0</v>
      </c>
      <c r="ET52" s="439">
        <f t="shared" si="222"/>
        <v>0</v>
      </c>
      <c r="EU52" s="439">
        <f t="shared" si="223"/>
        <v>0</v>
      </c>
      <c r="EV52" s="661">
        <f t="shared" si="224"/>
        <v>0</v>
      </c>
      <c r="EW52" s="661">
        <f t="shared" si="225"/>
        <v>0</v>
      </c>
      <c r="EX52" s="439">
        <f t="shared" si="226"/>
        <v>0</v>
      </c>
      <c r="EY52" s="439">
        <f t="shared" si="227"/>
        <v>0</v>
      </c>
      <c r="EZ52" s="439">
        <f t="shared" si="228"/>
        <v>0</v>
      </c>
      <c r="FA52" s="439">
        <f t="shared" si="229"/>
        <v>0</v>
      </c>
      <c r="FB52" s="631" t="s">
        <v>92</v>
      </c>
      <c r="FC52" s="631">
        <f t="shared" si="152"/>
        <v>0.27919912343067355</v>
      </c>
      <c r="FE52" s="439">
        <f t="shared" si="230"/>
        <v>1.62687</v>
      </c>
      <c r="FF52" s="440">
        <f t="shared" si="231"/>
        <v>1.24587</v>
      </c>
      <c r="FG52" s="439">
        <f t="shared" si="232"/>
        <v>-0.86487000000000003</v>
      </c>
      <c r="FH52" s="441">
        <f t="shared" si="233"/>
        <v>0</v>
      </c>
      <c r="FI52" s="439">
        <f t="shared" si="234"/>
        <v>0</v>
      </c>
      <c r="FJ52" s="439">
        <f t="shared" si="235"/>
        <v>0</v>
      </c>
      <c r="FK52" s="439">
        <f t="shared" si="236"/>
        <v>0</v>
      </c>
      <c r="FL52" s="439">
        <f t="shared" si="237"/>
        <v>0</v>
      </c>
      <c r="FM52" s="439">
        <f t="shared" si="238"/>
        <v>0</v>
      </c>
      <c r="FN52" s="439">
        <f t="shared" si="239"/>
        <v>0</v>
      </c>
      <c r="FO52" s="439">
        <f t="shared" si="240"/>
        <v>0</v>
      </c>
      <c r="FP52" s="439">
        <f t="shared" si="241"/>
        <v>0</v>
      </c>
      <c r="FQ52" s="439">
        <f t="shared" si="242"/>
        <v>0</v>
      </c>
      <c r="FR52" s="439">
        <f t="shared" si="243"/>
        <v>0</v>
      </c>
      <c r="FS52" s="442">
        <f t="shared" si="244"/>
        <v>0</v>
      </c>
      <c r="FT52" s="442">
        <f t="shared" si="245"/>
        <v>0</v>
      </c>
      <c r="FU52" s="439">
        <f t="shared" si="246"/>
        <v>0</v>
      </c>
      <c r="FV52" s="439">
        <f t="shared" si="247"/>
        <v>0</v>
      </c>
      <c r="FW52" s="661">
        <f t="shared" si="248"/>
        <v>0</v>
      </c>
      <c r="FX52" s="661">
        <f t="shared" si="249"/>
        <v>0</v>
      </c>
      <c r="FY52" s="439">
        <f t="shared" si="250"/>
        <v>0</v>
      </c>
      <c r="FZ52" s="439">
        <f t="shared" si="251"/>
        <v>0</v>
      </c>
      <c r="GA52" s="439">
        <f t="shared" si="252"/>
        <v>0</v>
      </c>
      <c r="GB52" s="439">
        <f t="shared" si="253"/>
        <v>0</v>
      </c>
      <c r="GC52" s="631" t="s">
        <v>92</v>
      </c>
      <c r="GD52" s="631">
        <f t="shared" si="153"/>
        <v>0.16569293773689503</v>
      </c>
      <c r="GF52" s="439">
        <f t="shared" si="254"/>
        <v>1.8446400000000001</v>
      </c>
      <c r="GG52" s="440">
        <f t="shared" si="255"/>
        <v>1.4126400000000001</v>
      </c>
      <c r="GH52" s="439">
        <f t="shared" si="256"/>
        <v>-0.98064000000000018</v>
      </c>
      <c r="GI52" s="439">
        <f t="shared" si="257"/>
        <v>0</v>
      </c>
      <c r="GJ52" s="439">
        <f t="shared" si="258"/>
        <v>0</v>
      </c>
      <c r="GK52" s="439">
        <f t="shared" si="259"/>
        <v>0</v>
      </c>
      <c r="GL52" s="439">
        <f t="shared" si="260"/>
        <v>0</v>
      </c>
      <c r="GM52" s="439">
        <f t="shared" si="261"/>
        <v>0</v>
      </c>
      <c r="GN52" s="439">
        <f t="shared" si="262"/>
        <v>0</v>
      </c>
      <c r="GO52" s="439">
        <f t="shared" si="263"/>
        <v>0</v>
      </c>
      <c r="GP52" s="439">
        <f t="shared" si="264"/>
        <v>0</v>
      </c>
      <c r="GQ52" s="439">
        <f t="shared" si="265"/>
        <v>0</v>
      </c>
      <c r="GR52" s="439">
        <f t="shared" si="266"/>
        <v>0</v>
      </c>
      <c r="GS52" s="439">
        <f t="shared" si="267"/>
        <v>0</v>
      </c>
      <c r="GT52" s="442">
        <f t="shared" si="268"/>
        <v>0</v>
      </c>
      <c r="GU52" s="442">
        <f t="shared" si="269"/>
        <v>0</v>
      </c>
      <c r="GV52" s="439">
        <f t="shared" si="270"/>
        <v>0</v>
      </c>
      <c r="GW52" s="439">
        <f t="shared" si="271"/>
        <v>0</v>
      </c>
      <c r="GX52" s="661">
        <f t="shared" si="272"/>
        <v>0</v>
      </c>
      <c r="GY52" s="661">
        <f t="shared" si="273"/>
        <v>0</v>
      </c>
      <c r="GZ52" s="439">
        <f t="shared" si="274"/>
        <v>0</v>
      </c>
      <c r="HA52" s="439">
        <f t="shared" si="275"/>
        <v>0</v>
      </c>
      <c r="HB52" s="439">
        <f t="shared" si="276"/>
        <v>0</v>
      </c>
      <c r="HC52" s="439">
        <f t="shared" si="277"/>
        <v>0</v>
      </c>
      <c r="HD52" s="631" t="s">
        <v>92</v>
      </c>
      <c r="HE52" s="631">
        <f t="shared" si="306"/>
        <v>0.18787230735521956</v>
      </c>
      <c r="HG52" s="618">
        <f>HLOOKUP(CQ52,Spec_Sheet!$F$3:$DV$19,11,FALSE)+HLOOKUP(CQ52,Spec_Sheet!$F$3:$DV$21,19,FALSE)</f>
        <v>120</v>
      </c>
      <c r="HH52" s="618">
        <f t="shared" si="154"/>
        <v>100</v>
      </c>
      <c r="HI52" s="634">
        <f t="shared" si="155"/>
        <v>150</v>
      </c>
      <c r="HJ52" s="634">
        <f>HLOOKUP(IF(LEN(CQ52)&gt;6,LEFT(CQ52,5),CQ52),'LSM List Pricing'!$B$1:$BW$2,2,0)</f>
        <v>12</v>
      </c>
      <c r="HK52" s="634">
        <f>HLOOKUP(HJ52,'LSM List Pricing'!$B$2:$BW$3,2)</f>
        <v>580</v>
      </c>
      <c r="HL52" s="634">
        <f>VLOOKUP(HH52,'LSM List Pricing'!$A$7:$BW$87,HJ52,0)</f>
        <v>450</v>
      </c>
      <c r="HM52" s="627">
        <f>VLOOKUP(HI52,'LSM List Pricing'!$A$7:$BW$87,HJ52,1)</f>
        <v>520</v>
      </c>
      <c r="HN52" s="628">
        <f t="shared" si="307"/>
        <v>2.641025641025641</v>
      </c>
      <c r="HO52" s="628">
        <f t="shared" si="308"/>
        <v>5.2820512820512819</v>
      </c>
      <c r="HP52" s="628">
        <f t="shared" si="309"/>
        <v>4.3076923076923075</v>
      </c>
      <c r="HR52" s="618">
        <v>2.4500000000000001E-2</v>
      </c>
      <c r="HS52" s="618">
        <f t="shared" si="109"/>
        <v>164.5</v>
      </c>
      <c r="HT52" s="618">
        <f t="shared" si="110"/>
        <v>1</v>
      </c>
      <c r="HU52" s="618">
        <f t="shared" si="170"/>
        <v>0.62375337849937496</v>
      </c>
      <c r="HW52" s="618">
        <f t="shared" si="111"/>
        <v>35.114270202530889</v>
      </c>
      <c r="HX52" s="618">
        <f t="shared" si="171"/>
        <v>0.61592348589766999</v>
      </c>
      <c r="HY52" s="618">
        <f t="shared" si="172"/>
        <v>2.4500000000000001E-2</v>
      </c>
      <c r="IB52" s="618">
        <f t="shared" si="113"/>
        <v>25.000350341399081</v>
      </c>
      <c r="IC52" s="618">
        <f t="shared" si="114"/>
        <v>1E-3</v>
      </c>
      <c r="IE52" s="618">
        <f t="shared" si="115"/>
        <v>0</v>
      </c>
      <c r="IF52" s="618">
        <f t="shared" si="116"/>
        <v>40.704999999999998</v>
      </c>
      <c r="IH52" s="618">
        <f t="shared" si="117"/>
        <v>0</v>
      </c>
      <c r="II52" s="618">
        <f t="shared" si="118"/>
        <v>40.704999999999998</v>
      </c>
      <c r="IK52" s="618">
        <f t="shared" si="119"/>
        <v>0</v>
      </c>
      <c r="IL52" s="618">
        <f t="shared" si="120"/>
        <v>40.704999999999998</v>
      </c>
      <c r="IN52" s="618">
        <f t="shared" si="121"/>
        <v>0</v>
      </c>
      <c r="IO52" s="618">
        <f t="shared" si="122"/>
        <v>40.704999999999998</v>
      </c>
      <c r="IQ52" s="618">
        <f t="shared" si="123"/>
        <v>0</v>
      </c>
      <c r="IR52" s="618">
        <f t="shared" si="124"/>
        <v>40.704999999999998</v>
      </c>
      <c r="IT52" s="660" t="str">
        <f t="shared" si="278"/>
        <v>L250TS</v>
      </c>
      <c r="IU52" s="628"/>
      <c r="IV52" s="439">
        <f t="shared" si="279"/>
        <v>3.1768800000000006</v>
      </c>
      <c r="IW52" s="440">
        <f t="shared" si="280"/>
        <v>2.4328800000000004</v>
      </c>
      <c r="IX52" s="439">
        <f t="shared" si="281"/>
        <v>-1.6888800000000004</v>
      </c>
      <c r="IY52" s="439">
        <f t="shared" si="282"/>
        <v>0</v>
      </c>
      <c r="IZ52" s="439">
        <f t="shared" si="283"/>
        <v>0</v>
      </c>
      <c r="JA52" s="439">
        <f t="shared" si="284"/>
        <v>0</v>
      </c>
      <c r="JB52" s="439">
        <f t="shared" si="285"/>
        <v>0</v>
      </c>
      <c r="JC52" s="439">
        <f t="shared" si="286"/>
        <v>0</v>
      </c>
      <c r="JD52" s="439">
        <f t="shared" si="287"/>
        <v>0</v>
      </c>
      <c r="JE52" s="439">
        <f t="shared" si="288"/>
        <v>0</v>
      </c>
      <c r="JF52" s="439">
        <f t="shared" si="289"/>
        <v>0</v>
      </c>
      <c r="JG52" s="439">
        <f t="shared" si="290"/>
        <v>0</v>
      </c>
      <c r="JH52" s="439">
        <f t="shared" si="291"/>
        <v>0</v>
      </c>
      <c r="JI52" s="439">
        <f t="shared" si="292"/>
        <v>0</v>
      </c>
      <c r="JJ52" s="442">
        <f t="shared" si="293"/>
        <v>0</v>
      </c>
      <c r="JK52" s="442">
        <f t="shared" si="294"/>
        <v>0</v>
      </c>
      <c r="JL52" s="439">
        <f t="shared" si="295"/>
        <v>0</v>
      </c>
      <c r="JM52" s="439">
        <f t="shared" si="296"/>
        <v>0</v>
      </c>
      <c r="JN52" s="661">
        <f t="shared" si="297"/>
        <v>0</v>
      </c>
      <c r="JO52" s="661">
        <f t="shared" si="298"/>
        <v>0</v>
      </c>
      <c r="JP52" s="439">
        <f t="shared" si="299"/>
        <v>0</v>
      </c>
      <c r="JQ52" s="439">
        <f t="shared" si="300"/>
        <v>0</v>
      </c>
      <c r="JR52" s="439">
        <f t="shared" si="301"/>
        <v>0</v>
      </c>
      <c r="JS52" s="439">
        <f t="shared" si="302"/>
        <v>0</v>
      </c>
      <c r="JT52" s="631" t="s">
        <v>92</v>
      </c>
      <c r="JU52" s="631">
        <f t="shared" si="158"/>
        <v>0.32355786266732267</v>
      </c>
      <c r="JW52" s="522"/>
      <c r="JX52" s="522"/>
      <c r="JY52" s="522"/>
      <c r="JZ52" s="522"/>
      <c r="KA52" s="522"/>
      <c r="KB52" s="522"/>
      <c r="KC52" s="522"/>
      <c r="KD52" s="522"/>
      <c r="KE52" s="522"/>
      <c r="KF52" s="522"/>
      <c r="KG52" s="522"/>
      <c r="KH52" s="522"/>
      <c r="KI52" s="522"/>
      <c r="KJ52" s="522"/>
      <c r="KK52" s="522"/>
      <c r="KL52" s="522"/>
    </row>
    <row r="53" spans="1:298" ht="9.9499999999999993" customHeight="1">
      <c r="A53" s="377"/>
      <c r="B53" s="153"/>
      <c r="C53" s="267"/>
      <c r="D53" s="267"/>
      <c r="E53" s="45"/>
      <c r="F53" s="45"/>
      <c r="G53" s="45"/>
      <c r="H53" s="45"/>
      <c r="I53" s="45"/>
      <c r="J53" s="45"/>
      <c r="K53" s="45"/>
      <c r="L53" s="45"/>
      <c r="M53" s="45"/>
      <c r="N53" s="45"/>
      <c r="O53" s="45"/>
      <c r="P53" s="45"/>
      <c r="Q53" s="45"/>
      <c r="R53" s="45"/>
      <c r="S53" s="45"/>
      <c r="T53" s="45"/>
      <c r="U53" s="154"/>
      <c r="V53" s="154"/>
      <c r="W53" s="45"/>
      <c r="X53" s="45"/>
      <c r="Y53" s="45"/>
      <c r="Z53" s="45"/>
      <c r="AA53" s="45"/>
      <c r="AB53" s="45"/>
      <c r="AC53" s="154"/>
      <c r="AD53" s="154"/>
      <c r="AE53" s="45"/>
      <c r="AF53" s="45"/>
      <c r="AG53" s="45"/>
      <c r="AH53" s="45"/>
      <c r="AI53" s="45"/>
      <c r="AJ53" s="45"/>
      <c r="AK53" s="45"/>
      <c r="AL53" s="154"/>
      <c r="AM53" s="154"/>
      <c r="AN53" s="45"/>
      <c r="AO53" s="45"/>
      <c r="AP53" s="45"/>
      <c r="AQ53" s="45"/>
      <c r="AR53" s="45"/>
      <c r="AS53" s="45"/>
      <c r="AT53" s="154"/>
      <c r="AU53" s="154"/>
      <c r="AV53" s="93">
        <f>IF($AY$30,E84,0)*$D$82</f>
        <v>0.6399999999999999</v>
      </c>
      <c r="AW53" s="93">
        <f>IF($AY$32,'Data Sheet'!AA74,0)</f>
        <v>0.51344999999999996</v>
      </c>
      <c r="AX53" s="93">
        <f t="shared" si="305"/>
        <v>0.69700000000000006</v>
      </c>
      <c r="AY53" s="444"/>
      <c r="AZ53" s="423"/>
      <c r="BA53" s="423"/>
      <c r="BB53" s="708" t="str">
        <f t="shared" ca="1" si="168"/>
        <v>S250D 1S</v>
      </c>
      <c r="BC53" s="709"/>
      <c r="BD53" s="710"/>
      <c r="BE53" s="342">
        <f t="shared" ca="1" si="160"/>
        <v>1.5319446124554732E-3</v>
      </c>
      <c r="BF53" s="78">
        <f t="shared" ca="1" si="161"/>
        <v>1.0638504253163005E-3</v>
      </c>
      <c r="BG53" s="490">
        <f t="shared" ca="1" si="162"/>
        <v>1.7979072187845485E-3</v>
      </c>
      <c r="BH53" s="78">
        <f t="shared" ca="1" si="163"/>
        <v>1.2872590146327239E-3</v>
      </c>
      <c r="BI53" s="617">
        <f t="shared" ca="1" si="164"/>
        <v>5.8256449290320614E-4</v>
      </c>
      <c r="BJ53" s="528">
        <f t="shared" ca="1" si="165"/>
        <v>2.3846153846153846</v>
      </c>
      <c r="BK53" s="529">
        <f t="shared" ca="1" si="166"/>
        <v>4.7692307692307692</v>
      </c>
      <c r="BL53" s="530">
        <f t="shared" ca="1" si="167"/>
        <v>3.7435897435897436</v>
      </c>
      <c r="BM53" s="155"/>
      <c r="BN53" s="153"/>
      <c r="BO53" s="387" t="s">
        <v>330</v>
      </c>
      <c r="BP53" s="718" t="s">
        <v>364</v>
      </c>
      <c r="BQ53" s="718"/>
      <c r="BR53" s="718"/>
      <c r="BS53" s="718"/>
      <c r="BT53" s="718"/>
      <c r="BU53" s="718"/>
      <c r="BV53" s="718"/>
      <c r="BW53" s="718"/>
      <c r="BX53" s="718"/>
      <c r="BY53" s="718"/>
      <c r="BZ53" s="718"/>
      <c r="CA53" s="718"/>
      <c r="CB53" s="718"/>
      <c r="CC53" s="718"/>
      <c r="CD53" s="718"/>
      <c r="CE53" s="718"/>
      <c r="CF53" s="718"/>
      <c r="CG53" s="718"/>
      <c r="CH53" s="718"/>
      <c r="CI53" s="718"/>
      <c r="CJ53" s="718"/>
      <c r="CK53" s="718"/>
      <c r="CL53" s="718"/>
      <c r="CM53" s="718"/>
      <c r="CN53" s="718"/>
      <c r="CO53" s="692" t="str">
        <f ca="1"/>
        <v>L320D</v>
      </c>
      <c r="CP53" s="632" t="str">
        <f>IF(OR(CQ53=0,CR53="",CS53&gt;120),"",IF(HLOOKUP(CQ53,Spec_Sheet!$F$3:$ED$19,17,FALSE)&lt;$AC$46,"",CQ53))</f>
        <v>L320TS</v>
      </c>
      <c r="CQ53" s="660" t="str">
        <f>IF(Spec_Sheet!A52="","",Spec_Sheet!A52)</f>
        <v>L320TS</v>
      </c>
      <c r="CR53" s="660">
        <f>IF(CQ53="",0,HLOOKUP(CQ53,Spec_Sheet!$F$3:$ED$19,2,FALSE))</f>
        <v>48.233069540148037</v>
      </c>
      <c r="CS53" s="660">
        <f t="shared" si="169"/>
        <v>1.0187667598380355E-3</v>
      </c>
      <c r="CT53" s="621">
        <f t="shared" si="310"/>
        <v>1.3933779211688852E-3</v>
      </c>
      <c r="CU53" s="621">
        <f t="shared" si="181"/>
        <v>1.0187667598380355E-3</v>
      </c>
      <c r="CV53" s="621">
        <f t="shared" si="311"/>
        <v>2.7253693649243751E-3</v>
      </c>
      <c r="CW53" s="621">
        <f t="shared" si="312"/>
        <v>2.1897924702091766E-3</v>
      </c>
      <c r="CX53" s="621">
        <f t="shared" si="157"/>
        <v>8.9337811184374998E-4</v>
      </c>
      <c r="CY53" s="619">
        <f>HLOOKUP(CQ53,Spec_Sheet!$F$3:$ED$19,13,FALSE)</f>
        <v>0.98</v>
      </c>
      <c r="CZ53" s="619">
        <f>VLOOKUP(HH53,'Shaft Weight'!$A$6:$CD$102,HJ53,TRUE)</f>
        <v>1.53</v>
      </c>
      <c r="DA53" s="619">
        <f>VLOOKUP(HI53,'Shaft Weight'!$A$6:$CD$102,HJ53,0)</f>
        <v>1.81</v>
      </c>
      <c r="DB53" s="619">
        <f>HLOOKUP(CQ53,Spec_Sheet!$F$3:$ED$19,6,FALSE)</f>
        <v>32.9</v>
      </c>
      <c r="DC53" s="439">
        <f t="shared" si="182"/>
        <v>1.7677799999999999</v>
      </c>
      <c r="DD53" s="440">
        <f t="shared" si="183"/>
        <v>1.35378</v>
      </c>
      <c r="DE53" s="439">
        <f t="shared" si="184"/>
        <v>-0.93978000000000006</v>
      </c>
      <c r="DF53" s="439">
        <f t="shared" si="185"/>
        <v>0</v>
      </c>
      <c r="DG53" s="439">
        <f t="shared" si="186"/>
        <v>0</v>
      </c>
      <c r="DH53" s="439">
        <f t="shared" si="187"/>
        <v>0</v>
      </c>
      <c r="DI53" s="439">
        <f t="shared" si="188"/>
        <v>0</v>
      </c>
      <c r="DJ53" s="439">
        <f t="shared" si="189"/>
        <v>0</v>
      </c>
      <c r="DK53" s="439">
        <f t="shared" si="190"/>
        <v>0</v>
      </c>
      <c r="DL53" s="439">
        <f t="shared" si="191"/>
        <v>0</v>
      </c>
      <c r="DM53" s="439">
        <f t="shared" si="192"/>
        <v>0</v>
      </c>
      <c r="DN53" s="439">
        <f t="shared" si="193"/>
        <v>0</v>
      </c>
      <c r="DO53" s="439">
        <f t="shared" si="194"/>
        <v>0</v>
      </c>
      <c r="DP53" s="439">
        <f t="shared" si="195"/>
        <v>0</v>
      </c>
      <c r="DQ53" s="442">
        <f t="shared" si="196"/>
        <v>0</v>
      </c>
      <c r="DR53" s="442">
        <f t="shared" si="197"/>
        <v>0</v>
      </c>
      <c r="DS53" s="439">
        <f t="shared" si="198"/>
        <v>0</v>
      </c>
      <c r="DT53" s="439">
        <f t="shared" si="199"/>
        <v>0</v>
      </c>
      <c r="DU53" s="661">
        <f t="shared" si="200"/>
        <v>0</v>
      </c>
      <c r="DV53" s="661">
        <f t="shared" si="201"/>
        <v>0</v>
      </c>
      <c r="DW53" s="439">
        <f t="shared" si="202"/>
        <v>0</v>
      </c>
      <c r="DX53" s="439">
        <f t="shared" si="203"/>
        <v>0</v>
      </c>
      <c r="DY53" s="439">
        <f t="shared" si="204"/>
        <v>0</v>
      </c>
      <c r="DZ53" s="439">
        <f t="shared" si="205"/>
        <v>0</v>
      </c>
      <c r="EA53" s="631" t="s">
        <v>92</v>
      </c>
      <c r="EB53" s="631">
        <f t="shared" si="151"/>
        <v>0.18004429454875209</v>
      </c>
      <c r="ED53" s="439">
        <f t="shared" si="206"/>
        <v>4.4322600000000003</v>
      </c>
      <c r="EE53" s="440">
        <f t="shared" si="207"/>
        <v>3.3942600000000001</v>
      </c>
      <c r="EF53" s="439">
        <f t="shared" si="208"/>
        <v>-2.3562599999999998</v>
      </c>
      <c r="EG53" s="441">
        <f t="shared" si="209"/>
        <v>0</v>
      </c>
      <c r="EH53" s="439">
        <f t="shared" si="210"/>
        <v>0</v>
      </c>
      <c r="EI53" s="439">
        <f t="shared" si="211"/>
        <v>0</v>
      </c>
      <c r="EJ53" s="439">
        <f t="shared" si="212"/>
        <v>0</v>
      </c>
      <c r="EK53" s="439">
        <f t="shared" si="213"/>
        <v>0</v>
      </c>
      <c r="EL53" s="439">
        <f t="shared" si="214"/>
        <v>0</v>
      </c>
      <c r="EM53" s="439">
        <f t="shared" si="215"/>
        <v>0</v>
      </c>
      <c r="EN53" s="439">
        <f t="shared" si="216"/>
        <v>0</v>
      </c>
      <c r="EO53" s="439">
        <f t="shared" si="217"/>
        <v>0</v>
      </c>
      <c r="EP53" s="439">
        <f t="shared" si="218"/>
        <v>0</v>
      </c>
      <c r="EQ53" s="439">
        <f t="shared" si="219"/>
        <v>0</v>
      </c>
      <c r="ER53" s="442">
        <f t="shared" si="220"/>
        <v>0</v>
      </c>
      <c r="ES53" s="442">
        <f t="shared" si="221"/>
        <v>0</v>
      </c>
      <c r="ET53" s="439">
        <f t="shared" si="222"/>
        <v>0</v>
      </c>
      <c r="EU53" s="439">
        <f t="shared" si="223"/>
        <v>0</v>
      </c>
      <c r="EV53" s="661">
        <f t="shared" si="224"/>
        <v>0</v>
      </c>
      <c r="EW53" s="661">
        <f t="shared" si="225"/>
        <v>0</v>
      </c>
      <c r="EX53" s="439">
        <f t="shared" si="226"/>
        <v>0</v>
      </c>
      <c r="EY53" s="439">
        <f t="shared" si="227"/>
        <v>0</v>
      </c>
      <c r="EZ53" s="439">
        <f t="shared" si="228"/>
        <v>0</v>
      </c>
      <c r="FA53" s="439">
        <f t="shared" si="229"/>
        <v>0</v>
      </c>
      <c r="FB53" s="631" t="s">
        <v>92</v>
      </c>
      <c r="FC53" s="631">
        <f t="shared" si="152"/>
        <v>0.45141540517295814</v>
      </c>
      <c r="FE53" s="439">
        <f t="shared" si="230"/>
        <v>2.4723300000000004</v>
      </c>
      <c r="FF53" s="440">
        <f t="shared" si="231"/>
        <v>1.8933300000000004</v>
      </c>
      <c r="FG53" s="439">
        <f t="shared" si="232"/>
        <v>-1.3143300000000004</v>
      </c>
      <c r="FH53" s="441">
        <f t="shared" si="233"/>
        <v>0</v>
      </c>
      <c r="FI53" s="439">
        <f t="shared" si="234"/>
        <v>0</v>
      </c>
      <c r="FJ53" s="439">
        <f t="shared" si="235"/>
        <v>0</v>
      </c>
      <c r="FK53" s="439">
        <f t="shared" si="236"/>
        <v>0</v>
      </c>
      <c r="FL53" s="439">
        <f t="shared" si="237"/>
        <v>0</v>
      </c>
      <c r="FM53" s="439">
        <f t="shared" si="238"/>
        <v>0</v>
      </c>
      <c r="FN53" s="439">
        <f t="shared" si="239"/>
        <v>0</v>
      </c>
      <c r="FO53" s="439">
        <f t="shared" si="240"/>
        <v>0</v>
      </c>
      <c r="FP53" s="439">
        <f t="shared" si="241"/>
        <v>0</v>
      </c>
      <c r="FQ53" s="439">
        <f t="shared" si="242"/>
        <v>0</v>
      </c>
      <c r="FR53" s="439">
        <f t="shared" si="243"/>
        <v>0</v>
      </c>
      <c r="FS53" s="442">
        <f t="shared" si="244"/>
        <v>0</v>
      </c>
      <c r="FT53" s="442">
        <f t="shared" si="245"/>
        <v>0</v>
      </c>
      <c r="FU53" s="439">
        <f t="shared" si="246"/>
        <v>0</v>
      </c>
      <c r="FV53" s="439">
        <f t="shared" si="247"/>
        <v>0</v>
      </c>
      <c r="FW53" s="661">
        <f t="shared" si="248"/>
        <v>0</v>
      </c>
      <c r="FX53" s="661">
        <f t="shared" si="249"/>
        <v>0</v>
      </c>
      <c r="FY53" s="439">
        <f t="shared" si="250"/>
        <v>0</v>
      </c>
      <c r="FZ53" s="439">
        <f t="shared" si="251"/>
        <v>0</v>
      </c>
      <c r="GA53" s="439">
        <f t="shared" si="252"/>
        <v>0</v>
      </c>
      <c r="GB53" s="439">
        <f t="shared" si="253"/>
        <v>0</v>
      </c>
      <c r="GC53" s="631" t="s">
        <v>92</v>
      </c>
      <c r="GD53" s="631">
        <f t="shared" si="153"/>
        <v>0.25180107860803735</v>
      </c>
      <c r="GF53" s="439">
        <f t="shared" si="254"/>
        <v>2.83101</v>
      </c>
      <c r="GG53" s="440">
        <f t="shared" si="255"/>
        <v>2.1680100000000002</v>
      </c>
      <c r="GH53" s="439">
        <f t="shared" si="256"/>
        <v>-1.5050100000000004</v>
      </c>
      <c r="GI53" s="439">
        <f t="shared" si="257"/>
        <v>0</v>
      </c>
      <c r="GJ53" s="439">
        <f t="shared" si="258"/>
        <v>0</v>
      </c>
      <c r="GK53" s="439">
        <f t="shared" si="259"/>
        <v>0</v>
      </c>
      <c r="GL53" s="439">
        <f t="shared" si="260"/>
        <v>0</v>
      </c>
      <c r="GM53" s="439">
        <f t="shared" si="261"/>
        <v>0</v>
      </c>
      <c r="GN53" s="439">
        <f t="shared" si="262"/>
        <v>0</v>
      </c>
      <c r="GO53" s="439">
        <f t="shared" si="263"/>
        <v>0</v>
      </c>
      <c r="GP53" s="439">
        <f t="shared" si="264"/>
        <v>0</v>
      </c>
      <c r="GQ53" s="439">
        <f t="shared" si="265"/>
        <v>0</v>
      </c>
      <c r="GR53" s="439">
        <f t="shared" si="266"/>
        <v>0</v>
      </c>
      <c r="GS53" s="439">
        <f t="shared" si="267"/>
        <v>0</v>
      </c>
      <c r="GT53" s="442">
        <f t="shared" si="268"/>
        <v>0</v>
      </c>
      <c r="GU53" s="442">
        <f t="shared" si="269"/>
        <v>0</v>
      </c>
      <c r="GV53" s="439">
        <f t="shared" si="270"/>
        <v>0</v>
      </c>
      <c r="GW53" s="439">
        <f t="shared" si="271"/>
        <v>0</v>
      </c>
      <c r="GX53" s="661">
        <f t="shared" si="272"/>
        <v>0</v>
      </c>
      <c r="GY53" s="661">
        <f t="shared" si="273"/>
        <v>0</v>
      </c>
      <c r="GZ53" s="439">
        <f t="shared" si="274"/>
        <v>0</v>
      </c>
      <c r="HA53" s="439">
        <f t="shared" si="275"/>
        <v>0</v>
      </c>
      <c r="HB53" s="439">
        <f t="shared" si="276"/>
        <v>0</v>
      </c>
      <c r="HC53" s="439">
        <f t="shared" si="277"/>
        <v>0</v>
      </c>
      <c r="HD53" s="631" t="s">
        <v>92</v>
      </c>
      <c r="HE53" s="631">
        <f t="shared" si="306"/>
        <v>0.28833180503821892</v>
      </c>
      <c r="HG53" s="618">
        <f>HLOOKUP(CQ53,Spec_Sheet!$F$3:$DV$19,11,FALSE)+HLOOKUP(CQ53,Spec_Sheet!$F$3:$DV$21,19,FALSE)</f>
        <v>120</v>
      </c>
      <c r="HH53" s="618">
        <f t="shared" si="154"/>
        <v>100</v>
      </c>
      <c r="HI53" s="634">
        <f t="shared" si="155"/>
        <v>150</v>
      </c>
      <c r="HJ53" s="634">
        <f>HLOOKUP(IF(LEN(CQ53)&gt;6,LEFT(CQ53,5),CQ53),'LSM List Pricing'!$B$1:$BW$2,2,0)</f>
        <v>19</v>
      </c>
      <c r="HK53" s="634">
        <f>HLOOKUP(HJ53,'LSM List Pricing'!$B$2:$BW$3,2)</f>
        <v>560</v>
      </c>
      <c r="HL53" s="634">
        <f>VLOOKUP(HH53,'LSM List Pricing'!$A$7:$BW$87,HJ53,0)</f>
        <v>620</v>
      </c>
      <c r="HM53" s="627">
        <f>VLOOKUP(HI53,'LSM List Pricing'!$A$7:$BW$87,HJ53,1)</f>
        <v>720</v>
      </c>
      <c r="HN53" s="628">
        <f t="shared" si="307"/>
        <v>3.0256410256410255</v>
      </c>
      <c r="HO53" s="628">
        <f t="shared" si="308"/>
        <v>6.0512820512820511</v>
      </c>
      <c r="HP53" s="628">
        <f t="shared" si="309"/>
        <v>4.7179487179487181</v>
      </c>
      <c r="HR53" s="618">
        <v>2.5000000000000001E-2</v>
      </c>
      <c r="HS53" s="618">
        <f t="shared" si="109"/>
        <v>167.85714285714286</v>
      </c>
      <c r="HT53" s="618">
        <f t="shared" si="110"/>
        <v>1</v>
      </c>
      <c r="HU53" s="618">
        <f t="shared" si="170"/>
        <v>0.63649242247299975</v>
      </c>
      <c r="HW53" s="618">
        <f t="shared" si="111"/>
        <v>35.096180760088338</v>
      </c>
      <c r="HX53" s="618">
        <f t="shared" si="171"/>
        <v>0.62834270228681022</v>
      </c>
      <c r="HY53" s="618">
        <f t="shared" si="172"/>
        <v>2.5000000000000001E-2</v>
      </c>
      <c r="IB53" s="618">
        <f t="shared" si="113"/>
        <v>25.000350341399081</v>
      </c>
      <c r="IC53" s="618">
        <f t="shared" si="114"/>
        <v>1E-3</v>
      </c>
      <c r="IE53" s="618">
        <f t="shared" si="115"/>
        <v>0</v>
      </c>
      <c r="IF53" s="618">
        <f t="shared" si="116"/>
        <v>40.704999999999998</v>
      </c>
      <c r="IH53" s="618">
        <f t="shared" si="117"/>
        <v>0</v>
      </c>
      <c r="II53" s="618">
        <f t="shared" si="118"/>
        <v>40.704999999999998</v>
      </c>
      <c r="IK53" s="618">
        <f t="shared" si="119"/>
        <v>0</v>
      </c>
      <c r="IL53" s="618">
        <f t="shared" si="120"/>
        <v>40.704999999999998</v>
      </c>
      <c r="IN53" s="618">
        <f t="shared" si="121"/>
        <v>0</v>
      </c>
      <c r="IO53" s="618">
        <f t="shared" si="122"/>
        <v>40.704999999999998</v>
      </c>
      <c r="IQ53" s="618">
        <f t="shared" si="123"/>
        <v>0</v>
      </c>
      <c r="IR53" s="618">
        <f t="shared" si="124"/>
        <v>40.704999999999998</v>
      </c>
      <c r="IT53" s="660" t="str">
        <f t="shared" si="278"/>
        <v>L320TS</v>
      </c>
      <c r="IU53" s="628"/>
      <c r="IV53" s="439">
        <f t="shared" si="279"/>
        <v>3.0231599999999998</v>
      </c>
      <c r="IW53" s="440">
        <f t="shared" si="280"/>
        <v>2.3151600000000001</v>
      </c>
      <c r="IX53" s="439">
        <f t="shared" si="281"/>
        <v>-1.6071600000000001</v>
      </c>
      <c r="IY53" s="439">
        <f t="shared" si="282"/>
        <v>0</v>
      </c>
      <c r="IZ53" s="439">
        <f t="shared" si="283"/>
        <v>0</v>
      </c>
      <c r="JA53" s="439">
        <f t="shared" si="284"/>
        <v>0</v>
      </c>
      <c r="JB53" s="439">
        <f t="shared" si="285"/>
        <v>0</v>
      </c>
      <c r="JC53" s="439">
        <f t="shared" si="286"/>
        <v>0</v>
      </c>
      <c r="JD53" s="439">
        <f t="shared" si="287"/>
        <v>0</v>
      </c>
      <c r="JE53" s="439">
        <f t="shared" si="288"/>
        <v>0</v>
      </c>
      <c r="JF53" s="439">
        <f t="shared" si="289"/>
        <v>0</v>
      </c>
      <c r="JG53" s="439">
        <f t="shared" si="290"/>
        <v>0</v>
      </c>
      <c r="JH53" s="439">
        <f t="shared" si="291"/>
        <v>0</v>
      </c>
      <c r="JI53" s="439">
        <f t="shared" si="292"/>
        <v>0</v>
      </c>
      <c r="JJ53" s="442">
        <f t="shared" si="293"/>
        <v>0</v>
      </c>
      <c r="JK53" s="442">
        <f t="shared" si="294"/>
        <v>0</v>
      </c>
      <c r="JL53" s="439">
        <f t="shared" si="295"/>
        <v>0</v>
      </c>
      <c r="JM53" s="439">
        <f t="shared" si="296"/>
        <v>0</v>
      </c>
      <c r="JN53" s="661">
        <f t="shared" si="297"/>
        <v>0</v>
      </c>
      <c r="JO53" s="661">
        <f t="shared" si="298"/>
        <v>0</v>
      </c>
      <c r="JP53" s="439">
        <f t="shared" si="299"/>
        <v>0</v>
      </c>
      <c r="JQ53" s="439">
        <f t="shared" si="300"/>
        <v>0</v>
      </c>
      <c r="JR53" s="439">
        <f t="shared" si="301"/>
        <v>0</v>
      </c>
      <c r="JS53" s="439">
        <f t="shared" si="302"/>
        <v>0</v>
      </c>
      <c r="JT53" s="631" t="s">
        <v>92</v>
      </c>
      <c r="JU53" s="631">
        <f t="shared" si="158"/>
        <v>0.30790183705438762</v>
      </c>
      <c r="JW53" s="522"/>
      <c r="JX53" s="522"/>
      <c r="JY53" s="522"/>
      <c r="JZ53" s="522"/>
      <c r="KA53" s="522"/>
      <c r="KB53" s="522"/>
      <c r="KC53" s="522"/>
      <c r="KD53" s="522"/>
      <c r="KE53" s="522"/>
      <c r="KF53" s="522"/>
      <c r="KG53" s="522"/>
      <c r="KH53" s="522"/>
      <c r="KI53" s="522"/>
      <c r="KJ53" s="522"/>
      <c r="KK53" s="522"/>
      <c r="KL53" s="522"/>
    </row>
    <row r="54" spans="1:298" ht="9.9499999999999993" customHeight="1" thickBot="1">
      <c r="A54" s="377"/>
      <c r="B54" s="577"/>
      <c r="C54" s="267"/>
      <c r="D54" s="267"/>
      <c r="E54" s="45"/>
      <c r="F54" s="45"/>
      <c r="G54" s="45"/>
      <c r="H54" s="45"/>
      <c r="I54" s="45"/>
      <c r="J54" s="45"/>
      <c r="K54" s="45"/>
      <c r="L54" s="45"/>
      <c r="M54" s="45"/>
      <c r="N54" s="45"/>
      <c r="O54" s="45"/>
      <c r="P54" s="45"/>
      <c r="Q54" s="45"/>
      <c r="R54" s="45"/>
      <c r="S54" s="45"/>
      <c r="T54" s="45"/>
      <c r="U54" s="154"/>
      <c r="V54" s="154"/>
      <c r="W54" s="45"/>
      <c r="X54" s="45"/>
      <c r="Y54" s="45"/>
      <c r="Z54" s="45"/>
      <c r="AA54" s="45"/>
      <c r="AB54" s="45"/>
      <c r="AC54" s="154"/>
      <c r="AD54" s="154"/>
      <c r="AE54" s="45"/>
      <c r="AF54" s="45"/>
      <c r="AG54" s="45"/>
      <c r="AH54" s="45"/>
      <c r="AI54" s="45"/>
      <c r="AJ54" s="45"/>
      <c r="AK54" s="45"/>
      <c r="AL54" s="154"/>
      <c r="AM54" s="154"/>
      <c r="AN54" s="45"/>
      <c r="AO54" s="45"/>
      <c r="AP54" s="45"/>
      <c r="AQ54" s="45"/>
      <c r="AR54" s="45"/>
      <c r="AS54" s="45"/>
      <c r="AT54" s="154"/>
      <c r="AU54" s="154"/>
      <c r="AV54" s="93">
        <f>IF($AY$30,E83,0)*$D$82</f>
        <v>0</v>
      </c>
      <c r="AW54" s="93">
        <f>IF($AY$32,'Data Sheet'!AA75,0)</f>
        <v>0.44145000000000001</v>
      </c>
      <c r="AX54" s="93">
        <f t="shared" si="305"/>
        <v>0.70500000000000007</v>
      </c>
      <c r="AY54" s="513"/>
      <c r="AZ54" s="512"/>
      <c r="BA54" s="423"/>
      <c r="BB54" s="708" t="str">
        <f t="shared" ca="1" si="168"/>
        <v>L350DS</v>
      </c>
      <c r="BC54" s="709"/>
      <c r="BD54" s="710"/>
      <c r="BE54" s="342">
        <f ca="1">INDIRECT(ADDRESS(MATCH(BB54,CQ:CQ,0),99))</f>
        <v>5.4246314176489298E-4</v>
      </c>
      <c r="BF54" s="78">
        <f>CU48</f>
        <v>9.5471764995480634E-4</v>
      </c>
      <c r="BG54" s="491">
        <f>CV48</f>
        <v>1.2504443886877223E-3</v>
      </c>
      <c r="BH54" s="483">
        <f>CW48</f>
        <v>8.1198146796773664E-4</v>
      </c>
      <c r="BI54" s="483">
        <f>CX48</f>
        <v>4.6041553335011932E-4</v>
      </c>
      <c r="BJ54" s="531">
        <f t="shared" ca="1" si="165"/>
        <v>3.0512820512820511</v>
      </c>
      <c r="BK54" s="532">
        <f t="shared" ca="1" si="166"/>
        <v>6.1025641025641022</v>
      </c>
      <c r="BL54" s="533">
        <f t="shared" ca="1" si="167"/>
        <v>4.7948717948717947</v>
      </c>
      <c r="BM54" s="155"/>
      <c r="BN54" s="153"/>
      <c r="BO54" s="387"/>
      <c r="BP54" s="718"/>
      <c r="BQ54" s="718"/>
      <c r="BR54" s="718"/>
      <c r="BS54" s="718"/>
      <c r="BT54" s="718"/>
      <c r="BU54" s="718"/>
      <c r="BV54" s="718"/>
      <c r="BW54" s="718"/>
      <c r="BX54" s="718"/>
      <c r="BY54" s="718"/>
      <c r="BZ54" s="718"/>
      <c r="CA54" s="718"/>
      <c r="CB54" s="718"/>
      <c r="CC54" s="718"/>
      <c r="CD54" s="718"/>
      <c r="CE54" s="718"/>
      <c r="CF54" s="718"/>
      <c r="CG54" s="718"/>
      <c r="CH54" s="718"/>
      <c r="CI54" s="718"/>
      <c r="CJ54" s="718"/>
      <c r="CK54" s="718"/>
      <c r="CL54" s="718"/>
      <c r="CM54" s="718"/>
      <c r="CN54" s="718"/>
      <c r="CO54" s="692" t="str">
        <f ca="1"/>
        <v>L320D-1S</v>
      </c>
      <c r="CP54" s="632" t="str">
        <f>IF(OR(CQ54=0,CR54="",CS54&gt;120),"",IF(HLOOKUP(CQ54,Spec_Sheet!$F$3:$ED$19,17,FALSE)&lt;$AC$46,"",CQ54))</f>
        <v>L250T</v>
      </c>
      <c r="CQ54" s="660" t="str">
        <f>IF(Spec_Sheet!A53="","",Spec_Sheet!A53)</f>
        <v>L250T</v>
      </c>
      <c r="CR54" s="660">
        <f>IF(CQ54="",0,HLOOKUP(CQ54,Spec_Sheet!$F$3:$ED$19,2,FALSE))</f>
        <v>51.674999999999997</v>
      </c>
      <c r="CS54" s="660">
        <f t="shared" si="169"/>
        <v>1.1590146345862803E-3</v>
      </c>
      <c r="CT54" s="621">
        <f t="shared" si="310"/>
        <v>1.5283267935426157E-3</v>
      </c>
      <c r="CU54" s="621">
        <f t="shared" si="181"/>
        <v>1.1590146345862803E-3</v>
      </c>
      <c r="CV54" s="621">
        <f t="shared" si="311"/>
        <v>1.3587679524761373E-3</v>
      </c>
      <c r="CW54" s="621">
        <f t="shared" si="312"/>
        <v>1.0120003759387861E-3</v>
      </c>
      <c r="CX54" s="621">
        <f t="shared" si="157"/>
        <v>5.1632672241774759E-4</v>
      </c>
      <c r="CY54" s="619">
        <f>HLOOKUP(CQ54,Spec_Sheet!$F$3:$ED$19,13,FALSE)</f>
        <v>1.1484183936571584</v>
      </c>
      <c r="CZ54" s="619">
        <f>VLOOKUP(HH54,'Shaft Weight'!$A$6:$CD$102,HJ54,TRUE)</f>
        <v>1.06</v>
      </c>
      <c r="DA54" s="619">
        <f>VLOOKUP(HI54,'Shaft Weight'!$A$6:$CD$102,HJ54,0)</f>
        <v>1.4</v>
      </c>
      <c r="DB54" s="619">
        <f>HLOOKUP(CQ54,Spec_Sheet!$F$3:$ED$19,6,FALSE)</f>
        <v>39.75</v>
      </c>
      <c r="DC54" s="439">
        <f t="shared" si="182"/>
        <v>1.9835239622748198</v>
      </c>
      <c r="DD54" s="440">
        <f t="shared" si="183"/>
        <v>1.5189984441776723</v>
      </c>
      <c r="DE54" s="439">
        <f t="shared" si="184"/>
        <v>-1.0544729260805248</v>
      </c>
      <c r="DF54" s="439">
        <f t="shared" si="185"/>
        <v>0</v>
      </c>
      <c r="DG54" s="439">
        <f t="shared" si="186"/>
        <v>0</v>
      </c>
      <c r="DH54" s="439">
        <f t="shared" si="187"/>
        <v>0</v>
      </c>
      <c r="DI54" s="439">
        <f t="shared" si="188"/>
        <v>0</v>
      </c>
      <c r="DJ54" s="439">
        <f t="shared" si="189"/>
        <v>0</v>
      </c>
      <c r="DK54" s="439">
        <f t="shared" si="190"/>
        <v>0</v>
      </c>
      <c r="DL54" s="439">
        <f t="shared" si="191"/>
        <v>0</v>
      </c>
      <c r="DM54" s="439">
        <f t="shared" si="192"/>
        <v>0</v>
      </c>
      <c r="DN54" s="439">
        <f t="shared" si="193"/>
        <v>0</v>
      </c>
      <c r="DO54" s="439">
        <f t="shared" si="194"/>
        <v>0</v>
      </c>
      <c r="DP54" s="439">
        <f t="shared" si="195"/>
        <v>0</v>
      </c>
      <c r="DQ54" s="442">
        <f t="shared" si="196"/>
        <v>0</v>
      </c>
      <c r="DR54" s="442">
        <f t="shared" si="197"/>
        <v>0</v>
      </c>
      <c r="DS54" s="439">
        <f t="shared" si="198"/>
        <v>0</v>
      </c>
      <c r="DT54" s="439">
        <f t="shared" si="199"/>
        <v>0</v>
      </c>
      <c r="DU54" s="661">
        <f t="shared" si="200"/>
        <v>0</v>
      </c>
      <c r="DV54" s="661">
        <f t="shared" si="201"/>
        <v>0</v>
      </c>
      <c r="DW54" s="439">
        <f t="shared" si="202"/>
        <v>0</v>
      </c>
      <c r="DX54" s="439">
        <f t="shared" si="203"/>
        <v>0</v>
      </c>
      <c r="DY54" s="439">
        <f t="shared" si="204"/>
        <v>0</v>
      </c>
      <c r="DZ54" s="439">
        <f t="shared" si="205"/>
        <v>0</v>
      </c>
      <c r="EA54" s="631" t="s">
        <v>92</v>
      </c>
      <c r="EB54" s="631">
        <f t="shared" si="151"/>
        <v>0.20201731692196737</v>
      </c>
      <c r="ED54" s="439">
        <f t="shared" si="206"/>
        <v>3.2281200000000005</v>
      </c>
      <c r="EE54" s="440">
        <f t="shared" si="207"/>
        <v>2.4721200000000003</v>
      </c>
      <c r="EF54" s="439">
        <f t="shared" si="208"/>
        <v>-1.7161200000000003</v>
      </c>
      <c r="EG54" s="441">
        <f t="shared" si="209"/>
        <v>0</v>
      </c>
      <c r="EH54" s="439">
        <f t="shared" si="210"/>
        <v>0</v>
      </c>
      <c r="EI54" s="439">
        <f t="shared" si="211"/>
        <v>0</v>
      </c>
      <c r="EJ54" s="439">
        <f t="shared" si="212"/>
        <v>0</v>
      </c>
      <c r="EK54" s="439">
        <f t="shared" si="213"/>
        <v>0</v>
      </c>
      <c r="EL54" s="439">
        <f t="shared" si="214"/>
        <v>0</v>
      </c>
      <c r="EM54" s="439">
        <f t="shared" si="215"/>
        <v>0</v>
      </c>
      <c r="EN54" s="439">
        <f t="shared" si="216"/>
        <v>0</v>
      </c>
      <c r="EO54" s="439">
        <f t="shared" si="217"/>
        <v>0</v>
      </c>
      <c r="EP54" s="439">
        <f t="shared" si="218"/>
        <v>0</v>
      </c>
      <c r="EQ54" s="439">
        <f t="shared" si="219"/>
        <v>0</v>
      </c>
      <c r="ER54" s="442">
        <f t="shared" si="220"/>
        <v>0</v>
      </c>
      <c r="ES54" s="442">
        <f t="shared" si="221"/>
        <v>0</v>
      </c>
      <c r="ET54" s="439">
        <f t="shared" si="222"/>
        <v>0</v>
      </c>
      <c r="EU54" s="439">
        <f t="shared" si="223"/>
        <v>0</v>
      </c>
      <c r="EV54" s="661">
        <f t="shared" si="224"/>
        <v>0</v>
      </c>
      <c r="EW54" s="661">
        <f t="shared" si="225"/>
        <v>0</v>
      </c>
      <c r="EX54" s="439">
        <f t="shared" si="226"/>
        <v>0</v>
      </c>
      <c r="EY54" s="439">
        <f t="shared" si="227"/>
        <v>0</v>
      </c>
      <c r="EZ54" s="439">
        <f t="shared" si="228"/>
        <v>0</v>
      </c>
      <c r="FA54" s="439">
        <f t="shared" si="229"/>
        <v>0</v>
      </c>
      <c r="FB54" s="631" t="s">
        <v>92</v>
      </c>
      <c r="FC54" s="631">
        <f t="shared" si="152"/>
        <v>0.32877653787163424</v>
      </c>
      <c r="FE54" s="439">
        <f t="shared" si="230"/>
        <v>1.87026</v>
      </c>
      <c r="FF54" s="440">
        <f t="shared" si="231"/>
        <v>1.4322600000000001</v>
      </c>
      <c r="FG54" s="439">
        <f t="shared" si="232"/>
        <v>-0.99426000000000014</v>
      </c>
      <c r="FH54" s="441">
        <f t="shared" si="233"/>
        <v>0</v>
      </c>
      <c r="FI54" s="439">
        <f t="shared" si="234"/>
        <v>0</v>
      </c>
      <c r="FJ54" s="439">
        <f t="shared" si="235"/>
        <v>0</v>
      </c>
      <c r="FK54" s="439">
        <f t="shared" si="236"/>
        <v>0</v>
      </c>
      <c r="FL54" s="439">
        <f t="shared" si="237"/>
        <v>0</v>
      </c>
      <c r="FM54" s="439">
        <f t="shared" si="238"/>
        <v>0</v>
      </c>
      <c r="FN54" s="439">
        <f t="shared" si="239"/>
        <v>0</v>
      </c>
      <c r="FO54" s="439">
        <f t="shared" si="240"/>
        <v>0</v>
      </c>
      <c r="FP54" s="439">
        <f t="shared" si="241"/>
        <v>0</v>
      </c>
      <c r="FQ54" s="439">
        <f t="shared" si="242"/>
        <v>0</v>
      </c>
      <c r="FR54" s="439">
        <f t="shared" si="243"/>
        <v>0</v>
      </c>
      <c r="FS54" s="442">
        <f t="shared" si="244"/>
        <v>0</v>
      </c>
      <c r="FT54" s="442">
        <f t="shared" si="245"/>
        <v>0</v>
      </c>
      <c r="FU54" s="439">
        <f t="shared" si="246"/>
        <v>0</v>
      </c>
      <c r="FV54" s="439">
        <f t="shared" si="247"/>
        <v>0</v>
      </c>
      <c r="FW54" s="661">
        <f t="shared" si="248"/>
        <v>0</v>
      </c>
      <c r="FX54" s="661">
        <f t="shared" si="249"/>
        <v>0</v>
      </c>
      <c r="FY54" s="439">
        <f t="shared" si="250"/>
        <v>0</v>
      </c>
      <c r="FZ54" s="439">
        <f t="shared" si="251"/>
        <v>0</v>
      </c>
      <c r="GA54" s="439">
        <f t="shared" si="252"/>
        <v>0</v>
      </c>
      <c r="GB54" s="439">
        <f t="shared" si="253"/>
        <v>0</v>
      </c>
      <c r="GC54" s="631" t="s">
        <v>92</v>
      </c>
      <c r="GD54" s="631">
        <f t="shared" si="153"/>
        <v>0.19048164495737541</v>
      </c>
      <c r="GF54" s="439">
        <f t="shared" si="254"/>
        <v>2.3057999999999996</v>
      </c>
      <c r="GG54" s="440">
        <f t="shared" si="255"/>
        <v>1.7657999999999998</v>
      </c>
      <c r="GH54" s="439">
        <f t="shared" si="256"/>
        <v>-1.2258</v>
      </c>
      <c r="GI54" s="439">
        <f t="shared" si="257"/>
        <v>0</v>
      </c>
      <c r="GJ54" s="439">
        <f t="shared" si="258"/>
        <v>0</v>
      </c>
      <c r="GK54" s="439">
        <f t="shared" si="259"/>
        <v>0</v>
      </c>
      <c r="GL54" s="439">
        <f t="shared" si="260"/>
        <v>0</v>
      </c>
      <c r="GM54" s="439">
        <f t="shared" si="261"/>
        <v>0</v>
      </c>
      <c r="GN54" s="439">
        <f t="shared" si="262"/>
        <v>0</v>
      </c>
      <c r="GO54" s="439">
        <f t="shared" si="263"/>
        <v>0</v>
      </c>
      <c r="GP54" s="439">
        <f t="shared" si="264"/>
        <v>0</v>
      </c>
      <c r="GQ54" s="439">
        <f t="shared" si="265"/>
        <v>0</v>
      </c>
      <c r="GR54" s="439">
        <f t="shared" si="266"/>
        <v>0</v>
      </c>
      <c r="GS54" s="439">
        <f t="shared" si="267"/>
        <v>0</v>
      </c>
      <c r="GT54" s="442">
        <f t="shared" si="268"/>
        <v>0</v>
      </c>
      <c r="GU54" s="442">
        <f t="shared" si="269"/>
        <v>0</v>
      </c>
      <c r="GV54" s="439">
        <f t="shared" si="270"/>
        <v>0</v>
      </c>
      <c r="GW54" s="439">
        <f t="shared" si="271"/>
        <v>0</v>
      </c>
      <c r="GX54" s="661">
        <f t="shared" si="272"/>
        <v>0</v>
      </c>
      <c r="GY54" s="661">
        <f t="shared" si="273"/>
        <v>0</v>
      </c>
      <c r="GZ54" s="439">
        <f t="shared" si="274"/>
        <v>0</v>
      </c>
      <c r="HA54" s="439">
        <f t="shared" si="275"/>
        <v>0</v>
      </c>
      <c r="HB54" s="439">
        <f t="shared" si="276"/>
        <v>0</v>
      </c>
      <c r="HC54" s="439">
        <f t="shared" si="277"/>
        <v>0</v>
      </c>
      <c r="HD54" s="631" t="s">
        <v>92</v>
      </c>
      <c r="HE54" s="631">
        <f t="shared" si="306"/>
        <v>0.23484038419402439</v>
      </c>
      <c r="HG54" s="618">
        <f>HLOOKUP(CQ54,Spec_Sheet!$F$3:$DV$19,11,FALSE)+HLOOKUP(CQ54,Spec_Sheet!$F$3:$DV$21,19,FALSE)</f>
        <v>180</v>
      </c>
      <c r="HH54" s="618">
        <f t="shared" si="154"/>
        <v>100</v>
      </c>
      <c r="HI54" s="634">
        <f t="shared" si="155"/>
        <v>200</v>
      </c>
      <c r="HJ54" s="634">
        <f>HLOOKUP(IF(LEN(CQ54)&gt;6,LEFT(CQ54,5),CQ54),'LSM List Pricing'!$B$1:$BW$2,2,0)</f>
        <v>11</v>
      </c>
      <c r="HK54" s="634">
        <f>HLOOKUP(HJ54,'LSM List Pricing'!$B$2:$BW$3,2)</f>
        <v>540</v>
      </c>
      <c r="HL54" s="634">
        <f>VLOOKUP(HH54,'LSM List Pricing'!$A$7:$BW$87,HJ54,0)</f>
        <v>530</v>
      </c>
      <c r="HM54" s="627">
        <f>VLOOKUP(HI54,'LSM List Pricing'!$A$7:$BW$87,HJ54,1)</f>
        <v>680</v>
      </c>
      <c r="HN54" s="628">
        <f t="shared" si="307"/>
        <v>2.7435897435897436</v>
      </c>
      <c r="HO54" s="628">
        <f t="shared" si="308"/>
        <v>5.4871794871794872</v>
      </c>
      <c r="HP54" s="628">
        <f t="shared" si="309"/>
        <v>4.5128205128205128</v>
      </c>
      <c r="HR54" s="618">
        <v>2.5499999999999998E-2</v>
      </c>
      <c r="HS54" s="618">
        <f t="shared" si="109"/>
        <v>171.21428571428569</v>
      </c>
      <c r="HT54" s="618">
        <f t="shared" si="110"/>
        <v>1</v>
      </c>
      <c r="HU54" s="618">
        <f t="shared" si="170"/>
        <v>0.64923146644662444</v>
      </c>
      <c r="HW54" s="618">
        <f t="shared" si="111"/>
        <v>35.078091317645793</v>
      </c>
      <c r="HX54" s="618">
        <f t="shared" si="171"/>
        <v>0.64075551750365223</v>
      </c>
      <c r="HY54" s="618">
        <f t="shared" si="172"/>
        <v>2.5499999999999998E-2</v>
      </c>
      <c r="IB54" s="618">
        <f t="shared" si="113"/>
        <v>25.000350341399081</v>
      </c>
      <c r="IC54" s="618">
        <f t="shared" si="114"/>
        <v>1E-3</v>
      </c>
      <c r="IE54" s="618">
        <f t="shared" si="115"/>
        <v>0</v>
      </c>
      <c r="IF54" s="618">
        <f t="shared" si="116"/>
        <v>40.704999999999998</v>
      </c>
      <c r="IH54" s="618">
        <f t="shared" si="117"/>
        <v>0</v>
      </c>
      <c r="II54" s="618">
        <f t="shared" si="118"/>
        <v>40.704999999999998</v>
      </c>
      <c r="IK54" s="618">
        <f t="shared" si="119"/>
        <v>0</v>
      </c>
      <c r="IL54" s="618">
        <f t="shared" si="120"/>
        <v>40.704999999999998</v>
      </c>
      <c r="IN54" s="618">
        <f t="shared" si="121"/>
        <v>0</v>
      </c>
      <c r="IO54" s="618">
        <f t="shared" si="122"/>
        <v>40.704999999999998</v>
      </c>
      <c r="IQ54" s="618">
        <f t="shared" si="123"/>
        <v>0</v>
      </c>
      <c r="IR54" s="618">
        <f t="shared" si="124"/>
        <v>40.704999999999998</v>
      </c>
      <c r="IT54" s="660" t="str">
        <f t="shared" si="278"/>
        <v>L250T</v>
      </c>
      <c r="IU54" s="628"/>
      <c r="IV54" s="439">
        <f t="shared" si="279"/>
        <v>3.4546479245496395</v>
      </c>
      <c r="IW54" s="440">
        <f t="shared" si="280"/>
        <v>2.6455968883553447</v>
      </c>
      <c r="IX54" s="439">
        <f t="shared" si="281"/>
        <v>-1.8365458521610498</v>
      </c>
      <c r="IY54" s="439">
        <f t="shared" si="282"/>
        <v>0</v>
      </c>
      <c r="IZ54" s="439">
        <f t="shared" si="283"/>
        <v>0</v>
      </c>
      <c r="JA54" s="439">
        <f t="shared" si="284"/>
        <v>0</v>
      </c>
      <c r="JB54" s="439">
        <f t="shared" si="285"/>
        <v>0</v>
      </c>
      <c r="JC54" s="439">
        <f t="shared" si="286"/>
        <v>0</v>
      </c>
      <c r="JD54" s="439">
        <f t="shared" si="287"/>
        <v>0</v>
      </c>
      <c r="JE54" s="439">
        <f t="shared" si="288"/>
        <v>0</v>
      </c>
      <c r="JF54" s="439">
        <f t="shared" si="289"/>
        <v>0</v>
      </c>
      <c r="JG54" s="439">
        <f t="shared" si="290"/>
        <v>0</v>
      </c>
      <c r="JH54" s="439">
        <f t="shared" si="291"/>
        <v>0</v>
      </c>
      <c r="JI54" s="439">
        <f t="shared" si="292"/>
        <v>0</v>
      </c>
      <c r="JJ54" s="442">
        <f t="shared" si="293"/>
        <v>0</v>
      </c>
      <c r="JK54" s="442">
        <f t="shared" si="294"/>
        <v>0</v>
      </c>
      <c r="JL54" s="439">
        <f t="shared" si="295"/>
        <v>0</v>
      </c>
      <c r="JM54" s="439">
        <f t="shared" si="296"/>
        <v>0</v>
      </c>
      <c r="JN54" s="661">
        <f t="shared" si="297"/>
        <v>0</v>
      </c>
      <c r="JO54" s="661">
        <f t="shared" si="298"/>
        <v>0</v>
      </c>
      <c r="JP54" s="439">
        <f t="shared" si="299"/>
        <v>0</v>
      </c>
      <c r="JQ54" s="439">
        <f t="shared" si="300"/>
        <v>0</v>
      </c>
      <c r="JR54" s="439">
        <f t="shared" si="301"/>
        <v>0</v>
      </c>
      <c r="JS54" s="439">
        <f t="shared" si="302"/>
        <v>0</v>
      </c>
      <c r="JT54" s="631" t="s">
        <v>92</v>
      </c>
      <c r="JU54" s="631">
        <f t="shared" si="158"/>
        <v>0.35184788180081816</v>
      </c>
      <c r="JW54" s="522"/>
      <c r="JX54" s="522"/>
      <c r="JY54" s="522"/>
      <c r="JZ54" s="522"/>
      <c r="KA54" s="522"/>
      <c r="KB54" s="522"/>
      <c r="KC54" s="522"/>
      <c r="KD54" s="522"/>
      <c r="KE54" s="522"/>
      <c r="KF54" s="522"/>
      <c r="KG54" s="522"/>
      <c r="KH54" s="522"/>
      <c r="KI54" s="522"/>
      <c r="KJ54" s="522"/>
      <c r="KK54" s="522"/>
      <c r="KL54" s="522"/>
    </row>
    <row r="55" spans="1:298" ht="9.9499999999999993" customHeight="1">
      <c r="A55" s="377"/>
      <c r="B55" s="153"/>
      <c r="C55" s="267"/>
      <c r="D55" s="267"/>
      <c r="E55" s="45"/>
      <c r="F55" s="45"/>
      <c r="G55" s="45"/>
      <c r="H55" s="45"/>
      <c r="I55" s="45"/>
      <c r="J55" s="45"/>
      <c r="K55" s="45"/>
      <c r="L55" s="45"/>
      <c r="M55" s="45"/>
      <c r="N55" s="45"/>
      <c r="O55" s="45"/>
      <c r="P55" s="45"/>
      <c r="Q55" s="45"/>
      <c r="R55" s="45"/>
      <c r="S55" s="45"/>
      <c r="T55" s="45"/>
      <c r="U55" s="154"/>
      <c r="V55" s="154"/>
      <c r="W55" s="45"/>
      <c r="X55" s="45"/>
      <c r="Y55" s="45"/>
      <c r="Z55" s="45"/>
      <c r="AA55" s="45"/>
      <c r="AB55" s="45"/>
      <c r="AC55" s="154"/>
      <c r="AD55" s="154"/>
      <c r="AE55" s="45"/>
      <c r="AF55" s="45"/>
      <c r="AG55" s="45"/>
      <c r="AH55" s="45"/>
      <c r="AI55" s="45"/>
      <c r="AJ55" s="45"/>
      <c r="AK55" s="45"/>
      <c r="AL55" s="154"/>
      <c r="AM55" s="154"/>
      <c r="AN55" s="45"/>
      <c r="AO55" s="45"/>
      <c r="AP55" s="45"/>
      <c r="AQ55" s="45"/>
      <c r="AR55" s="45"/>
      <c r="AS55" s="45"/>
      <c r="AT55" s="154"/>
      <c r="AU55" s="154"/>
      <c r="AV55" s="93">
        <f>IF($AY$30,F32,0)</f>
        <v>0</v>
      </c>
      <c r="AW55" s="93">
        <f>IF($AY$32,'Data Sheet'!AA76,0)</f>
        <v>0</v>
      </c>
      <c r="AX55" s="93">
        <f>F31</f>
        <v>0.70499999999999996</v>
      </c>
      <c r="AY55" s="444"/>
      <c r="AZ55" s="423"/>
      <c r="BA55" s="423"/>
      <c r="BB55" s="872" t="str">
        <f>IF(OR(CQ133=0,CR133="",O14="TRUE"),"",IF(HLOOKUP(CQ133,Spec_Sheet!$F$3:$ED$19,17,FALSE)&lt;$AC$46,"",Custom!H17))</f>
        <v>S350X-1S</v>
      </c>
      <c r="BC55" s="873"/>
      <c r="BD55" s="874"/>
      <c r="BE55" s="520">
        <f>CT133</f>
        <v>4.5150629728328182E-4</v>
      </c>
      <c r="BF55" s="485">
        <f>CU133</f>
        <v>4.1610820357627221E-4</v>
      </c>
      <c r="BG55" s="328"/>
      <c r="BH55" s="155"/>
      <c r="BI55" s="155"/>
      <c r="BJ55" s="155"/>
      <c r="BK55" s="155"/>
      <c r="BL55" s="155"/>
      <c r="BM55" s="155"/>
      <c r="BN55" s="153"/>
      <c r="BO55" s="387"/>
      <c r="BP55" s="718"/>
      <c r="BQ55" s="718"/>
      <c r="BR55" s="718"/>
      <c r="BS55" s="718"/>
      <c r="BT55" s="718"/>
      <c r="BU55" s="718"/>
      <c r="BV55" s="718"/>
      <c r="BW55" s="718"/>
      <c r="BX55" s="718"/>
      <c r="BY55" s="718"/>
      <c r="BZ55" s="718"/>
      <c r="CA55" s="718"/>
      <c r="CB55" s="718"/>
      <c r="CC55" s="718"/>
      <c r="CD55" s="718"/>
      <c r="CE55" s="718"/>
      <c r="CF55" s="718"/>
      <c r="CG55" s="718"/>
      <c r="CH55" s="718"/>
      <c r="CI55" s="718"/>
      <c r="CJ55" s="718"/>
      <c r="CK55" s="718"/>
      <c r="CL55" s="718"/>
      <c r="CM55" s="718"/>
      <c r="CN55" s="718"/>
      <c r="CO55" s="692" t="str">
        <f ca="1"/>
        <v>L250QS</v>
      </c>
      <c r="CP55" s="632" t="str">
        <f>IF(OR(CQ55=0,CR55="",CS55&gt;120),"",IF(HLOOKUP(CQ55,Spec_Sheet!$F$3:$ED$19,17,FALSE)&lt;$AC$46,"",CQ55))</f>
        <v>L250T-1S</v>
      </c>
      <c r="CQ55" s="660" t="str">
        <f>IF(Spec_Sheet!A54="","",Spec_Sheet!A54)</f>
        <v>L250T-1S</v>
      </c>
      <c r="CR55" s="660">
        <f>IF(CQ55="",0,HLOOKUP(CQ55,Spec_Sheet!$F$3:$ED$19,2,FALSE))</f>
        <v>51.675000000000004</v>
      </c>
      <c r="CS55" s="660">
        <f t="shared" si="169"/>
        <v>1.1590146345862797E-3</v>
      </c>
      <c r="CT55" s="621">
        <f t="shared" si="310"/>
        <v>1.5283267935426151E-3</v>
      </c>
      <c r="CU55" s="621">
        <f t="shared" si="181"/>
        <v>1.1590146345862797E-3</v>
      </c>
      <c r="CV55" s="621">
        <f t="shared" si="311"/>
        <v>1.3587679524761371E-3</v>
      </c>
      <c r="CW55" s="621">
        <f t="shared" si="312"/>
        <v>1.0120003759387852E-3</v>
      </c>
      <c r="CX55" s="621">
        <f t="shared" si="157"/>
        <v>5.1632672241774737E-4</v>
      </c>
      <c r="CY55" s="619">
        <f>HLOOKUP(CQ55,Spec_Sheet!$F$3:$ED$19,13,FALSE)</f>
        <v>1.1484183936571584</v>
      </c>
      <c r="CZ55" s="619">
        <f>VLOOKUP(HH55,'Shaft Weight'!$A$6:$CD$102,HJ55,TRUE)</f>
        <v>1.06</v>
      </c>
      <c r="DA55" s="619">
        <f>VLOOKUP(HI55,'Shaft Weight'!$A$6:$CD$102,HJ55,0)</f>
        <v>1.4</v>
      </c>
      <c r="DB55" s="619">
        <f>HLOOKUP(CQ55,Spec_Sheet!$F$3:$ED$19,6,FALSE)</f>
        <v>13.25</v>
      </c>
      <c r="DC55" s="439">
        <f t="shared" si="182"/>
        <v>1.9835239622748198</v>
      </c>
      <c r="DD55" s="440">
        <f t="shared" si="183"/>
        <v>1.5189984441776723</v>
      </c>
      <c r="DE55" s="439">
        <f t="shared" si="184"/>
        <v>-1.0544729260805248</v>
      </c>
      <c r="DF55" s="439">
        <f t="shared" si="185"/>
        <v>0</v>
      </c>
      <c r="DG55" s="439">
        <f t="shared" si="186"/>
        <v>0</v>
      </c>
      <c r="DH55" s="439">
        <f t="shared" si="187"/>
        <v>0</v>
      </c>
      <c r="DI55" s="439">
        <f t="shared" si="188"/>
        <v>0</v>
      </c>
      <c r="DJ55" s="439">
        <f t="shared" si="189"/>
        <v>0</v>
      </c>
      <c r="DK55" s="439">
        <f t="shared" si="190"/>
        <v>0</v>
      </c>
      <c r="DL55" s="439">
        <f t="shared" si="191"/>
        <v>0</v>
      </c>
      <c r="DM55" s="439">
        <f t="shared" si="192"/>
        <v>0</v>
      </c>
      <c r="DN55" s="439">
        <f t="shared" si="193"/>
        <v>0</v>
      </c>
      <c r="DO55" s="439">
        <f t="shared" si="194"/>
        <v>0</v>
      </c>
      <c r="DP55" s="439">
        <f t="shared" si="195"/>
        <v>0</v>
      </c>
      <c r="DQ55" s="442">
        <f t="shared" si="196"/>
        <v>0</v>
      </c>
      <c r="DR55" s="442">
        <f t="shared" si="197"/>
        <v>0</v>
      </c>
      <c r="DS55" s="439">
        <f t="shared" si="198"/>
        <v>0</v>
      </c>
      <c r="DT55" s="439">
        <f t="shared" si="199"/>
        <v>0</v>
      </c>
      <c r="DU55" s="661">
        <f t="shared" si="200"/>
        <v>0</v>
      </c>
      <c r="DV55" s="661">
        <f t="shared" si="201"/>
        <v>0</v>
      </c>
      <c r="DW55" s="439">
        <f t="shared" si="202"/>
        <v>0</v>
      </c>
      <c r="DX55" s="439">
        <f t="shared" si="203"/>
        <v>0</v>
      </c>
      <c r="DY55" s="439">
        <f t="shared" si="204"/>
        <v>0</v>
      </c>
      <c r="DZ55" s="439">
        <f t="shared" si="205"/>
        <v>0</v>
      </c>
      <c r="EA55" s="631" t="s">
        <v>92</v>
      </c>
      <c r="EB55" s="631">
        <f t="shared" si="151"/>
        <v>0.20201731692196737</v>
      </c>
      <c r="ED55" s="439">
        <f t="shared" si="206"/>
        <v>3.2281200000000005</v>
      </c>
      <c r="EE55" s="440">
        <f t="shared" si="207"/>
        <v>2.4721200000000003</v>
      </c>
      <c r="EF55" s="439">
        <f t="shared" si="208"/>
        <v>-1.7161200000000003</v>
      </c>
      <c r="EG55" s="441">
        <f t="shared" si="209"/>
        <v>0</v>
      </c>
      <c r="EH55" s="439">
        <f t="shared" si="210"/>
        <v>0</v>
      </c>
      <c r="EI55" s="439">
        <f t="shared" si="211"/>
        <v>0</v>
      </c>
      <c r="EJ55" s="439">
        <f t="shared" si="212"/>
        <v>0</v>
      </c>
      <c r="EK55" s="439">
        <f t="shared" si="213"/>
        <v>0</v>
      </c>
      <c r="EL55" s="439">
        <f t="shared" si="214"/>
        <v>0</v>
      </c>
      <c r="EM55" s="439">
        <f t="shared" si="215"/>
        <v>0</v>
      </c>
      <c r="EN55" s="439">
        <f t="shared" si="216"/>
        <v>0</v>
      </c>
      <c r="EO55" s="439">
        <f t="shared" si="217"/>
        <v>0</v>
      </c>
      <c r="EP55" s="439">
        <f t="shared" si="218"/>
        <v>0</v>
      </c>
      <c r="EQ55" s="439">
        <f t="shared" si="219"/>
        <v>0</v>
      </c>
      <c r="ER55" s="442">
        <f t="shared" si="220"/>
        <v>0</v>
      </c>
      <c r="ES55" s="442">
        <f t="shared" si="221"/>
        <v>0</v>
      </c>
      <c r="ET55" s="439">
        <f t="shared" si="222"/>
        <v>0</v>
      </c>
      <c r="EU55" s="439">
        <f t="shared" si="223"/>
        <v>0</v>
      </c>
      <c r="EV55" s="661">
        <f t="shared" si="224"/>
        <v>0</v>
      </c>
      <c r="EW55" s="661">
        <f t="shared" si="225"/>
        <v>0</v>
      </c>
      <c r="EX55" s="439">
        <f t="shared" si="226"/>
        <v>0</v>
      </c>
      <c r="EY55" s="439">
        <f t="shared" si="227"/>
        <v>0</v>
      </c>
      <c r="EZ55" s="439">
        <f t="shared" si="228"/>
        <v>0</v>
      </c>
      <c r="FA55" s="439">
        <f t="shared" si="229"/>
        <v>0</v>
      </c>
      <c r="FB55" s="631" t="s">
        <v>92</v>
      </c>
      <c r="FC55" s="631">
        <f t="shared" si="152"/>
        <v>0.32877653787163424</v>
      </c>
      <c r="FE55" s="439">
        <f t="shared" si="230"/>
        <v>1.87026</v>
      </c>
      <c r="FF55" s="440">
        <f t="shared" si="231"/>
        <v>1.4322600000000001</v>
      </c>
      <c r="FG55" s="439">
        <f t="shared" si="232"/>
        <v>-0.99426000000000014</v>
      </c>
      <c r="FH55" s="441">
        <f t="shared" si="233"/>
        <v>0</v>
      </c>
      <c r="FI55" s="439">
        <f t="shared" si="234"/>
        <v>0</v>
      </c>
      <c r="FJ55" s="439">
        <f t="shared" si="235"/>
        <v>0</v>
      </c>
      <c r="FK55" s="439">
        <f t="shared" si="236"/>
        <v>0</v>
      </c>
      <c r="FL55" s="439">
        <f t="shared" si="237"/>
        <v>0</v>
      </c>
      <c r="FM55" s="439">
        <f t="shared" si="238"/>
        <v>0</v>
      </c>
      <c r="FN55" s="439">
        <f t="shared" si="239"/>
        <v>0</v>
      </c>
      <c r="FO55" s="439">
        <f t="shared" si="240"/>
        <v>0</v>
      </c>
      <c r="FP55" s="439">
        <f t="shared" si="241"/>
        <v>0</v>
      </c>
      <c r="FQ55" s="439">
        <f t="shared" si="242"/>
        <v>0</v>
      </c>
      <c r="FR55" s="439">
        <f t="shared" si="243"/>
        <v>0</v>
      </c>
      <c r="FS55" s="442">
        <f t="shared" si="244"/>
        <v>0</v>
      </c>
      <c r="FT55" s="442">
        <f t="shared" si="245"/>
        <v>0</v>
      </c>
      <c r="FU55" s="439">
        <f t="shared" si="246"/>
        <v>0</v>
      </c>
      <c r="FV55" s="439">
        <f t="shared" si="247"/>
        <v>0</v>
      </c>
      <c r="FW55" s="661">
        <f t="shared" si="248"/>
        <v>0</v>
      </c>
      <c r="FX55" s="661">
        <f t="shared" si="249"/>
        <v>0</v>
      </c>
      <c r="FY55" s="439">
        <f t="shared" si="250"/>
        <v>0</v>
      </c>
      <c r="FZ55" s="439">
        <f t="shared" si="251"/>
        <v>0</v>
      </c>
      <c r="GA55" s="439">
        <f t="shared" si="252"/>
        <v>0</v>
      </c>
      <c r="GB55" s="439">
        <f t="shared" si="253"/>
        <v>0</v>
      </c>
      <c r="GC55" s="631" t="s">
        <v>92</v>
      </c>
      <c r="GD55" s="631">
        <f t="shared" si="153"/>
        <v>0.19048164495737541</v>
      </c>
      <c r="GF55" s="439">
        <f t="shared" si="254"/>
        <v>2.3057999999999996</v>
      </c>
      <c r="GG55" s="440">
        <f t="shared" si="255"/>
        <v>1.7657999999999998</v>
      </c>
      <c r="GH55" s="439">
        <f t="shared" si="256"/>
        <v>-1.2258</v>
      </c>
      <c r="GI55" s="439">
        <f t="shared" si="257"/>
        <v>0</v>
      </c>
      <c r="GJ55" s="439">
        <f t="shared" si="258"/>
        <v>0</v>
      </c>
      <c r="GK55" s="439">
        <f t="shared" si="259"/>
        <v>0</v>
      </c>
      <c r="GL55" s="439">
        <f t="shared" si="260"/>
        <v>0</v>
      </c>
      <c r="GM55" s="439">
        <f t="shared" si="261"/>
        <v>0</v>
      </c>
      <c r="GN55" s="439">
        <f t="shared" si="262"/>
        <v>0</v>
      </c>
      <c r="GO55" s="439">
        <f t="shared" si="263"/>
        <v>0</v>
      </c>
      <c r="GP55" s="439">
        <f t="shared" si="264"/>
        <v>0</v>
      </c>
      <c r="GQ55" s="439">
        <f t="shared" si="265"/>
        <v>0</v>
      </c>
      <c r="GR55" s="439">
        <f t="shared" si="266"/>
        <v>0</v>
      </c>
      <c r="GS55" s="439">
        <f t="shared" si="267"/>
        <v>0</v>
      </c>
      <c r="GT55" s="442">
        <f t="shared" si="268"/>
        <v>0</v>
      </c>
      <c r="GU55" s="442">
        <f t="shared" si="269"/>
        <v>0</v>
      </c>
      <c r="GV55" s="439">
        <f t="shared" si="270"/>
        <v>0</v>
      </c>
      <c r="GW55" s="439">
        <f t="shared" si="271"/>
        <v>0</v>
      </c>
      <c r="GX55" s="661">
        <f t="shared" si="272"/>
        <v>0</v>
      </c>
      <c r="GY55" s="661">
        <f t="shared" si="273"/>
        <v>0</v>
      </c>
      <c r="GZ55" s="439">
        <f t="shared" si="274"/>
        <v>0</v>
      </c>
      <c r="HA55" s="439">
        <f t="shared" si="275"/>
        <v>0</v>
      </c>
      <c r="HB55" s="439">
        <f t="shared" si="276"/>
        <v>0</v>
      </c>
      <c r="HC55" s="439">
        <f t="shared" si="277"/>
        <v>0</v>
      </c>
      <c r="HD55" s="631" t="s">
        <v>92</v>
      </c>
      <c r="HE55" s="631">
        <f t="shared" si="306"/>
        <v>0.23484038419402439</v>
      </c>
      <c r="HG55" s="618">
        <f>HLOOKUP(CQ55,Spec_Sheet!$F$3:$DV$19,11,FALSE)+HLOOKUP(CQ55,Spec_Sheet!$F$3:$DV$21,19,FALSE)</f>
        <v>180</v>
      </c>
      <c r="HH55" s="618">
        <f t="shared" si="154"/>
        <v>100</v>
      </c>
      <c r="HI55" s="634">
        <f t="shared" si="155"/>
        <v>200</v>
      </c>
      <c r="HJ55" s="634">
        <f>HLOOKUP(IF(LEN(CQ55)&gt;6,LEFT(CQ55,5),CQ55),'LSM List Pricing'!$B$1:$BW$2,2,0)</f>
        <v>11</v>
      </c>
      <c r="HK55" s="634">
        <f>HLOOKUP(HJ55,'LSM List Pricing'!$B$2:$BW$3,2)</f>
        <v>540</v>
      </c>
      <c r="HL55" s="634">
        <f>VLOOKUP(HH55,'LSM List Pricing'!$A$7:$BW$87,HJ55,0)</f>
        <v>530</v>
      </c>
      <c r="HM55" s="627">
        <f>VLOOKUP(HI55,'LSM List Pricing'!$A$7:$BW$87,HJ55,1)</f>
        <v>680</v>
      </c>
      <c r="HN55" s="628">
        <f t="shared" si="307"/>
        <v>2.7435897435897436</v>
      </c>
      <c r="HO55" s="628">
        <f t="shared" si="308"/>
        <v>5.4871794871794872</v>
      </c>
      <c r="HP55" s="628">
        <f t="shared" si="309"/>
        <v>4.5128205128205128</v>
      </c>
      <c r="HR55" s="618">
        <v>2.5999999999999999E-2</v>
      </c>
      <c r="HS55" s="618">
        <f t="shared" si="109"/>
        <v>174.57142857142856</v>
      </c>
      <c r="HT55" s="618">
        <f t="shared" si="110"/>
        <v>1</v>
      </c>
      <c r="HU55" s="618">
        <f t="shared" si="170"/>
        <v>0.66197051042024924</v>
      </c>
      <c r="HW55" s="618">
        <f t="shared" si="111"/>
        <v>35.060001875203248</v>
      </c>
      <c r="HX55" s="618">
        <f t="shared" si="171"/>
        <v>0.65316193154819613</v>
      </c>
      <c r="HY55" s="618">
        <f t="shared" si="172"/>
        <v>2.5999999999999999E-2</v>
      </c>
      <c r="IB55" s="618">
        <f t="shared" si="113"/>
        <v>25.000350341399081</v>
      </c>
      <c r="IC55" s="618">
        <f t="shared" si="114"/>
        <v>1E-3</v>
      </c>
      <c r="IE55" s="618">
        <f t="shared" si="115"/>
        <v>0</v>
      </c>
      <c r="IF55" s="618">
        <f t="shared" si="116"/>
        <v>40.704999999999998</v>
      </c>
      <c r="IH55" s="618">
        <f t="shared" si="117"/>
        <v>0</v>
      </c>
      <c r="II55" s="618">
        <f t="shared" si="118"/>
        <v>40.704999999999998</v>
      </c>
      <c r="IK55" s="618">
        <f t="shared" si="119"/>
        <v>0</v>
      </c>
      <c r="IL55" s="618">
        <f t="shared" si="120"/>
        <v>40.704999999999998</v>
      </c>
      <c r="IN55" s="618">
        <f t="shared" si="121"/>
        <v>0</v>
      </c>
      <c r="IO55" s="618">
        <f t="shared" si="122"/>
        <v>40.704999999999998</v>
      </c>
      <c r="IQ55" s="618">
        <f t="shared" si="123"/>
        <v>0</v>
      </c>
      <c r="IR55" s="618">
        <f t="shared" si="124"/>
        <v>40.704999999999998</v>
      </c>
      <c r="IT55" s="660" t="str">
        <f t="shared" si="278"/>
        <v>L250T-1S</v>
      </c>
      <c r="IU55" s="628"/>
      <c r="IV55" s="439">
        <f t="shared" si="279"/>
        <v>3.4546479245496395</v>
      </c>
      <c r="IW55" s="440">
        <f t="shared" si="280"/>
        <v>2.6455968883553447</v>
      </c>
      <c r="IX55" s="439">
        <f t="shared" si="281"/>
        <v>-1.8365458521610498</v>
      </c>
      <c r="IY55" s="439">
        <f t="shared" si="282"/>
        <v>0</v>
      </c>
      <c r="IZ55" s="439">
        <f t="shared" si="283"/>
        <v>0</v>
      </c>
      <c r="JA55" s="439">
        <f t="shared" si="284"/>
        <v>0</v>
      </c>
      <c r="JB55" s="439">
        <f t="shared" si="285"/>
        <v>0</v>
      </c>
      <c r="JC55" s="439">
        <f t="shared" si="286"/>
        <v>0</v>
      </c>
      <c r="JD55" s="439">
        <f t="shared" si="287"/>
        <v>0</v>
      </c>
      <c r="JE55" s="439">
        <f t="shared" si="288"/>
        <v>0</v>
      </c>
      <c r="JF55" s="439">
        <f t="shared" si="289"/>
        <v>0</v>
      </c>
      <c r="JG55" s="439">
        <f t="shared" si="290"/>
        <v>0</v>
      </c>
      <c r="JH55" s="439">
        <f t="shared" si="291"/>
        <v>0</v>
      </c>
      <c r="JI55" s="439">
        <f t="shared" si="292"/>
        <v>0</v>
      </c>
      <c r="JJ55" s="442">
        <f t="shared" si="293"/>
        <v>0</v>
      </c>
      <c r="JK55" s="442">
        <f t="shared" si="294"/>
        <v>0</v>
      </c>
      <c r="JL55" s="439">
        <f t="shared" si="295"/>
        <v>0</v>
      </c>
      <c r="JM55" s="439">
        <f t="shared" si="296"/>
        <v>0</v>
      </c>
      <c r="JN55" s="661">
        <f t="shared" si="297"/>
        <v>0</v>
      </c>
      <c r="JO55" s="661">
        <f t="shared" si="298"/>
        <v>0</v>
      </c>
      <c r="JP55" s="439">
        <f t="shared" si="299"/>
        <v>0</v>
      </c>
      <c r="JQ55" s="439">
        <f t="shared" si="300"/>
        <v>0</v>
      </c>
      <c r="JR55" s="439">
        <f t="shared" si="301"/>
        <v>0</v>
      </c>
      <c r="JS55" s="439">
        <f t="shared" si="302"/>
        <v>0</v>
      </c>
      <c r="JT55" s="631" t="s">
        <v>92</v>
      </c>
      <c r="JU55" s="631">
        <f t="shared" si="158"/>
        <v>0.35184788180081816</v>
      </c>
      <c r="JW55" s="522"/>
      <c r="JX55" s="522"/>
      <c r="JY55" s="522"/>
      <c r="JZ55" s="522"/>
      <c r="KA55" s="522"/>
      <c r="KB55" s="522"/>
      <c r="KC55" s="522"/>
      <c r="KD55" s="522"/>
      <c r="KE55" s="522"/>
      <c r="KF55" s="522"/>
      <c r="KG55" s="522"/>
      <c r="KH55" s="522"/>
      <c r="KI55" s="522"/>
      <c r="KJ55" s="522"/>
      <c r="KK55" s="522"/>
      <c r="KL55" s="522"/>
    </row>
    <row r="56" spans="1:298" ht="9.9499999999999993" customHeight="1">
      <c r="A56" s="377"/>
      <c r="B56" s="153"/>
      <c r="C56" s="152"/>
      <c r="D56" s="152"/>
      <c r="E56" s="45"/>
      <c r="F56" s="45"/>
      <c r="G56" s="45"/>
      <c r="H56" s="45"/>
      <c r="I56" s="45"/>
      <c r="J56" s="45"/>
      <c r="K56" s="45"/>
      <c r="L56" s="45"/>
      <c r="M56" s="45"/>
      <c r="N56" s="45"/>
      <c r="O56" s="45"/>
      <c r="P56" s="45"/>
      <c r="Q56" s="45"/>
      <c r="R56" s="45"/>
      <c r="S56" s="45"/>
      <c r="T56" s="45"/>
      <c r="U56" s="154"/>
      <c r="V56" s="154"/>
      <c r="W56" s="45"/>
      <c r="X56" s="45"/>
      <c r="Y56" s="45"/>
      <c r="Z56" s="45"/>
      <c r="AA56" s="45"/>
      <c r="AB56" s="45"/>
      <c r="AC56" s="154"/>
      <c r="AD56" s="154"/>
      <c r="AE56" s="45"/>
      <c r="AF56" s="45"/>
      <c r="AG56" s="45"/>
      <c r="AH56" s="45"/>
      <c r="AI56" s="45"/>
      <c r="AJ56" s="45"/>
      <c r="AK56" s="45"/>
      <c r="AL56" s="154"/>
      <c r="AM56" s="154"/>
      <c r="AN56" s="45"/>
      <c r="AO56" s="45"/>
      <c r="AP56" s="45"/>
      <c r="AQ56" s="45"/>
      <c r="AR56" s="45"/>
      <c r="AS56" s="45"/>
      <c r="AT56" s="154"/>
      <c r="AU56" s="154"/>
      <c r="AV56" s="93">
        <f>IF($AY$30,G32,0)</f>
        <v>0</v>
      </c>
      <c r="AW56" s="93">
        <f>IF($AY$32,'Data Sheet'!AA77,0)</f>
        <v>0</v>
      </c>
      <c r="AX56" s="93">
        <f>G31-AY34</f>
        <v>40.704999999999998</v>
      </c>
      <c r="AY56" s="513"/>
      <c r="AZ56" s="512"/>
      <c r="BA56" s="423"/>
      <c r="BB56" s="711" t="str">
        <f>IF(OR(CQ134=0,CR134=""),"",IF(HLOOKUP(CQ134,Spec_Sheet!$F$3:$ED$19,17,FALSE)&lt;$AC$46,"",Custom!J13))</f>
        <v/>
      </c>
      <c r="BC56" s="712"/>
      <c r="BD56" s="713"/>
      <c r="BE56" s="342" t="e">
        <f>CT134</f>
        <v>#DIV/0!</v>
      </c>
      <c r="BF56" s="342" t="e">
        <f>CU134</f>
        <v>#DIV/0!</v>
      </c>
      <c r="BG56" s="328"/>
      <c r="BH56" s="155"/>
      <c r="BI56" s="155"/>
      <c r="BJ56" s="155"/>
      <c r="BK56" s="155"/>
      <c r="BL56" s="155"/>
      <c r="BM56" s="155"/>
      <c r="BN56" s="153"/>
      <c r="BO56" s="399"/>
      <c r="BP56" s="718"/>
      <c r="BQ56" s="718"/>
      <c r="BR56" s="718"/>
      <c r="BS56" s="718"/>
      <c r="BT56" s="718"/>
      <c r="BU56" s="718"/>
      <c r="BV56" s="718"/>
      <c r="BW56" s="718"/>
      <c r="BX56" s="718"/>
      <c r="BY56" s="718"/>
      <c r="BZ56" s="718"/>
      <c r="CA56" s="718"/>
      <c r="CB56" s="718"/>
      <c r="CC56" s="718"/>
      <c r="CD56" s="718"/>
      <c r="CE56" s="718"/>
      <c r="CF56" s="718"/>
      <c r="CG56" s="718"/>
      <c r="CH56" s="718"/>
      <c r="CI56" s="718"/>
      <c r="CJ56" s="718"/>
      <c r="CK56" s="718"/>
      <c r="CL56" s="718"/>
      <c r="CM56" s="718"/>
      <c r="CN56" s="718"/>
      <c r="CO56" s="692" t="str">
        <f ca="1"/>
        <v>S320D 1S</v>
      </c>
      <c r="CP56" s="632" t="str">
        <f>IF(OR(CQ56=0,CR56="",CS56&gt;120),"",IF(HLOOKUP(CQ56,Spec_Sheet!$F$3:$ED$19,17,FALSE)&lt;$AC$46,"",CQ56))</f>
        <v>L320D</v>
      </c>
      <c r="CQ56" s="660" t="str">
        <f>IF(Spec_Sheet!A55="","",Spec_Sheet!A55)</f>
        <v>L320D</v>
      </c>
      <c r="CR56" s="660">
        <f>IF(CQ56="",0,HLOOKUP(CQ56,Spec_Sheet!$F$3:$ED$19,2,FALSE))</f>
        <v>54.5</v>
      </c>
      <c r="CS56" s="660">
        <f t="shared" si="169"/>
        <v>1.2647823164410423E-3</v>
      </c>
      <c r="CT56" s="621">
        <f t="shared" si="310"/>
        <v>1.6282478754115911E-3</v>
      </c>
      <c r="CU56" s="621">
        <f t="shared" si="181"/>
        <v>1.2647823164410423E-3</v>
      </c>
      <c r="CV56" s="621">
        <f t="shared" si="311"/>
        <v>2.7989303862165638E-3</v>
      </c>
      <c r="CW56" s="621">
        <f t="shared" si="312"/>
        <v>2.3152594445964552E-3</v>
      </c>
      <c r="CX56" s="621">
        <f t="shared" si="157"/>
        <v>1.0992768862431706E-3</v>
      </c>
      <c r="CY56" s="619">
        <f>HLOOKUP(CQ56,Spec_Sheet!$F$3:$ED$19,13,FALSE)</f>
        <v>1.2856076175653635</v>
      </c>
      <c r="CZ56" s="619">
        <f>VLOOKUP(HH56,'Shaft Weight'!$A$6:$CD$102,HJ56,TRUE)</f>
        <v>1.81</v>
      </c>
      <c r="DA56" s="619">
        <f>VLOOKUP(HI56,'Shaft Weight'!$A$6:$CD$102,HJ56,0)</f>
        <v>2.37</v>
      </c>
      <c r="DB56" s="619">
        <f>HLOOKUP(CQ56,Spec_Sheet!$F$3:$ED$19,6,FALSE)</f>
        <v>43.6</v>
      </c>
      <c r="DC56" s="439">
        <f t="shared" si="182"/>
        <v>2.1592633581012306</v>
      </c>
      <c r="DD56" s="440">
        <f t="shared" si="183"/>
        <v>1.6535810728316216</v>
      </c>
      <c r="DE56" s="439">
        <f t="shared" si="184"/>
        <v>-1.1478987875620126</v>
      </c>
      <c r="DF56" s="439">
        <f t="shared" si="185"/>
        <v>0</v>
      </c>
      <c r="DG56" s="439">
        <f t="shared" si="186"/>
        <v>0</v>
      </c>
      <c r="DH56" s="439">
        <f t="shared" si="187"/>
        <v>0</v>
      </c>
      <c r="DI56" s="439">
        <f t="shared" si="188"/>
        <v>0</v>
      </c>
      <c r="DJ56" s="439">
        <f t="shared" si="189"/>
        <v>0</v>
      </c>
      <c r="DK56" s="439">
        <f t="shared" si="190"/>
        <v>0</v>
      </c>
      <c r="DL56" s="439">
        <f t="shared" si="191"/>
        <v>0</v>
      </c>
      <c r="DM56" s="439">
        <f t="shared" si="192"/>
        <v>0</v>
      </c>
      <c r="DN56" s="439">
        <f t="shared" si="193"/>
        <v>0</v>
      </c>
      <c r="DO56" s="439">
        <f t="shared" si="194"/>
        <v>0</v>
      </c>
      <c r="DP56" s="439">
        <f t="shared" si="195"/>
        <v>0</v>
      </c>
      <c r="DQ56" s="442">
        <f t="shared" si="196"/>
        <v>0</v>
      </c>
      <c r="DR56" s="442">
        <f t="shared" si="197"/>
        <v>0</v>
      </c>
      <c r="DS56" s="439">
        <f t="shared" si="198"/>
        <v>0</v>
      </c>
      <c r="DT56" s="439">
        <f t="shared" si="199"/>
        <v>0</v>
      </c>
      <c r="DU56" s="661">
        <f t="shared" si="200"/>
        <v>0</v>
      </c>
      <c r="DV56" s="661">
        <f t="shared" si="201"/>
        <v>0</v>
      </c>
      <c r="DW56" s="439">
        <f t="shared" si="202"/>
        <v>0</v>
      </c>
      <c r="DX56" s="439">
        <f t="shared" si="203"/>
        <v>0</v>
      </c>
      <c r="DY56" s="439">
        <f t="shared" si="204"/>
        <v>0</v>
      </c>
      <c r="DZ56" s="439">
        <f t="shared" si="205"/>
        <v>0</v>
      </c>
      <c r="EA56" s="631" t="s">
        <v>92</v>
      </c>
      <c r="EB56" s="631">
        <f t="shared" si="151"/>
        <v>0.2199159669496801</v>
      </c>
      <c r="ED56" s="439">
        <f t="shared" si="206"/>
        <v>5.1496200000000014</v>
      </c>
      <c r="EE56" s="440">
        <f t="shared" si="207"/>
        <v>3.943620000000001</v>
      </c>
      <c r="EF56" s="439">
        <f t="shared" si="208"/>
        <v>-2.7376200000000006</v>
      </c>
      <c r="EG56" s="441">
        <f t="shared" si="209"/>
        <v>0</v>
      </c>
      <c r="EH56" s="439">
        <f t="shared" si="210"/>
        <v>0</v>
      </c>
      <c r="EI56" s="439">
        <f t="shared" si="211"/>
        <v>0</v>
      </c>
      <c r="EJ56" s="439">
        <f t="shared" si="212"/>
        <v>0</v>
      </c>
      <c r="EK56" s="439">
        <f t="shared" si="213"/>
        <v>0</v>
      </c>
      <c r="EL56" s="439">
        <f t="shared" si="214"/>
        <v>0</v>
      </c>
      <c r="EM56" s="439">
        <f t="shared" si="215"/>
        <v>0</v>
      </c>
      <c r="EN56" s="439">
        <f t="shared" si="216"/>
        <v>0</v>
      </c>
      <c r="EO56" s="439">
        <f t="shared" si="217"/>
        <v>0</v>
      </c>
      <c r="EP56" s="439">
        <f t="shared" si="218"/>
        <v>0</v>
      </c>
      <c r="EQ56" s="439">
        <f t="shared" si="219"/>
        <v>0</v>
      </c>
      <c r="ER56" s="442">
        <f t="shared" si="220"/>
        <v>0</v>
      </c>
      <c r="ES56" s="442">
        <f t="shared" si="221"/>
        <v>0</v>
      </c>
      <c r="ET56" s="439">
        <f t="shared" si="222"/>
        <v>0</v>
      </c>
      <c r="EU56" s="439">
        <f t="shared" si="223"/>
        <v>0</v>
      </c>
      <c r="EV56" s="661">
        <f t="shared" si="224"/>
        <v>0</v>
      </c>
      <c r="EW56" s="661">
        <f t="shared" si="225"/>
        <v>0</v>
      </c>
      <c r="EX56" s="439">
        <f t="shared" si="226"/>
        <v>0</v>
      </c>
      <c r="EY56" s="439">
        <f t="shared" si="227"/>
        <v>0</v>
      </c>
      <c r="EZ56" s="439">
        <f t="shared" si="228"/>
        <v>0</v>
      </c>
      <c r="FA56" s="439">
        <f t="shared" si="229"/>
        <v>0</v>
      </c>
      <c r="FB56" s="631" t="s">
        <v>92</v>
      </c>
      <c r="FC56" s="631">
        <f t="shared" si="152"/>
        <v>0.52447685803332145</v>
      </c>
      <c r="FE56" s="439">
        <f t="shared" si="230"/>
        <v>2.83101</v>
      </c>
      <c r="FF56" s="440">
        <f t="shared" si="231"/>
        <v>2.1680100000000002</v>
      </c>
      <c r="FG56" s="439">
        <f t="shared" si="232"/>
        <v>-1.5050100000000004</v>
      </c>
      <c r="FH56" s="441">
        <f t="shared" si="233"/>
        <v>0</v>
      </c>
      <c r="FI56" s="439">
        <f t="shared" si="234"/>
        <v>0</v>
      </c>
      <c r="FJ56" s="439">
        <f t="shared" si="235"/>
        <v>0</v>
      </c>
      <c r="FK56" s="439">
        <f t="shared" si="236"/>
        <v>0</v>
      </c>
      <c r="FL56" s="439">
        <f t="shared" si="237"/>
        <v>0</v>
      </c>
      <c r="FM56" s="439">
        <f t="shared" si="238"/>
        <v>0</v>
      </c>
      <c r="FN56" s="439">
        <f t="shared" si="239"/>
        <v>0</v>
      </c>
      <c r="FO56" s="439">
        <f t="shared" si="240"/>
        <v>0</v>
      </c>
      <c r="FP56" s="439">
        <f t="shared" si="241"/>
        <v>0</v>
      </c>
      <c r="FQ56" s="439">
        <f t="shared" si="242"/>
        <v>0</v>
      </c>
      <c r="FR56" s="439">
        <f t="shared" si="243"/>
        <v>0</v>
      </c>
      <c r="FS56" s="442">
        <f t="shared" si="244"/>
        <v>0</v>
      </c>
      <c r="FT56" s="442">
        <f t="shared" si="245"/>
        <v>0</v>
      </c>
      <c r="FU56" s="439">
        <f t="shared" si="246"/>
        <v>0</v>
      </c>
      <c r="FV56" s="439">
        <f t="shared" si="247"/>
        <v>0</v>
      </c>
      <c r="FW56" s="661">
        <f t="shared" si="248"/>
        <v>0</v>
      </c>
      <c r="FX56" s="661">
        <f t="shared" si="249"/>
        <v>0</v>
      </c>
      <c r="FY56" s="439">
        <f t="shared" si="250"/>
        <v>0</v>
      </c>
      <c r="FZ56" s="439">
        <f t="shared" si="251"/>
        <v>0</v>
      </c>
      <c r="GA56" s="439">
        <f t="shared" si="252"/>
        <v>0</v>
      </c>
      <c r="GB56" s="439">
        <f t="shared" si="253"/>
        <v>0</v>
      </c>
      <c r="GC56" s="631" t="s">
        <v>92</v>
      </c>
      <c r="GD56" s="631">
        <f t="shared" si="153"/>
        <v>0.28833180503821892</v>
      </c>
      <c r="GF56" s="439">
        <f t="shared" si="254"/>
        <v>3.5483700000000002</v>
      </c>
      <c r="GG56" s="440">
        <f t="shared" si="255"/>
        <v>2.7173700000000003</v>
      </c>
      <c r="GH56" s="439">
        <f t="shared" si="256"/>
        <v>-1.8863700000000003</v>
      </c>
      <c r="GI56" s="439">
        <f t="shared" si="257"/>
        <v>0</v>
      </c>
      <c r="GJ56" s="439">
        <f t="shared" si="258"/>
        <v>0</v>
      </c>
      <c r="GK56" s="439">
        <f t="shared" si="259"/>
        <v>0</v>
      </c>
      <c r="GL56" s="439">
        <f t="shared" si="260"/>
        <v>0</v>
      </c>
      <c r="GM56" s="439">
        <f t="shared" si="261"/>
        <v>0</v>
      </c>
      <c r="GN56" s="439">
        <f t="shared" si="262"/>
        <v>0</v>
      </c>
      <c r="GO56" s="439">
        <f t="shared" si="263"/>
        <v>0</v>
      </c>
      <c r="GP56" s="439">
        <f t="shared" si="264"/>
        <v>0</v>
      </c>
      <c r="GQ56" s="439">
        <f t="shared" si="265"/>
        <v>0</v>
      </c>
      <c r="GR56" s="439">
        <f t="shared" si="266"/>
        <v>0</v>
      </c>
      <c r="GS56" s="439">
        <f t="shared" si="267"/>
        <v>0</v>
      </c>
      <c r="GT56" s="442">
        <f t="shared" si="268"/>
        <v>0</v>
      </c>
      <c r="GU56" s="442">
        <f t="shared" si="269"/>
        <v>0</v>
      </c>
      <c r="GV56" s="439">
        <f t="shared" si="270"/>
        <v>0</v>
      </c>
      <c r="GW56" s="439">
        <f t="shared" si="271"/>
        <v>0</v>
      </c>
      <c r="GX56" s="661">
        <f t="shared" si="272"/>
        <v>0</v>
      </c>
      <c r="GY56" s="661">
        <f t="shared" si="273"/>
        <v>0</v>
      </c>
      <c r="GZ56" s="439">
        <f t="shared" si="274"/>
        <v>0</v>
      </c>
      <c r="HA56" s="439">
        <f t="shared" si="275"/>
        <v>0</v>
      </c>
      <c r="HB56" s="439">
        <f t="shared" si="276"/>
        <v>0</v>
      </c>
      <c r="HC56" s="439">
        <f t="shared" si="277"/>
        <v>0</v>
      </c>
      <c r="HD56" s="631" t="s">
        <v>92</v>
      </c>
      <c r="HE56" s="631">
        <f t="shared" si="306"/>
        <v>0.36139325789858212</v>
      </c>
      <c r="HG56" s="618">
        <f>HLOOKUP(CQ56,Spec_Sheet!$F$3:$DV$19,11,FALSE)+HLOOKUP(CQ56,Spec_Sheet!$F$3:$DV$21,19,FALSE)</f>
        <v>180</v>
      </c>
      <c r="HH56" s="618">
        <f t="shared" si="154"/>
        <v>100</v>
      </c>
      <c r="HI56" s="634">
        <f t="shared" si="155"/>
        <v>200</v>
      </c>
      <c r="HJ56" s="634">
        <f>HLOOKUP(IF(LEN(CQ56)&gt;6,LEFT(CQ56,5),CQ56),'LSM List Pricing'!$B$1:$BW$2,2,0)</f>
        <v>15</v>
      </c>
      <c r="HK56" s="634">
        <f>HLOOKUP(HJ56,'LSM List Pricing'!$B$2:$BW$3,2)</f>
        <v>660</v>
      </c>
      <c r="HL56" s="634">
        <f>VLOOKUP(HH56,'LSM List Pricing'!$A$7:$BW$87,HJ56,0)</f>
        <v>720</v>
      </c>
      <c r="HM56" s="627">
        <f>VLOOKUP(HI56,'LSM List Pricing'!$A$7:$BW$87,HJ56,1)</f>
        <v>920</v>
      </c>
      <c r="HN56" s="628">
        <f t="shared" si="307"/>
        <v>3.5384615384615383</v>
      </c>
      <c r="HO56" s="628">
        <f t="shared" si="308"/>
        <v>7.0769230769230766</v>
      </c>
      <c r="HP56" s="628">
        <f t="shared" si="309"/>
        <v>5.7435897435897436</v>
      </c>
      <c r="HR56" s="618">
        <v>2.6499999999999999E-2</v>
      </c>
      <c r="HS56" s="618">
        <f t="shared" si="109"/>
        <v>177.92857142857142</v>
      </c>
      <c r="HT56" s="618">
        <f t="shared" si="110"/>
        <v>1</v>
      </c>
      <c r="HU56" s="618">
        <f t="shared" si="170"/>
        <v>0.67470955439387403</v>
      </c>
      <c r="HW56" s="618">
        <f t="shared" si="111"/>
        <v>35.041912432760697</v>
      </c>
      <c r="HX56" s="618">
        <f t="shared" si="171"/>
        <v>0.66556194442044192</v>
      </c>
      <c r="HY56" s="618">
        <f t="shared" si="172"/>
        <v>2.6499999999999999E-2</v>
      </c>
      <c r="IB56" s="618">
        <f t="shared" si="113"/>
        <v>25.000350341399081</v>
      </c>
      <c r="IC56" s="618">
        <f t="shared" si="114"/>
        <v>1E-3</v>
      </c>
      <c r="IE56" s="618">
        <f t="shared" si="115"/>
        <v>0</v>
      </c>
      <c r="IF56" s="618">
        <f t="shared" si="116"/>
        <v>40.704999999999998</v>
      </c>
      <c r="IH56" s="618">
        <f t="shared" si="117"/>
        <v>0</v>
      </c>
      <c r="II56" s="618">
        <f t="shared" si="118"/>
        <v>40.704999999999998</v>
      </c>
      <c r="IK56" s="618">
        <f t="shared" si="119"/>
        <v>0</v>
      </c>
      <c r="IL56" s="618">
        <f t="shared" si="120"/>
        <v>40.704999999999998</v>
      </c>
      <c r="IN56" s="618">
        <f t="shared" si="121"/>
        <v>0</v>
      </c>
      <c r="IO56" s="618">
        <f t="shared" si="122"/>
        <v>40.704999999999998</v>
      </c>
      <c r="IQ56" s="618">
        <f t="shared" si="123"/>
        <v>0</v>
      </c>
      <c r="IR56" s="618">
        <f t="shared" si="124"/>
        <v>40.704999999999998</v>
      </c>
      <c r="IT56" s="660" t="str">
        <f t="shared" si="278"/>
        <v>L320D</v>
      </c>
      <c r="IU56" s="628"/>
      <c r="IV56" s="439">
        <f t="shared" si="279"/>
        <v>3.8061267162024612</v>
      </c>
      <c r="IW56" s="440">
        <f t="shared" si="280"/>
        <v>2.9147621456632433</v>
      </c>
      <c r="IX56" s="439">
        <f t="shared" si="281"/>
        <v>-2.0233975751240254</v>
      </c>
      <c r="IY56" s="439">
        <f t="shared" si="282"/>
        <v>0</v>
      </c>
      <c r="IZ56" s="439">
        <f t="shared" si="283"/>
        <v>0</v>
      </c>
      <c r="JA56" s="439">
        <f t="shared" si="284"/>
        <v>0</v>
      </c>
      <c r="JB56" s="439">
        <f t="shared" si="285"/>
        <v>0</v>
      </c>
      <c r="JC56" s="439">
        <f t="shared" si="286"/>
        <v>0</v>
      </c>
      <c r="JD56" s="439">
        <f t="shared" si="287"/>
        <v>0</v>
      </c>
      <c r="JE56" s="439">
        <f t="shared" si="288"/>
        <v>0</v>
      </c>
      <c r="JF56" s="439">
        <f t="shared" si="289"/>
        <v>0</v>
      </c>
      <c r="JG56" s="439">
        <f t="shared" si="290"/>
        <v>0</v>
      </c>
      <c r="JH56" s="439">
        <f t="shared" si="291"/>
        <v>0</v>
      </c>
      <c r="JI56" s="439">
        <f t="shared" si="292"/>
        <v>0</v>
      </c>
      <c r="JJ56" s="442">
        <f t="shared" si="293"/>
        <v>0</v>
      </c>
      <c r="JK56" s="442">
        <f t="shared" si="294"/>
        <v>0</v>
      </c>
      <c r="JL56" s="439">
        <f t="shared" si="295"/>
        <v>0</v>
      </c>
      <c r="JM56" s="439">
        <f t="shared" si="296"/>
        <v>0</v>
      </c>
      <c r="JN56" s="661">
        <f t="shared" si="297"/>
        <v>0</v>
      </c>
      <c r="JO56" s="661">
        <f t="shared" si="298"/>
        <v>0</v>
      </c>
      <c r="JP56" s="439">
        <f t="shared" si="299"/>
        <v>0</v>
      </c>
      <c r="JQ56" s="439">
        <f t="shared" si="300"/>
        <v>0</v>
      </c>
      <c r="JR56" s="439">
        <f t="shared" si="301"/>
        <v>0</v>
      </c>
      <c r="JS56" s="439">
        <f t="shared" si="302"/>
        <v>0</v>
      </c>
      <c r="JT56" s="631" t="s">
        <v>92</v>
      </c>
      <c r="JU56" s="631">
        <f t="shared" si="158"/>
        <v>0.38764518185624369</v>
      </c>
      <c r="JW56" s="522"/>
      <c r="JX56" s="522"/>
      <c r="JY56" s="522"/>
      <c r="JZ56" s="522"/>
      <c r="KA56" s="522"/>
      <c r="KB56" s="522"/>
      <c r="KC56" s="522"/>
      <c r="KD56" s="522"/>
      <c r="KE56" s="522"/>
      <c r="KF56" s="522"/>
      <c r="KG56" s="522"/>
      <c r="KH56" s="522"/>
      <c r="KI56" s="522"/>
      <c r="KJ56" s="522"/>
      <c r="KK56" s="522"/>
      <c r="KL56" s="522"/>
    </row>
    <row r="57" spans="1:298" ht="9.9499999999999993" customHeight="1">
      <c r="A57" s="377"/>
      <c r="B57" s="153"/>
      <c r="C57" s="152"/>
      <c r="D57" s="152"/>
      <c r="E57" s="45"/>
      <c r="F57" s="45"/>
      <c r="G57" s="45"/>
      <c r="H57" s="45"/>
      <c r="I57" s="45"/>
      <c r="J57" s="45"/>
      <c r="K57" s="45"/>
      <c r="L57" s="45"/>
      <c r="M57" s="45"/>
      <c r="N57" s="45"/>
      <c r="O57" s="45"/>
      <c r="P57" s="45"/>
      <c r="Q57" s="45"/>
      <c r="R57" s="45"/>
      <c r="S57" s="45"/>
      <c r="T57" s="45"/>
      <c r="U57" s="154"/>
      <c r="V57" s="154"/>
      <c r="W57" s="45"/>
      <c r="X57" s="45"/>
      <c r="Y57" s="45"/>
      <c r="Z57" s="45"/>
      <c r="AA57" s="45"/>
      <c r="AB57" s="45"/>
      <c r="AC57" s="154"/>
      <c r="AD57" s="154"/>
      <c r="AE57" s="45"/>
      <c r="AF57" s="45"/>
      <c r="AG57" s="45"/>
      <c r="AH57" s="45"/>
      <c r="AI57" s="45"/>
      <c r="AJ57" s="45"/>
      <c r="AK57" s="45"/>
      <c r="AL57" s="154"/>
      <c r="AM57" s="154"/>
      <c r="AN57" s="45"/>
      <c r="AO57" s="45"/>
      <c r="AP57" s="45"/>
      <c r="AQ57" s="45"/>
      <c r="AR57" s="45"/>
      <c r="AS57" s="45"/>
      <c r="AT57" s="154"/>
      <c r="AU57" s="154"/>
      <c r="AV57" s="93" t="e">
        <f>IF($AY$30,F83,0)*$F$82</f>
        <v>#DIV/0!</v>
      </c>
      <c r="AW57" s="93" t="e">
        <f>IF($AY$32,'Data Sheet'!AA78,0)</f>
        <v>#DIV/0!</v>
      </c>
      <c r="AX57" s="93">
        <f>AX56</f>
        <v>40.704999999999998</v>
      </c>
      <c r="AY57" s="444"/>
      <c r="AZ57" s="423"/>
      <c r="BA57" s="423"/>
      <c r="BB57" s="868" t="s">
        <v>318</v>
      </c>
      <c r="BC57" s="793"/>
      <c r="BD57" s="793"/>
      <c r="BE57" s="793"/>
      <c r="BF57" s="793"/>
      <c r="BG57" s="328"/>
      <c r="BH57" s="155"/>
      <c r="BI57" s="155"/>
      <c r="BJ57" s="155"/>
      <c r="BK57" s="155"/>
      <c r="BL57" s="155"/>
      <c r="BM57" s="147"/>
      <c r="BN57" s="153"/>
      <c r="BO57" s="387" t="s">
        <v>375</v>
      </c>
      <c r="BP57" s="387" t="s">
        <v>376</v>
      </c>
      <c r="BQ57" s="400"/>
      <c r="BR57" s="400"/>
      <c r="BS57" s="400"/>
      <c r="BT57" s="400"/>
      <c r="BU57" s="400"/>
      <c r="BV57" s="400"/>
      <c r="BW57" s="400"/>
      <c r="BX57" s="400"/>
      <c r="BY57" s="400"/>
      <c r="BZ57" s="400"/>
      <c r="CA57" s="400"/>
      <c r="CB57" s="400"/>
      <c r="CC57" s="400"/>
      <c r="CD57" s="400"/>
      <c r="CE57" s="400"/>
      <c r="CF57" s="400"/>
      <c r="CG57" s="400"/>
      <c r="CH57" s="401"/>
      <c r="CI57" s="401"/>
      <c r="CJ57" s="399"/>
      <c r="CK57" s="399"/>
      <c r="CL57" s="156"/>
      <c r="CM57" s="156"/>
      <c r="CN57" s="150"/>
      <c r="CO57" s="692" t="str">
        <f ca="1"/>
        <v>L350TS</v>
      </c>
      <c r="CP57" s="632" t="str">
        <f>IF(OR(CQ57=0,CR57="",CS57&gt;120),"",IF(HLOOKUP(CQ57,Spec_Sheet!$F$3:$ED$19,17,FALSE)&lt;$AC$46,"",CQ57))</f>
        <v>L320D-1S</v>
      </c>
      <c r="CQ57" s="660" t="str">
        <f>IF(Spec_Sheet!A56="","",Spec_Sheet!A56)</f>
        <v>L320D-1S</v>
      </c>
      <c r="CR57" s="660">
        <f>IF(CQ57="",0,HLOOKUP(CQ57,Spec_Sheet!$F$3:$ED$19,2,FALSE))</f>
        <v>54.5</v>
      </c>
      <c r="CS57" s="660">
        <f t="shared" si="169"/>
        <v>1.2647823164410423E-3</v>
      </c>
      <c r="CT57" s="621">
        <f t="shared" si="310"/>
        <v>1.6282478754115911E-3</v>
      </c>
      <c r="CU57" s="621">
        <f t="shared" si="181"/>
        <v>1.2647823164410423E-3</v>
      </c>
      <c r="CV57" s="621">
        <f t="shared" si="311"/>
        <v>2.7989303862165638E-3</v>
      </c>
      <c r="CW57" s="621">
        <f t="shared" si="312"/>
        <v>2.3152594445964552E-3</v>
      </c>
      <c r="CX57" s="621">
        <f t="shared" si="157"/>
        <v>1.0992768862431706E-3</v>
      </c>
      <c r="CY57" s="619">
        <f>HLOOKUP(CQ57,Spec_Sheet!$F$3:$ED$19,13,FALSE)</f>
        <v>1.2856076175653635</v>
      </c>
      <c r="CZ57" s="619">
        <f>VLOOKUP(HH57,'Shaft Weight'!$A$6:$CD$102,HJ57,TRUE)</f>
        <v>1.81</v>
      </c>
      <c r="DA57" s="619">
        <f>VLOOKUP(HI57,'Shaft Weight'!$A$6:$CD$102,HJ57,0)</f>
        <v>2.37</v>
      </c>
      <c r="DB57" s="619">
        <f>HLOOKUP(CQ57,Spec_Sheet!$F$3:$ED$19,6,FALSE)</f>
        <v>21.8</v>
      </c>
      <c r="DC57" s="439">
        <f t="shared" si="182"/>
        <v>2.1592633581012306</v>
      </c>
      <c r="DD57" s="440">
        <f t="shared" si="183"/>
        <v>1.6535810728316216</v>
      </c>
      <c r="DE57" s="439">
        <f t="shared" si="184"/>
        <v>-1.1478987875620126</v>
      </c>
      <c r="DF57" s="439">
        <f t="shared" si="185"/>
        <v>0</v>
      </c>
      <c r="DG57" s="439">
        <f t="shared" si="186"/>
        <v>0</v>
      </c>
      <c r="DH57" s="439">
        <f t="shared" si="187"/>
        <v>0</v>
      </c>
      <c r="DI57" s="439">
        <f t="shared" si="188"/>
        <v>0</v>
      </c>
      <c r="DJ57" s="439">
        <f t="shared" si="189"/>
        <v>0</v>
      </c>
      <c r="DK57" s="439">
        <f t="shared" si="190"/>
        <v>0</v>
      </c>
      <c r="DL57" s="439">
        <f t="shared" si="191"/>
        <v>0</v>
      </c>
      <c r="DM57" s="439">
        <f t="shared" si="192"/>
        <v>0</v>
      </c>
      <c r="DN57" s="439">
        <f t="shared" si="193"/>
        <v>0</v>
      </c>
      <c r="DO57" s="439">
        <f t="shared" si="194"/>
        <v>0</v>
      </c>
      <c r="DP57" s="439">
        <f t="shared" si="195"/>
        <v>0</v>
      </c>
      <c r="DQ57" s="442">
        <f t="shared" si="196"/>
        <v>0</v>
      </c>
      <c r="DR57" s="442">
        <f t="shared" si="197"/>
        <v>0</v>
      </c>
      <c r="DS57" s="439">
        <f t="shared" si="198"/>
        <v>0</v>
      </c>
      <c r="DT57" s="439">
        <f t="shared" si="199"/>
        <v>0</v>
      </c>
      <c r="DU57" s="661">
        <f t="shared" si="200"/>
        <v>0</v>
      </c>
      <c r="DV57" s="661">
        <f t="shared" si="201"/>
        <v>0</v>
      </c>
      <c r="DW57" s="439">
        <f t="shared" si="202"/>
        <v>0</v>
      </c>
      <c r="DX57" s="439">
        <f t="shared" si="203"/>
        <v>0</v>
      </c>
      <c r="DY57" s="439">
        <f t="shared" si="204"/>
        <v>0</v>
      </c>
      <c r="DZ57" s="439">
        <f t="shared" si="205"/>
        <v>0</v>
      </c>
      <c r="EA57" s="631" t="s">
        <v>92</v>
      </c>
      <c r="EB57" s="631">
        <f t="shared" si="151"/>
        <v>0.2199159669496801</v>
      </c>
      <c r="ED57" s="439">
        <f t="shared" si="206"/>
        <v>5.1496200000000014</v>
      </c>
      <c r="EE57" s="440">
        <f t="shared" si="207"/>
        <v>3.943620000000001</v>
      </c>
      <c r="EF57" s="439">
        <f t="shared" si="208"/>
        <v>-2.7376200000000006</v>
      </c>
      <c r="EG57" s="441">
        <f t="shared" si="209"/>
        <v>0</v>
      </c>
      <c r="EH57" s="439">
        <f t="shared" si="210"/>
        <v>0</v>
      </c>
      <c r="EI57" s="439">
        <f t="shared" si="211"/>
        <v>0</v>
      </c>
      <c r="EJ57" s="439">
        <f t="shared" si="212"/>
        <v>0</v>
      </c>
      <c r="EK57" s="439">
        <f t="shared" si="213"/>
        <v>0</v>
      </c>
      <c r="EL57" s="439">
        <f t="shared" si="214"/>
        <v>0</v>
      </c>
      <c r="EM57" s="439">
        <f t="shared" si="215"/>
        <v>0</v>
      </c>
      <c r="EN57" s="439">
        <f t="shared" si="216"/>
        <v>0</v>
      </c>
      <c r="EO57" s="439">
        <f t="shared" si="217"/>
        <v>0</v>
      </c>
      <c r="EP57" s="439">
        <f t="shared" si="218"/>
        <v>0</v>
      </c>
      <c r="EQ57" s="439">
        <f t="shared" si="219"/>
        <v>0</v>
      </c>
      <c r="ER57" s="442">
        <f t="shared" si="220"/>
        <v>0</v>
      </c>
      <c r="ES57" s="442">
        <f t="shared" si="221"/>
        <v>0</v>
      </c>
      <c r="ET57" s="439">
        <f t="shared" si="222"/>
        <v>0</v>
      </c>
      <c r="EU57" s="439">
        <f t="shared" si="223"/>
        <v>0</v>
      </c>
      <c r="EV57" s="661">
        <f t="shared" si="224"/>
        <v>0</v>
      </c>
      <c r="EW57" s="661">
        <f t="shared" si="225"/>
        <v>0</v>
      </c>
      <c r="EX57" s="439">
        <f t="shared" si="226"/>
        <v>0</v>
      </c>
      <c r="EY57" s="439">
        <f t="shared" si="227"/>
        <v>0</v>
      </c>
      <c r="EZ57" s="439">
        <f t="shared" si="228"/>
        <v>0</v>
      </c>
      <c r="FA57" s="439">
        <f t="shared" si="229"/>
        <v>0</v>
      </c>
      <c r="FB57" s="631" t="s">
        <v>92</v>
      </c>
      <c r="FC57" s="631">
        <f t="shared" si="152"/>
        <v>0.52447685803332145</v>
      </c>
      <c r="FE57" s="439">
        <f t="shared" si="230"/>
        <v>2.83101</v>
      </c>
      <c r="FF57" s="440">
        <f t="shared" si="231"/>
        <v>2.1680100000000002</v>
      </c>
      <c r="FG57" s="439">
        <f t="shared" si="232"/>
        <v>-1.5050100000000004</v>
      </c>
      <c r="FH57" s="441">
        <f t="shared" si="233"/>
        <v>0</v>
      </c>
      <c r="FI57" s="439">
        <f t="shared" si="234"/>
        <v>0</v>
      </c>
      <c r="FJ57" s="439">
        <f t="shared" si="235"/>
        <v>0</v>
      </c>
      <c r="FK57" s="439">
        <f t="shared" si="236"/>
        <v>0</v>
      </c>
      <c r="FL57" s="439">
        <f t="shared" si="237"/>
        <v>0</v>
      </c>
      <c r="FM57" s="439">
        <f t="shared" si="238"/>
        <v>0</v>
      </c>
      <c r="FN57" s="439">
        <f t="shared" si="239"/>
        <v>0</v>
      </c>
      <c r="FO57" s="439">
        <f t="shared" si="240"/>
        <v>0</v>
      </c>
      <c r="FP57" s="439">
        <f t="shared" si="241"/>
        <v>0</v>
      </c>
      <c r="FQ57" s="439">
        <f t="shared" si="242"/>
        <v>0</v>
      </c>
      <c r="FR57" s="439">
        <f t="shared" si="243"/>
        <v>0</v>
      </c>
      <c r="FS57" s="442">
        <f t="shared" si="244"/>
        <v>0</v>
      </c>
      <c r="FT57" s="442">
        <f t="shared" si="245"/>
        <v>0</v>
      </c>
      <c r="FU57" s="439">
        <f t="shared" si="246"/>
        <v>0</v>
      </c>
      <c r="FV57" s="439">
        <f t="shared" si="247"/>
        <v>0</v>
      </c>
      <c r="FW57" s="661">
        <f t="shared" si="248"/>
        <v>0</v>
      </c>
      <c r="FX57" s="661">
        <f t="shared" si="249"/>
        <v>0</v>
      </c>
      <c r="FY57" s="439">
        <f t="shared" si="250"/>
        <v>0</v>
      </c>
      <c r="FZ57" s="439">
        <f t="shared" si="251"/>
        <v>0</v>
      </c>
      <c r="GA57" s="439">
        <f t="shared" si="252"/>
        <v>0</v>
      </c>
      <c r="GB57" s="439">
        <f t="shared" si="253"/>
        <v>0</v>
      </c>
      <c r="GC57" s="631" t="s">
        <v>92</v>
      </c>
      <c r="GD57" s="631">
        <f t="shared" si="153"/>
        <v>0.28833180503821892</v>
      </c>
      <c r="GF57" s="439">
        <f t="shared" si="254"/>
        <v>3.5483700000000002</v>
      </c>
      <c r="GG57" s="440">
        <f t="shared" si="255"/>
        <v>2.7173700000000003</v>
      </c>
      <c r="GH57" s="439">
        <f t="shared" si="256"/>
        <v>-1.8863700000000003</v>
      </c>
      <c r="GI57" s="439">
        <f t="shared" si="257"/>
        <v>0</v>
      </c>
      <c r="GJ57" s="439">
        <f t="shared" si="258"/>
        <v>0</v>
      </c>
      <c r="GK57" s="439">
        <f t="shared" si="259"/>
        <v>0</v>
      </c>
      <c r="GL57" s="439">
        <f t="shared" si="260"/>
        <v>0</v>
      </c>
      <c r="GM57" s="439">
        <f t="shared" si="261"/>
        <v>0</v>
      </c>
      <c r="GN57" s="439">
        <f t="shared" si="262"/>
        <v>0</v>
      </c>
      <c r="GO57" s="439">
        <f t="shared" si="263"/>
        <v>0</v>
      </c>
      <c r="GP57" s="439">
        <f t="shared" si="264"/>
        <v>0</v>
      </c>
      <c r="GQ57" s="439">
        <f t="shared" si="265"/>
        <v>0</v>
      </c>
      <c r="GR57" s="439">
        <f t="shared" si="266"/>
        <v>0</v>
      </c>
      <c r="GS57" s="439">
        <f t="shared" si="267"/>
        <v>0</v>
      </c>
      <c r="GT57" s="442">
        <f t="shared" si="268"/>
        <v>0</v>
      </c>
      <c r="GU57" s="442">
        <f t="shared" si="269"/>
        <v>0</v>
      </c>
      <c r="GV57" s="439">
        <f t="shared" si="270"/>
        <v>0</v>
      </c>
      <c r="GW57" s="439">
        <f t="shared" si="271"/>
        <v>0</v>
      </c>
      <c r="GX57" s="661">
        <f t="shared" si="272"/>
        <v>0</v>
      </c>
      <c r="GY57" s="661">
        <f t="shared" si="273"/>
        <v>0</v>
      </c>
      <c r="GZ57" s="439">
        <f t="shared" si="274"/>
        <v>0</v>
      </c>
      <c r="HA57" s="439">
        <f t="shared" si="275"/>
        <v>0</v>
      </c>
      <c r="HB57" s="439">
        <f t="shared" si="276"/>
        <v>0</v>
      </c>
      <c r="HC57" s="439">
        <f t="shared" si="277"/>
        <v>0</v>
      </c>
      <c r="HD57" s="631" t="s">
        <v>92</v>
      </c>
      <c r="HE57" s="631">
        <f t="shared" si="306"/>
        <v>0.36139325789858212</v>
      </c>
      <c r="HG57" s="618">
        <f>HLOOKUP(CQ57,Spec_Sheet!$F$3:$DV$19,11,FALSE)+HLOOKUP(CQ57,Spec_Sheet!$F$3:$DV$21,19,FALSE)</f>
        <v>180</v>
      </c>
      <c r="HH57" s="618">
        <f t="shared" si="154"/>
        <v>100</v>
      </c>
      <c r="HI57" s="634">
        <f t="shared" si="155"/>
        <v>200</v>
      </c>
      <c r="HJ57" s="634">
        <f>HLOOKUP(IF(LEN(CQ57)&gt;6,LEFT(CQ57,5),CQ57),'LSM List Pricing'!$B$1:$BW$2,2,0)</f>
        <v>15</v>
      </c>
      <c r="HK57" s="634">
        <f>HLOOKUP(HJ57,'LSM List Pricing'!$B$2:$BW$3,2)</f>
        <v>660</v>
      </c>
      <c r="HL57" s="634">
        <f>VLOOKUP(HH57,'LSM List Pricing'!$A$7:$BW$87,HJ57,0)</f>
        <v>720</v>
      </c>
      <c r="HM57" s="627">
        <f>VLOOKUP(HI57,'LSM List Pricing'!$A$7:$BW$87,HJ57,1)</f>
        <v>920</v>
      </c>
      <c r="HN57" s="628">
        <f t="shared" si="307"/>
        <v>3.5384615384615383</v>
      </c>
      <c r="HO57" s="628">
        <f t="shared" si="308"/>
        <v>7.0769230769230766</v>
      </c>
      <c r="HP57" s="628">
        <f t="shared" si="309"/>
        <v>5.7435897435897436</v>
      </c>
      <c r="HR57" s="618">
        <v>2.7E-2</v>
      </c>
      <c r="HS57" s="618">
        <f t="shared" si="109"/>
        <v>181.28571428571428</v>
      </c>
      <c r="HT57" s="618">
        <f t="shared" si="110"/>
        <v>1</v>
      </c>
      <c r="HU57" s="618">
        <f t="shared" si="170"/>
        <v>0.68744859836749883</v>
      </c>
      <c r="HW57" s="618">
        <f t="shared" si="111"/>
        <v>35.023822990318152</v>
      </c>
      <c r="HX57" s="618">
        <f t="shared" si="171"/>
        <v>0.67795555612038949</v>
      </c>
      <c r="HY57" s="618">
        <f t="shared" si="172"/>
        <v>2.7E-2</v>
      </c>
      <c r="IB57" s="618">
        <f t="shared" si="113"/>
        <v>25.000350341399081</v>
      </c>
      <c r="IC57" s="618">
        <f t="shared" si="114"/>
        <v>1E-3</v>
      </c>
      <c r="IE57" s="618">
        <f t="shared" si="115"/>
        <v>0</v>
      </c>
      <c r="IF57" s="618">
        <f t="shared" si="116"/>
        <v>40.704999999999998</v>
      </c>
      <c r="IH57" s="618">
        <f t="shared" si="117"/>
        <v>0</v>
      </c>
      <c r="II57" s="618">
        <f t="shared" si="118"/>
        <v>40.704999999999998</v>
      </c>
      <c r="IK57" s="618">
        <f t="shared" si="119"/>
        <v>0</v>
      </c>
      <c r="IL57" s="618">
        <f t="shared" si="120"/>
        <v>40.704999999999998</v>
      </c>
      <c r="IN57" s="618">
        <f t="shared" si="121"/>
        <v>0</v>
      </c>
      <c r="IO57" s="618">
        <f t="shared" si="122"/>
        <v>40.704999999999998</v>
      </c>
      <c r="IQ57" s="618">
        <f t="shared" si="123"/>
        <v>0</v>
      </c>
      <c r="IR57" s="618">
        <f t="shared" si="124"/>
        <v>40.704999999999998</v>
      </c>
      <c r="IT57" s="660" t="str">
        <f t="shared" si="278"/>
        <v>L320D-1S</v>
      </c>
      <c r="IU57" s="628"/>
      <c r="IV57" s="439">
        <f t="shared" si="279"/>
        <v>3.8061267162024612</v>
      </c>
      <c r="IW57" s="440">
        <f t="shared" si="280"/>
        <v>2.9147621456632433</v>
      </c>
      <c r="IX57" s="439">
        <f t="shared" si="281"/>
        <v>-2.0233975751240254</v>
      </c>
      <c r="IY57" s="439">
        <f t="shared" si="282"/>
        <v>0</v>
      </c>
      <c r="IZ57" s="439">
        <f t="shared" si="283"/>
        <v>0</v>
      </c>
      <c r="JA57" s="439">
        <f t="shared" si="284"/>
        <v>0</v>
      </c>
      <c r="JB57" s="439">
        <f t="shared" si="285"/>
        <v>0</v>
      </c>
      <c r="JC57" s="439">
        <f t="shared" si="286"/>
        <v>0</v>
      </c>
      <c r="JD57" s="439">
        <f t="shared" si="287"/>
        <v>0</v>
      </c>
      <c r="JE57" s="439">
        <f t="shared" si="288"/>
        <v>0</v>
      </c>
      <c r="JF57" s="439">
        <f t="shared" si="289"/>
        <v>0</v>
      </c>
      <c r="JG57" s="439">
        <f t="shared" si="290"/>
        <v>0</v>
      </c>
      <c r="JH57" s="439">
        <f t="shared" si="291"/>
        <v>0</v>
      </c>
      <c r="JI57" s="439">
        <f t="shared" si="292"/>
        <v>0</v>
      </c>
      <c r="JJ57" s="442">
        <f t="shared" si="293"/>
        <v>0</v>
      </c>
      <c r="JK57" s="442">
        <f t="shared" si="294"/>
        <v>0</v>
      </c>
      <c r="JL57" s="439">
        <f t="shared" si="295"/>
        <v>0</v>
      </c>
      <c r="JM57" s="439">
        <f t="shared" si="296"/>
        <v>0</v>
      </c>
      <c r="JN57" s="661">
        <f t="shared" si="297"/>
        <v>0</v>
      </c>
      <c r="JO57" s="661">
        <f t="shared" si="298"/>
        <v>0</v>
      </c>
      <c r="JP57" s="439">
        <f t="shared" si="299"/>
        <v>0</v>
      </c>
      <c r="JQ57" s="439">
        <f t="shared" si="300"/>
        <v>0</v>
      </c>
      <c r="JR57" s="439">
        <f t="shared" si="301"/>
        <v>0</v>
      </c>
      <c r="JS57" s="439">
        <f t="shared" si="302"/>
        <v>0</v>
      </c>
      <c r="JT57" s="631" t="s">
        <v>92</v>
      </c>
      <c r="JU57" s="631">
        <f t="shared" si="158"/>
        <v>0.38764518185624369</v>
      </c>
      <c r="JW57" s="522"/>
      <c r="JX57" s="522"/>
      <c r="JY57" s="522"/>
      <c r="JZ57" s="522"/>
      <c r="KA57" s="522"/>
      <c r="KB57" s="522"/>
      <c r="KC57" s="522"/>
      <c r="KD57" s="522"/>
      <c r="KE57" s="522"/>
      <c r="KF57" s="522"/>
      <c r="KG57" s="522"/>
      <c r="KH57" s="522"/>
      <c r="KI57" s="522"/>
      <c r="KJ57" s="522"/>
      <c r="KK57" s="522"/>
      <c r="KL57" s="522"/>
    </row>
    <row r="58" spans="1:298" ht="9.9499999999999993" customHeight="1">
      <c r="A58" s="377"/>
      <c r="B58" s="153"/>
      <c r="C58" s="152"/>
      <c r="D58" s="152"/>
      <c r="E58" s="45"/>
      <c r="F58" s="45"/>
      <c r="G58" s="45"/>
      <c r="H58" s="45"/>
      <c r="I58" s="45"/>
      <c r="J58" s="45"/>
      <c r="K58" s="45"/>
      <c r="L58" s="45"/>
      <c r="M58" s="45"/>
      <c r="N58" s="45"/>
      <c r="O58" s="45"/>
      <c r="P58" s="45"/>
      <c r="Q58" s="45"/>
      <c r="R58" s="45"/>
      <c r="S58" s="45"/>
      <c r="T58" s="45"/>
      <c r="U58" s="154"/>
      <c r="V58" s="154"/>
      <c r="W58" s="45"/>
      <c r="X58" s="45"/>
      <c r="Y58" s="45"/>
      <c r="Z58" s="45"/>
      <c r="AA58" s="45"/>
      <c r="AB58" s="45"/>
      <c r="AC58" s="154"/>
      <c r="AD58" s="154"/>
      <c r="AE58" s="45"/>
      <c r="AF58" s="45"/>
      <c r="AG58" s="45"/>
      <c r="AH58" s="45"/>
      <c r="AI58" s="45"/>
      <c r="AJ58" s="45"/>
      <c r="AK58" s="45"/>
      <c r="AL58" s="154"/>
      <c r="AM58" s="154"/>
      <c r="AN58" s="45"/>
      <c r="AO58" s="45"/>
      <c r="AP58" s="45"/>
      <c r="AQ58" s="45"/>
      <c r="AR58" s="45"/>
      <c r="AS58" s="45"/>
      <c r="AT58" s="154"/>
      <c r="AU58" s="154"/>
      <c r="AV58" s="93" t="e">
        <f t="shared" ref="AV58:AV67" si="313">IF($AY$30,F84,0)*$F$82</f>
        <v>#DIV/0!</v>
      </c>
      <c r="AW58" s="93" t="e">
        <f>IF($AY$32,'Data Sheet'!AA79,0)</f>
        <v>#DIV/0!</v>
      </c>
      <c r="AX58" s="93">
        <f>AX57+$F$76</f>
        <v>40.704999999999998</v>
      </c>
      <c r="AY58" s="513"/>
      <c r="AZ58" s="512"/>
      <c r="BA58" s="153"/>
      <c r="BB58" s="869" t="str">
        <f>IF(HLOOKUP(CQ126,Spec_Sheet!$F$3:$ED$19,17,FALSE)&lt;$AC$44,"",CQ126)</f>
        <v>SLP15</v>
      </c>
      <c r="BC58" s="870"/>
      <c r="BD58" s="871"/>
      <c r="BE58" s="487">
        <f t="shared" ref="BE58:BF60" si="314">CT126</f>
        <v>4.7707617688924776E-3</v>
      </c>
      <c r="BF58" s="484">
        <f t="shared" si="314"/>
        <v>4.9533464785661403E-2</v>
      </c>
      <c r="BG58" s="328"/>
      <c r="BH58" s="155"/>
      <c r="BI58" s="155"/>
      <c r="BJ58" s="155"/>
      <c r="BK58" s="155"/>
      <c r="BL58" s="155"/>
      <c r="BM58" s="267"/>
      <c r="BN58" s="162"/>
      <c r="BO58" s="387" t="s">
        <v>377</v>
      </c>
      <c r="BP58" s="387" t="s">
        <v>378</v>
      </c>
      <c r="BQ58" s="400"/>
      <c r="BR58" s="400"/>
      <c r="BS58" s="400"/>
      <c r="BT58" s="400"/>
      <c r="BU58" s="400"/>
      <c r="BV58" s="400"/>
      <c r="BW58" s="400"/>
      <c r="BX58" s="400"/>
      <c r="BY58" s="400"/>
      <c r="BZ58" s="400"/>
      <c r="CA58" s="400"/>
      <c r="CB58" s="400"/>
      <c r="CC58" s="400"/>
      <c r="CD58" s="400"/>
      <c r="CE58" s="400"/>
      <c r="CF58" s="400"/>
      <c r="CG58" s="400"/>
      <c r="CH58" s="401"/>
      <c r="CI58" s="401"/>
      <c r="CJ58" s="399"/>
      <c r="CK58" s="399"/>
      <c r="CL58" s="156"/>
      <c r="CM58" s="156"/>
      <c r="CN58" s="150"/>
      <c r="CO58" s="692" t="str">
        <f ca="1"/>
        <v>S320D</v>
      </c>
      <c r="CP58" s="632" t="str">
        <f>IF(OR(CQ58=0,CR58="",CS58&gt;120),"",IF(HLOOKUP(CQ58,Spec_Sheet!$F$3:$ED$19,17,FALSE)&lt;$AC$46,"",CQ58))</f>
        <v>L250QS</v>
      </c>
      <c r="CQ58" s="660" t="str">
        <f>IF(Spec_Sheet!A57="","",Spec_Sheet!A57)</f>
        <v>L250QS</v>
      </c>
      <c r="CR58" s="660">
        <f>IF(CQ58="",0,HLOOKUP(CQ58,Spec_Sheet!$F$3:$ED$19,2,FALSE))</f>
        <v>54.903343191488766</v>
      </c>
      <c r="CS58" s="660">
        <f t="shared" si="169"/>
        <v>1.3742070429314337E-3</v>
      </c>
      <c r="CT58" s="621">
        <f t="shared" si="310"/>
        <v>1.7491550526727523E-3</v>
      </c>
      <c r="CU58" s="621">
        <f t="shared" si="181"/>
        <v>1.3742070429314337E-3</v>
      </c>
      <c r="CV58" s="621" t="e">
        <f t="shared" si="311"/>
        <v>#REF!</v>
      </c>
      <c r="CW58" s="621" t="e">
        <f t="shared" si="312"/>
        <v>#REF!</v>
      </c>
      <c r="CX58" s="621" t="e">
        <f t="shared" si="157"/>
        <v>#REF!</v>
      </c>
      <c r="CY58" s="619">
        <f>HLOOKUP(CQ58,Spec_Sheet!$F$3:$ED$19,13,FALSE)</f>
        <v>1.36</v>
      </c>
      <c r="CZ58" s="619" t="e">
        <f>VLOOKUP(HH58,'Shaft Weight'!$A$6:$CD$102,HJ58,TRUE)</f>
        <v>#REF!</v>
      </c>
      <c r="DA58" s="619" t="e">
        <f>VLOOKUP(HI58,'Shaft Weight'!$A$6:$CD$102,HJ58,0)</f>
        <v>#REF!</v>
      </c>
      <c r="DB58" s="619">
        <f>HLOOKUP(CQ58,Spec_Sheet!$F$3:$ED$19,6,FALSE)</f>
        <v>56.5</v>
      </c>
      <c r="DC58" s="439">
        <f t="shared" si="182"/>
        <v>2.2545600000000006</v>
      </c>
      <c r="DD58" s="440">
        <f t="shared" si="183"/>
        <v>1.7265600000000003</v>
      </c>
      <c r="DE58" s="439">
        <f t="shared" si="184"/>
        <v>-1.1985600000000003</v>
      </c>
      <c r="DF58" s="439">
        <f t="shared" si="185"/>
        <v>0</v>
      </c>
      <c r="DG58" s="439">
        <f t="shared" si="186"/>
        <v>0</v>
      </c>
      <c r="DH58" s="439">
        <f t="shared" si="187"/>
        <v>0</v>
      </c>
      <c r="DI58" s="439">
        <f t="shared" si="188"/>
        <v>0</v>
      </c>
      <c r="DJ58" s="439">
        <f t="shared" si="189"/>
        <v>0</v>
      </c>
      <c r="DK58" s="439">
        <f t="shared" si="190"/>
        <v>0</v>
      </c>
      <c r="DL58" s="439">
        <f t="shared" si="191"/>
        <v>0</v>
      </c>
      <c r="DM58" s="439">
        <f t="shared" si="192"/>
        <v>0</v>
      </c>
      <c r="DN58" s="439">
        <f t="shared" si="193"/>
        <v>0</v>
      </c>
      <c r="DO58" s="439">
        <f t="shared" si="194"/>
        <v>0</v>
      </c>
      <c r="DP58" s="439">
        <f t="shared" si="195"/>
        <v>0</v>
      </c>
      <c r="DQ58" s="442">
        <f t="shared" si="196"/>
        <v>0</v>
      </c>
      <c r="DR58" s="442">
        <f t="shared" si="197"/>
        <v>0</v>
      </c>
      <c r="DS58" s="439">
        <f t="shared" si="198"/>
        <v>0</v>
      </c>
      <c r="DT58" s="439">
        <f t="shared" si="199"/>
        <v>0</v>
      </c>
      <c r="DU58" s="661">
        <f t="shared" si="200"/>
        <v>0</v>
      </c>
      <c r="DV58" s="661">
        <f t="shared" si="201"/>
        <v>0</v>
      </c>
      <c r="DW58" s="439">
        <f t="shared" si="202"/>
        <v>0</v>
      </c>
      <c r="DX58" s="439">
        <f t="shared" si="203"/>
        <v>0</v>
      </c>
      <c r="DY58" s="439">
        <f t="shared" si="204"/>
        <v>0</v>
      </c>
      <c r="DZ58" s="439">
        <f t="shared" si="205"/>
        <v>0</v>
      </c>
      <c r="EA58" s="631" t="s">
        <v>92</v>
      </c>
      <c r="EB58" s="631">
        <f t="shared" si="151"/>
        <v>0.22962170898971285</v>
      </c>
      <c r="ED58" s="439" t="e">
        <f t="shared" si="206"/>
        <v>#REF!</v>
      </c>
      <c r="EE58" s="440" t="e">
        <f t="shared" si="207"/>
        <v>#REF!</v>
      </c>
      <c r="EF58" s="439" t="e">
        <f t="shared" si="208"/>
        <v>#REF!</v>
      </c>
      <c r="EG58" s="441" t="e">
        <f t="shared" si="209"/>
        <v>#REF!</v>
      </c>
      <c r="EH58" s="439">
        <f t="shared" si="210"/>
        <v>0</v>
      </c>
      <c r="EI58" s="439">
        <f t="shared" si="211"/>
        <v>0</v>
      </c>
      <c r="EJ58" s="439">
        <f t="shared" si="212"/>
        <v>0</v>
      </c>
      <c r="EK58" s="439">
        <f t="shared" si="213"/>
        <v>0</v>
      </c>
      <c r="EL58" s="439">
        <f t="shared" si="214"/>
        <v>0</v>
      </c>
      <c r="EM58" s="439">
        <f t="shared" si="215"/>
        <v>0</v>
      </c>
      <c r="EN58" s="439">
        <f t="shared" si="216"/>
        <v>0</v>
      </c>
      <c r="EO58" s="439">
        <f t="shared" si="217"/>
        <v>0</v>
      </c>
      <c r="EP58" s="439">
        <f t="shared" si="218"/>
        <v>0</v>
      </c>
      <c r="EQ58" s="439">
        <f t="shared" si="219"/>
        <v>0</v>
      </c>
      <c r="ER58" s="442">
        <f t="shared" si="220"/>
        <v>0</v>
      </c>
      <c r="ES58" s="442">
        <f t="shared" si="221"/>
        <v>0</v>
      </c>
      <c r="ET58" s="439">
        <f t="shared" si="222"/>
        <v>0</v>
      </c>
      <c r="EU58" s="439">
        <f t="shared" si="223"/>
        <v>0</v>
      </c>
      <c r="EV58" s="661">
        <f t="shared" si="224"/>
        <v>0</v>
      </c>
      <c r="EW58" s="661">
        <f t="shared" si="225"/>
        <v>0</v>
      </c>
      <c r="EX58" s="439">
        <f t="shared" si="226"/>
        <v>0</v>
      </c>
      <c r="EY58" s="439">
        <f t="shared" si="227"/>
        <v>0</v>
      </c>
      <c r="EZ58" s="439">
        <f t="shared" si="228"/>
        <v>0</v>
      </c>
      <c r="FA58" s="439">
        <f t="shared" si="229"/>
        <v>0</v>
      </c>
      <c r="FB58" s="631" t="s">
        <v>92</v>
      </c>
      <c r="FC58" s="631" t="e">
        <f t="shared" si="152"/>
        <v>#REF!</v>
      </c>
      <c r="FE58" s="439" t="e">
        <f t="shared" si="230"/>
        <v>#REF!</v>
      </c>
      <c r="FF58" s="440" t="e">
        <f t="shared" si="231"/>
        <v>#REF!</v>
      </c>
      <c r="FG58" s="439" t="e">
        <f t="shared" si="232"/>
        <v>#REF!</v>
      </c>
      <c r="FH58" s="441" t="e">
        <f t="shared" si="233"/>
        <v>#REF!</v>
      </c>
      <c r="FI58" s="439">
        <f t="shared" si="234"/>
        <v>0</v>
      </c>
      <c r="FJ58" s="439">
        <f t="shared" si="235"/>
        <v>0</v>
      </c>
      <c r="FK58" s="439">
        <f t="shared" si="236"/>
        <v>0</v>
      </c>
      <c r="FL58" s="439">
        <f t="shared" si="237"/>
        <v>0</v>
      </c>
      <c r="FM58" s="439">
        <f t="shared" si="238"/>
        <v>0</v>
      </c>
      <c r="FN58" s="439">
        <f t="shared" si="239"/>
        <v>0</v>
      </c>
      <c r="FO58" s="439">
        <f t="shared" si="240"/>
        <v>0</v>
      </c>
      <c r="FP58" s="439">
        <f t="shared" si="241"/>
        <v>0</v>
      </c>
      <c r="FQ58" s="439">
        <f t="shared" si="242"/>
        <v>0</v>
      </c>
      <c r="FR58" s="439">
        <f t="shared" si="243"/>
        <v>0</v>
      </c>
      <c r="FS58" s="442">
        <f t="shared" si="244"/>
        <v>0</v>
      </c>
      <c r="FT58" s="442">
        <f t="shared" si="245"/>
        <v>0</v>
      </c>
      <c r="FU58" s="439">
        <f t="shared" si="246"/>
        <v>0</v>
      </c>
      <c r="FV58" s="439">
        <f t="shared" si="247"/>
        <v>0</v>
      </c>
      <c r="FW58" s="661">
        <f t="shared" si="248"/>
        <v>0</v>
      </c>
      <c r="FX58" s="661">
        <f t="shared" si="249"/>
        <v>0</v>
      </c>
      <c r="FY58" s="439">
        <f t="shared" si="250"/>
        <v>0</v>
      </c>
      <c r="FZ58" s="439">
        <f t="shared" si="251"/>
        <v>0</v>
      </c>
      <c r="GA58" s="439">
        <f t="shared" si="252"/>
        <v>0</v>
      </c>
      <c r="GB58" s="439">
        <f t="shared" si="253"/>
        <v>0</v>
      </c>
      <c r="GC58" s="631" t="s">
        <v>92</v>
      </c>
      <c r="GD58" s="631" t="e">
        <f t="shared" si="153"/>
        <v>#REF!</v>
      </c>
      <c r="GF58" s="439" t="e">
        <f t="shared" si="254"/>
        <v>#REF!</v>
      </c>
      <c r="GG58" s="440" t="e">
        <f t="shared" si="255"/>
        <v>#REF!</v>
      </c>
      <c r="GH58" s="439" t="e">
        <f t="shared" si="256"/>
        <v>#REF!</v>
      </c>
      <c r="GI58" s="439" t="e">
        <f t="shared" si="257"/>
        <v>#REF!</v>
      </c>
      <c r="GJ58" s="439">
        <f t="shared" si="258"/>
        <v>0</v>
      </c>
      <c r="GK58" s="439">
        <f t="shared" si="259"/>
        <v>0</v>
      </c>
      <c r="GL58" s="439">
        <f t="shared" si="260"/>
        <v>0</v>
      </c>
      <c r="GM58" s="439">
        <f t="shared" si="261"/>
        <v>0</v>
      </c>
      <c r="GN58" s="439">
        <f t="shared" si="262"/>
        <v>0</v>
      </c>
      <c r="GO58" s="439">
        <f t="shared" si="263"/>
        <v>0</v>
      </c>
      <c r="GP58" s="439">
        <f t="shared" si="264"/>
        <v>0</v>
      </c>
      <c r="GQ58" s="439">
        <f t="shared" si="265"/>
        <v>0</v>
      </c>
      <c r="GR58" s="439">
        <f t="shared" si="266"/>
        <v>0</v>
      </c>
      <c r="GS58" s="439">
        <f t="shared" si="267"/>
        <v>0</v>
      </c>
      <c r="GT58" s="442">
        <f t="shared" si="268"/>
        <v>0</v>
      </c>
      <c r="GU58" s="442">
        <f t="shared" si="269"/>
        <v>0</v>
      </c>
      <c r="GV58" s="439">
        <f t="shared" si="270"/>
        <v>0</v>
      </c>
      <c r="GW58" s="439">
        <f t="shared" si="271"/>
        <v>0</v>
      </c>
      <c r="GX58" s="661">
        <f t="shared" si="272"/>
        <v>0</v>
      </c>
      <c r="GY58" s="661">
        <f t="shared" si="273"/>
        <v>0</v>
      </c>
      <c r="GZ58" s="439">
        <f t="shared" si="274"/>
        <v>0</v>
      </c>
      <c r="HA58" s="439">
        <f t="shared" si="275"/>
        <v>0</v>
      </c>
      <c r="HB58" s="439">
        <f t="shared" si="276"/>
        <v>0</v>
      </c>
      <c r="HC58" s="439">
        <f t="shared" si="277"/>
        <v>0</v>
      </c>
      <c r="HD58" s="631" t="s">
        <v>92</v>
      </c>
      <c r="HE58" s="631" t="e">
        <f t="shared" si="306"/>
        <v>#REF!</v>
      </c>
      <c r="HG58" s="618">
        <f>HLOOKUP(CQ58,Spec_Sheet!$F$3:$DV$19,11,FALSE)+HLOOKUP(CQ58,Spec_Sheet!$F$3:$DV$21,19,FALSE)</f>
        <v>150</v>
      </c>
      <c r="HH58" s="618">
        <f t="shared" si="154"/>
        <v>100</v>
      </c>
      <c r="HI58" s="634">
        <f t="shared" si="155"/>
        <v>200</v>
      </c>
      <c r="HJ58" s="634" t="e">
        <f>HLOOKUP(IF(LEN(CQ58)&gt;6,LEFT(CQ58,5),CQ58),'LSM List Pricing'!$B$1:$BW$2,2,0)</f>
        <v>#N/A</v>
      </c>
      <c r="HK58" s="634" t="e">
        <f>HLOOKUP(HJ58,'LSM List Pricing'!$B$2:$BW$3,2)</f>
        <v>#N/A</v>
      </c>
      <c r="HL58" s="634" t="e">
        <f>VLOOKUP(HH58,'LSM List Pricing'!$A$7:$BW$87,HJ58,0)</f>
        <v>#REF!</v>
      </c>
      <c r="HM58" s="627" t="e">
        <f>VLOOKUP(HI58,'LSM List Pricing'!$A$7:$BW$87,HJ58,1)</f>
        <v>#REF!</v>
      </c>
      <c r="HN58" s="628" t="e">
        <f t="shared" si="307"/>
        <v>#N/A</v>
      </c>
      <c r="HO58" s="628" t="e">
        <f t="shared" si="308"/>
        <v>#N/A</v>
      </c>
      <c r="HP58" s="628" t="e">
        <f t="shared" si="309"/>
        <v>#N/A</v>
      </c>
      <c r="HR58" s="618">
        <v>2.75E-2</v>
      </c>
      <c r="HS58" s="618">
        <f t="shared" si="109"/>
        <v>184.64285714285714</v>
      </c>
      <c r="HT58" s="618">
        <f t="shared" si="110"/>
        <v>1</v>
      </c>
      <c r="HU58" s="618">
        <f t="shared" si="170"/>
        <v>0.70018764234112363</v>
      </c>
      <c r="HW58" s="618">
        <f t="shared" si="111"/>
        <v>35.005733547875607</v>
      </c>
      <c r="HX58" s="618">
        <f t="shared" si="171"/>
        <v>0.69034276664803895</v>
      </c>
      <c r="HY58" s="618">
        <f t="shared" si="172"/>
        <v>2.75E-2</v>
      </c>
      <c r="IB58" s="618">
        <f t="shared" si="113"/>
        <v>25.000350341399081</v>
      </c>
      <c r="IC58" s="618">
        <f t="shared" si="114"/>
        <v>1E-3</v>
      </c>
      <c r="IE58" s="618">
        <f t="shared" si="115"/>
        <v>0</v>
      </c>
      <c r="IF58" s="618">
        <f t="shared" si="116"/>
        <v>40.704999999999998</v>
      </c>
      <c r="IH58" s="618">
        <f t="shared" si="117"/>
        <v>0</v>
      </c>
      <c r="II58" s="618">
        <f t="shared" si="118"/>
        <v>40.704999999999998</v>
      </c>
      <c r="IK58" s="618">
        <f t="shared" si="119"/>
        <v>0</v>
      </c>
      <c r="IL58" s="618">
        <f t="shared" si="120"/>
        <v>40.704999999999998</v>
      </c>
      <c r="IN58" s="618">
        <f t="shared" si="121"/>
        <v>0</v>
      </c>
      <c r="IO58" s="618">
        <f t="shared" si="122"/>
        <v>40.704999999999998</v>
      </c>
      <c r="IQ58" s="618">
        <f t="shared" si="123"/>
        <v>0</v>
      </c>
      <c r="IR58" s="618">
        <f t="shared" si="124"/>
        <v>40.704999999999998</v>
      </c>
      <c r="IT58" s="660" t="str">
        <f t="shared" si="278"/>
        <v>L250QS</v>
      </c>
      <c r="IU58" s="628"/>
      <c r="IV58" s="439">
        <f t="shared" si="279"/>
        <v>3.9967200000000003</v>
      </c>
      <c r="IW58" s="440">
        <f t="shared" si="280"/>
        <v>3.0607200000000003</v>
      </c>
      <c r="IX58" s="439">
        <f t="shared" si="281"/>
        <v>-2.1247200000000004</v>
      </c>
      <c r="IY58" s="439">
        <f t="shared" si="282"/>
        <v>0</v>
      </c>
      <c r="IZ58" s="439">
        <f t="shared" si="283"/>
        <v>0</v>
      </c>
      <c r="JA58" s="439">
        <f t="shared" si="284"/>
        <v>0</v>
      </c>
      <c r="JB58" s="439">
        <f t="shared" si="285"/>
        <v>0</v>
      </c>
      <c r="JC58" s="439">
        <f t="shared" si="286"/>
        <v>0</v>
      </c>
      <c r="JD58" s="439">
        <f t="shared" si="287"/>
        <v>0</v>
      </c>
      <c r="JE58" s="439">
        <f t="shared" si="288"/>
        <v>0</v>
      </c>
      <c r="JF58" s="439">
        <f t="shared" si="289"/>
        <v>0</v>
      </c>
      <c r="JG58" s="439">
        <f t="shared" si="290"/>
        <v>0</v>
      </c>
      <c r="JH58" s="439">
        <f t="shared" si="291"/>
        <v>0</v>
      </c>
      <c r="JI58" s="439">
        <f t="shared" si="292"/>
        <v>0</v>
      </c>
      <c r="JJ58" s="442">
        <f t="shared" si="293"/>
        <v>0</v>
      </c>
      <c r="JK58" s="442">
        <f t="shared" si="294"/>
        <v>0</v>
      </c>
      <c r="JL58" s="439">
        <f t="shared" si="295"/>
        <v>0</v>
      </c>
      <c r="JM58" s="439">
        <f t="shared" si="296"/>
        <v>0</v>
      </c>
      <c r="JN58" s="661">
        <f t="shared" si="297"/>
        <v>0</v>
      </c>
      <c r="JO58" s="661">
        <f t="shared" si="298"/>
        <v>0</v>
      </c>
      <c r="JP58" s="439">
        <f t="shared" si="299"/>
        <v>0</v>
      </c>
      <c r="JQ58" s="439">
        <f t="shared" si="300"/>
        <v>0</v>
      </c>
      <c r="JR58" s="439">
        <f t="shared" si="301"/>
        <v>0</v>
      </c>
      <c r="JS58" s="439">
        <f t="shared" si="302"/>
        <v>0</v>
      </c>
      <c r="JT58" s="631" t="s">
        <v>92</v>
      </c>
      <c r="JU58" s="631">
        <f t="shared" si="158"/>
        <v>0.40705666593630907</v>
      </c>
      <c r="JW58" s="522"/>
      <c r="JX58" s="522"/>
      <c r="JY58" s="522"/>
      <c r="JZ58" s="522"/>
      <c r="KA58" s="522"/>
      <c r="KB58" s="522"/>
      <c r="KC58" s="522"/>
      <c r="KD58" s="522"/>
      <c r="KE58" s="522"/>
      <c r="KF58" s="522"/>
      <c r="KG58" s="522"/>
      <c r="KH58" s="522"/>
      <c r="KI58" s="522"/>
      <c r="KJ58" s="522"/>
      <c r="KK58" s="522"/>
      <c r="KL58" s="522"/>
    </row>
    <row r="59" spans="1:298" ht="9.9499999999999993" customHeight="1">
      <c r="A59" s="155"/>
      <c r="B59" s="153"/>
      <c r="C59" s="152"/>
      <c r="D59" s="152"/>
      <c r="E59" s="45"/>
      <c r="F59" s="45"/>
      <c r="G59" s="45"/>
      <c r="H59" s="45"/>
      <c r="I59" s="45"/>
      <c r="J59" s="45"/>
      <c r="K59" s="45"/>
      <c r="L59" s="45"/>
      <c r="M59" s="45"/>
      <c r="N59" s="45"/>
      <c r="O59" s="45"/>
      <c r="P59" s="45"/>
      <c r="Q59" s="45"/>
      <c r="R59" s="45"/>
      <c r="S59" s="45"/>
      <c r="T59" s="45"/>
      <c r="U59" s="154"/>
      <c r="V59" s="154"/>
      <c r="W59" s="45"/>
      <c r="X59" s="45"/>
      <c r="Y59" s="45"/>
      <c r="Z59" s="45"/>
      <c r="AA59" s="45"/>
      <c r="AB59" s="45"/>
      <c r="AC59" s="154"/>
      <c r="AD59" s="154"/>
      <c r="AE59" s="45"/>
      <c r="AF59" s="45"/>
      <c r="AG59" s="45"/>
      <c r="AH59" s="45"/>
      <c r="AI59" s="45"/>
      <c r="AJ59" s="45"/>
      <c r="AK59" s="45"/>
      <c r="AL59" s="154"/>
      <c r="AM59" s="154"/>
      <c r="AN59" s="45"/>
      <c r="AO59" s="45"/>
      <c r="AP59" s="45"/>
      <c r="AQ59" s="45"/>
      <c r="AR59" s="45"/>
      <c r="AS59" s="45"/>
      <c r="AT59" s="154"/>
      <c r="AU59" s="154"/>
      <c r="AV59" s="93" t="e">
        <f t="shared" si="313"/>
        <v>#DIV/0!</v>
      </c>
      <c r="AW59" s="93" t="e">
        <f>IF($AY$32,'Data Sheet'!AA80,0)</f>
        <v>#DIV/0!</v>
      </c>
      <c r="AX59" s="93">
        <f t="shared" ref="AX59:AX67" si="315">AX58+$F$76</f>
        <v>40.704999999999998</v>
      </c>
      <c r="AY59" s="444"/>
      <c r="AZ59" s="423"/>
      <c r="BA59" s="423"/>
      <c r="BB59" s="708" t="str">
        <f>IF(HLOOKUP(CQ127,Spec_Sheet!$F$3:$ED$19,17,FALSE)&lt;$AC$44,"",CQ127)</f>
        <v>SLP25</v>
      </c>
      <c r="BC59" s="709"/>
      <c r="BD59" s="710"/>
      <c r="BE59" s="342">
        <f t="shared" si="314"/>
        <v>2.5559006468224114E-3</v>
      </c>
      <c r="BF59" s="485">
        <f t="shared" si="314"/>
        <v>5.6277687499232294E-3</v>
      </c>
      <c r="BG59" s="328"/>
      <c r="BH59" s="155"/>
      <c r="BI59" s="378"/>
      <c r="BJ59" s="378"/>
      <c r="BK59" s="378"/>
      <c r="BL59" s="378"/>
      <c r="BM59" s="267"/>
      <c r="BN59" s="267"/>
      <c r="BO59" s="406"/>
      <c r="BP59" s="407" t="s">
        <v>382</v>
      </c>
      <c r="BQ59" s="124"/>
      <c r="BR59" s="124"/>
      <c r="BS59" s="125"/>
      <c r="BT59" s="125"/>
      <c r="BU59" s="125"/>
      <c r="BV59" s="125"/>
      <c r="BW59" s="125"/>
      <c r="BX59" s="124"/>
      <c r="BY59" s="124"/>
      <c r="BZ59" s="124"/>
      <c r="CA59" s="124"/>
      <c r="CB59" s="124"/>
      <c r="CC59" s="124"/>
      <c r="CD59" s="124"/>
      <c r="CE59" s="124"/>
      <c r="CF59" s="124"/>
      <c r="CG59" s="124"/>
      <c r="CH59" s="44"/>
      <c r="CI59" s="44"/>
      <c r="CO59" s="692" t="str">
        <f ca="1"/>
        <v>S250T 1S</v>
      </c>
      <c r="CP59" s="632" t="str">
        <f>IF(OR(CQ59=0,CR59="",CS59&gt;120),"",IF(HLOOKUP(CQ59,Spec_Sheet!$F$3:$ED$19,17,FALSE)&lt;$AC$46,"",CQ59))</f>
        <v>S320D 1S</v>
      </c>
      <c r="CQ59" s="660" t="str">
        <f>IF(Spec_Sheet!A58="","",Spec_Sheet!A58)</f>
        <v>S320D 1S</v>
      </c>
      <c r="CR59" s="660">
        <f>IF(CQ59="",0,HLOOKUP(CQ59,Spec_Sheet!$F$3:$ED$19,2,FALSE))</f>
        <v>55.265999999999998</v>
      </c>
      <c r="CS59" s="660">
        <f t="shared" si="169"/>
        <v>1.0922965455650606E-3</v>
      </c>
      <c r="CT59" s="621">
        <f t="shared" si="310"/>
        <v>1.4266730391053854E-3</v>
      </c>
      <c r="CU59" s="621">
        <f t="shared" si="181"/>
        <v>1.0922965455650606E-3</v>
      </c>
      <c r="CV59" s="621">
        <f t="shared" si="311"/>
        <v>2.7218803868338322E-3</v>
      </c>
      <c r="CW59" s="621">
        <f t="shared" si="312"/>
        <v>2.251524119253777E-3</v>
      </c>
      <c r="CX59" s="621">
        <f t="shared" si="157"/>
        <v>1.0690155822023154E-3</v>
      </c>
      <c r="CY59" s="619">
        <f>HLOOKUP(CQ59,Spec_Sheet!$F$3:$ED$19,13,FALSE)</f>
        <v>1.2</v>
      </c>
      <c r="CZ59" s="619">
        <f>VLOOKUP(HH59,'Shaft Weight'!$A$6:$CD$102,HJ59,TRUE)</f>
        <v>1.81</v>
      </c>
      <c r="DA59" s="619">
        <f>VLOOKUP(HI59,'Shaft Weight'!$A$6:$CD$102,HJ59,0)</f>
        <v>2.37</v>
      </c>
      <c r="DB59" s="619">
        <f>HLOOKUP(CQ59,Spec_Sheet!$F$3:$ED$19,6,FALSE)</f>
        <v>22.65</v>
      </c>
      <c r="DC59" s="439">
        <f t="shared" si="182"/>
        <v>2.0496000000000003</v>
      </c>
      <c r="DD59" s="440">
        <f t="shared" si="183"/>
        <v>1.5696000000000003</v>
      </c>
      <c r="DE59" s="439">
        <f t="shared" si="184"/>
        <v>-1.0896000000000003</v>
      </c>
      <c r="DF59" s="439">
        <f t="shared" si="185"/>
        <v>0</v>
      </c>
      <c r="DG59" s="439">
        <f t="shared" si="186"/>
        <v>0</v>
      </c>
      <c r="DH59" s="439">
        <f t="shared" si="187"/>
        <v>0</v>
      </c>
      <c r="DI59" s="439">
        <f t="shared" si="188"/>
        <v>0</v>
      </c>
      <c r="DJ59" s="439">
        <f t="shared" si="189"/>
        <v>0</v>
      </c>
      <c r="DK59" s="439">
        <f t="shared" si="190"/>
        <v>0</v>
      </c>
      <c r="DL59" s="439">
        <f t="shared" si="191"/>
        <v>0</v>
      </c>
      <c r="DM59" s="439">
        <f t="shared" si="192"/>
        <v>0</v>
      </c>
      <c r="DN59" s="439">
        <f t="shared" si="193"/>
        <v>0</v>
      </c>
      <c r="DO59" s="439">
        <f t="shared" si="194"/>
        <v>0</v>
      </c>
      <c r="DP59" s="439">
        <f t="shared" si="195"/>
        <v>0</v>
      </c>
      <c r="DQ59" s="442">
        <f t="shared" si="196"/>
        <v>0</v>
      </c>
      <c r="DR59" s="442">
        <f t="shared" si="197"/>
        <v>0</v>
      </c>
      <c r="DS59" s="439">
        <f t="shared" si="198"/>
        <v>0</v>
      </c>
      <c r="DT59" s="439">
        <f t="shared" si="199"/>
        <v>0</v>
      </c>
      <c r="DU59" s="661">
        <f t="shared" si="200"/>
        <v>0</v>
      </c>
      <c r="DV59" s="661">
        <f t="shared" si="201"/>
        <v>0</v>
      </c>
      <c r="DW59" s="439">
        <f t="shared" si="202"/>
        <v>0</v>
      </c>
      <c r="DX59" s="439">
        <f t="shared" si="203"/>
        <v>0</v>
      </c>
      <c r="DY59" s="439">
        <f t="shared" si="204"/>
        <v>0</v>
      </c>
      <c r="DZ59" s="439">
        <f t="shared" si="205"/>
        <v>0</v>
      </c>
      <c r="EA59" s="631" t="s">
        <v>92</v>
      </c>
      <c r="EB59" s="631">
        <f t="shared" si="151"/>
        <v>0.20874700817246622</v>
      </c>
      <c r="ED59" s="439">
        <f t="shared" si="206"/>
        <v>5.1496200000000014</v>
      </c>
      <c r="EE59" s="440">
        <f t="shared" si="207"/>
        <v>3.943620000000001</v>
      </c>
      <c r="EF59" s="439">
        <f t="shared" si="208"/>
        <v>-2.7376200000000006</v>
      </c>
      <c r="EG59" s="441">
        <f t="shared" si="209"/>
        <v>0</v>
      </c>
      <c r="EH59" s="439">
        <f t="shared" si="210"/>
        <v>0</v>
      </c>
      <c r="EI59" s="439">
        <f t="shared" si="211"/>
        <v>0</v>
      </c>
      <c r="EJ59" s="439">
        <f t="shared" si="212"/>
        <v>0</v>
      </c>
      <c r="EK59" s="439">
        <f t="shared" si="213"/>
        <v>0</v>
      </c>
      <c r="EL59" s="439">
        <f t="shared" si="214"/>
        <v>0</v>
      </c>
      <c r="EM59" s="439">
        <f t="shared" si="215"/>
        <v>0</v>
      </c>
      <c r="EN59" s="439">
        <f t="shared" si="216"/>
        <v>0</v>
      </c>
      <c r="EO59" s="439">
        <f t="shared" si="217"/>
        <v>0</v>
      </c>
      <c r="EP59" s="439">
        <f t="shared" si="218"/>
        <v>0</v>
      </c>
      <c r="EQ59" s="439">
        <f t="shared" si="219"/>
        <v>0</v>
      </c>
      <c r="ER59" s="442">
        <f t="shared" si="220"/>
        <v>0</v>
      </c>
      <c r="ES59" s="442">
        <f t="shared" si="221"/>
        <v>0</v>
      </c>
      <c r="ET59" s="439">
        <f t="shared" si="222"/>
        <v>0</v>
      </c>
      <c r="EU59" s="439">
        <f t="shared" si="223"/>
        <v>0</v>
      </c>
      <c r="EV59" s="661">
        <f t="shared" si="224"/>
        <v>0</v>
      </c>
      <c r="EW59" s="661">
        <f t="shared" si="225"/>
        <v>0</v>
      </c>
      <c r="EX59" s="439">
        <f t="shared" si="226"/>
        <v>0</v>
      </c>
      <c r="EY59" s="439">
        <f t="shared" si="227"/>
        <v>0</v>
      </c>
      <c r="EZ59" s="439">
        <f t="shared" si="228"/>
        <v>0</v>
      </c>
      <c r="FA59" s="439">
        <f t="shared" si="229"/>
        <v>0</v>
      </c>
      <c r="FB59" s="631" t="s">
        <v>92</v>
      </c>
      <c r="FC59" s="631">
        <f t="shared" si="152"/>
        <v>0.52447685803332145</v>
      </c>
      <c r="FE59" s="439">
        <f t="shared" si="230"/>
        <v>2.83101</v>
      </c>
      <c r="FF59" s="440">
        <f t="shared" si="231"/>
        <v>2.1680100000000002</v>
      </c>
      <c r="FG59" s="439">
        <f t="shared" si="232"/>
        <v>-1.5050100000000004</v>
      </c>
      <c r="FH59" s="441">
        <f t="shared" si="233"/>
        <v>0</v>
      </c>
      <c r="FI59" s="439">
        <f t="shared" si="234"/>
        <v>0</v>
      </c>
      <c r="FJ59" s="439">
        <f t="shared" si="235"/>
        <v>0</v>
      </c>
      <c r="FK59" s="439">
        <f t="shared" si="236"/>
        <v>0</v>
      </c>
      <c r="FL59" s="439">
        <f t="shared" si="237"/>
        <v>0</v>
      </c>
      <c r="FM59" s="439">
        <f t="shared" si="238"/>
        <v>0</v>
      </c>
      <c r="FN59" s="439">
        <f t="shared" si="239"/>
        <v>0</v>
      </c>
      <c r="FO59" s="439">
        <f t="shared" si="240"/>
        <v>0</v>
      </c>
      <c r="FP59" s="439">
        <f t="shared" si="241"/>
        <v>0</v>
      </c>
      <c r="FQ59" s="439">
        <f t="shared" si="242"/>
        <v>0</v>
      </c>
      <c r="FR59" s="439">
        <f t="shared" si="243"/>
        <v>0</v>
      </c>
      <c r="FS59" s="442">
        <f t="shared" si="244"/>
        <v>0</v>
      </c>
      <c r="FT59" s="442">
        <f t="shared" si="245"/>
        <v>0</v>
      </c>
      <c r="FU59" s="439">
        <f t="shared" si="246"/>
        <v>0</v>
      </c>
      <c r="FV59" s="439">
        <f t="shared" si="247"/>
        <v>0</v>
      </c>
      <c r="FW59" s="661">
        <f t="shared" si="248"/>
        <v>0</v>
      </c>
      <c r="FX59" s="661">
        <f t="shared" si="249"/>
        <v>0</v>
      </c>
      <c r="FY59" s="439">
        <f t="shared" si="250"/>
        <v>0</v>
      </c>
      <c r="FZ59" s="439">
        <f t="shared" si="251"/>
        <v>0</v>
      </c>
      <c r="GA59" s="439">
        <f t="shared" si="252"/>
        <v>0</v>
      </c>
      <c r="GB59" s="439">
        <f t="shared" si="253"/>
        <v>0</v>
      </c>
      <c r="GC59" s="631" t="s">
        <v>92</v>
      </c>
      <c r="GD59" s="631">
        <f t="shared" si="153"/>
        <v>0.28833180503821892</v>
      </c>
      <c r="GF59" s="439">
        <f t="shared" si="254"/>
        <v>3.5483700000000002</v>
      </c>
      <c r="GG59" s="440">
        <f t="shared" si="255"/>
        <v>2.7173700000000003</v>
      </c>
      <c r="GH59" s="439">
        <f t="shared" si="256"/>
        <v>-1.8863700000000003</v>
      </c>
      <c r="GI59" s="439">
        <f t="shared" si="257"/>
        <v>0</v>
      </c>
      <c r="GJ59" s="439">
        <f t="shared" si="258"/>
        <v>0</v>
      </c>
      <c r="GK59" s="439">
        <f t="shared" si="259"/>
        <v>0</v>
      </c>
      <c r="GL59" s="439">
        <f t="shared" si="260"/>
        <v>0</v>
      </c>
      <c r="GM59" s="439">
        <f t="shared" si="261"/>
        <v>0</v>
      </c>
      <c r="GN59" s="439">
        <f t="shared" si="262"/>
        <v>0</v>
      </c>
      <c r="GO59" s="439">
        <f t="shared" si="263"/>
        <v>0</v>
      </c>
      <c r="GP59" s="439">
        <f t="shared" si="264"/>
        <v>0</v>
      </c>
      <c r="GQ59" s="439">
        <f t="shared" si="265"/>
        <v>0</v>
      </c>
      <c r="GR59" s="439">
        <f t="shared" si="266"/>
        <v>0</v>
      </c>
      <c r="GS59" s="439">
        <f t="shared" si="267"/>
        <v>0</v>
      </c>
      <c r="GT59" s="442">
        <f t="shared" si="268"/>
        <v>0</v>
      </c>
      <c r="GU59" s="442">
        <f t="shared" si="269"/>
        <v>0</v>
      </c>
      <c r="GV59" s="439">
        <f t="shared" si="270"/>
        <v>0</v>
      </c>
      <c r="GW59" s="439">
        <f t="shared" si="271"/>
        <v>0</v>
      </c>
      <c r="GX59" s="661">
        <f t="shared" si="272"/>
        <v>0</v>
      </c>
      <c r="GY59" s="661">
        <f t="shared" si="273"/>
        <v>0</v>
      </c>
      <c r="GZ59" s="439">
        <f t="shared" si="274"/>
        <v>0</v>
      </c>
      <c r="HA59" s="439">
        <f t="shared" si="275"/>
        <v>0</v>
      </c>
      <c r="HB59" s="439">
        <f t="shared" si="276"/>
        <v>0</v>
      </c>
      <c r="HC59" s="439">
        <f t="shared" si="277"/>
        <v>0</v>
      </c>
      <c r="HD59" s="631" t="s">
        <v>92</v>
      </c>
      <c r="HE59" s="631">
        <f t="shared" si="306"/>
        <v>0.36139325789858212</v>
      </c>
      <c r="HG59" s="618">
        <f>HLOOKUP(CQ59,Spec_Sheet!$F$3:$DV$19,11,FALSE)+HLOOKUP(CQ59,Spec_Sheet!$F$3:$DV$21,19,FALSE)</f>
        <v>180</v>
      </c>
      <c r="HH59" s="618">
        <f t="shared" si="154"/>
        <v>100</v>
      </c>
      <c r="HI59" s="634">
        <f t="shared" si="155"/>
        <v>200</v>
      </c>
      <c r="HJ59" s="634">
        <f>HLOOKUP(IF(LEN(CQ59)&gt;6,LEFT(CQ59,5),CQ59),'LSM List Pricing'!$B$1:$BW$2,2,0)</f>
        <v>52</v>
      </c>
      <c r="HK59" s="634">
        <f>HLOOKUP(HJ59,'LSM List Pricing'!$B$2:$BW$3,2)</f>
        <v>660</v>
      </c>
      <c r="HL59" s="634">
        <f>VLOOKUP(HH59,'LSM List Pricing'!$A$7:$BW$87,HJ59,0)</f>
        <v>720</v>
      </c>
      <c r="HM59" s="627">
        <f>VLOOKUP(HI59,'LSM List Pricing'!$A$7:$BW$87,HJ59,1)</f>
        <v>920</v>
      </c>
      <c r="HN59" s="628">
        <f t="shared" si="307"/>
        <v>3.5384615384615383</v>
      </c>
      <c r="HO59" s="628">
        <f t="shared" si="308"/>
        <v>7.0769230769230766</v>
      </c>
      <c r="HP59" s="628">
        <f t="shared" si="309"/>
        <v>5.7435897435897436</v>
      </c>
      <c r="HR59" s="618">
        <v>2.8000000000000001E-2</v>
      </c>
      <c r="HS59" s="618">
        <f t="shared" si="109"/>
        <v>188</v>
      </c>
      <c r="HT59" s="618">
        <f t="shared" si="110"/>
        <v>1</v>
      </c>
      <c r="HU59" s="618">
        <f t="shared" si="170"/>
        <v>0.71292668631474843</v>
      </c>
      <c r="HW59" s="618">
        <f t="shared" si="111"/>
        <v>34.987644105433056</v>
      </c>
      <c r="HX59" s="618">
        <f t="shared" si="171"/>
        <v>0.70272357600339019</v>
      </c>
      <c r="HY59" s="618">
        <f t="shared" si="172"/>
        <v>2.8000000000000001E-2</v>
      </c>
      <c r="IB59" s="618">
        <f t="shared" si="113"/>
        <v>25.000350341399081</v>
      </c>
      <c r="IC59" s="618">
        <f t="shared" si="114"/>
        <v>1E-3</v>
      </c>
      <c r="IE59" s="618">
        <f t="shared" si="115"/>
        <v>0</v>
      </c>
      <c r="IF59" s="618">
        <f t="shared" si="116"/>
        <v>40.704999999999998</v>
      </c>
      <c r="IH59" s="618">
        <f t="shared" si="117"/>
        <v>0</v>
      </c>
      <c r="II59" s="618">
        <f t="shared" si="118"/>
        <v>40.704999999999998</v>
      </c>
      <c r="IK59" s="618">
        <f t="shared" si="119"/>
        <v>0</v>
      </c>
      <c r="IL59" s="618">
        <f t="shared" si="120"/>
        <v>40.704999999999998</v>
      </c>
      <c r="IN59" s="618">
        <f t="shared" si="121"/>
        <v>0</v>
      </c>
      <c r="IO59" s="618">
        <f t="shared" si="122"/>
        <v>40.704999999999998</v>
      </c>
      <c r="IQ59" s="618">
        <f t="shared" si="123"/>
        <v>0</v>
      </c>
      <c r="IR59" s="618">
        <f t="shared" si="124"/>
        <v>40.704999999999998</v>
      </c>
      <c r="IT59" s="660" t="str">
        <f t="shared" si="278"/>
        <v>S320D 1S</v>
      </c>
      <c r="IU59" s="628"/>
      <c r="IV59" s="439">
        <f t="shared" si="279"/>
        <v>3.5868000000000002</v>
      </c>
      <c r="IW59" s="440">
        <f t="shared" si="280"/>
        <v>2.7468000000000004</v>
      </c>
      <c r="IX59" s="439">
        <f t="shared" si="281"/>
        <v>-1.9068000000000005</v>
      </c>
      <c r="IY59" s="439">
        <f t="shared" si="282"/>
        <v>0</v>
      </c>
      <c r="IZ59" s="439">
        <f t="shared" si="283"/>
        <v>0</v>
      </c>
      <c r="JA59" s="439">
        <f t="shared" si="284"/>
        <v>0</v>
      </c>
      <c r="JB59" s="439">
        <f t="shared" si="285"/>
        <v>0</v>
      </c>
      <c r="JC59" s="439">
        <f t="shared" si="286"/>
        <v>0</v>
      </c>
      <c r="JD59" s="439">
        <f t="shared" si="287"/>
        <v>0</v>
      </c>
      <c r="JE59" s="439">
        <f t="shared" si="288"/>
        <v>0</v>
      </c>
      <c r="JF59" s="439">
        <f t="shared" si="289"/>
        <v>0</v>
      </c>
      <c r="JG59" s="439">
        <f t="shared" si="290"/>
        <v>0</v>
      </c>
      <c r="JH59" s="439">
        <f t="shared" si="291"/>
        <v>0</v>
      </c>
      <c r="JI59" s="439">
        <f t="shared" si="292"/>
        <v>0</v>
      </c>
      <c r="JJ59" s="442">
        <f t="shared" si="293"/>
        <v>0</v>
      </c>
      <c r="JK59" s="442">
        <f t="shared" si="294"/>
        <v>0</v>
      </c>
      <c r="JL59" s="439">
        <f t="shared" si="295"/>
        <v>0</v>
      </c>
      <c r="JM59" s="439">
        <f t="shared" si="296"/>
        <v>0</v>
      </c>
      <c r="JN59" s="661">
        <f t="shared" si="297"/>
        <v>0</v>
      </c>
      <c r="JO59" s="661">
        <f t="shared" si="298"/>
        <v>0</v>
      </c>
      <c r="JP59" s="439">
        <f t="shared" si="299"/>
        <v>0</v>
      </c>
      <c r="JQ59" s="439">
        <f t="shared" si="300"/>
        <v>0</v>
      </c>
      <c r="JR59" s="439">
        <f t="shared" si="301"/>
        <v>0</v>
      </c>
      <c r="JS59" s="439">
        <f t="shared" si="302"/>
        <v>0</v>
      </c>
      <c r="JT59" s="631" t="s">
        <v>92</v>
      </c>
      <c r="JU59" s="631">
        <f t="shared" si="158"/>
        <v>0.36530726430181587</v>
      </c>
      <c r="JW59" s="522"/>
      <c r="JX59" s="522"/>
      <c r="JY59" s="522"/>
      <c r="JZ59" s="522"/>
      <c r="KA59" s="522"/>
      <c r="KB59" s="522"/>
      <c r="KC59" s="522"/>
      <c r="KD59" s="522"/>
      <c r="KE59" s="522"/>
      <c r="KF59" s="522"/>
      <c r="KG59" s="522"/>
      <c r="KH59" s="522"/>
      <c r="KI59" s="522"/>
      <c r="KJ59" s="522"/>
      <c r="KK59" s="522"/>
      <c r="KL59" s="522"/>
    </row>
    <row r="60" spans="1:298" ht="9.9499999999999993" customHeight="1" thickBot="1">
      <c r="A60" s="155"/>
      <c r="B60" s="95" t="s">
        <v>3</v>
      </c>
      <c r="C60" s="95"/>
      <c r="D60" s="95"/>
      <c r="E60" s="93"/>
      <c r="F60" s="93"/>
      <c r="G60" s="93"/>
      <c r="H60" s="93"/>
      <c r="I60" s="93"/>
      <c r="J60" s="93"/>
      <c r="K60" s="93"/>
      <c r="L60" s="93"/>
      <c r="M60" s="93"/>
      <c r="N60" s="93"/>
      <c r="O60" s="93"/>
      <c r="P60" s="93"/>
      <c r="Q60" s="93"/>
      <c r="R60" s="93"/>
      <c r="S60" s="93"/>
      <c r="T60" s="93"/>
      <c r="U60" s="93"/>
      <c r="V60" s="93"/>
      <c r="W60" s="93"/>
      <c r="X60" s="93"/>
      <c r="Y60" s="93"/>
      <c r="Z60" s="93"/>
      <c r="AA60" s="93"/>
      <c r="AB60" s="150"/>
      <c r="AC60" s="466"/>
      <c r="AD60" s="154"/>
      <c r="AE60" s="45"/>
      <c r="AF60" s="45"/>
      <c r="AG60" s="45"/>
      <c r="AH60" s="45"/>
      <c r="AI60" s="45"/>
      <c r="AJ60" s="45"/>
      <c r="AK60" s="45"/>
      <c r="AL60" s="154"/>
      <c r="AM60" s="154"/>
      <c r="AN60" s="45"/>
      <c r="AO60" s="45"/>
      <c r="AP60" s="45"/>
      <c r="AQ60" s="45"/>
      <c r="AR60" s="45"/>
      <c r="AS60" s="45"/>
      <c r="AT60" s="154"/>
      <c r="AU60" s="154"/>
      <c r="AV60" s="93">
        <f t="shared" si="313"/>
        <v>0</v>
      </c>
      <c r="AW60" s="93">
        <f>IF($AY$32,'Data Sheet'!AA81,0)</f>
        <v>0</v>
      </c>
      <c r="AX60" s="93">
        <f t="shared" si="315"/>
        <v>40.704999999999998</v>
      </c>
      <c r="AY60" s="513"/>
      <c r="AZ60" s="512"/>
      <c r="BA60" s="153"/>
      <c r="BB60" s="708" t="str">
        <f>IF(HLOOKUP(CQ128,Spec_Sheet!$F$3:$ED$19,17,FALSE)&lt;$AC$44,"",CQ128)</f>
        <v>SLP35</v>
      </c>
      <c r="BC60" s="709"/>
      <c r="BD60" s="710"/>
      <c r="BE60" s="342">
        <f t="shared" si="314"/>
        <v>1.1458811418220633E-3</v>
      </c>
      <c r="BF60" s="486">
        <f t="shared" si="314"/>
        <v>4.9348982767922816E-6</v>
      </c>
      <c r="BG60" s="328"/>
      <c r="BH60" s="155"/>
      <c r="BI60" s="155"/>
      <c r="BJ60" s="155"/>
      <c r="BK60" s="155"/>
      <c r="BL60" s="155"/>
      <c r="BM60" s="267"/>
      <c r="BN60" s="267"/>
      <c r="BO60" s="124"/>
      <c r="BP60" s="407" t="s">
        <v>383</v>
      </c>
      <c r="BQ60" s="124"/>
      <c r="BR60" s="124"/>
      <c r="BS60" s="125"/>
      <c r="BT60" s="125"/>
      <c r="BU60" s="125"/>
      <c r="BV60" s="125"/>
      <c r="BW60" s="125"/>
      <c r="BX60" s="124"/>
      <c r="BY60" s="124"/>
      <c r="BZ60" s="124"/>
      <c r="CA60" s="124"/>
      <c r="CB60" s="124"/>
      <c r="CC60" s="124"/>
      <c r="CD60" s="124"/>
      <c r="CE60" s="124"/>
      <c r="CF60" s="124"/>
      <c r="CG60" s="124"/>
      <c r="CH60" s="44"/>
      <c r="CI60" s="44"/>
      <c r="CN60" s="150"/>
      <c r="CO60" s="692" t="str">
        <f ca="1"/>
        <v>L320QS</v>
      </c>
      <c r="CP60" s="632" t="str">
        <f>IF(OR(CQ60=0,CR60="",CS60&gt;120),"",IF(HLOOKUP(CQ60,Spec_Sheet!$F$3:$ED$19,17,FALSE)&lt;$AC$46,"",CQ60))</f>
        <v>L350TS</v>
      </c>
      <c r="CQ60" s="660" t="str">
        <f>IF(Spec_Sheet!A59="","",Spec_Sheet!A59)</f>
        <v>L350TS</v>
      </c>
      <c r="CR60" s="660">
        <f>IF(CQ60="",0,HLOOKUP(CQ60,Spec_Sheet!$F$3:$ED$19,2,FALSE))</f>
        <v>55.412352539493753</v>
      </c>
      <c r="CS60" s="660">
        <f t="shared" si="169"/>
        <v>5.3240181630118653E-4</v>
      </c>
      <c r="CT60" s="621">
        <f t="shared" si="310"/>
        <v>7.7188284987273305E-4</v>
      </c>
      <c r="CU60" s="621">
        <f t="shared" si="181"/>
        <v>5.3240181630118653E-4</v>
      </c>
      <c r="CV60" s="621">
        <f t="shared" si="311"/>
        <v>2.9325339527626793E-3</v>
      </c>
      <c r="CW60" s="621">
        <f t="shared" si="312"/>
        <v>2.4447022177095327E-3</v>
      </c>
      <c r="CX60" s="621">
        <f t="shared" si="157"/>
        <v>9.368586729997983E-4</v>
      </c>
      <c r="CY60" s="619">
        <f>HLOOKUP(CQ60,Spec_Sheet!$F$3:$ED$19,13,FALSE)</f>
        <v>0.78</v>
      </c>
      <c r="CZ60" s="619">
        <f>VLOOKUP(HH60,'Shaft Weight'!$A$6:$CD$102,HJ60,TRUE)</f>
        <v>1.9</v>
      </c>
      <c r="DA60" s="619">
        <f>VLOOKUP(HI60,'Shaft Weight'!$A$6:$CD$102,HJ60,0)</f>
        <v>2.2000000000000002</v>
      </c>
      <c r="DB60" s="619">
        <f>HLOOKUP(CQ60,Spec_Sheet!$F$3:$ED$19,6,FALSE)</f>
        <v>34.5</v>
      </c>
      <c r="DC60" s="439">
        <f t="shared" si="182"/>
        <v>1.5115800000000004</v>
      </c>
      <c r="DD60" s="440">
        <f t="shared" si="183"/>
        <v>1.1575800000000003</v>
      </c>
      <c r="DE60" s="439">
        <f t="shared" si="184"/>
        <v>-0.80358000000000018</v>
      </c>
      <c r="DF60" s="439">
        <f t="shared" si="185"/>
        <v>0</v>
      </c>
      <c r="DG60" s="439">
        <f t="shared" si="186"/>
        <v>0</v>
      </c>
      <c r="DH60" s="439">
        <f t="shared" si="187"/>
        <v>0</v>
      </c>
      <c r="DI60" s="439">
        <f t="shared" si="188"/>
        <v>0</v>
      </c>
      <c r="DJ60" s="439">
        <f t="shared" si="189"/>
        <v>0</v>
      </c>
      <c r="DK60" s="439">
        <f t="shared" si="190"/>
        <v>0</v>
      </c>
      <c r="DL60" s="439">
        <f t="shared" si="191"/>
        <v>0</v>
      </c>
      <c r="DM60" s="439">
        <f t="shared" si="192"/>
        <v>0</v>
      </c>
      <c r="DN60" s="439">
        <f t="shared" si="193"/>
        <v>0</v>
      </c>
      <c r="DO60" s="439">
        <f t="shared" si="194"/>
        <v>0</v>
      </c>
      <c r="DP60" s="439">
        <f t="shared" si="195"/>
        <v>0</v>
      </c>
      <c r="DQ60" s="442">
        <f t="shared" si="196"/>
        <v>0</v>
      </c>
      <c r="DR60" s="442">
        <f t="shared" si="197"/>
        <v>0</v>
      </c>
      <c r="DS60" s="439">
        <f t="shared" si="198"/>
        <v>0</v>
      </c>
      <c r="DT60" s="439">
        <f t="shared" si="199"/>
        <v>0</v>
      </c>
      <c r="DU60" s="661">
        <f t="shared" si="200"/>
        <v>0</v>
      </c>
      <c r="DV60" s="661">
        <f t="shared" si="201"/>
        <v>0</v>
      </c>
      <c r="DW60" s="439">
        <f t="shared" si="202"/>
        <v>0</v>
      </c>
      <c r="DX60" s="439">
        <f t="shared" si="203"/>
        <v>0</v>
      </c>
      <c r="DY60" s="439">
        <f t="shared" si="204"/>
        <v>0</v>
      </c>
      <c r="DZ60" s="439">
        <f t="shared" si="205"/>
        <v>0</v>
      </c>
      <c r="EA60" s="631" t="s">
        <v>92</v>
      </c>
      <c r="EB60" s="631">
        <f t="shared" si="151"/>
        <v>0.15395091852719384</v>
      </c>
      <c r="ED60" s="439">
        <f t="shared" si="206"/>
        <v>5.3802000000000003</v>
      </c>
      <c r="EE60" s="440">
        <f t="shared" si="207"/>
        <v>4.1202000000000005</v>
      </c>
      <c r="EF60" s="439">
        <f t="shared" si="208"/>
        <v>-2.8602000000000007</v>
      </c>
      <c r="EG60" s="441">
        <f t="shared" si="209"/>
        <v>0</v>
      </c>
      <c r="EH60" s="439">
        <f t="shared" si="210"/>
        <v>0</v>
      </c>
      <c r="EI60" s="439">
        <f t="shared" si="211"/>
        <v>0</v>
      </c>
      <c r="EJ60" s="439">
        <f t="shared" si="212"/>
        <v>0</v>
      </c>
      <c r="EK60" s="439">
        <f t="shared" si="213"/>
        <v>0</v>
      </c>
      <c r="EL60" s="439">
        <f t="shared" si="214"/>
        <v>0</v>
      </c>
      <c r="EM60" s="439">
        <f t="shared" si="215"/>
        <v>0</v>
      </c>
      <c r="EN60" s="439">
        <f t="shared" si="216"/>
        <v>0</v>
      </c>
      <c r="EO60" s="439">
        <f t="shared" si="217"/>
        <v>0</v>
      </c>
      <c r="EP60" s="439">
        <f t="shared" si="218"/>
        <v>0</v>
      </c>
      <c r="EQ60" s="439">
        <f t="shared" si="219"/>
        <v>0</v>
      </c>
      <c r="ER60" s="442">
        <f t="shared" si="220"/>
        <v>0</v>
      </c>
      <c r="ES60" s="442">
        <f t="shared" si="221"/>
        <v>0</v>
      </c>
      <c r="ET60" s="439">
        <f t="shared" si="222"/>
        <v>0</v>
      </c>
      <c r="EU60" s="439">
        <f t="shared" si="223"/>
        <v>0</v>
      </c>
      <c r="EV60" s="661">
        <f t="shared" si="224"/>
        <v>0</v>
      </c>
      <c r="EW60" s="661">
        <f t="shared" si="225"/>
        <v>0</v>
      </c>
      <c r="EX60" s="439">
        <f t="shared" si="226"/>
        <v>0</v>
      </c>
      <c r="EY60" s="439">
        <f t="shared" si="227"/>
        <v>0</v>
      </c>
      <c r="EZ60" s="439">
        <f t="shared" si="228"/>
        <v>0</v>
      </c>
      <c r="FA60" s="439">
        <f t="shared" si="229"/>
        <v>0</v>
      </c>
      <c r="FB60" s="631" t="s">
        <v>92</v>
      </c>
      <c r="FC60" s="631">
        <f t="shared" si="152"/>
        <v>0.54796089645272383</v>
      </c>
      <c r="FE60" s="439">
        <f t="shared" si="230"/>
        <v>2.9462999999999999</v>
      </c>
      <c r="FF60" s="440">
        <f t="shared" si="231"/>
        <v>2.2563</v>
      </c>
      <c r="FG60" s="439">
        <f t="shared" si="232"/>
        <v>-1.5663</v>
      </c>
      <c r="FH60" s="441">
        <f t="shared" si="233"/>
        <v>0</v>
      </c>
      <c r="FI60" s="439">
        <f t="shared" si="234"/>
        <v>0</v>
      </c>
      <c r="FJ60" s="439">
        <f t="shared" si="235"/>
        <v>0</v>
      </c>
      <c r="FK60" s="439">
        <f t="shared" si="236"/>
        <v>0</v>
      </c>
      <c r="FL60" s="439">
        <f t="shared" si="237"/>
        <v>0</v>
      </c>
      <c r="FM60" s="439">
        <f t="shared" si="238"/>
        <v>0</v>
      </c>
      <c r="FN60" s="439">
        <f t="shared" si="239"/>
        <v>0</v>
      </c>
      <c r="FO60" s="439">
        <f t="shared" si="240"/>
        <v>0</v>
      </c>
      <c r="FP60" s="439">
        <f t="shared" si="241"/>
        <v>0</v>
      </c>
      <c r="FQ60" s="439">
        <f t="shared" si="242"/>
        <v>0</v>
      </c>
      <c r="FR60" s="439">
        <f t="shared" si="243"/>
        <v>0</v>
      </c>
      <c r="FS60" s="442">
        <f t="shared" si="244"/>
        <v>0</v>
      </c>
      <c r="FT60" s="442">
        <f t="shared" si="245"/>
        <v>0</v>
      </c>
      <c r="FU60" s="439">
        <f t="shared" si="246"/>
        <v>0</v>
      </c>
      <c r="FV60" s="439">
        <f t="shared" si="247"/>
        <v>0</v>
      </c>
      <c r="FW60" s="661">
        <f t="shared" si="248"/>
        <v>0</v>
      </c>
      <c r="FX60" s="661">
        <f t="shared" si="249"/>
        <v>0</v>
      </c>
      <c r="FY60" s="439">
        <f t="shared" si="250"/>
        <v>0</v>
      </c>
      <c r="FZ60" s="439">
        <f t="shared" si="251"/>
        <v>0</v>
      </c>
      <c r="GA60" s="439">
        <f t="shared" si="252"/>
        <v>0</v>
      </c>
      <c r="GB60" s="439">
        <f t="shared" si="253"/>
        <v>0</v>
      </c>
      <c r="GC60" s="631" t="s">
        <v>92</v>
      </c>
      <c r="GD60" s="631">
        <f t="shared" si="153"/>
        <v>0.30007382424792012</v>
      </c>
      <c r="GF60" s="439">
        <f t="shared" si="254"/>
        <v>3.3306000000000004</v>
      </c>
      <c r="GG60" s="440">
        <f t="shared" si="255"/>
        <v>2.5506000000000006</v>
      </c>
      <c r="GH60" s="439">
        <f t="shared" si="256"/>
        <v>-1.7706000000000006</v>
      </c>
      <c r="GI60" s="439">
        <f t="shared" si="257"/>
        <v>0</v>
      </c>
      <c r="GJ60" s="439">
        <f t="shared" si="258"/>
        <v>0</v>
      </c>
      <c r="GK60" s="439">
        <f t="shared" si="259"/>
        <v>0</v>
      </c>
      <c r="GL60" s="439">
        <f t="shared" si="260"/>
        <v>0</v>
      </c>
      <c r="GM60" s="439">
        <f t="shared" si="261"/>
        <v>0</v>
      </c>
      <c r="GN60" s="439">
        <f t="shared" si="262"/>
        <v>0</v>
      </c>
      <c r="GO60" s="439">
        <f t="shared" si="263"/>
        <v>0</v>
      </c>
      <c r="GP60" s="439">
        <f t="shared" si="264"/>
        <v>0</v>
      </c>
      <c r="GQ60" s="439">
        <f t="shared" si="265"/>
        <v>0</v>
      </c>
      <c r="GR60" s="439">
        <f t="shared" si="266"/>
        <v>0</v>
      </c>
      <c r="GS60" s="439">
        <f t="shared" si="267"/>
        <v>0</v>
      </c>
      <c r="GT60" s="442">
        <f t="shared" si="268"/>
        <v>0</v>
      </c>
      <c r="GU60" s="442">
        <f t="shared" si="269"/>
        <v>0</v>
      </c>
      <c r="GV60" s="439">
        <f t="shared" si="270"/>
        <v>0</v>
      </c>
      <c r="GW60" s="439">
        <f t="shared" si="271"/>
        <v>0</v>
      </c>
      <c r="GX60" s="661">
        <f t="shared" si="272"/>
        <v>0</v>
      </c>
      <c r="GY60" s="661">
        <f t="shared" si="273"/>
        <v>0</v>
      </c>
      <c r="GZ60" s="439">
        <f t="shared" si="274"/>
        <v>0</v>
      </c>
      <c r="HA60" s="439">
        <f t="shared" si="275"/>
        <v>0</v>
      </c>
      <c r="HB60" s="439">
        <f t="shared" si="276"/>
        <v>0</v>
      </c>
      <c r="HC60" s="439">
        <f t="shared" si="277"/>
        <v>0</v>
      </c>
      <c r="HD60" s="631" t="s">
        <v>92</v>
      </c>
      <c r="HE60" s="631">
        <f t="shared" si="306"/>
        <v>0.33921388828025761</v>
      </c>
      <c r="HG60" s="618">
        <f>HLOOKUP(CQ60,Spec_Sheet!$F$3:$DV$19,11,FALSE)+HLOOKUP(CQ60,Spec_Sheet!$F$3:$DV$21,19,FALSE)</f>
        <v>120</v>
      </c>
      <c r="HH60" s="618">
        <f t="shared" si="154"/>
        <v>100</v>
      </c>
      <c r="HI60" s="634">
        <f t="shared" si="155"/>
        <v>150</v>
      </c>
      <c r="HJ60" s="634">
        <f>HLOOKUP(IF(LEN(CQ60)&gt;6,LEFT(CQ60,5),CQ60),'LSM List Pricing'!$B$1:$BW$2,2,0)</f>
        <v>25</v>
      </c>
      <c r="HK60" s="634">
        <f>HLOOKUP(HJ60,'LSM List Pricing'!$B$2:$BW$3,2)</f>
        <v>660</v>
      </c>
      <c r="HL60" s="634">
        <f>VLOOKUP(HH60,'LSM List Pricing'!$A$7:$BW$87,HJ60,0)</f>
        <v>680</v>
      </c>
      <c r="HM60" s="627">
        <f>VLOOKUP(HI60,'LSM List Pricing'!$A$7:$BW$87,HJ60,1)</f>
        <v>790</v>
      </c>
      <c r="HN60" s="628">
        <f t="shared" si="307"/>
        <v>3.4358974358974357</v>
      </c>
      <c r="HO60" s="628">
        <f t="shared" si="308"/>
        <v>6.8717948717948714</v>
      </c>
      <c r="HP60" s="628">
        <f t="shared" si="309"/>
        <v>5.4102564102564106</v>
      </c>
      <c r="HR60" s="618">
        <v>2.8500000000000001E-2</v>
      </c>
      <c r="HS60" s="618">
        <f t="shared" si="109"/>
        <v>191.35714285714286</v>
      </c>
      <c r="HT60" s="618">
        <f t="shared" si="110"/>
        <v>1</v>
      </c>
      <c r="HU60" s="618">
        <f t="shared" si="170"/>
        <v>0.72566573028837322</v>
      </c>
      <c r="HW60" s="618">
        <f t="shared" si="111"/>
        <v>34.969554662990511</v>
      </c>
      <c r="HX60" s="618">
        <f t="shared" si="171"/>
        <v>0.71509798418644333</v>
      </c>
      <c r="HY60" s="618">
        <f t="shared" si="172"/>
        <v>2.8500000000000001E-2</v>
      </c>
      <c r="IB60" s="618">
        <f t="shared" si="113"/>
        <v>25.000350341399081</v>
      </c>
      <c r="IC60" s="618">
        <f t="shared" si="114"/>
        <v>1E-3</v>
      </c>
      <c r="IE60" s="618">
        <f t="shared" si="115"/>
        <v>0</v>
      </c>
      <c r="IF60" s="618">
        <f t="shared" si="116"/>
        <v>40.704999999999998</v>
      </c>
      <c r="IH60" s="618">
        <f t="shared" si="117"/>
        <v>0</v>
      </c>
      <c r="II60" s="618">
        <f t="shared" si="118"/>
        <v>40.704999999999998</v>
      </c>
      <c r="IK60" s="618">
        <f t="shared" si="119"/>
        <v>0</v>
      </c>
      <c r="IL60" s="618">
        <f t="shared" si="120"/>
        <v>40.704999999999998</v>
      </c>
      <c r="IN60" s="618">
        <f t="shared" si="121"/>
        <v>0</v>
      </c>
      <c r="IO60" s="618">
        <f t="shared" si="122"/>
        <v>40.704999999999998</v>
      </c>
      <c r="IQ60" s="618">
        <f t="shared" si="123"/>
        <v>0</v>
      </c>
      <c r="IR60" s="618">
        <f t="shared" si="124"/>
        <v>40.704999999999998</v>
      </c>
      <c r="IT60" s="660" t="str">
        <f t="shared" si="278"/>
        <v>L350TS</v>
      </c>
      <c r="IU60" s="628"/>
      <c r="IV60" s="439">
        <f t="shared" si="279"/>
        <v>2.5107599999999999</v>
      </c>
      <c r="IW60" s="440">
        <f t="shared" si="280"/>
        <v>1.92276</v>
      </c>
      <c r="IX60" s="439">
        <f t="shared" si="281"/>
        <v>-1.3347600000000002</v>
      </c>
      <c r="IY60" s="439">
        <f t="shared" si="282"/>
        <v>0</v>
      </c>
      <c r="IZ60" s="439">
        <f t="shared" si="283"/>
        <v>0</v>
      </c>
      <c r="JA60" s="439">
        <f t="shared" si="284"/>
        <v>0</v>
      </c>
      <c r="JB60" s="439">
        <f t="shared" si="285"/>
        <v>0</v>
      </c>
      <c r="JC60" s="439">
        <f t="shared" si="286"/>
        <v>0</v>
      </c>
      <c r="JD60" s="439">
        <f t="shared" si="287"/>
        <v>0</v>
      </c>
      <c r="JE60" s="439">
        <f t="shared" si="288"/>
        <v>0</v>
      </c>
      <c r="JF60" s="439">
        <f t="shared" si="289"/>
        <v>0</v>
      </c>
      <c r="JG60" s="439">
        <f t="shared" si="290"/>
        <v>0</v>
      </c>
      <c r="JH60" s="439">
        <f t="shared" si="291"/>
        <v>0</v>
      </c>
      <c r="JI60" s="439">
        <f t="shared" si="292"/>
        <v>0</v>
      </c>
      <c r="JJ60" s="442">
        <f t="shared" si="293"/>
        <v>0</v>
      </c>
      <c r="JK60" s="442">
        <f t="shared" si="294"/>
        <v>0</v>
      </c>
      <c r="JL60" s="439">
        <f t="shared" si="295"/>
        <v>0</v>
      </c>
      <c r="JM60" s="439">
        <f t="shared" si="296"/>
        <v>0</v>
      </c>
      <c r="JN60" s="661">
        <f t="shared" si="297"/>
        <v>0</v>
      </c>
      <c r="JO60" s="661">
        <f t="shared" si="298"/>
        <v>0</v>
      </c>
      <c r="JP60" s="439">
        <f t="shared" si="299"/>
        <v>0</v>
      </c>
      <c r="JQ60" s="439">
        <f t="shared" si="300"/>
        <v>0</v>
      </c>
      <c r="JR60" s="439">
        <f t="shared" si="301"/>
        <v>0</v>
      </c>
      <c r="JS60" s="439">
        <f t="shared" si="302"/>
        <v>0</v>
      </c>
      <c r="JT60" s="631" t="s">
        <v>92</v>
      </c>
      <c r="JU60" s="631">
        <f t="shared" si="158"/>
        <v>0.25571508501127105</v>
      </c>
      <c r="JW60" s="522"/>
      <c r="JX60" s="522"/>
      <c r="JY60" s="522"/>
      <c r="JZ60" s="522"/>
      <c r="KA60" s="522"/>
      <c r="KB60" s="522"/>
      <c r="KC60" s="522"/>
      <c r="KD60" s="522"/>
      <c r="KE60" s="522"/>
      <c r="KF60" s="522"/>
      <c r="KG60" s="522"/>
      <c r="KH60" s="522"/>
      <c r="KI60" s="522"/>
      <c r="KJ60" s="522"/>
      <c r="KK60" s="522"/>
      <c r="KL60" s="522"/>
    </row>
    <row r="61" spans="1:298" ht="9.9499999999999993" customHeight="1">
      <c r="A61" s="155"/>
      <c r="B61" s="95" t="s">
        <v>7</v>
      </c>
      <c r="C61" s="95" t="s">
        <v>144</v>
      </c>
      <c r="D61" s="95"/>
      <c r="E61" s="93" t="s">
        <v>16</v>
      </c>
      <c r="F61" s="93" t="s">
        <v>141</v>
      </c>
      <c r="G61" s="93"/>
      <c r="H61" s="93" t="s">
        <v>147</v>
      </c>
      <c r="I61" s="93" t="s">
        <v>337</v>
      </c>
      <c r="J61" s="93"/>
      <c r="K61" s="93" t="s">
        <v>151</v>
      </c>
      <c r="L61" s="93" t="s">
        <v>163</v>
      </c>
      <c r="M61" s="93"/>
      <c r="N61" s="93" t="s">
        <v>46</v>
      </c>
      <c r="O61" s="93" t="s">
        <v>155</v>
      </c>
      <c r="P61" s="93"/>
      <c r="Q61" s="93" t="s">
        <v>365</v>
      </c>
      <c r="R61" s="93" t="s">
        <v>443</v>
      </c>
      <c r="S61" s="93"/>
      <c r="T61" s="93" t="s">
        <v>33</v>
      </c>
      <c r="U61" s="93"/>
      <c r="V61" s="93"/>
      <c r="W61" s="93" t="s">
        <v>29</v>
      </c>
      <c r="X61" s="93"/>
      <c r="Y61" s="93"/>
      <c r="Z61" s="93"/>
      <c r="AA61" s="93"/>
      <c r="AB61" s="150"/>
      <c r="AC61" s="466"/>
      <c r="AD61" s="154"/>
      <c r="AE61" s="45"/>
      <c r="AF61" s="45"/>
      <c r="AG61" s="45"/>
      <c r="AH61" s="45"/>
      <c r="AI61" s="45"/>
      <c r="AJ61" s="45"/>
      <c r="AK61" s="45"/>
      <c r="AL61" s="154"/>
      <c r="AM61" s="154"/>
      <c r="AN61" s="45"/>
      <c r="AO61" s="45"/>
      <c r="AP61" s="45"/>
      <c r="AQ61" s="45"/>
      <c r="AR61" s="45"/>
      <c r="AS61" s="45"/>
      <c r="AT61" s="154"/>
      <c r="AU61" s="154"/>
      <c r="AV61" s="93">
        <f t="shared" si="313"/>
        <v>0</v>
      </c>
      <c r="AW61" s="93">
        <f>IF($AY$32,'Data Sheet'!AA82,0)</f>
        <v>0</v>
      </c>
      <c r="AX61" s="93">
        <f t="shared" si="315"/>
        <v>40.704999999999998</v>
      </c>
      <c r="AY61" s="444"/>
      <c r="AZ61" s="423"/>
      <c r="BA61" s="423"/>
      <c r="BB61" s="708" t="str">
        <f>IF(HLOOKUP(CQ129,Spec_Sheet!$F$3:$ED$19,17,FALSE)&lt;$AC$45,"",CQ129)</f>
        <v>SCR050</v>
      </c>
      <c r="BC61" s="709"/>
      <c r="BD61" s="710"/>
      <c r="BE61" s="342">
        <f>CT129</f>
        <v>0.42143860205580097</v>
      </c>
      <c r="BF61" s="327"/>
      <c r="BG61" s="155"/>
      <c r="BH61" s="155"/>
      <c r="BI61" s="155"/>
      <c r="BJ61" s="155"/>
      <c r="BK61" s="155"/>
      <c r="BL61" s="155"/>
      <c r="BM61" s="267"/>
      <c r="BN61" s="267"/>
      <c r="BO61" s="387" t="s">
        <v>396</v>
      </c>
      <c r="BP61" s="863" t="s">
        <v>406</v>
      </c>
      <c r="BQ61" s="863"/>
      <c r="BR61" s="863"/>
      <c r="BS61" s="863"/>
      <c r="BT61" s="863"/>
      <c r="BU61" s="863"/>
      <c r="BV61" s="863"/>
      <c r="BW61" s="863"/>
      <c r="BX61" s="863"/>
      <c r="BY61" s="863"/>
      <c r="BZ61" s="863"/>
      <c r="CA61" s="863"/>
      <c r="CB61" s="863"/>
      <c r="CC61" s="863"/>
      <c r="CD61" s="863"/>
      <c r="CE61" s="863"/>
      <c r="CF61" s="863"/>
      <c r="CG61" s="863"/>
      <c r="CH61" s="863"/>
      <c r="CI61" s="863"/>
      <c r="CJ61" s="863"/>
      <c r="CK61" s="863"/>
      <c r="CL61" s="863"/>
      <c r="CM61" s="863"/>
      <c r="CN61" s="863"/>
      <c r="CO61" s="692" t="str">
        <f ca="1"/>
        <v>S250T</v>
      </c>
      <c r="CP61" s="632" t="str">
        <f>IF(OR(CQ61=0,CR61="",CS61&gt;120),"",IF(HLOOKUP(CQ61,Spec_Sheet!$F$3:$ED$19,17,FALSE)&lt;$AC$46,"",CQ61))</f>
        <v>S320D</v>
      </c>
      <c r="CQ61" s="660" t="str">
        <f>IF(Spec_Sheet!A60="","",Spec_Sheet!A60)</f>
        <v>S320D</v>
      </c>
      <c r="CR61" s="660">
        <f>IF(CQ61="",0,HLOOKUP(CQ61,Spec_Sheet!$F$3:$ED$19,2,FALSE))</f>
        <v>56</v>
      </c>
      <c r="CS61" s="660">
        <f t="shared" si="169"/>
        <v>1.0638504253163007E-3</v>
      </c>
      <c r="CT61" s="621">
        <f t="shared" si="310"/>
        <v>1.389518922862107E-3</v>
      </c>
      <c r="CU61" s="621">
        <f t="shared" si="181"/>
        <v>1.0638504253163007E-3</v>
      </c>
      <c r="CV61" s="621">
        <f t="shared" si="311"/>
        <v>2.6509958481057876E-3</v>
      </c>
      <c r="CW61" s="621">
        <f t="shared" si="312"/>
        <v>2.1928888282246877E-3</v>
      </c>
      <c r="CX61" s="621">
        <f t="shared" si="157"/>
        <v>1.041175756174674E-3</v>
      </c>
      <c r="CY61" s="619">
        <f>HLOOKUP(CQ61,Spec_Sheet!$F$3:$ED$19,13,FALSE)</f>
        <v>1.2</v>
      </c>
      <c r="CZ61" s="619">
        <f>VLOOKUP(HH61,'Shaft Weight'!$A$6:$CD$102,HJ61,TRUE)</f>
        <v>1.81</v>
      </c>
      <c r="DA61" s="619">
        <f>VLOOKUP(HI61,'Shaft Weight'!$A$6:$CD$102,HJ61,0)</f>
        <v>2.37</v>
      </c>
      <c r="DB61" s="619">
        <f>HLOOKUP(CQ61,Spec_Sheet!$F$3:$ED$19,6,FALSE)</f>
        <v>45.3</v>
      </c>
      <c r="DC61" s="439">
        <f t="shared" si="182"/>
        <v>2.0496000000000003</v>
      </c>
      <c r="DD61" s="440">
        <f t="shared" si="183"/>
        <v>1.5696000000000003</v>
      </c>
      <c r="DE61" s="439">
        <f t="shared" si="184"/>
        <v>-1.0896000000000003</v>
      </c>
      <c r="DF61" s="439">
        <f t="shared" si="185"/>
        <v>0</v>
      </c>
      <c r="DG61" s="439">
        <f t="shared" si="186"/>
        <v>0</v>
      </c>
      <c r="DH61" s="439">
        <f t="shared" si="187"/>
        <v>0</v>
      </c>
      <c r="DI61" s="439">
        <f t="shared" si="188"/>
        <v>0</v>
      </c>
      <c r="DJ61" s="439">
        <f t="shared" si="189"/>
        <v>0</v>
      </c>
      <c r="DK61" s="439">
        <f t="shared" si="190"/>
        <v>0</v>
      </c>
      <c r="DL61" s="439">
        <f t="shared" si="191"/>
        <v>0</v>
      </c>
      <c r="DM61" s="439">
        <f t="shared" si="192"/>
        <v>0</v>
      </c>
      <c r="DN61" s="439">
        <f t="shared" si="193"/>
        <v>0</v>
      </c>
      <c r="DO61" s="439">
        <f t="shared" si="194"/>
        <v>0</v>
      </c>
      <c r="DP61" s="439">
        <f t="shared" si="195"/>
        <v>0</v>
      </c>
      <c r="DQ61" s="442">
        <f t="shared" si="196"/>
        <v>0</v>
      </c>
      <c r="DR61" s="442">
        <f t="shared" si="197"/>
        <v>0</v>
      </c>
      <c r="DS61" s="439">
        <f t="shared" si="198"/>
        <v>0</v>
      </c>
      <c r="DT61" s="439">
        <f t="shared" si="199"/>
        <v>0</v>
      </c>
      <c r="DU61" s="661">
        <f t="shared" si="200"/>
        <v>0</v>
      </c>
      <c r="DV61" s="661">
        <f t="shared" si="201"/>
        <v>0</v>
      </c>
      <c r="DW61" s="439">
        <f t="shared" si="202"/>
        <v>0</v>
      </c>
      <c r="DX61" s="439">
        <f t="shared" si="203"/>
        <v>0</v>
      </c>
      <c r="DY61" s="439">
        <f t="shared" si="204"/>
        <v>0</v>
      </c>
      <c r="DZ61" s="439">
        <f t="shared" si="205"/>
        <v>0</v>
      </c>
      <c r="EA61" s="631" t="s">
        <v>92</v>
      </c>
      <c r="EB61" s="631">
        <f t="shared" si="151"/>
        <v>0.20874700817246622</v>
      </c>
      <c r="ED61" s="439">
        <f t="shared" si="206"/>
        <v>5.1496200000000014</v>
      </c>
      <c r="EE61" s="440">
        <f t="shared" si="207"/>
        <v>3.943620000000001</v>
      </c>
      <c r="EF61" s="439">
        <f t="shared" si="208"/>
        <v>-2.7376200000000006</v>
      </c>
      <c r="EG61" s="441">
        <f t="shared" si="209"/>
        <v>0</v>
      </c>
      <c r="EH61" s="439">
        <f t="shared" si="210"/>
        <v>0</v>
      </c>
      <c r="EI61" s="439">
        <f t="shared" si="211"/>
        <v>0</v>
      </c>
      <c r="EJ61" s="439">
        <f t="shared" si="212"/>
        <v>0</v>
      </c>
      <c r="EK61" s="439">
        <f t="shared" si="213"/>
        <v>0</v>
      </c>
      <c r="EL61" s="439">
        <f t="shared" si="214"/>
        <v>0</v>
      </c>
      <c r="EM61" s="439">
        <f t="shared" si="215"/>
        <v>0</v>
      </c>
      <c r="EN61" s="439">
        <f t="shared" si="216"/>
        <v>0</v>
      </c>
      <c r="EO61" s="439">
        <f t="shared" si="217"/>
        <v>0</v>
      </c>
      <c r="EP61" s="439">
        <f t="shared" si="218"/>
        <v>0</v>
      </c>
      <c r="EQ61" s="439">
        <f t="shared" si="219"/>
        <v>0</v>
      </c>
      <c r="ER61" s="442">
        <f t="shared" si="220"/>
        <v>0</v>
      </c>
      <c r="ES61" s="442">
        <f t="shared" si="221"/>
        <v>0</v>
      </c>
      <c r="ET61" s="439">
        <f t="shared" si="222"/>
        <v>0</v>
      </c>
      <c r="EU61" s="439">
        <f t="shared" si="223"/>
        <v>0</v>
      </c>
      <c r="EV61" s="661">
        <f t="shared" si="224"/>
        <v>0</v>
      </c>
      <c r="EW61" s="661">
        <f t="shared" si="225"/>
        <v>0</v>
      </c>
      <c r="EX61" s="439">
        <f t="shared" si="226"/>
        <v>0</v>
      </c>
      <c r="EY61" s="439">
        <f t="shared" si="227"/>
        <v>0</v>
      </c>
      <c r="EZ61" s="439">
        <f t="shared" si="228"/>
        <v>0</v>
      </c>
      <c r="FA61" s="439">
        <f t="shared" si="229"/>
        <v>0</v>
      </c>
      <c r="FB61" s="631" t="s">
        <v>92</v>
      </c>
      <c r="FC61" s="631">
        <f t="shared" si="152"/>
        <v>0.52447685803332145</v>
      </c>
      <c r="FE61" s="439">
        <f t="shared" si="230"/>
        <v>2.83101</v>
      </c>
      <c r="FF61" s="440">
        <f t="shared" si="231"/>
        <v>2.1680100000000002</v>
      </c>
      <c r="FG61" s="439">
        <f t="shared" si="232"/>
        <v>-1.5050100000000004</v>
      </c>
      <c r="FH61" s="441">
        <f t="shared" si="233"/>
        <v>0</v>
      </c>
      <c r="FI61" s="439">
        <f t="shared" si="234"/>
        <v>0</v>
      </c>
      <c r="FJ61" s="439">
        <f t="shared" si="235"/>
        <v>0</v>
      </c>
      <c r="FK61" s="439">
        <f t="shared" si="236"/>
        <v>0</v>
      </c>
      <c r="FL61" s="439">
        <f t="shared" si="237"/>
        <v>0</v>
      </c>
      <c r="FM61" s="439">
        <f t="shared" si="238"/>
        <v>0</v>
      </c>
      <c r="FN61" s="439">
        <f t="shared" si="239"/>
        <v>0</v>
      </c>
      <c r="FO61" s="439">
        <f t="shared" si="240"/>
        <v>0</v>
      </c>
      <c r="FP61" s="439">
        <f t="shared" si="241"/>
        <v>0</v>
      </c>
      <c r="FQ61" s="439">
        <f t="shared" si="242"/>
        <v>0</v>
      </c>
      <c r="FR61" s="439">
        <f t="shared" si="243"/>
        <v>0</v>
      </c>
      <c r="FS61" s="442">
        <f t="shared" si="244"/>
        <v>0</v>
      </c>
      <c r="FT61" s="442">
        <f t="shared" si="245"/>
        <v>0</v>
      </c>
      <c r="FU61" s="439">
        <f t="shared" si="246"/>
        <v>0</v>
      </c>
      <c r="FV61" s="439">
        <f t="shared" si="247"/>
        <v>0</v>
      </c>
      <c r="FW61" s="661">
        <f t="shared" si="248"/>
        <v>0</v>
      </c>
      <c r="FX61" s="661">
        <f t="shared" si="249"/>
        <v>0</v>
      </c>
      <c r="FY61" s="439">
        <f t="shared" si="250"/>
        <v>0</v>
      </c>
      <c r="FZ61" s="439">
        <f t="shared" si="251"/>
        <v>0</v>
      </c>
      <c r="GA61" s="439">
        <f t="shared" si="252"/>
        <v>0</v>
      </c>
      <c r="GB61" s="439">
        <f t="shared" si="253"/>
        <v>0</v>
      </c>
      <c r="GC61" s="631" t="s">
        <v>92</v>
      </c>
      <c r="GD61" s="631">
        <f t="shared" si="153"/>
        <v>0.28833180503821892</v>
      </c>
      <c r="GF61" s="439">
        <f t="shared" si="254"/>
        <v>3.5483700000000002</v>
      </c>
      <c r="GG61" s="440">
        <f t="shared" si="255"/>
        <v>2.7173700000000003</v>
      </c>
      <c r="GH61" s="439">
        <f t="shared" si="256"/>
        <v>-1.8863700000000003</v>
      </c>
      <c r="GI61" s="439">
        <f t="shared" si="257"/>
        <v>0</v>
      </c>
      <c r="GJ61" s="439">
        <f t="shared" si="258"/>
        <v>0</v>
      </c>
      <c r="GK61" s="439">
        <f t="shared" si="259"/>
        <v>0</v>
      </c>
      <c r="GL61" s="439">
        <f t="shared" si="260"/>
        <v>0</v>
      </c>
      <c r="GM61" s="439">
        <f t="shared" si="261"/>
        <v>0</v>
      </c>
      <c r="GN61" s="439">
        <f t="shared" si="262"/>
        <v>0</v>
      </c>
      <c r="GO61" s="439">
        <f t="shared" si="263"/>
        <v>0</v>
      </c>
      <c r="GP61" s="439">
        <f t="shared" si="264"/>
        <v>0</v>
      </c>
      <c r="GQ61" s="439">
        <f t="shared" si="265"/>
        <v>0</v>
      </c>
      <c r="GR61" s="439">
        <f t="shared" si="266"/>
        <v>0</v>
      </c>
      <c r="GS61" s="439">
        <f t="shared" si="267"/>
        <v>0</v>
      </c>
      <c r="GT61" s="442">
        <f t="shared" si="268"/>
        <v>0</v>
      </c>
      <c r="GU61" s="442">
        <f t="shared" si="269"/>
        <v>0</v>
      </c>
      <c r="GV61" s="439">
        <f t="shared" si="270"/>
        <v>0</v>
      </c>
      <c r="GW61" s="439">
        <f t="shared" si="271"/>
        <v>0</v>
      </c>
      <c r="GX61" s="661">
        <f t="shared" si="272"/>
        <v>0</v>
      </c>
      <c r="GY61" s="661">
        <f t="shared" si="273"/>
        <v>0</v>
      </c>
      <c r="GZ61" s="439">
        <f t="shared" si="274"/>
        <v>0</v>
      </c>
      <c r="HA61" s="439">
        <f t="shared" si="275"/>
        <v>0</v>
      </c>
      <c r="HB61" s="439">
        <f t="shared" si="276"/>
        <v>0</v>
      </c>
      <c r="HC61" s="439">
        <f t="shared" si="277"/>
        <v>0</v>
      </c>
      <c r="HD61" s="631" t="s">
        <v>92</v>
      </c>
      <c r="HE61" s="631">
        <f t="shared" si="306"/>
        <v>0.36139325789858212</v>
      </c>
      <c r="HG61" s="618">
        <f>HLOOKUP(CQ61,Spec_Sheet!$F$3:$DV$19,11,FALSE)+HLOOKUP(CQ61,Spec_Sheet!$F$3:$DV$21,19,FALSE)</f>
        <v>180</v>
      </c>
      <c r="HH61" s="618">
        <f t="shared" si="154"/>
        <v>100</v>
      </c>
      <c r="HI61" s="634">
        <f t="shared" si="155"/>
        <v>200</v>
      </c>
      <c r="HJ61" s="634">
        <f>HLOOKUP(IF(LEN(CQ61)&gt;6,LEFT(CQ61,5),CQ61),'LSM List Pricing'!$B$1:$BW$2,2,0)</f>
        <v>52</v>
      </c>
      <c r="HK61" s="634">
        <f>HLOOKUP(HJ61,'LSM List Pricing'!$B$2:$BW$3,2)</f>
        <v>660</v>
      </c>
      <c r="HL61" s="634">
        <f>VLOOKUP(HH61,'LSM List Pricing'!$A$7:$BW$87,HJ61,0)</f>
        <v>720</v>
      </c>
      <c r="HM61" s="627">
        <f>VLOOKUP(HI61,'LSM List Pricing'!$A$7:$BW$87,HJ61,1)</f>
        <v>920</v>
      </c>
      <c r="HN61" s="628">
        <f t="shared" si="307"/>
        <v>3.5384615384615383</v>
      </c>
      <c r="HO61" s="628">
        <f t="shared" si="308"/>
        <v>7.0769230769230766</v>
      </c>
      <c r="HP61" s="628">
        <f t="shared" si="309"/>
        <v>5.7435897435897436</v>
      </c>
      <c r="HR61" s="618">
        <v>2.9000000000000001E-2</v>
      </c>
      <c r="HS61" s="618">
        <f t="shared" si="109"/>
        <v>194.71428571428572</v>
      </c>
      <c r="HT61" s="618">
        <f t="shared" si="110"/>
        <v>1</v>
      </c>
      <c r="HU61" s="618">
        <f t="shared" si="170"/>
        <v>0.73840477426199802</v>
      </c>
      <c r="HW61" s="618">
        <f t="shared" si="111"/>
        <v>34.951465220547959</v>
      </c>
      <c r="HX61" s="618">
        <f t="shared" si="171"/>
        <v>0.72746599119719824</v>
      </c>
      <c r="HY61" s="618">
        <f t="shared" si="172"/>
        <v>2.9000000000000001E-2</v>
      </c>
      <c r="IB61" s="618">
        <f t="shared" si="113"/>
        <v>25.000350341399081</v>
      </c>
      <c r="IC61" s="618">
        <f t="shared" si="114"/>
        <v>1E-3</v>
      </c>
      <c r="IE61" s="618">
        <f t="shared" si="115"/>
        <v>0</v>
      </c>
      <c r="IF61" s="618">
        <f t="shared" si="116"/>
        <v>40.704999999999998</v>
      </c>
      <c r="IH61" s="618">
        <f t="shared" si="117"/>
        <v>0</v>
      </c>
      <c r="II61" s="618">
        <f t="shared" si="118"/>
        <v>40.704999999999998</v>
      </c>
      <c r="IK61" s="618">
        <f t="shared" si="119"/>
        <v>0</v>
      </c>
      <c r="IL61" s="618">
        <f t="shared" si="120"/>
        <v>40.704999999999998</v>
      </c>
      <c r="IN61" s="618">
        <f t="shared" si="121"/>
        <v>0</v>
      </c>
      <c r="IO61" s="618">
        <f t="shared" si="122"/>
        <v>40.704999999999998</v>
      </c>
      <c r="IQ61" s="618">
        <f t="shared" si="123"/>
        <v>0</v>
      </c>
      <c r="IR61" s="618">
        <f t="shared" si="124"/>
        <v>40.704999999999998</v>
      </c>
      <c r="IT61" s="660" t="str">
        <f t="shared" si="278"/>
        <v>S320D</v>
      </c>
      <c r="IU61" s="628"/>
      <c r="IV61" s="439">
        <f t="shared" si="279"/>
        <v>3.5868000000000002</v>
      </c>
      <c r="IW61" s="440">
        <f t="shared" si="280"/>
        <v>2.7468000000000004</v>
      </c>
      <c r="IX61" s="439">
        <f t="shared" si="281"/>
        <v>-1.9068000000000005</v>
      </c>
      <c r="IY61" s="439">
        <f t="shared" si="282"/>
        <v>0</v>
      </c>
      <c r="IZ61" s="439">
        <f t="shared" si="283"/>
        <v>0</v>
      </c>
      <c r="JA61" s="439">
        <f t="shared" si="284"/>
        <v>0</v>
      </c>
      <c r="JB61" s="439">
        <f t="shared" si="285"/>
        <v>0</v>
      </c>
      <c r="JC61" s="439">
        <f t="shared" si="286"/>
        <v>0</v>
      </c>
      <c r="JD61" s="439">
        <f t="shared" si="287"/>
        <v>0</v>
      </c>
      <c r="JE61" s="439">
        <f t="shared" si="288"/>
        <v>0</v>
      </c>
      <c r="JF61" s="439">
        <f t="shared" si="289"/>
        <v>0</v>
      </c>
      <c r="JG61" s="439">
        <f t="shared" si="290"/>
        <v>0</v>
      </c>
      <c r="JH61" s="439">
        <f t="shared" si="291"/>
        <v>0</v>
      </c>
      <c r="JI61" s="439">
        <f t="shared" si="292"/>
        <v>0</v>
      </c>
      <c r="JJ61" s="442">
        <f t="shared" si="293"/>
        <v>0</v>
      </c>
      <c r="JK61" s="442">
        <f t="shared" si="294"/>
        <v>0</v>
      </c>
      <c r="JL61" s="439">
        <f t="shared" si="295"/>
        <v>0</v>
      </c>
      <c r="JM61" s="439">
        <f t="shared" si="296"/>
        <v>0</v>
      </c>
      <c r="JN61" s="661">
        <f t="shared" si="297"/>
        <v>0</v>
      </c>
      <c r="JO61" s="661">
        <f t="shared" si="298"/>
        <v>0</v>
      </c>
      <c r="JP61" s="439">
        <f t="shared" si="299"/>
        <v>0</v>
      </c>
      <c r="JQ61" s="439">
        <f t="shared" si="300"/>
        <v>0</v>
      </c>
      <c r="JR61" s="439">
        <f t="shared" si="301"/>
        <v>0</v>
      </c>
      <c r="JS61" s="439">
        <f t="shared" si="302"/>
        <v>0</v>
      </c>
      <c r="JT61" s="631" t="s">
        <v>92</v>
      </c>
      <c r="JU61" s="631">
        <f t="shared" si="158"/>
        <v>0.36530726430181587</v>
      </c>
      <c r="JW61" s="522"/>
      <c r="JX61" s="522"/>
      <c r="JY61" s="522"/>
      <c r="JZ61" s="522"/>
      <c r="KA61" s="522"/>
      <c r="KB61" s="522"/>
      <c r="KC61" s="522"/>
      <c r="KD61" s="522"/>
      <c r="KE61" s="522"/>
      <c r="KF61" s="522"/>
      <c r="KG61" s="522"/>
      <c r="KH61" s="522"/>
      <c r="KI61" s="522"/>
      <c r="KJ61" s="522"/>
      <c r="KK61" s="522"/>
      <c r="KL61" s="522"/>
    </row>
    <row r="62" spans="1:298" ht="9.9499999999999993" customHeight="1">
      <c r="A62" s="155"/>
      <c r="B62" s="95" t="s">
        <v>143</v>
      </c>
      <c r="C62" s="95">
        <v>1E-3</v>
      </c>
      <c r="D62" s="95"/>
      <c r="E62" s="93" t="s">
        <v>143</v>
      </c>
      <c r="F62" s="93">
        <v>9.8066500000000001E-3</v>
      </c>
      <c r="G62" s="93"/>
      <c r="H62" s="93" t="s">
        <v>294</v>
      </c>
      <c r="I62" s="93">
        <v>10</v>
      </c>
      <c r="J62" s="93"/>
      <c r="K62" s="93" t="s">
        <v>153</v>
      </c>
      <c r="L62" s="93">
        <v>304.8</v>
      </c>
      <c r="M62" s="93"/>
      <c r="N62" s="93" t="s">
        <v>157</v>
      </c>
      <c r="O62" s="93">
        <v>60</v>
      </c>
      <c r="P62" s="93"/>
      <c r="Q62" s="93" t="s">
        <v>162</v>
      </c>
      <c r="R62" s="93">
        <v>0.01</v>
      </c>
      <c r="S62" s="93"/>
      <c r="T62" s="93" t="s">
        <v>34</v>
      </c>
      <c r="U62" s="93">
        <v>1</v>
      </c>
      <c r="V62" s="93"/>
      <c r="W62" s="93" t="s">
        <v>20</v>
      </c>
      <c r="X62" s="93"/>
      <c r="Y62" s="93"/>
      <c r="Z62" s="93"/>
      <c r="AA62" s="93"/>
      <c r="AB62" s="150"/>
      <c r="AC62" s="466"/>
      <c r="AD62" s="154"/>
      <c r="AE62" s="45"/>
      <c r="AF62" s="45"/>
      <c r="AG62" s="45"/>
      <c r="AH62" s="45"/>
      <c r="AI62" s="45"/>
      <c r="AJ62" s="45"/>
      <c r="AK62" s="45"/>
      <c r="AL62" s="154"/>
      <c r="AM62" s="154"/>
      <c r="AN62" s="45"/>
      <c r="AO62" s="45"/>
      <c r="AP62" s="45"/>
      <c r="AQ62" s="45"/>
      <c r="AR62" s="45"/>
      <c r="AS62" s="45"/>
      <c r="AT62" s="154"/>
      <c r="AU62" s="154"/>
      <c r="AV62" s="93">
        <f t="shared" si="313"/>
        <v>0</v>
      </c>
      <c r="AW62" s="93">
        <f>IF($AY$32,'Data Sheet'!AA83,0)</f>
        <v>0</v>
      </c>
      <c r="AX62" s="93">
        <f t="shared" si="315"/>
        <v>40.704999999999998</v>
      </c>
      <c r="AY62" s="513"/>
      <c r="AZ62" s="512"/>
      <c r="BA62" s="153"/>
      <c r="BB62" s="708" t="str">
        <f>IF(HLOOKUP(CQ130,Spec_Sheet!$F$3:$ED$19,17,FALSE)&lt;$AC$48,"",CQ130)</f>
        <v>SCR075</v>
      </c>
      <c r="BC62" s="709"/>
      <c r="BD62" s="710"/>
      <c r="BE62" s="342">
        <f>CT130</f>
        <v>6.7977619523329424E-2</v>
      </c>
      <c r="BF62" s="327"/>
      <c r="BG62" s="153"/>
      <c r="BH62" s="153"/>
      <c r="BI62" s="155"/>
      <c r="BJ62" s="155"/>
      <c r="BK62" s="155"/>
      <c r="BL62" s="155"/>
      <c r="BM62" s="267"/>
      <c r="BN62" s="267"/>
      <c r="BO62" s="124"/>
      <c r="BP62" s="863"/>
      <c r="BQ62" s="863"/>
      <c r="BR62" s="863"/>
      <c r="BS62" s="863"/>
      <c r="BT62" s="863"/>
      <c r="BU62" s="863"/>
      <c r="BV62" s="863"/>
      <c r="BW62" s="863"/>
      <c r="BX62" s="863"/>
      <c r="BY62" s="863"/>
      <c r="BZ62" s="863"/>
      <c r="CA62" s="863"/>
      <c r="CB62" s="863"/>
      <c r="CC62" s="863"/>
      <c r="CD62" s="863"/>
      <c r="CE62" s="863"/>
      <c r="CF62" s="863"/>
      <c r="CG62" s="863"/>
      <c r="CH62" s="863"/>
      <c r="CI62" s="863"/>
      <c r="CJ62" s="863"/>
      <c r="CK62" s="863"/>
      <c r="CL62" s="863"/>
      <c r="CM62" s="863"/>
      <c r="CN62" s="863"/>
      <c r="CO62" s="692" t="str">
        <f ca="1"/>
        <v>L250Q</v>
      </c>
      <c r="CP62" s="632" t="str">
        <f>IF(OR(CQ62=0,CR62="",CS62&gt;120),"",IF(HLOOKUP(CQ62,Spec_Sheet!$F$3:$ED$19,17,FALSE)&lt;$AC$46,"",CQ62))</f>
        <v>S250T 1S</v>
      </c>
      <c r="CQ62" s="660" t="str">
        <f>IF(Spec_Sheet!A61="","",Spec_Sheet!A61)</f>
        <v>S250T 1S</v>
      </c>
      <c r="CR62" s="660">
        <f>IF(CQ62="",0,HLOOKUP(CQ62,Spec_Sheet!$F$3:$ED$19,2,FALSE))</f>
        <v>57.885177526607805</v>
      </c>
      <c r="CS62" s="660">
        <f t="shared" si="169"/>
        <v>8.5852415686417567E-4</v>
      </c>
      <c r="CT62" s="621">
        <f t="shared" si="310"/>
        <v>1.1430055342866242E-3</v>
      </c>
      <c r="CU62" s="621">
        <f t="shared" si="181"/>
        <v>8.5852415686417567E-4</v>
      </c>
      <c r="CV62" s="621">
        <f t="shared" si="311"/>
        <v>1.0828580430601636E-3</v>
      </c>
      <c r="CW62" s="621">
        <f t="shared" si="312"/>
        <v>8.0650470499264205E-4</v>
      </c>
      <c r="CX62" s="621">
        <f t="shared" si="157"/>
        <v>4.1148199234318451E-4</v>
      </c>
      <c r="CY62" s="619">
        <f>HLOOKUP(CQ62,Spec_Sheet!$F$3:$ED$19,13,FALSE)</f>
        <v>1.1000000000000001</v>
      </c>
      <c r="CZ62" s="619">
        <f>VLOOKUP(HH62,'Shaft Weight'!$A$6:$CD$102,HJ62,TRUE)</f>
        <v>1.06</v>
      </c>
      <c r="DA62" s="619">
        <f>VLOOKUP(HI62,'Shaft Weight'!$A$6:$CD$102,HJ62,0)</f>
        <v>1.4</v>
      </c>
      <c r="DB62" s="619">
        <f>HLOOKUP(CQ62,Spec_Sheet!$F$3:$ED$19,6,FALSE)</f>
        <v>15.25</v>
      </c>
      <c r="DC62" s="439">
        <f t="shared" si="182"/>
        <v>1.9215</v>
      </c>
      <c r="DD62" s="440">
        <f t="shared" si="183"/>
        <v>1.4715</v>
      </c>
      <c r="DE62" s="439">
        <f t="shared" si="184"/>
        <v>-1.0215000000000001</v>
      </c>
      <c r="DF62" s="439">
        <f t="shared" si="185"/>
        <v>0</v>
      </c>
      <c r="DG62" s="439">
        <f t="shared" si="186"/>
        <v>0</v>
      </c>
      <c r="DH62" s="439">
        <f t="shared" si="187"/>
        <v>0</v>
      </c>
      <c r="DI62" s="439">
        <f t="shared" si="188"/>
        <v>0</v>
      </c>
      <c r="DJ62" s="439">
        <f t="shared" si="189"/>
        <v>0</v>
      </c>
      <c r="DK62" s="439">
        <f t="shared" si="190"/>
        <v>0</v>
      </c>
      <c r="DL62" s="439">
        <f t="shared" si="191"/>
        <v>0</v>
      </c>
      <c r="DM62" s="439">
        <f t="shared" si="192"/>
        <v>0</v>
      </c>
      <c r="DN62" s="439">
        <f t="shared" si="193"/>
        <v>0</v>
      </c>
      <c r="DO62" s="439">
        <f t="shared" si="194"/>
        <v>0</v>
      </c>
      <c r="DP62" s="439">
        <f t="shared" si="195"/>
        <v>0</v>
      </c>
      <c r="DQ62" s="442">
        <f t="shared" si="196"/>
        <v>0</v>
      </c>
      <c r="DR62" s="442">
        <f t="shared" si="197"/>
        <v>0</v>
      </c>
      <c r="DS62" s="439">
        <f t="shared" si="198"/>
        <v>0</v>
      </c>
      <c r="DT62" s="439">
        <f t="shared" si="199"/>
        <v>0</v>
      </c>
      <c r="DU62" s="661">
        <f t="shared" si="200"/>
        <v>0</v>
      </c>
      <c r="DV62" s="661">
        <f t="shared" si="201"/>
        <v>0</v>
      </c>
      <c r="DW62" s="439">
        <f t="shared" si="202"/>
        <v>0</v>
      </c>
      <c r="DX62" s="439">
        <f t="shared" si="203"/>
        <v>0</v>
      </c>
      <c r="DY62" s="439">
        <f t="shared" si="204"/>
        <v>0</v>
      </c>
      <c r="DZ62" s="439">
        <f t="shared" si="205"/>
        <v>0</v>
      </c>
      <c r="EA62" s="631" t="s">
        <v>92</v>
      </c>
      <c r="EB62" s="631">
        <f t="shared" si="151"/>
        <v>0.19570032016168704</v>
      </c>
      <c r="ED62" s="439">
        <f t="shared" si="206"/>
        <v>3.2281200000000005</v>
      </c>
      <c r="EE62" s="440">
        <f t="shared" si="207"/>
        <v>2.4721200000000003</v>
      </c>
      <c r="EF62" s="439">
        <f t="shared" si="208"/>
        <v>-1.7161200000000003</v>
      </c>
      <c r="EG62" s="441">
        <f t="shared" si="209"/>
        <v>0</v>
      </c>
      <c r="EH62" s="439">
        <f t="shared" si="210"/>
        <v>0</v>
      </c>
      <c r="EI62" s="439">
        <f t="shared" si="211"/>
        <v>0</v>
      </c>
      <c r="EJ62" s="439">
        <f t="shared" si="212"/>
        <v>0</v>
      </c>
      <c r="EK62" s="439">
        <f t="shared" si="213"/>
        <v>0</v>
      </c>
      <c r="EL62" s="439">
        <f t="shared" si="214"/>
        <v>0</v>
      </c>
      <c r="EM62" s="439">
        <f t="shared" si="215"/>
        <v>0</v>
      </c>
      <c r="EN62" s="439">
        <f t="shared" si="216"/>
        <v>0</v>
      </c>
      <c r="EO62" s="439">
        <f t="shared" si="217"/>
        <v>0</v>
      </c>
      <c r="EP62" s="439">
        <f t="shared" si="218"/>
        <v>0</v>
      </c>
      <c r="EQ62" s="439">
        <f t="shared" si="219"/>
        <v>0</v>
      </c>
      <c r="ER62" s="442">
        <f t="shared" si="220"/>
        <v>0</v>
      </c>
      <c r="ES62" s="442">
        <f t="shared" si="221"/>
        <v>0</v>
      </c>
      <c r="ET62" s="439">
        <f t="shared" si="222"/>
        <v>0</v>
      </c>
      <c r="EU62" s="439">
        <f t="shared" si="223"/>
        <v>0</v>
      </c>
      <c r="EV62" s="661">
        <f t="shared" si="224"/>
        <v>0</v>
      </c>
      <c r="EW62" s="661">
        <f t="shared" si="225"/>
        <v>0</v>
      </c>
      <c r="EX62" s="439">
        <f t="shared" si="226"/>
        <v>0</v>
      </c>
      <c r="EY62" s="439">
        <f t="shared" si="227"/>
        <v>0</v>
      </c>
      <c r="EZ62" s="439">
        <f t="shared" si="228"/>
        <v>0</v>
      </c>
      <c r="FA62" s="439">
        <f t="shared" si="229"/>
        <v>0</v>
      </c>
      <c r="FB62" s="631" t="s">
        <v>92</v>
      </c>
      <c r="FC62" s="631">
        <f t="shared" si="152"/>
        <v>0.32877653787163424</v>
      </c>
      <c r="FE62" s="439">
        <f t="shared" si="230"/>
        <v>1.87026</v>
      </c>
      <c r="FF62" s="440">
        <f t="shared" si="231"/>
        <v>1.4322600000000001</v>
      </c>
      <c r="FG62" s="439">
        <f t="shared" si="232"/>
        <v>-0.99426000000000014</v>
      </c>
      <c r="FH62" s="441">
        <f t="shared" si="233"/>
        <v>0</v>
      </c>
      <c r="FI62" s="439">
        <f t="shared" si="234"/>
        <v>0</v>
      </c>
      <c r="FJ62" s="439">
        <f t="shared" si="235"/>
        <v>0</v>
      </c>
      <c r="FK62" s="439">
        <f t="shared" si="236"/>
        <v>0</v>
      </c>
      <c r="FL62" s="439">
        <f t="shared" si="237"/>
        <v>0</v>
      </c>
      <c r="FM62" s="439">
        <f t="shared" si="238"/>
        <v>0</v>
      </c>
      <c r="FN62" s="439">
        <f t="shared" si="239"/>
        <v>0</v>
      </c>
      <c r="FO62" s="439">
        <f t="shared" si="240"/>
        <v>0</v>
      </c>
      <c r="FP62" s="439">
        <f t="shared" si="241"/>
        <v>0</v>
      </c>
      <c r="FQ62" s="439">
        <f t="shared" si="242"/>
        <v>0</v>
      </c>
      <c r="FR62" s="439">
        <f t="shared" si="243"/>
        <v>0</v>
      </c>
      <c r="FS62" s="442">
        <f t="shared" si="244"/>
        <v>0</v>
      </c>
      <c r="FT62" s="442">
        <f t="shared" si="245"/>
        <v>0</v>
      </c>
      <c r="FU62" s="439">
        <f t="shared" si="246"/>
        <v>0</v>
      </c>
      <c r="FV62" s="439">
        <f t="shared" si="247"/>
        <v>0</v>
      </c>
      <c r="FW62" s="661">
        <f t="shared" si="248"/>
        <v>0</v>
      </c>
      <c r="FX62" s="661">
        <f t="shared" si="249"/>
        <v>0</v>
      </c>
      <c r="FY62" s="439">
        <f t="shared" si="250"/>
        <v>0</v>
      </c>
      <c r="FZ62" s="439">
        <f t="shared" si="251"/>
        <v>0</v>
      </c>
      <c r="GA62" s="439">
        <f t="shared" si="252"/>
        <v>0</v>
      </c>
      <c r="GB62" s="439">
        <f t="shared" si="253"/>
        <v>0</v>
      </c>
      <c r="GC62" s="631" t="s">
        <v>92</v>
      </c>
      <c r="GD62" s="631">
        <f t="shared" si="153"/>
        <v>0.19048164495737541</v>
      </c>
      <c r="GF62" s="439">
        <f t="shared" si="254"/>
        <v>2.3057999999999996</v>
      </c>
      <c r="GG62" s="440">
        <f t="shared" si="255"/>
        <v>1.7657999999999998</v>
      </c>
      <c r="GH62" s="439">
        <f t="shared" si="256"/>
        <v>-1.2258</v>
      </c>
      <c r="GI62" s="439">
        <f t="shared" si="257"/>
        <v>0</v>
      </c>
      <c r="GJ62" s="439">
        <f t="shared" si="258"/>
        <v>0</v>
      </c>
      <c r="GK62" s="439">
        <f t="shared" si="259"/>
        <v>0</v>
      </c>
      <c r="GL62" s="439">
        <f t="shared" si="260"/>
        <v>0</v>
      </c>
      <c r="GM62" s="439">
        <f t="shared" si="261"/>
        <v>0</v>
      </c>
      <c r="GN62" s="439">
        <f t="shared" si="262"/>
        <v>0</v>
      </c>
      <c r="GO62" s="439">
        <f t="shared" si="263"/>
        <v>0</v>
      </c>
      <c r="GP62" s="439">
        <f t="shared" si="264"/>
        <v>0</v>
      </c>
      <c r="GQ62" s="439">
        <f t="shared" si="265"/>
        <v>0</v>
      </c>
      <c r="GR62" s="439">
        <f t="shared" si="266"/>
        <v>0</v>
      </c>
      <c r="GS62" s="439">
        <f t="shared" si="267"/>
        <v>0</v>
      </c>
      <c r="GT62" s="442">
        <f t="shared" si="268"/>
        <v>0</v>
      </c>
      <c r="GU62" s="442">
        <f t="shared" si="269"/>
        <v>0</v>
      </c>
      <c r="GV62" s="439">
        <f t="shared" si="270"/>
        <v>0</v>
      </c>
      <c r="GW62" s="439">
        <f t="shared" si="271"/>
        <v>0</v>
      </c>
      <c r="GX62" s="661">
        <f t="shared" si="272"/>
        <v>0</v>
      </c>
      <c r="GY62" s="661">
        <f t="shared" si="273"/>
        <v>0</v>
      </c>
      <c r="GZ62" s="439">
        <f t="shared" si="274"/>
        <v>0</v>
      </c>
      <c r="HA62" s="439">
        <f t="shared" si="275"/>
        <v>0</v>
      </c>
      <c r="HB62" s="439">
        <f t="shared" si="276"/>
        <v>0</v>
      </c>
      <c r="HC62" s="439">
        <f t="shared" si="277"/>
        <v>0</v>
      </c>
      <c r="HD62" s="631" t="s">
        <v>92</v>
      </c>
      <c r="HE62" s="631">
        <f t="shared" si="306"/>
        <v>0.23484038419402439</v>
      </c>
      <c r="HG62" s="618">
        <f>HLOOKUP(CQ62,Spec_Sheet!$F$3:$DV$19,11,FALSE)+HLOOKUP(CQ62,Spec_Sheet!$F$3:$DV$21,19,FALSE)</f>
        <v>180</v>
      </c>
      <c r="HH62" s="618">
        <f t="shared" si="154"/>
        <v>100</v>
      </c>
      <c r="HI62" s="634">
        <f t="shared" si="155"/>
        <v>200</v>
      </c>
      <c r="HJ62" s="634">
        <f>HLOOKUP(IF(LEN(CQ62)&gt;6,LEFT(CQ62,5),CQ62),'LSM List Pricing'!$B$1:$BW$2,2,0)</f>
        <v>49</v>
      </c>
      <c r="HK62" s="634">
        <f>HLOOKUP(HJ62,'LSM List Pricing'!$B$2:$BW$3,2)</f>
        <v>540</v>
      </c>
      <c r="HL62" s="634">
        <f>VLOOKUP(HH62,'LSM List Pricing'!$A$7:$BW$87,HJ62,0)</f>
        <v>530</v>
      </c>
      <c r="HM62" s="627">
        <f>VLOOKUP(HI62,'LSM List Pricing'!$A$7:$BW$87,HJ62,1)</f>
        <v>680</v>
      </c>
      <c r="HN62" s="628">
        <f t="shared" si="307"/>
        <v>2.7435897435897436</v>
      </c>
      <c r="HO62" s="628">
        <f t="shared" si="308"/>
        <v>5.4871794871794872</v>
      </c>
      <c r="HP62" s="628">
        <f t="shared" si="309"/>
        <v>4.5128205128205128</v>
      </c>
      <c r="HR62" s="618">
        <v>2.9499999999999998E-2</v>
      </c>
      <c r="HS62" s="618">
        <f t="shared" si="109"/>
        <v>198.07142857142856</v>
      </c>
      <c r="HT62" s="618">
        <f t="shared" si="110"/>
        <v>1</v>
      </c>
      <c r="HU62" s="618">
        <f t="shared" si="170"/>
        <v>0.75114381823562271</v>
      </c>
      <c r="HW62" s="618">
        <f t="shared" si="111"/>
        <v>34.933375778105415</v>
      </c>
      <c r="HX62" s="618">
        <f t="shared" si="171"/>
        <v>0.73982759703565493</v>
      </c>
      <c r="HY62" s="618">
        <f t="shared" si="172"/>
        <v>2.9499999999999998E-2</v>
      </c>
      <c r="IB62" s="618">
        <f t="shared" si="113"/>
        <v>25.000350341399081</v>
      </c>
      <c r="IC62" s="618">
        <f t="shared" si="114"/>
        <v>1E-3</v>
      </c>
      <c r="IE62" s="618">
        <f t="shared" si="115"/>
        <v>0</v>
      </c>
      <c r="IF62" s="618">
        <f t="shared" si="116"/>
        <v>40.704999999999998</v>
      </c>
      <c r="IH62" s="618">
        <f t="shared" si="117"/>
        <v>0</v>
      </c>
      <c r="II62" s="618">
        <f t="shared" si="118"/>
        <v>40.704999999999998</v>
      </c>
      <c r="IK62" s="618">
        <f t="shared" si="119"/>
        <v>0</v>
      </c>
      <c r="IL62" s="618">
        <f t="shared" si="120"/>
        <v>40.704999999999998</v>
      </c>
      <c r="IN62" s="618">
        <f t="shared" si="121"/>
        <v>0</v>
      </c>
      <c r="IO62" s="618">
        <f t="shared" si="122"/>
        <v>40.704999999999998</v>
      </c>
      <c r="IQ62" s="618">
        <f t="shared" si="123"/>
        <v>0</v>
      </c>
      <c r="IR62" s="618">
        <f t="shared" si="124"/>
        <v>40.704999999999998</v>
      </c>
      <c r="IT62" s="660" t="str">
        <f t="shared" si="278"/>
        <v>S250T 1S</v>
      </c>
      <c r="IU62" s="628"/>
      <c r="IV62" s="439">
        <f t="shared" si="279"/>
        <v>3.3306000000000004</v>
      </c>
      <c r="IW62" s="440">
        <f t="shared" si="280"/>
        <v>2.5506000000000006</v>
      </c>
      <c r="IX62" s="439">
        <f t="shared" si="281"/>
        <v>-1.7706000000000006</v>
      </c>
      <c r="IY62" s="439">
        <f t="shared" si="282"/>
        <v>0</v>
      </c>
      <c r="IZ62" s="439">
        <f t="shared" si="283"/>
        <v>0</v>
      </c>
      <c r="JA62" s="439">
        <f t="shared" si="284"/>
        <v>0</v>
      </c>
      <c r="JB62" s="439">
        <f t="shared" si="285"/>
        <v>0</v>
      </c>
      <c r="JC62" s="439">
        <f t="shared" si="286"/>
        <v>0</v>
      </c>
      <c r="JD62" s="439">
        <f t="shared" si="287"/>
        <v>0</v>
      </c>
      <c r="JE62" s="439">
        <f t="shared" si="288"/>
        <v>0</v>
      </c>
      <c r="JF62" s="439">
        <f t="shared" si="289"/>
        <v>0</v>
      </c>
      <c r="JG62" s="439">
        <f t="shared" si="290"/>
        <v>0</v>
      </c>
      <c r="JH62" s="439">
        <f t="shared" si="291"/>
        <v>0</v>
      </c>
      <c r="JI62" s="439">
        <f t="shared" si="292"/>
        <v>0</v>
      </c>
      <c r="JJ62" s="442">
        <f t="shared" si="293"/>
        <v>0</v>
      </c>
      <c r="JK62" s="442">
        <f t="shared" si="294"/>
        <v>0</v>
      </c>
      <c r="JL62" s="439">
        <f t="shared" si="295"/>
        <v>0</v>
      </c>
      <c r="JM62" s="439">
        <f t="shared" si="296"/>
        <v>0</v>
      </c>
      <c r="JN62" s="661">
        <f t="shared" si="297"/>
        <v>0</v>
      </c>
      <c r="JO62" s="661">
        <f t="shared" si="298"/>
        <v>0</v>
      </c>
      <c r="JP62" s="439">
        <f t="shared" si="299"/>
        <v>0</v>
      </c>
      <c r="JQ62" s="439">
        <f t="shared" si="300"/>
        <v>0</v>
      </c>
      <c r="JR62" s="439">
        <f t="shared" si="301"/>
        <v>0</v>
      </c>
      <c r="JS62" s="439">
        <f t="shared" si="302"/>
        <v>0</v>
      </c>
      <c r="JT62" s="631" t="s">
        <v>92</v>
      </c>
      <c r="JU62" s="631">
        <f t="shared" si="158"/>
        <v>0.33921388828025761</v>
      </c>
      <c r="JW62" s="522"/>
      <c r="JX62" s="522"/>
      <c r="JY62" s="522"/>
      <c r="JZ62" s="522"/>
      <c r="KA62" s="522"/>
      <c r="KB62" s="522"/>
      <c r="KC62" s="522"/>
      <c r="KD62" s="522"/>
      <c r="KE62" s="522"/>
      <c r="KF62" s="522"/>
      <c r="KG62" s="522"/>
      <c r="KH62" s="522"/>
      <c r="KI62" s="522"/>
      <c r="KJ62" s="522"/>
      <c r="KK62" s="522"/>
      <c r="KL62" s="522"/>
    </row>
    <row r="63" spans="1:298" ht="9.9499999999999993" customHeight="1">
      <c r="A63" s="155"/>
      <c r="B63" s="469" t="s">
        <v>11</v>
      </c>
      <c r="C63" s="290">
        <v>1</v>
      </c>
      <c r="D63" s="309"/>
      <c r="E63" s="470" t="s">
        <v>11</v>
      </c>
      <c r="F63" s="471">
        <v>9.8066499999999994</v>
      </c>
      <c r="G63" s="472"/>
      <c r="H63" s="473" t="s">
        <v>441</v>
      </c>
      <c r="I63" s="474">
        <v>5.08</v>
      </c>
      <c r="J63" s="475"/>
      <c r="K63" s="476" t="s">
        <v>152</v>
      </c>
      <c r="L63" s="471">
        <v>25.4</v>
      </c>
      <c r="M63" s="477"/>
      <c r="N63" s="473" t="s">
        <v>156</v>
      </c>
      <c r="O63" s="474">
        <v>1E-3</v>
      </c>
      <c r="P63" s="475"/>
      <c r="Q63" s="476" t="s">
        <v>159</v>
      </c>
      <c r="R63" s="471">
        <v>0.30480000000000002</v>
      </c>
      <c r="S63" s="477"/>
      <c r="T63" s="473" t="s">
        <v>26</v>
      </c>
      <c r="U63" s="478">
        <f>1/SQRT(2)</f>
        <v>0.70710678118654746</v>
      </c>
      <c r="V63" s="452"/>
      <c r="W63" s="476" t="s">
        <v>31</v>
      </c>
      <c r="X63" s="403"/>
      <c r="Y63" s="403"/>
      <c r="Z63" s="403"/>
      <c r="AA63" s="403"/>
      <c r="AB63" s="150"/>
      <c r="AC63" s="466"/>
      <c r="AD63" s="452"/>
      <c r="AE63" s="403"/>
      <c r="AF63" s="403"/>
      <c r="AG63" s="403"/>
      <c r="AH63" s="403"/>
      <c r="AI63" s="403"/>
      <c r="AJ63" s="403"/>
      <c r="AK63" s="403"/>
      <c r="AL63" s="452"/>
      <c r="AM63" s="452"/>
      <c r="AN63" s="403"/>
      <c r="AO63" s="403"/>
      <c r="AP63" s="403"/>
      <c r="AQ63" s="403"/>
      <c r="AR63" s="403"/>
      <c r="AS63" s="403"/>
      <c r="AT63" s="452"/>
      <c r="AU63" s="452"/>
      <c r="AV63" s="93">
        <f t="shared" si="313"/>
        <v>0</v>
      </c>
      <c r="AW63" s="93">
        <f>IF($AY$32,'Data Sheet'!AA84,0)</f>
        <v>0</v>
      </c>
      <c r="AX63" s="93">
        <f t="shared" si="315"/>
        <v>40.704999999999998</v>
      </c>
      <c r="AY63" s="444"/>
      <c r="AZ63" s="423"/>
      <c r="BA63" s="423"/>
      <c r="BB63" s="708" t="str">
        <f>IF(HLOOKUP(CQ131,Spec_Sheet!$F$3:$ED$19,17,FALSE)&lt;$AC$48,"",CQ131)</f>
        <v>SCR100</v>
      </c>
      <c r="BC63" s="709"/>
      <c r="BD63" s="710"/>
      <c r="BE63" s="342">
        <f>CT131</f>
        <v>9.788777211359441E-2</v>
      </c>
      <c r="BF63" s="327"/>
      <c r="BG63" s="153"/>
      <c r="BH63" s="153"/>
      <c r="BI63" s="155"/>
      <c r="BJ63" s="155"/>
      <c r="BK63" s="155"/>
      <c r="BL63" s="155"/>
      <c r="BM63" s="267"/>
      <c r="BN63" s="267"/>
      <c r="BO63" s="124"/>
      <c r="BP63" s="407" t="s">
        <v>440</v>
      </c>
      <c r="BQ63" s="124"/>
      <c r="BR63" s="124"/>
      <c r="BS63" s="125"/>
      <c r="BT63" s="125"/>
      <c r="BU63" s="125"/>
      <c r="BV63" s="125"/>
      <c r="BW63" s="125"/>
      <c r="BX63" s="124"/>
      <c r="BY63" s="124"/>
      <c r="BZ63" s="124"/>
      <c r="CA63" s="124"/>
      <c r="CB63" s="124"/>
      <c r="CC63" s="124"/>
      <c r="CD63" s="124"/>
      <c r="CE63" s="124"/>
      <c r="CF63" s="124"/>
      <c r="CG63" s="124"/>
      <c r="CH63" s="44"/>
      <c r="CI63" s="44"/>
      <c r="CO63" s="692" t="str">
        <f ca="1"/>
        <v>L250Q-1S</v>
      </c>
      <c r="CP63" s="632" t="str">
        <f>IF(OR(CQ63=0,CR63="",CS63&gt;120),"",IF(HLOOKUP(CQ63,Spec_Sheet!$F$3:$ED$19,17,FALSE)&lt;$AC$46,"",CQ63))</f>
        <v>L320QS</v>
      </c>
      <c r="CQ63" s="660" t="str">
        <f>IF(Spec_Sheet!A62="","",Spec_Sheet!A62)</f>
        <v>L320QS</v>
      </c>
      <c r="CR63" s="660">
        <f>IF(CQ63="",0,HLOOKUP(CQ63,Spec_Sheet!$F$3:$ED$19,2,FALSE))</f>
        <v>58.736189115757412</v>
      </c>
      <c r="CS63" s="660">
        <f t="shared" si="169"/>
        <v>1.0230903949897657E-3</v>
      </c>
      <c r="CT63" s="621">
        <f t="shared" si="310"/>
        <v>1.3270177114026206E-3</v>
      </c>
      <c r="CU63" s="621">
        <f t="shared" si="181"/>
        <v>1.0230903949897657E-3</v>
      </c>
      <c r="CV63" s="621" t="e">
        <f t="shared" si="311"/>
        <v>#REF!</v>
      </c>
      <c r="CW63" s="621" t="e">
        <f t="shared" si="312"/>
        <v>#REF!</v>
      </c>
      <c r="CX63" s="621" t="e">
        <f t="shared" si="157"/>
        <v>#REF!</v>
      </c>
      <c r="CY63" s="619">
        <f>HLOOKUP(CQ63,Spec_Sheet!$F$3:$ED$19,13,FALSE)</f>
        <v>1.24</v>
      </c>
      <c r="CZ63" s="619" t="e">
        <f>VLOOKUP(HH63,'Shaft Weight'!$A$6:$CD$102,HJ63,TRUE)</f>
        <v>#REF!</v>
      </c>
      <c r="DA63" s="619" t="e">
        <f>VLOOKUP(HI63,'Shaft Weight'!$A$6:$CD$102,HJ63,0)</f>
        <v>#REF!</v>
      </c>
      <c r="DB63" s="619">
        <f>HLOOKUP(CQ63,Spec_Sheet!$F$3:$ED$19,6,FALSE)</f>
        <v>45</v>
      </c>
      <c r="DC63" s="439">
        <f t="shared" si="182"/>
        <v>2.1008400000000007</v>
      </c>
      <c r="DD63" s="440">
        <f t="shared" si="183"/>
        <v>1.6088400000000005</v>
      </c>
      <c r="DE63" s="439">
        <f t="shared" si="184"/>
        <v>-1.1168400000000005</v>
      </c>
      <c r="DF63" s="439">
        <f t="shared" si="185"/>
        <v>0</v>
      </c>
      <c r="DG63" s="439">
        <f t="shared" si="186"/>
        <v>0</v>
      </c>
      <c r="DH63" s="439">
        <f t="shared" si="187"/>
        <v>0</v>
      </c>
      <c r="DI63" s="439">
        <f t="shared" si="188"/>
        <v>0</v>
      </c>
      <c r="DJ63" s="439">
        <f t="shared" si="189"/>
        <v>0</v>
      </c>
      <c r="DK63" s="439">
        <f t="shared" si="190"/>
        <v>0</v>
      </c>
      <c r="DL63" s="439">
        <f t="shared" si="191"/>
        <v>0</v>
      </c>
      <c r="DM63" s="439">
        <f t="shared" si="192"/>
        <v>0</v>
      </c>
      <c r="DN63" s="439">
        <f t="shared" si="193"/>
        <v>0</v>
      </c>
      <c r="DO63" s="439">
        <f t="shared" si="194"/>
        <v>0</v>
      </c>
      <c r="DP63" s="439">
        <f t="shared" si="195"/>
        <v>0</v>
      </c>
      <c r="DQ63" s="442">
        <f t="shared" si="196"/>
        <v>0</v>
      </c>
      <c r="DR63" s="442">
        <f t="shared" si="197"/>
        <v>0</v>
      </c>
      <c r="DS63" s="439">
        <f t="shared" si="198"/>
        <v>0</v>
      </c>
      <c r="DT63" s="439">
        <f t="shared" si="199"/>
        <v>0</v>
      </c>
      <c r="DU63" s="661">
        <f t="shared" si="200"/>
        <v>0</v>
      </c>
      <c r="DV63" s="661">
        <f t="shared" si="201"/>
        <v>0</v>
      </c>
      <c r="DW63" s="439">
        <f t="shared" si="202"/>
        <v>0</v>
      </c>
      <c r="DX63" s="439">
        <f t="shared" si="203"/>
        <v>0</v>
      </c>
      <c r="DY63" s="439">
        <f t="shared" si="204"/>
        <v>0</v>
      </c>
      <c r="DZ63" s="439">
        <f t="shared" si="205"/>
        <v>0</v>
      </c>
      <c r="EA63" s="631" t="s">
        <v>92</v>
      </c>
      <c r="EB63" s="631">
        <f t="shared" si="151"/>
        <v>0.21396568337677788</v>
      </c>
      <c r="ED63" s="439" t="e">
        <f t="shared" si="206"/>
        <v>#REF!</v>
      </c>
      <c r="EE63" s="440" t="e">
        <f t="shared" si="207"/>
        <v>#REF!</v>
      </c>
      <c r="EF63" s="439" t="e">
        <f t="shared" si="208"/>
        <v>#REF!</v>
      </c>
      <c r="EG63" s="441" t="e">
        <f t="shared" si="209"/>
        <v>#REF!</v>
      </c>
      <c r="EH63" s="439">
        <f t="shared" si="210"/>
        <v>0</v>
      </c>
      <c r="EI63" s="439">
        <f t="shared" si="211"/>
        <v>0</v>
      </c>
      <c r="EJ63" s="439">
        <f t="shared" si="212"/>
        <v>0</v>
      </c>
      <c r="EK63" s="439">
        <f t="shared" si="213"/>
        <v>0</v>
      </c>
      <c r="EL63" s="439">
        <f t="shared" si="214"/>
        <v>0</v>
      </c>
      <c r="EM63" s="439">
        <f t="shared" si="215"/>
        <v>0</v>
      </c>
      <c r="EN63" s="439">
        <f t="shared" si="216"/>
        <v>0</v>
      </c>
      <c r="EO63" s="439">
        <f t="shared" si="217"/>
        <v>0</v>
      </c>
      <c r="EP63" s="439">
        <f t="shared" si="218"/>
        <v>0</v>
      </c>
      <c r="EQ63" s="439">
        <f t="shared" si="219"/>
        <v>0</v>
      </c>
      <c r="ER63" s="442">
        <f t="shared" si="220"/>
        <v>0</v>
      </c>
      <c r="ES63" s="442">
        <f t="shared" si="221"/>
        <v>0</v>
      </c>
      <c r="ET63" s="439">
        <f t="shared" si="222"/>
        <v>0</v>
      </c>
      <c r="EU63" s="439">
        <f t="shared" si="223"/>
        <v>0</v>
      </c>
      <c r="EV63" s="661">
        <f t="shared" si="224"/>
        <v>0</v>
      </c>
      <c r="EW63" s="661">
        <f t="shared" si="225"/>
        <v>0</v>
      </c>
      <c r="EX63" s="439">
        <f t="shared" si="226"/>
        <v>0</v>
      </c>
      <c r="EY63" s="439">
        <f t="shared" si="227"/>
        <v>0</v>
      </c>
      <c r="EZ63" s="439">
        <f t="shared" si="228"/>
        <v>0</v>
      </c>
      <c r="FA63" s="439">
        <f t="shared" si="229"/>
        <v>0</v>
      </c>
      <c r="FB63" s="631" t="s">
        <v>92</v>
      </c>
      <c r="FC63" s="631" t="e">
        <f t="shared" si="152"/>
        <v>#REF!</v>
      </c>
      <c r="FE63" s="439" t="e">
        <f t="shared" si="230"/>
        <v>#REF!</v>
      </c>
      <c r="FF63" s="440" t="e">
        <f t="shared" si="231"/>
        <v>#REF!</v>
      </c>
      <c r="FG63" s="439" t="e">
        <f t="shared" si="232"/>
        <v>#REF!</v>
      </c>
      <c r="FH63" s="441" t="e">
        <f t="shared" si="233"/>
        <v>#REF!</v>
      </c>
      <c r="FI63" s="439">
        <f t="shared" si="234"/>
        <v>0</v>
      </c>
      <c r="FJ63" s="439">
        <f t="shared" si="235"/>
        <v>0</v>
      </c>
      <c r="FK63" s="439">
        <f t="shared" si="236"/>
        <v>0</v>
      </c>
      <c r="FL63" s="439">
        <f t="shared" si="237"/>
        <v>0</v>
      </c>
      <c r="FM63" s="439">
        <f t="shared" si="238"/>
        <v>0</v>
      </c>
      <c r="FN63" s="439">
        <f t="shared" si="239"/>
        <v>0</v>
      </c>
      <c r="FO63" s="439">
        <f t="shared" si="240"/>
        <v>0</v>
      </c>
      <c r="FP63" s="439">
        <f t="shared" si="241"/>
        <v>0</v>
      </c>
      <c r="FQ63" s="439">
        <f t="shared" si="242"/>
        <v>0</v>
      </c>
      <c r="FR63" s="439">
        <f t="shared" si="243"/>
        <v>0</v>
      </c>
      <c r="FS63" s="442">
        <f t="shared" si="244"/>
        <v>0</v>
      </c>
      <c r="FT63" s="442">
        <f t="shared" si="245"/>
        <v>0</v>
      </c>
      <c r="FU63" s="439">
        <f t="shared" si="246"/>
        <v>0</v>
      </c>
      <c r="FV63" s="439">
        <f t="shared" si="247"/>
        <v>0</v>
      </c>
      <c r="FW63" s="661">
        <f t="shared" si="248"/>
        <v>0</v>
      </c>
      <c r="FX63" s="661">
        <f t="shared" si="249"/>
        <v>0</v>
      </c>
      <c r="FY63" s="439">
        <f t="shared" si="250"/>
        <v>0</v>
      </c>
      <c r="FZ63" s="439">
        <f t="shared" si="251"/>
        <v>0</v>
      </c>
      <c r="GA63" s="439">
        <f t="shared" si="252"/>
        <v>0</v>
      </c>
      <c r="GB63" s="439">
        <f t="shared" si="253"/>
        <v>0</v>
      </c>
      <c r="GC63" s="631" t="s">
        <v>92</v>
      </c>
      <c r="GD63" s="631" t="e">
        <f t="shared" si="153"/>
        <v>#REF!</v>
      </c>
      <c r="GF63" s="439" t="e">
        <f t="shared" si="254"/>
        <v>#REF!</v>
      </c>
      <c r="GG63" s="440" t="e">
        <f t="shared" si="255"/>
        <v>#REF!</v>
      </c>
      <c r="GH63" s="439" t="e">
        <f t="shared" si="256"/>
        <v>#REF!</v>
      </c>
      <c r="GI63" s="439" t="e">
        <f t="shared" si="257"/>
        <v>#REF!</v>
      </c>
      <c r="GJ63" s="439">
        <f t="shared" si="258"/>
        <v>0</v>
      </c>
      <c r="GK63" s="439">
        <f t="shared" si="259"/>
        <v>0</v>
      </c>
      <c r="GL63" s="439">
        <f t="shared" si="260"/>
        <v>0</v>
      </c>
      <c r="GM63" s="439">
        <f t="shared" si="261"/>
        <v>0</v>
      </c>
      <c r="GN63" s="439">
        <f t="shared" si="262"/>
        <v>0</v>
      </c>
      <c r="GO63" s="439">
        <f t="shared" si="263"/>
        <v>0</v>
      </c>
      <c r="GP63" s="439">
        <f t="shared" si="264"/>
        <v>0</v>
      </c>
      <c r="GQ63" s="439">
        <f t="shared" si="265"/>
        <v>0</v>
      </c>
      <c r="GR63" s="439">
        <f t="shared" si="266"/>
        <v>0</v>
      </c>
      <c r="GS63" s="439">
        <f t="shared" si="267"/>
        <v>0</v>
      </c>
      <c r="GT63" s="442">
        <f t="shared" si="268"/>
        <v>0</v>
      </c>
      <c r="GU63" s="442">
        <f t="shared" si="269"/>
        <v>0</v>
      </c>
      <c r="GV63" s="439">
        <f t="shared" si="270"/>
        <v>0</v>
      </c>
      <c r="GW63" s="439">
        <f t="shared" si="271"/>
        <v>0</v>
      </c>
      <c r="GX63" s="661">
        <f t="shared" si="272"/>
        <v>0</v>
      </c>
      <c r="GY63" s="661">
        <f t="shared" si="273"/>
        <v>0</v>
      </c>
      <c r="GZ63" s="439">
        <f t="shared" si="274"/>
        <v>0</v>
      </c>
      <c r="HA63" s="439">
        <f t="shared" si="275"/>
        <v>0</v>
      </c>
      <c r="HB63" s="439">
        <f t="shared" si="276"/>
        <v>0</v>
      </c>
      <c r="HC63" s="439">
        <f t="shared" si="277"/>
        <v>0</v>
      </c>
      <c r="HD63" s="631" t="s">
        <v>92</v>
      </c>
      <c r="HE63" s="631" t="e">
        <f t="shared" si="306"/>
        <v>#REF!</v>
      </c>
      <c r="HG63" s="618">
        <f>HLOOKUP(CQ63,Spec_Sheet!$F$3:$DV$19,11,FALSE)+HLOOKUP(CQ63,Spec_Sheet!$F$3:$DV$21,19,FALSE)</f>
        <v>150</v>
      </c>
      <c r="HH63" s="618">
        <f t="shared" si="154"/>
        <v>100</v>
      </c>
      <c r="HI63" s="634">
        <f t="shared" si="155"/>
        <v>200</v>
      </c>
      <c r="HJ63" s="634" t="e">
        <f>HLOOKUP(IF(LEN(CQ63)&gt;6,LEFT(CQ63,5),CQ63),'LSM List Pricing'!$B$1:$BW$2,2,0)</f>
        <v>#N/A</v>
      </c>
      <c r="HK63" s="634" t="e">
        <f>HLOOKUP(HJ63,'LSM List Pricing'!$B$2:$BW$3,2)</f>
        <v>#N/A</v>
      </c>
      <c r="HL63" s="634" t="e">
        <f>VLOOKUP(HH63,'LSM List Pricing'!$A$7:$BW$87,HJ63,0)</f>
        <v>#REF!</v>
      </c>
      <c r="HM63" s="627" t="e">
        <f>VLOOKUP(HI63,'LSM List Pricing'!$A$7:$BW$87,HJ63,1)</f>
        <v>#REF!</v>
      </c>
      <c r="HN63" s="628" t="e">
        <f t="shared" si="307"/>
        <v>#N/A</v>
      </c>
      <c r="HO63" s="628" t="e">
        <f t="shared" si="308"/>
        <v>#N/A</v>
      </c>
      <c r="HP63" s="628" t="e">
        <f t="shared" si="309"/>
        <v>#N/A</v>
      </c>
      <c r="HR63" s="618">
        <v>0.03</v>
      </c>
      <c r="HS63" s="618">
        <f t="shared" si="109"/>
        <v>201.42857142857142</v>
      </c>
      <c r="HT63" s="618">
        <f t="shared" si="110"/>
        <v>1</v>
      </c>
      <c r="HU63" s="618">
        <f t="shared" si="170"/>
        <v>0.7638828622092475</v>
      </c>
      <c r="HW63" s="618">
        <f t="shared" si="111"/>
        <v>34.91528633566287</v>
      </c>
      <c r="HX63" s="618">
        <f t="shared" si="171"/>
        <v>0.75218280170181351</v>
      </c>
      <c r="HY63" s="618">
        <f t="shared" si="172"/>
        <v>0.03</v>
      </c>
      <c r="IB63" s="618">
        <f t="shared" si="113"/>
        <v>25.000350341399081</v>
      </c>
      <c r="IC63" s="618">
        <f t="shared" si="114"/>
        <v>1E-3</v>
      </c>
      <c r="IE63" s="618">
        <f t="shared" si="115"/>
        <v>0</v>
      </c>
      <c r="IF63" s="618">
        <f t="shared" si="116"/>
        <v>40.704999999999998</v>
      </c>
      <c r="IH63" s="618">
        <f t="shared" si="117"/>
        <v>0</v>
      </c>
      <c r="II63" s="618">
        <f t="shared" si="118"/>
        <v>40.704999999999998</v>
      </c>
      <c r="IK63" s="618">
        <f t="shared" si="119"/>
        <v>0</v>
      </c>
      <c r="IL63" s="618">
        <f t="shared" si="120"/>
        <v>40.704999999999998</v>
      </c>
      <c r="IN63" s="618">
        <f t="shared" si="121"/>
        <v>0</v>
      </c>
      <c r="IO63" s="618">
        <f t="shared" si="122"/>
        <v>40.704999999999998</v>
      </c>
      <c r="IQ63" s="618">
        <f t="shared" si="123"/>
        <v>0</v>
      </c>
      <c r="IR63" s="618">
        <f t="shared" si="124"/>
        <v>40.704999999999998</v>
      </c>
      <c r="IT63" s="660" t="str">
        <f t="shared" si="278"/>
        <v>L320QS</v>
      </c>
      <c r="IU63" s="628"/>
      <c r="IV63" s="439">
        <f t="shared" si="279"/>
        <v>3.6892800000000001</v>
      </c>
      <c r="IW63" s="440">
        <f t="shared" si="280"/>
        <v>2.8252800000000002</v>
      </c>
      <c r="IX63" s="439">
        <f t="shared" si="281"/>
        <v>-1.9612800000000004</v>
      </c>
      <c r="IY63" s="439">
        <f t="shared" si="282"/>
        <v>0</v>
      </c>
      <c r="IZ63" s="439">
        <f t="shared" si="283"/>
        <v>0</v>
      </c>
      <c r="JA63" s="439">
        <f t="shared" si="284"/>
        <v>0</v>
      </c>
      <c r="JB63" s="439">
        <f t="shared" si="285"/>
        <v>0</v>
      </c>
      <c r="JC63" s="439">
        <f t="shared" si="286"/>
        <v>0</v>
      </c>
      <c r="JD63" s="439">
        <f t="shared" si="287"/>
        <v>0</v>
      </c>
      <c r="JE63" s="439">
        <f t="shared" si="288"/>
        <v>0</v>
      </c>
      <c r="JF63" s="439">
        <f t="shared" si="289"/>
        <v>0</v>
      </c>
      <c r="JG63" s="439">
        <f t="shared" si="290"/>
        <v>0</v>
      </c>
      <c r="JH63" s="439">
        <f t="shared" si="291"/>
        <v>0</v>
      </c>
      <c r="JI63" s="439">
        <f t="shared" si="292"/>
        <v>0</v>
      </c>
      <c r="JJ63" s="442">
        <f t="shared" si="293"/>
        <v>0</v>
      </c>
      <c r="JK63" s="442">
        <f t="shared" si="294"/>
        <v>0</v>
      </c>
      <c r="JL63" s="439">
        <f t="shared" si="295"/>
        <v>0</v>
      </c>
      <c r="JM63" s="439">
        <f t="shared" si="296"/>
        <v>0</v>
      </c>
      <c r="JN63" s="661">
        <f t="shared" si="297"/>
        <v>0</v>
      </c>
      <c r="JO63" s="661">
        <f t="shared" si="298"/>
        <v>0</v>
      </c>
      <c r="JP63" s="439">
        <f t="shared" si="299"/>
        <v>0</v>
      </c>
      <c r="JQ63" s="439">
        <f t="shared" si="300"/>
        <v>0</v>
      </c>
      <c r="JR63" s="439">
        <f t="shared" si="301"/>
        <v>0</v>
      </c>
      <c r="JS63" s="439">
        <f t="shared" si="302"/>
        <v>0</v>
      </c>
      <c r="JT63" s="631" t="s">
        <v>92</v>
      </c>
      <c r="JU63" s="631">
        <f t="shared" si="158"/>
        <v>0.37574461471043913</v>
      </c>
      <c r="JW63" s="522"/>
      <c r="JX63" s="522"/>
      <c r="JY63" s="522"/>
      <c r="JZ63" s="522"/>
      <c r="KA63" s="522"/>
      <c r="KB63" s="522"/>
      <c r="KC63" s="522"/>
      <c r="KD63" s="522"/>
      <c r="KE63" s="522"/>
      <c r="KF63" s="522"/>
      <c r="KG63" s="522"/>
      <c r="KH63" s="522"/>
      <c r="KI63" s="522"/>
      <c r="KJ63" s="522"/>
      <c r="KK63" s="522"/>
      <c r="KL63" s="522"/>
    </row>
    <row r="64" spans="1:298" ht="10.5" customHeight="1" thickBot="1">
      <c r="A64" s="155"/>
      <c r="B64" s="311" t="s">
        <v>145</v>
      </c>
      <c r="C64" s="290">
        <v>0.45359237000000002</v>
      </c>
      <c r="D64" s="313"/>
      <c r="E64" s="476" t="s">
        <v>12</v>
      </c>
      <c r="F64" s="471">
        <v>4.4482216149999996</v>
      </c>
      <c r="G64" s="477"/>
      <c r="H64" s="473" t="s">
        <v>295</v>
      </c>
      <c r="I64" s="474">
        <v>304.8</v>
      </c>
      <c r="J64" s="475"/>
      <c r="K64" s="476" t="s">
        <v>154</v>
      </c>
      <c r="L64" s="471">
        <v>1000</v>
      </c>
      <c r="M64" s="477"/>
      <c r="N64" s="473" t="s">
        <v>120</v>
      </c>
      <c r="O64" s="474">
        <v>1</v>
      </c>
      <c r="P64" s="475"/>
      <c r="Q64" s="476" t="s">
        <v>110</v>
      </c>
      <c r="R64" s="471">
        <v>9.8066499999999994</v>
      </c>
      <c r="S64" s="477"/>
      <c r="T64" s="477"/>
      <c r="U64" s="331"/>
      <c r="V64" s="331"/>
      <c r="W64" s="332"/>
      <c r="X64" s="332"/>
      <c r="Y64" s="332"/>
      <c r="Z64" s="332"/>
      <c r="AA64" s="332"/>
      <c r="AB64" s="150"/>
      <c r="AC64" s="466"/>
      <c r="AD64" s="331"/>
      <c r="AE64" s="332"/>
      <c r="AF64" s="332"/>
      <c r="AG64" s="332"/>
      <c r="AH64" s="332"/>
      <c r="AI64" s="332"/>
      <c r="AJ64" s="332"/>
      <c r="AK64" s="332"/>
      <c r="AL64" s="331"/>
      <c r="AM64" s="331"/>
      <c r="AN64" s="332"/>
      <c r="AO64" s="332"/>
      <c r="AP64" s="332"/>
      <c r="AQ64" s="332"/>
      <c r="AR64" s="332"/>
      <c r="AS64" s="332"/>
      <c r="AT64" s="331"/>
      <c r="AU64" s="331"/>
      <c r="AV64" s="93">
        <f t="shared" si="313"/>
        <v>0</v>
      </c>
      <c r="AW64" s="93">
        <f>IF($AY$32,'Data Sheet'!AA85,0)</f>
        <v>0</v>
      </c>
      <c r="AX64" s="93">
        <f t="shared" si="315"/>
        <v>40.704999999999998</v>
      </c>
      <c r="AY64" s="513"/>
      <c r="AZ64" s="512"/>
      <c r="BA64" s="153"/>
      <c r="BB64" s="865" t="str">
        <f>IF(HLOOKUP(CQ132,Spec_Sheet!$F$3:$ED$19,17,FALSE)&lt;$AC$49,"",CQ132)</f>
        <v>SCR150</v>
      </c>
      <c r="BC64" s="866"/>
      <c r="BD64" s="867"/>
      <c r="BE64" s="488">
        <f>CT132</f>
        <v>5.9100521293756876E-2</v>
      </c>
      <c r="BF64" s="327"/>
      <c r="BG64" s="162"/>
      <c r="BH64" s="162"/>
      <c r="BI64" s="155"/>
      <c r="BJ64" s="155"/>
      <c r="BK64" s="155"/>
      <c r="BL64" s="155"/>
      <c r="BM64" s="267"/>
      <c r="BN64" s="267"/>
      <c r="BO64" s="387" t="s">
        <v>448</v>
      </c>
      <c r="BP64" s="863" t="s">
        <v>555</v>
      </c>
      <c r="BQ64" s="863"/>
      <c r="BR64" s="863"/>
      <c r="BS64" s="863"/>
      <c r="BT64" s="863"/>
      <c r="BU64" s="863"/>
      <c r="BV64" s="863"/>
      <c r="BW64" s="863"/>
      <c r="BX64" s="863"/>
      <c r="BY64" s="863"/>
      <c r="BZ64" s="863"/>
      <c r="CA64" s="863"/>
      <c r="CB64" s="863"/>
      <c r="CC64" s="863"/>
      <c r="CD64" s="863"/>
      <c r="CE64" s="863"/>
      <c r="CF64" s="863"/>
      <c r="CG64" s="863"/>
      <c r="CH64" s="863"/>
      <c r="CI64" s="863"/>
      <c r="CJ64" s="863"/>
      <c r="CK64" s="863"/>
      <c r="CL64" s="863"/>
      <c r="CM64" s="863"/>
      <c r="CN64" s="863"/>
      <c r="CO64" s="692" t="str">
        <f ca="1"/>
        <v>L250Q-2S</v>
      </c>
      <c r="CP64" s="632" t="str">
        <f>IF(OR(CQ64=0,CR64="",CS64&gt;120),"",IF(HLOOKUP(CQ64,Spec_Sheet!$F$3:$ED$19,17,FALSE)&lt;$AC$46,"",CQ64))</f>
        <v>S250T</v>
      </c>
      <c r="CQ64" s="660" t="str">
        <f>IF(Spec_Sheet!A63="","",Spec_Sheet!A63)</f>
        <v>S250T</v>
      </c>
      <c r="CR64" s="660">
        <f>IF(CQ64="",0,HLOOKUP(CQ64,Spec_Sheet!$F$3:$ED$19,2,FALSE))</f>
        <v>60</v>
      </c>
      <c r="CS64" s="660">
        <f t="shared" si="169"/>
        <v>7.9906987501535479E-4</v>
      </c>
      <c r="CT64" s="621">
        <f t="shared" si="310"/>
        <v>1.0638504253163005E-3</v>
      </c>
      <c r="CU64" s="621">
        <f t="shared" si="181"/>
        <v>7.9906987501535479E-4</v>
      </c>
      <c r="CV64" s="621">
        <f t="shared" si="311"/>
        <v>1.0078682518241007E-3</v>
      </c>
      <c r="CW64" s="621">
        <f t="shared" si="312"/>
        <v>7.5065286010318158E-4</v>
      </c>
      <c r="CX64" s="621">
        <f t="shared" si="157"/>
        <v>3.8298615311386776E-4</v>
      </c>
      <c r="CY64" s="619">
        <f>HLOOKUP(CQ64,Spec_Sheet!$F$3:$ED$19,13,FALSE)</f>
        <v>1.1000000000000001</v>
      </c>
      <c r="CZ64" s="619">
        <f>VLOOKUP(HH64,'Shaft Weight'!$A$6:$CD$102,HJ64,TRUE)</f>
        <v>1.06</v>
      </c>
      <c r="DA64" s="619">
        <f>VLOOKUP(HI64,'Shaft Weight'!$A$6:$CD$102,HJ64,0)</f>
        <v>1.4</v>
      </c>
      <c r="DB64" s="619">
        <f>HLOOKUP(CQ64,Spec_Sheet!$F$3:$ED$19,6,FALSE)</f>
        <v>46.88</v>
      </c>
      <c r="DC64" s="439">
        <f t="shared" si="182"/>
        <v>1.9215</v>
      </c>
      <c r="DD64" s="440">
        <f t="shared" si="183"/>
        <v>1.4715</v>
      </c>
      <c r="DE64" s="439">
        <f t="shared" si="184"/>
        <v>-1.0215000000000001</v>
      </c>
      <c r="DF64" s="439">
        <f t="shared" si="185"/>
        <v>0</v>
      </c>
      <c r="DG64" s="439">
        <f t="shared" si="186"/>
        <v>0</v>
      </c>
      <c r="DH64" s="439">
        <f t="shared" si="187"/>
        <v>0</v>
      </c>
      <c r="DI64" s="439">
        <f t="shared" si="188"/>
        <v>0</v>
      </c>
      <c r="DJ64" s="439">
        <f t="shared" si="189"/>
        <v>0</v>
      </c>
      <c r="DK64" s="439">
        <f t="shared" si="190"/>
        <v>0</v>
      </c>
      <c r="DL64" s="439">
        <f t="shared" si="191"/>
        <v>0</v>
      </c>
      <c r="DM64" s="439">
        <f t="shared" si="192"/>
        <v>0</v>
      </c>
      <c r="DN64" s="439">
        <f t="shared" si="193"/>
        <v>0</v>
      </c>
      <c r="DO64" s="439">
        <f t="shared" si="194"/>
        <v>0</v>
      </c>
      <c r="DP64" s="439">
        <f t="shared" si="195"/>
        <v>0</v>
      </c>
      <c r="DQ64" s="442">
        <f t="shared" si="196"/>
        <v>0</v>
      </c>
      <c r="DR64" s="442">
        <f t="shared" si="197"/>
        <v>0</v>
      </c>
      <c r="DS64" s="439">
        <f t="shared" si="198"/>
        <v>0</v>
      </c>
      <c r="DT64" s="439">
        <f t="shared" si="199"/>
        <v>0</v>
      </c>
      <c r="DU64" s="661">
        <f t="shared" si="200"/>
        <v>0</v>
      </c>
      <c r="DV64" s="661">
        <f t="shared" si="201"/>
        <v>0</v>
      </c>
      <c r="DW64" s="439">
        <f t="shared" si="202"/>
        <v>0</v>
      </c>
      <c r="DX64" s="439">
        <f t="shared" si="203"/>
        <v>0</v>
      </c>
      <c r="DY64" s="439">
        <f t="shared" si="204"/>
        <v>0</v>
      </c>
      <c r="DZ64" s="439">
        <f t="shared" si="205"/>
        <v>0</v>
      </c>
      <c r="EA64" s="631" t="s">
        <v>92</v>
      </c>
      <c r="EB64" s="631">
        <f t="shared" si="151"/>
        <v>0.19570032016168704</v>
      </c>
      <c r="ED64" s="439">
        <f t="shared" si="206"/>
        <v>3.2281200000000005</v>
      </c>
      <c r="EE64" s="440">
        <f t="shared" si="207"/>
        <v>2.4721200000000003</v>
      </c>
      <c r="EF64" s="439">
        <f t="shared" si="208"/>
        <v>-1.7161200000000003</v>
      </c>
      <c r="EG64" s="441">
        <f t="shared" si="209"/>
        <v>0</v>
      </c>
      <c r="EH64" s="439">
        <f t="shared" si="210"/>
        <v>0</v>
      </c>
      <c r="EI64" s="439">
        <f t="shared" si="211"/>
        <v>0</v>
      </c>
      <c r="EJ64" s="439">
        <f t="shared" si="212"/>
        <v>0</v>
      </c>
      <c r="EK64" s="439">
        <f t="shared" si="213"/>
        <v>0</v>
      </c>
      <c r="EL64" s="439">
        <f t="shared" si="214"/>
        <v>0</v>
      </c>
      <c r="EM64" s="439">
        <f t="shared" si="215"/>
        <v>0</v>
      </c>
      <c r="EN64" s="439">
        <f t="shared" si="216"/>
        <v>0</v>
      </c>
      <c r="EO64" s="439">
        <f t="shared" si="217"/>
        <v>0</v>
      </c>
      <c r="EP64" s="439">
        <f t="shared" si="218"/>
        <v>0</v>
      </c>
      <c r="EQ64" s="439">
        <f t="shared" si="219"/>
        <v>0</v>
      </c>
      <c r="ER64" s="442">
        <f t="shared" si="220"/>
        <v>0</v>
      </c>
      <c r="ES64" s="442">
        <f t="shared" si="221"/>
        <v>0</v>
      </c>
      <c r="ET64" s="439">
        <f t="shared" si="222"/>
        <v>0</v>
      </c>
      <c r="EU64" s="439">
        <f t="shared" si="223"/>
        <v>0</v>
      </c>
      <c r="EV64" s="661">
        <f t="shared" si="224"/>
        <v>0</v>
      </c>
      <c r="EW64" s="661">
        <f t="shared" si="225"/>
        <v>0</v>
      </c>
      <c r="EX64" s="439">
        <f t="shared" si="226"/>
        <v>0</v>
      </c>
      <c r="EY64" s="439">
        <f t="shared" si="227"/>
        <v>0</v>
      </c>
      <c r="EZ64" s="439">
        <f t="shared" si="228"/>
        <v>0</v>
      </c>
      <c r="FA64" s="439">
        <f t="shared" si="229"/>
        <v>0</v>
      </c>
      <c r="FB64" s="631" t="s">
        <v>92</v>
      </c>
      <c r="FC64" s="631">
        <f t="shared" si="152"/>
        <v>0.32877653787163424</v>
      </c>
      <c r="FE64" s="439">
        <f t="shared" si="230"/>
        <v>1.87026</v>
      </c>
      <c r="FF64" s="440">
        <f t="shared" si="231"/>
        <v>1.4322600000000001</v>
      </c>
      <c r="FG64" s="439">
        <f t="shared" si="232"/>
        <v>-0.99426000000000014</v>
      </c>
      <c r="FH64" s="441">
        <f t="shared" si="233"/>
        <v>0</v>
      </c>
      <c r="FI64" s="439">
        <f t="shared" si="234"/>
        <v>0</v>
      </c>
      <c r="FJ64" s="439">
        <f t="shared" si="235"/>
        <v>0</v>
      </c>
      <c r="FK64" s="439">
        <f t="shared" si="236"/>
        <v>0</v>
      </c>
      <c r="FL64" s="439">
        <f t="shared" si="237"/>
        <v>0</v>
      </c>
      <c r="FM64" s="439">
        <f t="shared" si="238"/>
        <v>0</v>
      </c>
      <c r="FN64" s="439">
        <f t="shared" si="239"/>
        <v>0</v>
      </c>
      <c r="FO64" s="439">
        <f t="shared" si="240"/>
        <v>0</v>
      </c>
      <c r="FP64" s="439">
        <f t="shared" si="241"/>
        <v>0</v>
      </c>
      <c r="FQ64" s="439">
        <f t="shared" si="242"/>
        <v>0</v>
      </c>
      <c r="FR64" s="439">
        <f t="shared" si="243"/>
        <v>0</v>
      </c>
      <c r="FS64" s="442">
        <f t="shared" si="244"/>
        <v>0</v>
      </c>
      <c r="FT64" s="442">
        <f t="shared" si="245"/>
        <v>0</v>
      </c>
      <c r="FU64" s="439">
        <f t="shared" si="246"/>
        <v>0</v>
      </c>
      <c r="FV64" s="439">
        <f t="shared" si="247"/>
        <v>0</v>
      </c>
      <c r="FW64" s="661">
        <f t="shared" si="248"/>
        <v>0</v>
      </c>
      <c r="FX64" s="661">
        <f t="shared" si="249"/>
        <v>0</v>
      </c>
      <c r="FY64" s="439">
        <f t="shared" si="250"/>
        <v>0</v>
      </c>
      <c r="FZ64" s="439">
        <f t="shared" si="251"/>
        <v>0</v>
      </c>
      <c r="GA64" s="439">
        <f t="shared" si="252"/>
        <v>0</v>
      </c>
      <c r="GB64" s="439">
        <f t="shared" si="253"/>
        <v>0</v>
      </c>
      <c r="GC64" s="631" t="s">
        <v>92</v>
      </c>
      <c r="GD64" s="631">
        <f t="shared" si="153"/>
        <v>0.19048164495737541</v>
      </c>
      <c r="GF64" s="439">
        <f t="shared" si="254"/>
        <v>2.3057999999999996</v>
      </c>
      <c r="GG64" s="440">
        <f t="shared" si="255"/>
        <v>1.7657999999999998</v>
      </c>
      <c r="GH64" s="439">
        <f t="shared" si="256"/>
        <v>-1.2258</v>
      </c>
      <c r="GI64" s="439">
        <f t="shared" si="257"/>
        <v>0</v>
      </c>
      <c r="GJ64" s="439">
        <f t="shared" si="258"/>
        <v>0</v>
      </c>
      <c r="GK64" s="439">
        <f t="shared" si="259"/>
        <v>0</v>
      </c>
      <c r="GL64" s="439">
        <f t="shared" si="260"/>
        <v>0</v>
      </c>
      <c r="GM64" s="439">
        <f t="shared" si="261"/>
        <v>0</v>
      </c>
      <c r="GN64" s="439">
        <f t="shared" si="262"/>
        <v>0</v>
      </c>
      <c r="GO64" s="439">
        <f t="shared" si="263"/>
        <v>0</v>
      </c>
      <c r="GP64" s="439">
        <f t="shared" si="264"/>
        <v>0</v>
      </c>
      <c r="GQ64" s="439">
        <f t="shared" si="265"/>
        <v>0</v>
      </c>
      <c r="GR64" s="439">
        <f t="shared" si="266"/>
        <v>0</v>
      </c>
      <c r="GS64" s="439">
        <f t="shared" si="267"/>
        <v>0</v>
      </c>
      <c r="GT64" s="442">
        <f t="shared" si="268"/>
        <v>0</v>
      </c>
      <c r="GU64" s="442">
        <f t="shared" si="269"/>
        <v>0</v>
      </c>
      <c r="GV64" s="439">
        <f t="shared" si="270"/>
        <v>0</v>
      </c>
      <c r="GW64" s="439">
        <f t="shared" si="271"/>
        <v>0</v>
      </c>
      <c r="GX64" s="661">
        <f t="shared" si="272"/>
        <v>0</v>
      </c>
      <c r="GY64" s="661">
        <f t="shared" si="273"/>
        <v>0</v>
      </c>
      <c r="GZ64" s="439">
        <f t="shared" si="274"/>
        <v>0</v>
      </c>
      <c r="HA64" s="439">
        <f t="shared" si="275"/>
        <v>0</v>
      </c>
      <c r="HB64" s="439">
        <f t="shared" si="276"/>
        <v>0</v>
      </c>
      <c r="HC64" s="439">
        <f t="shared" si="277"/>
        <v>0</v>
      </c>
      <c r="HD64" s="631" t="s">
        <v>92</v>
      </c>
      <c r="HE64" s="631">
        <f t="shared" si="306"/>
        <v>0.23484038419402439</v>
      </c>
      <c r="HG64" s="618">
        <f>HLOOKUP(CQ64,Spec_Sheet!$F$3:$DV$19,11,FALSE)+HLOOKUP(CQ64,Spec_Sheet!$F$3:$DV$21,19,FALSE)</f>
        <v>180</v>
      </c>
      <c r="HH64" s="618">
        <f t="shared" si="154"/>
        <v>100</v>
      </c>
      <c r="HI64" s="634">
        <f t="shared" si="155"/>
        <v>200</v>
      </c>
      <c r="HJ64" s="634">
        <f>HLOOKUP(IF(LEN(CQ64)&gt;6,LEFT(CQ64,5),CQ64),'LSM List Pricing'!$B$1:$BW$2,2,0)</f>
        <v>49</v>
      </c>
      <c r="HK64" s="634">
        <f>HLOOKUP(HJ64,'LSM List Pricing'!$B$2:$BW$3,2)</f>
        <v>540</v>
      </c>
      <c r="HL64" s="634">
        <f>VLOOKUP(HH64,'LSM List Pricing'!$A$7:$BW$87,HJ64,0)</f>
        <v>530</v>
      </c>
      <c r="HM64" s="627">
        <f>VLOOKUP(HI64,'LSM List Pricing'!$A$7:$BW$87,HJ64,1)</f>
        <v>680</v>
      </c>
      <c r="HN64" s="628">
        <f t="shared" si="307"/>
        <v>2.7435897435897436</v>
      </c>
      <c r="HO64" s="628">
        <f t="shared" si="308"/>
        <v>5.4871794871794872</v>
      </c>
      <c r="HP64" s="628">
        <f t="shared" si="309"/>
        <v>4.5128205128205128</v>
      </c>
      <c r="HR64" s="618">
        <v>3.0499999999999999E-2</v>
      </c>
      <c r="HS64" s="618">
        <f t="shared" si="109"/>
        <v>204.78571428571428</v>
      </c>
      <c r="HT64" s="618">
        <f t="shared" si="110"/>
        <v>1</v>
      </c>
      <c r="HU64" s="618">
        <f t="shared" si="170"/>
        <v>0.7766219061828723</v>
      </c>
      <c r="HW64" s="618">
        <f t="shared" si="111"/>
        <v>34.897196893220318</v>
      </c>
      <c r="HX64" s="618">
        <f t="shared" si="171"/>
        <v>0.76453160519567398</v>
      </c>
      <c r="HY64" s="618">
        <f t="shared" si="172"/>
        <v>3.0499999999999999E-2</v>
      </c>
      <c r="IB64" s="618">
        <f t="shared" si="113"/>
        <v>25.000350341399081</v>
      </c>
      <c r="IC64" s="618">
        <f t="shared" si="114"/>
        <v>1E-3</v>
      </c>
      <c r="IE64" s="618">
        <f t="shared" si="115"/>
        <v>0</v>
      </c>
      <c r="IF64" s="618">
        <f t="shared" si="116"/>
        <v>40.704999999999998</v>
      </c>
      <c r="IH64" s="618">
        <f t="shared" si="117"/>
        <v>0</v>
      </c>
      <c r="II64" s="618">
        <f t="shared" si="118"/>
        <v>40.704999999999998</v>
      </c>
      <c r="IK64" s="618">
        <f t="shared" si="119"/>
        <v>0</v>
      </c>
      <c r="IL64" s="618">
        <f t="shared" si="120"/>
        <v>40.704999999999998</v>
      </c>
      <c r="IN64" s="618">
        <f t="shared" si="121"/>
        <v>0</v>
      </c>
      <c r="IO64" s="618">
        <f t="shared" si="122"/>
        <v>40.704999999999998</v>
      </c>
      <c r="IQ64" s="618">
        <f t="shared" si="123"/>
        <v>0</v>
      </c>
      <c r="IR64" s="618">
        <f t="shared" si="124"/>
        <v>40.704999999999998</v>
      </c>
      <c r="IT64" s="660" t="str">
        <f t="shared" si="278"/>
        <v>S250T</v>
      </c>
      <c r="IU64" s="628"/>
      <c r="IV64" s="439">
        <f t="shared" si="279"/>
        <v>3.3306000000000004</v>
      </c>
      <c r="IW64" s="440">
        <f t="shared" si="280"/>
        <v>2.5506000000000006</v>
      </c>
      <c r="IX64" s="439">
        <f t="shared" si="281"/>
        <v>-1.7706000000000006</v>
      </c>
      <c r="IY64" s="439">
        <f t="shared" si="282"/>
        <v>0</v>
      </c>
      <c r="IZ64" s="439">
        <f t="shared" si="283"/>
        <v>0</v>
      </c>
      <c r="JA64" s="439">
        <f t="shared" si="284"/>
        <v>0</v>
      </c>
      <c r="JB64" s="439">
        <f t="shared" si="285"/>
        <v>0</v>
      </c>
      <c r="JC64" s="439">
        <f t="shared" si="286"/>
        <v>0</v>
      </c>
      <c r="JD64" s="439">
        <f t="shared" si="287"/>
        <v>0</v>
      </c>
      <c r="JE64" s="439">
        <f t="shared" si="288"/>
        <v>0</v>
      </c>
      <c r="JF64" s="439">
        <f t="shared" si="289"/>
        <v>0</v>
      </c>
      <c r="JG64" s="439">
        <f t="shared" si="290"/>
        <v>0</v>
      </c>
      <c r="JH64" s="439">
        <f t="shared" si="291"/>
        <v>0</v>
      </c>
      <c r="JI64" s="439">
        <f t="shared" si="292"/>
        <v>0</v>
      </c>
      <c r="JJ64" s="442">
        <f t="shared" si="293"/>
        <v>0</v>
      </c>
      <c r="JK64" s="442">
        <f t="shared" si="294"/>
        <v>0</v>
      </c>
      <c r="JL64" s="439">
        <f t="shared" si="295"/>
        <v>0</v>
      </c>
      <c r="JM64" s="439">
        <f t="shared" si="296"/>
        <v>0</v>
      </c>
      <c r="JN64" s="661">
        <f t="shared" si="297"/>
        <v>0</v>
      </c>
      <c r="JO64" s="661">
        <f t="shared" si="298"/>
        <v>0</v>
      </c>
      <c r="JP64" s="439">
        <f t="shared" si="299"/>
        <v>0</v>
      </c>
      <c r="JQ64" s="439">
        <f t="shared" si="300"/>
        <v>0</v>
      </c>
      <c r="JR64" s="439">
        <f t="shared" si="301"/>
        <v>0</v>
      </c>
      <c r="JS64" s="439">
        <f t="shared" si="302"/>
        <v>0</v>
      </c>
      <c r="JT64" s="631" t="s">
        <v>92</v>
      </c>
      <c r="JU64" s="631">
        <f t="shared" si="158"/>
        <v>0.33921388828025761</v>
      </c>
      <c r="JW64" s="522"/>
      <c r="JX64" s="522"/>
      <c r="JY64" s="522"/>
      <c r="JZ64" s="522"/>
      <c r="KA64" s="522"/>
      <c r="KB64" s="522"/>
      <c r="KC64" s="522"/>
      <c r="KD64" s="522"/>
      <c r="KE64" s="522"/>
      <c r="KF64" s="522"/>
      <c r="KG64" s="522"/>
      <c r="KH64" s="522"/>
      <c r="KI64" s="522"/>
      <c r="KJ64" s="522"/>
      <c r="KK64" s="522"/>
      <c r="KL64" s="522"/>
    </row>
    <row r="65" spans="1:298" ht="10.5" customHeight="1">
      <c r="A65" s="155"/>
      <c r="B65" s="311" t="s">
        <v>142</v>
      </c>
      <c r="C65" s="290">
        <v>2.8349523129999998E-2</v>
      </c>
      <c r="D65" s="313"/>
      <c r="E65" s="473" t="s">
        <v>17</v>
      </c>
      <c r="F65" s="474">
        <v>1</v>
      </c>
      <c r="G65" s="475"/>
      <c r="H65" s="476" t="s">
        <v>109</v>
      </c>
      <c r="I65" s="471">
        <v>25.4</v>
      </c>
      <c r="J65" s="477"/>
      <c r="K65" s="473" t="s">
        <v>24</v>
      </c>
      <c r="L65" s="474">
        <v>1</v>
      </c>
      <c r="M65" s="475"/>
      <c r="N65" s="475"/>
      <c r="O65" s="475"/>
      <c r="P65" s="475"/>
      <c r="Q65" s="476" t="s">
        <v>158</v>
      </c>
      <c r="R65" s="471">
        <v>2.5399999999999999E-2</v>
      </c>
      <c r="S65" s="477"/>
      <c r="T65" s="477"/>
      <c r="U65" s="331"/>
      <c r="V65" s="331"/>
      <c r="W65" s="332"/>
      <c r="X65" s="332"/>
      <c r="Y65" s="332"/>
      <c r="Z65" s="332"/>
      <c r="AA65" s="332"/>
      <c r="AB65" s="150"/>
      <c r="AC65" s="466"/>
      <c r="AD65" s="452"/>
      <c r="AE65" s="403"/>
      <c r="AF65" s="403"/>
      <c r="AG65" s="403"/>
      <c r="AH65" s="403"/>
      <c r="AI65" s="403"/>
      <c r="AJ65" s="403"/>
      <c r="AK65" s="403"/>
      <c r="AL65" s="452"/>
      <c r="AM65" s="452"/>
      <c r="AN65" s="403"/>
      <c r="AO65" s="403"/>
      <c r="AP65" s="403"/>
      <c r="AQ65" s="403"/>
      <c r="AR65" s="403"/>
      <c r="AS65" s="403"/>
      <c r="AT65" s="452"/>
      <c r="AU65" s="452"/>
      <c r="AV65" s="93" t="e">
        <f t="shared" si="313"/>
        <v>#DIV/0!</v>
      </c>
      <c r="AW65" s="93" t="e">
        <f>IF($AY$32,'Data Sheet'!AA86,0)</f>
        <v>#DIV/0!</v>
      </c>
      <c r="AX65" s="93">
        <f t="shared" si="315"/>
        <v>40.704999999999998</v>
      </c>
      <c r="AY65" s="444"/>
      <c r="AZ65" s="423"/>
      <c r="BA65" s="423"/>
      <c r="BB65" s="152"/>
      <c r="BC65" s="152"/>
      <c r="BD65" s="152"/>
      <c r="BE65" s="152"/>
      <c r="BF65" s="152"/>
      <c r="BG65" s="152"/>
      <c r="BH65" s="152"/>
      <c r="BI65" s="152"/>
      <c r="BJ65" s="152"/>
      <c r="BK65" s="152"/>
      <c r="BL65" s="152"/>
      <c r="BM65" s="267"/>
      <c r="BN65" s="267"/>
      <c r="BO65" s="124"/>
      <c r="BP65" s="863"/>
      <c r="BQ65" s="863"/>
      <c r="BR65" s="863"/>
      <c r="BS65" s="863"/>
      <c r="BT65" s="863"/>
      <c r="BU65" s="863"/>
      <c r="BV65" s="863"/>
      <c r="BW65" s="863"/>
      <c r="BX65" s="863"/>
      <c r="BY65" s="863"/>
      <c r="BZ65" s="863"/>
      <c r="CA65" s="863"/>
      <c r="CB65" s="863"/>
      <c r="CC65" s="863"/>
      <c r="CD65" s="863"/>
      <c r="CE65" s="863"/>
      <c r="CF65" s="863"/>
      <c r="CG65" s="863"/>
      <c r="CH65" s="863"/>
      <c r="CI65" s="863"/>
      <c r="CJ65" s="863"/>
      <c r="CK65" s="863"/>
      <c r="CL65" s="863"/>
      <c r="CM65" s="863"/>
      <c r="CN65" s="863"/>
      <c r="CO65" s="692" t="str">
        <f ca="1"/>
        <v>L350QS</v>
      </c>
      <c r="CP65" s="632" t="str">
        <f>IF(OR(CQ65=0,CR65="",CS65&gt;120),"",IF(HLOOKUP(CQ65,Spec_Sheet!$F$3:$ED$19,17,FALSE)&lt;$AC$46,"",CQ65))</f>
        <v>L250Q</v>
      </c>
      <c r="CQ65" s="660" t="str">
        <f>IF(Spec_Sheet!A64="","",Spec_Sheet!A64)</f>
        <v>L250Q</v>
      </c>
      <c r="CR65" s="660">
        <f>IF(CQ65="",0,HLOOKUP(CQ65,Spec_Sheet!$F$3:$ED$19,2,FALSE))</f>
        <v>68.900000000000006</v>
      </c>
      <c r="CS65" s="660">
        <f t="shared" si="169"/>
        <v>1.0746545998227787E-3</v>
      </c>
      <c r="CT65" s="621">
        <f t="shared" si="310"/>
        <v>1.3372963100839823E-3</v>
      </c>
      <c r="CU65" s="621">
        <f t="shared" si="181"/>
        <v>1.0746545998227787E-3</v>
      </c>
      <c r="CV65" s="621">
        <f t="shared" si="311"/>
        <v>9.2942395637433625E-4</v>
      </c>
      <c r="CW65" s="621">
        <f t="shared" si="312"/>
        <v>7.1285358113800301E-4</v>
      </c>
      <c r="CX65" s="621">
        <f t="shared" si="157"/>
        <v>4.0668796995435401E-4</v>
      </c>
      <c r="CY65" s="619">
        <f>HLOOKUP(CQ65,Spec_Sheet!$F$3:$ED$19,13,FALSE)</f>
        <v>1.5312245248762111</v>
      </c>
      <c r="CZ65" s="619">
        <f>VLOOKUP(HH65,'Shaft Weight'!$A$6:$CD$102,HJ65,TRUE)</f>
        <v>1.21</v>
      </c>
      <c r="DA65" s="619">
        <f>VLOOKUP(HI65,'Shaft Weight'!$A$6:$CD$102,HJ65,0)</f>
        <v>1.73</v>
      </c>
      <c r="DB65" s="619">
        <f>HLOOKUP(CQ65,Spec_Sheet!$F$3:$ED$19,6,FALSE)</f>
        <v>53</v>
      </c>
      <c r="DC65" s="439">
        <f t="shared" si="182"/>
        <v>2.4738986163664269</v>
      </c>
      <c r="DD65" s="440">
        <f t="shared" si="183"/>
        <v>1.8945312589035634</v>
      </c>
      <c r="DE65" s="439">
        <f t="shared" si="184"/>
        <v>-1.3151639014406999</v>
      </c>
      <c r="DF65" s="439">
        <f t="shared" si="185"/>
        <v>0</v>
      </c>
      <c r="DG65" s="439">
        <f t="shared" si="186"/>
        <v>0</v>
      </c>
      <c r="DH65" s="439">
        <f t="shared" si="187"/>
        <v>0</v>
      </c>
      <c r="DI65" s="439">
        <f t="shared" si="188"/>
        <v>0</v>
      </c>
      <c r="DJ65" s="439">
        <f t="shared" si="189"/>
        <v>0</v>
      </c>
      <c r="DK65" s="439">
        <f t="shared" si="190"/>
        <v>0</v>
      </c>
      <c r="DL65" s="439">
        <f t="shared" si="191"/>
        <v>0</v>
      </c>
      <c r="DM65" s="439">
        <f t="shared" si="192"/>
        <v>0</v>
      </c>
      <c r="DN65" s="439">
        <f t="shared" si="193"/>
        <v>0</v>
      </c>
      <c r="DO65" s="439">
        <f t="shared" si="194"/>
        <v>0</v>
      </c>
      <c r="DP65" s="439">
        <f t="shared" si="195"/>
        <v>0</v>
      </c>
      <c r="DQ65" s="442">
        <f t="shared" si="196"/>
        <v>0</v>
      </c>
      <c r="DR65" s="442">
        <f t="shared" si="197"/>
        <v>0</v>
      </c>
      <c r="DS65" s="439">
        <f t="shared" si="198"/>
        <v>0</v>
      </c>
      <c r="DT65" s="439">
        <f t="shared" si="199"/>
        <v>0</v>
      </c>
      <c r="DU65" s="661">
        <f t="shared" si="200"/>
        <v>0</v>
      </c>
      <c r="DV65" s="661">
        <f t="shared" si="201"/>
        <v>0</v>
      </c>
      <c r="DW65" s="439">
        <f t="shared" si="202"/>
        <v>0</v>
      </c>
      <c r="DX65" s="439">
        <f t="shared" si="203"/>
        <v>0</v>
      </c>
      <c r="DY65" s="439">
        <f t="shared" si="204"/>
        <v>0</v>
      </c>
      <c r="DZ65" s="439">
        <f t="shared" si="205"/>
        <v>0</v>
      </c>
      <c r="EA65" s="631" t="s">
        <v>92</v>
      </c>
      <c r="EB65" s="631">
        <f t="shared" si="151"/>
        <v>0.25196083854825102</v>
      </c>
      <c r="ED65" s="439">
        <f t="shared" si="206"/>
        <v>3.6124200000000002</v>
      </c>
      <c r="EE65" s="440">
        <f t="shared" si="207"/>
        <v>2.7664200000000001</v>
      </c>
      <c r="EF65" s="439">
        <f t="shared" si="208"/>
        <v>-1.92042</v>
      </c>
      <c r="EG65" s="441">
        <f t="shared" si="209"/>
        <v>0</v>
      </c>
      <c r="EH65" s="439">
        <f t="shared" si="210"/>
        <v>0</v>
      </c>
      <c r="EI65" s="439">
        <f t="shared" si="211"/>
        <v>0</v>
      </c>
      <c r="EJ65" s="439">
        <f t="shared" si="212"/>
        <v>0</v>
      </c>
      <c r="EK65" s="439">
        <f t="shared" si="213"/>
        <v>0</v>
      </c>
      <c r="EL65" s="439">
        <f t="shared" si="214"/>
        <v>0</v>
      </c>
      <c r="EM65" s="439">
        <f t="shared" si="215"/>
        <v>0</v>
      </c>
      <c r="EN65" s="439">
        <f t="shared" si="216"/>
        <v>0</v>
      </c>
      <c r="EO65" s="439">
        <f t="shared" si="217"/>
        <v>0</v>
      </c>
      <c r="EP65" s="439">
        <f t="shared" si="218"/>
        <v>0</v>
      </c>
      <c r="EQ65" s="439">
        <f t="shared" si="219"/>
        <v>0</v>
      </c>
      <c r="ER65" s="442">
        <f t="shared" si="220"/>
        <v>0</v>
      </c>
      <c r="ES65" s="442">
        <f t="shared" si="221"/>
        <v>0</v>
      </c>
      <c r="ET65" s="439">
        <f t="shared" si="222"/>
        <v>0</v>
      </c>
      <c r="EU65" s="439">
        <f t="shared" si="223"/>
        <v>0</v>
      </c>
      <c r="EV65" s="661">
        <f t="shared" si="224"/>
        <v>0</v>
      </c>
      <c r="EW65" s="661">
        <f t="shared" si="225"/>
        <v>0</v>
      </c>
      <c r="EX65" s="439">
        <f t="shared" si="226"/>
        <v>0</v>
      </c>
      <c r="EY65" s="439">
        <f t="shared" si="227"/>
        <v>0</v>
      </c>
      <c r="EZ65" s="439">
        <f t="shared" si="228"/>
        <v>0</v>
      </c>
      <c r="FA65" s="439">
        <f t="shared" si="229"/>
        <v>0</v>
      </c>
      <c r="FB65" s="631" t="s">
        <v>92</v>
      </c>
      <c r="FC65" s="631">
        <f t="shared" si="152"/>
        <v>0.36791660190397169</v>
      </c>
      <c r="FE65" s="439">
        <f t="shared" si="230"/>
        <v>2.0624100000000003</v>
      </c>
      <c r="FF65" s="440">
        <f t="shared" si="231"/>
        <v>1.5794100000000002</v>
      </c>
      <c r="FG65" s="439">
        <f t="shared" si="232"/>
        <v>-1.0964100000000003</v>
      </c>
      <c r="FH65" s="441">
        <f t="shared" si="233"/>
        <v>0</v>
      </c>
      <c r="FI65" s="439">
        <f t="shared" si="234"/>
        <v>0</v>
      </c>
      <c r="FJ65" s="439">
        <f t="shared" si="235"/>
        <v>0</v>
      </c>
      <c r="FK65" s="439">
        <f t="shared" si="236"/>
        <v>0</v>
      </c>
      <c r="FL65" s="439">
        <f t="shared" si="237"/>
        <v>0</v>
      </c>
      <c r="FM65" s="439">
        <f t="shared" si="238"/>
        <v>0</v>
      </c>
      <c r="FN65" s="439">
        <f t="shared" si="239"/>
        <v>0</v>
      </c>
      <c r="FO65" s="439">
        <f t="shared" si="240"/>
        <v>0</v>
      </c>
      <c r="FP65" s="439">
        <f t="shared" si="241"/>
        <v>0</v>
      </c>
      <c r="FQ65" s="439">
        <f t="shared" si="242"/>
        <v>0</v>
      </c>
      <c r="FR65" s="439">
        <f t="shared" si="243"/>
        <v>0</v>
      </c>
      <c r="FS65" s="442">
        <f t="shared" si="244"/>
        <v>0</v>
      </c>
      <c r="FT65" s="442">
        <f t="shared" si="245"/>
        <v>0</v>
      </c>
      <c r="FU65" s="439">
        <f t="shared" si="246"/>
        <v>0</v>
      </c>
      <c r="FV65" s="439">
        <f t="shared" si="247"/>
        <v>0</v>
      </c>
      <c r="FW65" s="661">
        <f t="shared" si="248"/>
        <v>0</v>
      </c>
      <c r="FX65" s="661">
        <f t="shared" si="249"/>
        <v>0</v>
      </c>
      <c r="FY65" s="439">
        <f t="shared" si="250"/>
        <v>0</v>
      </c>
      <c r="FZ65" s="439">
        <f t="shared" si="251"/>
        <v>0</v>
      </c>
      <c r="GA65" s="439">
        <f t="shared" si="252"/>
        <v>0</v>
      </c>
      <c r="GB65" s="439">
        <f t="shared" si="253"/>
        <v>0</v>
      </c>
      <c r="GC65" s="631" t="s">
        <v>92</v>
      </c>
      <c r="GD65" s="631">
        <f t="shared" si="153"/>
        <v>0.21005167697354413</v>
      </c>
      <c r="GF65" s="439">
        <f t="shared" si="254"/>
        <v>2.7285299999999997</v>
      </c>
      <c r="GG65" s="440">
        <f t="shared" si="255"/>
        <v>2.0895299999999999</v>
      </c>
      <c r="GH65" s="439">
        <f t="shared" si="256"/>
        <v>-1.4505300000000001</v>
      </c>
      <c r="GI65" s="439">
        <f t="shared" si="257"/>
        <v>0</v>
      </c>
      <c r="GJ65" s="439">
        <f t="shared" si="258"/>
        <v>0</v>
      </c>
      <c r="GK65" s="439">
        <f t="shared" si="259"/>
        <v>0</v>
      </c>
      <c r="GL65" s="439">
        <f t="shared" si="260"/>
        <v>0</v>
      </c>
      <c r="GM65" s="439">
        <f t="shared" si="261"/>
        <v>0</v>
      </c>
      <c r="GN65" s="439">
        <f t="shared" si="262"/>
        <v>0</v>
      </c>
      <c r="GO65" s="439">
        <f t="shared" si="263"/>
        <v>0</v>
      </c>
      <c r="GP65" s="439">
        <f t="shared" si="264"/>
        <v>0</v>
      </c>
      <c r="GQ65" s="439">
        <f t="shared" si="265"/>
        <v>0</v>
      </c>
      <c r="GR65" s="439">
        <f t="shared" si="266"/>
        <v>0</v>
      </c>
      <c r="GS65" s="439">
        <f t="shared" si="267"/>
        <v>0</v>
      </c>
      <c r="GT65" s="442">
        <f t="shared" si="268"/>
        <v>0</v>
      </c>
      <c r="GU65" s="442">
        <f t="shared" si="269"/>
        <v>0</v>
      </c>
      <c r="GV65" s="439">
        <f t="shared" si="270"/>
        <v>0</v>
      </c>
      <c r="GW65" s="439">
        <f t="shared" si="271"/>
        <v>0</v>
      </c>
      <c r="GX65" s="661">
        <f t="shared" si="272"/>
        <v>0</v>
      </c>
      <c r="GY65" s="661">
        <f t="shared" si="273"/>
        <v>0</v>
      </c>
      <c r="GZ65" s="439">
        <f t="shared" si="274"/>
        <v>0</v>
      </c>
      <c r="HA65" s="439">
        <f t="shared" si="275"/>
        <v>0</v>
      </c>
      <c r="HB65" s="439">
        <f t="shared" si="276"/>
        <v>0</v>
      </c>
      <c r="HC65" s="439">
        <f t="shared" si="277"/>
        <v>0</v>
      </c>
      <c r="HD65" s="631" t="s">
        <v>92</v>
      </c>
      <c r="HE65" s="631">
        <f t="shared" si="306"/>
        <v>0.27789445462959561</v>
      </c>
      <c r="HG65" s="618">
        <f>HLOOKUP(CQ65,Spec_Sheet!$F$3:$DV$19,11,FALSE)+HLOOKUP(CQ65,Spec_Sheet!$F$3:$DV$21,19,FALSE)</f>
        <v>225</v>
      </c>
      <c r="HH65" s="618">
        <f t="shared" si="154"/>
        <v>100</v>
      </c>
      <c r="HI65" s="634">
        <f t="shared" si="155"/>
        <v>250</v>
      </c>
      <c r="HJ65" s="634">
        <f>HLOOKUP(IF(LEN(CQ65)&gt;6,LEFT(CQ65,5),CQ65),'LSM List Pricing'!$B$1:$BW$2,2,0)</f>
        <v>13</v>
      </c>
      <c r="HK65" s="634">
        <f>HLOOKUP(HJ65,'LSM List Pricing'!$B$2:$BW$3,2)</f>
        <v>610</v>
      </c>
      <c r="HL65" s="634">
        <f>VLOOKUP(HH65,'LSM List Pricing'!$A$7:$BW$87,HJ65,0)</f>
        <v>600</v>
      </c>
      <c r="HM65" s="627">
        <f>VLOOKUP(HI65,'LSM List Pricing'!$A$7:$BW$87,HJ65,1)</f>
        <v>820</v>
      </c>
      <c r="HN65" s="628">
        <f t="shared" si="307"/>
        <v>3.1025641025641026</v>
      </c>
      <c r="HO65" s="628">
        <f t="shared" si="308"/>
        <v>6.2051282051282053</v>
      </c>
      <c r="HP65" s="628">
        <f t="shared" si="309"/>
        <v>5.2307692307692308</v>
      </c>
      <c r="HR65" s="618">
        <v>3.1E-2</v>
      </c>
      <c r="HS65" s="618">
        <f t="shared" si="109"/>
        <v>208.14285714285714</v>
      </c>
      <c r="HT65" s="618">
        <f t="shared" si="110"/>
        <v>1</v>
      </c>
      <c r="HU65" s="618">
        <f t="shared" si="170"/>
        <v>0.7893609501564971</v>
      </c>
      <c r="HW65" s="618">
        <f t="shared" si="111"/>
        <v>34.879107450777774</v>
      </c>
      <c r="HX65" s="618">
        <f t="shared" si="171"/>
        <v>0.77687400751723623</v>
      </c>
      <c r="HY65" s="618">
        <f t="shared" si="172"/>
        <v>3.1E-2</v>
      </c>
      <c r="IB65" s="618">
        <f t="shared" si="113"/>
        <v>25.000350341399081</v>
      </c>
      <c r="IC65" s="618">
        <f t="shared" si="114"/>
        <v>1E-3</v>
      </c>
      <c r="IE65" s="618">
        <f t="shared" si="115"/>
        <v>0</v>
      </c>
      <c r="IF65" s="618">
        <f t="shared" si="116"/>
        <v>40.704999999999998</v>
      </c>
      <c r="IH65" s="618">
        <f t="shared" si="117"/>
        <v>0</v>
      </c>
      <c r="II65" s="618">
        <f t="shared" si="118"/>
        <v>40.704999999999998</v>
      </c>
      <c r="IK65" s="618">
        <f t="shared" si="119"/>
        <v>0</v>
      </c>
      <c r="IL65" s="618">
        <f t="shared" si="120"/>
        <v>40.704999999999998</v>
      </c>
      <c r="IN65" s="618">
        <f t="shared" si="121"/>
        <v>0</v>
      </c>
      <c r="IO65" s="618">
        <f t="shared" si="122"/>
        <v>40.704999999999998</v>
      </c>
      <c r="IQ65" s="618">
        <f t="shared" si="123"/>
        <v>0</v>
      </c>
      <c r="IR65" s="618">
        <f t="shared" si="124"/>
        <v>40.704999999999998</v>
      </c>
      <c r="IT65" s="660" t="str">
        <f t="shared" si="278"/>
        <v>L250Q</v>
      </c>
      <c r="IU65" s="628"/>
      <c r="IV65" s="439">
        <f t="shared" si="279"/>
        <v>4.4353972327328526</v>
      </c>
      <c r="IW65" s="440">
        <f t="shared" si="280"/>
        <v>3.3966625178071261</v>
      </c>
      <c r="IX65" s="439">
        <f t="shared" si="281"/>
        <v>-2.3579278028813997</v>
      </c>
      <c r="IY65" s="439">
        <f t="shared" si="282"/>
        <v>0</v>
      </c>
      <c r="IZ65" s="439">
        <f t="shared" si="283"/>
        <v>0</v>
      </c>
      <c r="JA65" s="439">
        <f t="shared" si="284"/>
        <v>0</v>
      </c>
      <c r="JB65" s="439">
        <f t="shared" si="285"/>
        <v>0</v>
      </c>
      <c r="JC65" s="439">
        <f t="shared" si="286"/>
        <v>0</v>
      </c>
      <c r="JD65" s="439">
        <f t="shared" si="287"/>
        <v>0</v>
      </c>
      <c r="JE65" s="439">
        <f t="shared" si="288"/>
        <v>0</v>
      </c>
      <c r="JF65" s="439">
        <f t="shared" si="289"/>
        <v>0</v>
      </c>
      <c r="JG65" s="439">
        <f t="shared" si="290"/>
        <v>0</v>
      </c>
      <c r="JH65" s="439">
        <f t="shared" si="291"/>
        <v>0</v>
      </c>
      <c r="JI65" s="439">
        <f t="shared" si="292"/>
        <v>0</v>
      </c>
      <c r="JJ65" s="442">
        <f t="shared" si="293"/>
        <v>0</v>
      </c>
      <c r="JK65" s="442">
        <f t="shared" si="294"/>
        <v>0</v>
      </c>
      <c r="JL65" s="439">
        <f t="shared" si="295"/>
        <v>0</v>
      </c>
      <c r="JM65" s="439">
        <f t="shared" si="296"/>
        <v>0</v>
      </c>
      <c r="JN65" s="661">
        <f t="shared" si="297"/>
        <v>0</v>
      </c>
      <c r="JO65" s="661">
        <f t="shared" si="298"/>
        <v>0</v>
      </c>
      <c r="JP65" s="439">
        <f t="shared" si="299"/>
        <v>0</v>
      </c>
      <c r="JQ65" s="439">
        <f t="shared" si="300"/>
        <v>0</v>
      </c>
      <c r="JR65" s="439">
        <f t="shared" si="301"/>
        <v>0</v>
      </c>
      <c r="JS65" s="439">
        <f t="shared" si="302"/>
        <v>0</v>
      </c>
      <c r="JT65" s="631" t="s">
        <v>92</v>
      </c>
      <c r="JU65" s="631">
        <f t="shared" si="158"/>
        <v>0.45173492505338542</v>
      </c>
      <c r="JW65" s="522"/>
      <c r="JX65" s="522"/>
      <c r="JY65" s="522"/>
      <c r="JZ65" s="522"/>
      <c r="KA65" s="522"/>
      <c r="KB65" s="522"/>
      <c r="KC65" s="522"/>
      <c r="KD65" s="522"/>
      <c r="KE65" s="522"/>
      <c r="KF65" s="522"/>
      <c r="KG65" s="522"/>
      <c r="KH65" s="522"/>
      <c r="KI65" s="522"/>
      <c r="KJ65" s="522"/>
      <c r="KK65" s="522"/>
      <c r="KL65" s="522"/>
    </row>
    <row r="66" spans="1:298" ht="10.5" customHeight="1">
      <c r="A66" s="155"/>
      <c r="B66" s="311" t="s">
        <v>146</v>
      </c>
      <c r="C66" s="290">
        <v>14.59390294</v>
      </c>
      <c r="D66" s="313"/>
      <c r="E66" s="473" t="s">
        <v>142</v>
      </c>
      <c r="F66" s="474">
        <v>0.27801385099999998</v>
      </c>
      <c r="G66" s="475"/>
      <c r="H66" s="476" t="s">
        <v>150</v>
      </c>
      <c r="I66" s="471">
        <v>16.666666670000001</v>
      </c>
      <c r="J66" s="477"/>
      <c r="K66" s="477"/>
      <c r="L66" s="477"/>
      <c r="M66" s="477"/>
      <c r="N66" s="477"/>
      <c r="O66" s="477"/>
      <c r="P66" s="477"/>
      <c r="Q66" s="473" t="s">
        <v>160</v>
      </c>
      <c r="R66" s="474">
        <v>1</v>
      </c>
      <c r="S66" s="475"/>
      <c r="T66" s="475"/>
      <c r="U66" s="452"/>
      <c r="V66" s="452"/>
      <c r="W66" s="403"/>
      <c r="X66" s="403"/>
      <c r="Y66" s="403"/>
      <c r="Z66" s="403"/>
      <c r="AA66" s="403"/>
      <c r="AB66" s="150"/>
      <c r="AC66" s="466"/>
      <c r="AD66" s="331"/>
      <c r="AE66" s="332"/>
      <c r="AF66" s="332"/>
      <c r="AG66" s="332"/>
      <c r="AH66" s="332"/>
      <c r="AI66" s="332"/>
      <c r="AJ66" s="332"/>
      <c r="AK66" s="332"/>
      <c r="AL66" s="331"/>
      <c r="AM66" s="331"/>
      <c r="AN66" s="332"/>
      <c r="AO66" s="332"/>
      <c r="AP66" s="332"/>
      <c r="AQ66" s="332"/>
      <c r="AR66" s="332"/>
      <c r="AS66" s="332"/>
      <c r="AT66" s="331"/>
      <c r="AU66" s="331"/>
      <c r="AV66" s="93" t="e">
        <f t="shared" si="313"/>
        <v>#DIV/0!</v>
      </c>
      <c r="AW66" s="93" t="e">
        <f>IF($AY$32,'Data Sheet'!AA87,0)</f>
        <v>#DIV/0!</v>
      </c>
      <c r="AX66" s="93">
        <f t="shared" si="315"/>
        <v>40.704999999999998</v>
      </c>
      <c r="AY66" s="513"/>
      <c r="AZ66" s="512"/>
      <c r="BA66" s="153"/>
      <c r="BB66" s="153"/>
      <c r="BC66" s="153"/>
      <c r="BD66" s="153"/>
      <c r="BE66" s="153"/>
      <c r="BF66" s="153"/>
      <c r="BG66" s="153"/>
      <c r="BH66" s="153"/>
      <c r="BI66" s="153"/>
      <c r="BJ66" s="153"/>
      <c r="BK66" s="153"/>
      <c r="BL66" s="153"/>
      <c r="BM66" s="267"/>
      <c r="BN66" s="267"/>
      <c r="BO66" s="124"/>
      <c r="BP66" s="863"/>
      <c r="BQ66" s="863"/>
      <c r="BR66" s="863"/>
      <c r="BS66" s="863"/>
      <c r="BT66" s="863"/>
      <c r="BU66" s="863"/>
      <c r="BV66" s="863"/>
      <c r="BW66" s="863"/>
      <c r="BX66" s="863"/>
      <c r="BY66" s="863"/>
      <c r="BZ66" s="863"/>
      <c r="CA66" s="863"/>
      <c r="CB66" s="863"/>
      <c r="CC66" s="863"/>
      <c r="CD66" s="863"/>
      <c r="CE66" s="863"/>
      <c r="CF66" s="863"/>
      <c r="CG66" s="863"/>
      <c r="CH66" s="863"/>
      <c r="CI66" s="863"/>
      <c r="CJ66" s="863"/>
      <c r="CK66" s="863"/>
      <c r="CL66" s="863"/>
      <c r="CM66" s="863"/>
      <c r="CN66" s="863"/>
      <c r="CO66" s="692" t="str">
        <f ca="1"/>
        <v>S250Q 1S</v>
      </c>
      <c r="CP66" s="632" t="str">
        <f>IF(OR(CQ66=0,CR66="",CS66&gt;120),"",IF(HLOOKUP(CQ66,Spec_Sheet!$F$3:$ED$19,17,FALSE)&lt;$AC$46,"",CQ66))</f>
        <v>L250Q-1S</v>
      </c>
      <c r="CQ66" s="660" t="str">
        <f>IF(Spec_Sheet!A65="","",Spec_Sheet!A65)</f>
        <v>L250Q-1S</v>
      </c>
      <c r="CR66" s="660">
        <f>IF(CQ66="",0,HLOOKUP(CQ66,Spec_Sheet!$F$3:$ED$19,2,FALSE))</f>
        <v>68.900000000000006</v>
      </c>
      <c r="CS66" s="660">
        <f t="shared" si="169"/>
        <v>9.4100545160634517E-4</v>
      </c>
      <c r="CT66" s="621">
        <f t="shared" si="310"/>
        <v>1.1876948856503798E-3</v>
      </c>
      <c r="CU66" s="621">
        <f t="shared" si="181"/>
        <v>9.4100545160634517E-4</v>
      </c>
      <c r="CV66" s="621">
        <f t="shared" si="311"/>
        <v>9.2942395637433625E-4</v>
      </c>
      <c r="CW66" s="621">
        <f t="shared" si="312"/>
        <v>7.1285358113800301E-4</v>
      </c>
      <c r="CX66" s="621">
        <f t="shared" si="157"/>
        <v>4.0668796995435401E-4</v>
      </c>
      <c r="CY66" s="619">
        <f>HLOOKUP(CQ66,Spec_Sheet!$F$3:$ED$19,13,FALSE)</f>
        <v>1.42</v>
      </c>
      <c r="CZ66" s="619">
        <f>VLOOKUP(HH66,'Shaft Weight'!$A$6:$CD$102,HJ66,TRUE)</f>
        <v>1.21</v>
      </c>
      <c r="DA66" s="619">
        <f>VLOOKUP(HI66,'Shaft Weight'!$A$6:$CD$102,HJ66,0)</f>
        <v>1.73</v>
      </c>
      <c r="DB66" s="619">
        <f>HLOOKUP(CQ66,Spec_Sheet!$F$3:$ED$19,6,FALSE)</f>
        <v>13.25</v>
      </c>
      <c r="DC66" s="439">
        <f t="shared" si="182"/>
        <v>2.33142</v>
      </c>
      <c r="DD66" s="440">
        <f t="shared" si="183"/>
        <v>1.78542</v>
      </c>
      <c r="DE66" s="439">
        <f t="shared" si="184"/>
        <v>-1.23942</v>
      </c>
      <c r="DF66" s="439">
        <f t="shared" si="185"/>
        <v>0</v>
      </c>
      <c r="DG66" s="439">
        <f t="shared" si="186"/>
        <v>0</v>
      </c>
      <c r="DH66" s="439">
        <f t="shared" si="187"/>
        <v>0</v>
      </c>
      <c r="DI66" s="439">
        <f t="shared" si="188"/>
        <v>0</v>
      </c>
      <c r="DJ66" s="439">
        <f t="shared" si="189"/>
        <v>0</v>
      </c>
      <c r="DK66" s="439">
        <f t="shared" si="190"/>
        <v>0</v>
      </c>
      <c r="DL66" s="439">
        <f t="shared" si="191"/>
        <v>0</v>
      </c>
      <c r="DM66" s="439">
        <f t="shared" si="192"/>
        <v>0</v>
      </c>
      <c r="DN66" s="439">
        <f t="shared" si="193"/>
        <v>0</v>
      </c>
      <c r="DO66" s="439">
        <f t="shared" si="194"/>
        <v>0</v>
      </c>
      <c r="DP66" s="439">
        <f t="shared" si="195"/>
        <v>0</v>
      </c>
      <c r="DQ66" s="442">
        <f t="shared" si="196"/>
        <v>0</v>
      </c>
      <c r="DR66" s="442">
        <f t="shared" si="197"/>
        <v>0</v>
      </c>
      <c r="DS66" s="439">
        <f t="shared" si="198"/>
        <v>0</v>
      </c>
      <c r="DT66" s="439">
        <f t="shared" si="199"/>
        <v>0</v>
      </c>
      <c r="DU66" s="661">
        <f t="shared" si="200"/>
        <v>0</v>
      </c>
      <c r="DV66" s="661">
        <f t="shared" si="201"/>
        <v>0</v>
      </c>
      <c r="DW66" s="439">
        <f t="shared" si="202"/>
        <v>0</v>
      </c>
      <c r="DX66" s="439">
        <f t="shared" si="203"/>
        <v>0</v>
      </c>
      <c r="DY66" s="439">
        <f t="shared" si="204"/>
        <v>0</v>
      </c>
      <c r="DZ66" s="439">
        <f t="shared" si="205"/>
        <v>0</v>
      </c>
      <c r="EA66" s="631" t="s">
        <v>92</v>
      </c>
      <c r="EB66" s="631">
        <f t="shared" si="151"/>
        <v>0.23744972179618026</v>
      </c>
      <c r="ED66" s="439">
        <f t="shared" si="206"/>
        <v>3.6124200000000002</v>
      </c>
      <c r="EE66" s="440">
        <f t="shared" si="207"/>
        <v>2.7664200000000001</v>
      </c>
      <c r="EF66" s="439">
        <f t="shared" si="208"/>
        <v>-1.92042</v>
      </c>
      <c r="EG66" s="441">
        <f t="shared" si="209"/>
        <v>0</v>
      </c>
      <c r="EH66" s="439">
        <f t="shared" si="210"/>
        <v>0</v>
      </c>
      <c r="EI66" s="439">
        <f t="shared" si="211"/>
        <v>0</v>
      </c>
      <c r="EJ66" s="439">
        <f t="shared" si="212"/>
        <v>0</v>
      </c>
      <c r="EK66" s="439">
        <f t="shared" si="213"/>
        <v>0</v>
      </c>
      <c r="EL66" s="439">
        <f t="shared" si="214"/>
        <v>0</v>
      </c>
      <c r="EM66" s="439">
        <f t="shared" si="215"/>
        <v>0</v>
      </c>
      <c r="EN66" s="439">
        <f t="shared" si="216"/>
        <v>0</v>
      </c>
      <c r="EO66" s="439">
        <f t="shared" si="217"/>
        <v>0</v>
      </c>
      <c r="EP66" s="439">
        <f t="shared" si="218"/>
        <v>0</v>
      </c>
      <c r="EQ66" s="439">
        <f t="shared" si="219"/>
        <v>0</v>
      </c>
      <c r="ER66" s="442">
        <f t="shared" si="220"/>
        <v>0</v>
      </c>
      <c r="ES66" s="442">
        <f t="shared" si="221"/>
        <v>0</v>
      </c>
      <c r="ET66" s="439">
        <f t="shared" si="222"/>
        <v>0</v>
      </c>
      <c r="EU66" s="439">
        <f t="shared" si="223"/>
        <v>0</v>
      </c>
      <c r="EV66" s="661">
        <f t="shared" si="224"/>
        <v>0</v>
      </c>
      <c r="EW66" s="661">
        <f t="shared" si="225"/>
        <v>0</v>
      </c>
      <c r="EX66" s="439">
        <f t="shared" si="226"/>
        <v>0</v>
      </c>
      <c r="EY66" s="439">
        <f t="shared" si="227"/>
        <v>0</v>
      </c>
      <c r="EZ66" s="439">
        <f t="shared" si="228"/>
        <v>0</v>
      </c>
      <c r="FA66" s="439">
        <f t="shared" si="229"/>
        <v>0</v>
      </c>
      <c r="FB66" s="631" t="s">
        <v>92</v>
      </c>
      <c r="FC66" s="631">
        <f t="shared" si="152"/>
        <v>0.36791660190397169</v>
      </c>
      <c r="FE66" s="439">
        <f t="shared" si="230"/>
        <v>2.0624100000000003</v>
      </c>
      <c r="FF66" s="440">
        <f t="shared" si="231"/>
        <v>1.5794100000000002</v>
      </c>
      <c r="FG66" s="439">
        <f t="shared" si="232"/>
        <v>-1.0964100000000003</v>
      </c>
      <c r="FH66" s="441">
        <f t="shared" si="233"/>
        <v>0</v>
      </c>
      <c r="FI66" s="439">
        <f t="shared" si="234"/>
        <v>0</v>
      </c>
      <c r="FJ66" s="439">
        <f t="shared" si="235"/>
        <v>0</v>
      </c>
      <c r="FK66" s="439">
        <f t="shared" si="236"/>
        <v>0</v>
      </c>
      <c r="FL66" s="439">
        <f t="shared" si="237"/>
        <v>0</v>
      </c>
      <c r="FM66" s="439">
        <f t="shared" si="238"/>
        <v>0</v>
      </c>
      <c r="FN66" s="439">
        <f t="shared" si="239"/>
        <v>0</v>
      </c>
      <c r="FO66" s="439">
        <f t="shared" si="240"/>
        <v>0</v>
      </c>
      <c r="FP66" s="439">
        <f t="shared" si="241"/>
        <v>0</v>
      </c>
      <c r="FQ66" s="439">
        <f t="shared" si="242"/>
        <v>0</v>
      </c>
      <c r="FR66" s="439">
        <f t="shared" si="243"/>
        <v>0</v>
      </c>
      <c r="FS66" s="442">
        <f t="shared" si="244"/>
        <v>0</v>
      </c>
      <c r="FT66" s="442">
        <f t="shared" si="245"/>
        <v>0</v>
      </c>
      <c r="FU66" s="439">
        <f t="shared" si="246"/>
        <v>0</v>
      </c>
      <c r="FV66" s="439">
        <f t="shared" si="247"/>
        <v>0</v>
      </c>
      <c r="FW66" s="661">
        <f t="shared" si="248"/>
        <v>0</v>
      </c>
      <c r="FX66" s="661">
        <f t="shared" si="249"/>
        <v>0</v>
      </c>
      <c r="FY66" s="439">
        <f t="shared" si="250"/>
        <v>0</v>
      </c>
      <c r="FZ66" s="439">
        <f t="shared" si="251"/>
        <v>0</v>
      </c>
      <c r="GA66" s="439">
        <f t="shared" si="252"/>
        <v>0</v>
      </c>
      <c r="GB66" s="439">
        <f t="shared" si="253"/>
        <v>0</v>
      </c>
      <c r="GC66" s="631" t="s">
        <v>92</v>
      </c>
      <c r="GD66" s="631">
        <f t="shared" si="153"/>
        <v>0.21005167697354413</v>
      </c>
      <c r="GF66" s="439">
        <f t="shared" si="254"/>
        <v>2.7285299999999997</v>
      </c>
      <c r="GG66" s="440">
        <f t="shared" si="255"/>
        <v>2.0895299999999999</v>
      </c>
      <c r="GH66" s="439">
        <f t="shared" si="256"/>
        <v>-1.4505300000000001</v>
      </c>
      <c r="GI66" s="439">
        <f t="shared" si="257"/>
        <v>0</v>
      </c>
      <c r="GJ66" s="439">
        <f t="shared" si="258"/>
        <v>0</v>
      </c>
      <c r="GK66" s="439">
        <f t="shared" si="259"/>
        <v>0</v>
      </c>
      <c r="GL66" s="439">
        <f t="shared" si="260"/>
        <v>0</v>
      </c>
      <c r="GM66" s="439">
        <f t="shared" si="261"/>
        <v>0</v>
      </c>
      <c r="GN66" s="439">
        <f t="shared" si="262"/>
        <v>0</v>
      </c>
      <c r="GO66" s="439">
        <f t="shared" si="263"/>
        <v>0</v>
      </c>
      <c r="GP66" s="439">
        <f t="shared" si="264"/>
        <v>0</v>
      </c>
      <c r="GQ66" s="439">
        <f t="shared" si="265"/>
        <v>0</v>
      </c>
      <c r="GR66" s="439">
        <f t="shared" si="266"/>
        <v>0</v>
      </c>
      <c r="GS66" s="439">
        <f t="shared" si="267"/>
        <v>0</v>
      </c>
      <c r="GT66" s="442">
        <f t="shared" si="268"/>
        <v>0</v>
      </c>
      <c r="GU66" s="442">
        <f t="shared" si="269"/>
        <v>0</v>
      </c>
      <c r="GV66" s="439">
        <f t="shared" si="270"/>
        <v>0</v>
      </c>
      <c r="GW66" s="439">
        <f t="shared" si="271"/>
        <v>0</v>
      </c>
      <c r="GX66" s="661">
        <f t="shared" si="272"/>
        <v>0</v>
      </c>
      <c r="GY66" s="661">
        <f t="shared" si="273"/>
        <v>0</v>
      </c>
      <c r="GZ66" s="439">
        <f t="shared" si="274"/>
        <v>0</v>
      </c>
      <c r="HA66" s="439">
        <f t="shared" si="275"/>
        <v>0</v>
      </c>
      <c r="HB66" s="439">
        <f t="shared" si="276"/>
        <v>0</v>
      </c>
      <c r="HC66" s="439">
        <f t="shared" si="277"/>
        <v>0</v>
      </c>
      <c r="HD66" s="631" t="s">
        <v>92</v>
      </c>
      <c r="HE66" s="631">
        <f t="shared" si="306"/>
        <v>0.27789445462959561</v>
      </c>
      <c r="HG66" s="618">
        <f>HLOOKUP(CQ66,Spec_Sheet!$F$3:$DV$19,11,FALSE)+HLOOKUP(CQ66,Spec_Sheet!$F$3:$DV$21,19,FALSE)</f>
        <v>225</v>
      </c>
      <c r="HH66" s="618">
        <f t="shared" si="154"/>
        <v>100</v>
      </c>
      <c r="HI66" s="634">
        <f t="shared" si="155"/>
        <v>250</v>
      </c>
      <c r="HJ66" s="634">
        <f>HLOOKUP(IF(LEN(CQ66)&gt;6,LEFT(CQ66,5),CQ66),'LSM List Pricing'!$B$1:$BW$2,2,0)</f>
        <v>13</v>
      </c>
      <c r="HK66" s="634">
        <f>HLOOKUP(HJ66,'LSM List Pricing'!$B$2:$BW$3,2)</f>
        <v>610</v>
      </c>
      <c r="HL66" s="634">
        <f>VLOOKUP(HH66,'LSM List Pricing'!$A$7:$BW$87,HJ66,0)</f>
        <v>600</v>
      </c>
      <c r="HM66" s="627">
        <f>VLOOKUP(HI66,'LSM List Pricing'!$A$7:$BW$87,HJ66,1)</f>
        <v>820</v>
      </c>
      <c r="HN66" s="628">
        <f t="shared" si="307"/>
        <v>3.1025641025641026</v>
      </c>
      <c r="HO66" s="628">
        <f t="shared" si="308"/>
        <v>6.2051282051282053</v>
      </c>
      <c r="HP66" s="628">
        <f t="shared" si="309"/>
        <v>5.2307692307692308</v>
      </c>
      <c r="HR66" s="618">
        <v>3.15E-2</v>
      </c>
      <c r="HS66" s="618">
        <f t="shared" si="109"/>
        <v>211.5</v>
      </c>
      <c r="HT66" s="618">
        <f t="shared" si="110"/>
        <v>1</v>
      </c>
      <c r="HU66" s="618">
        <f t="shared" si="170"/>
        <v>0.8020999941301219</v>
      </c>
      <c r="HW66" s="618">
        <f t="shared" si="111"/>
        <v>34.861018008335229</v>
      </c>
      <c r="HX66" s="618">
        <f t="shared" si="171"/>
        <v>0.78921000866650037</v>
      </c>
      <c r="HY66" s="618">
        <f t="shared" si="172"/>
        <v>3.15E-2</v>
      </c>
      <c r="IB66" s="618">
        <f t="shared" si="113"/>
        <v>25.000350341399081</v>
      </c>
      <c r="IC66" s="618">
        <f t="shared" si="114"/>
        <v>1E-3</v>
      </c>
      <c r="IE66" s="618">
        <f t="shared" si="115"/>
        <v>0</v>
      </c>
      <c r="IF66" s="618">
        <f t="shared" si="116"/>
        <v>40.704999999999998</v>
      </c>
      <c r="IH66" s="618">
        <f t="shared" si="117"/>
        <v>0</v>
      </c>
      <c r="II66" s="618">
        <f t="shared" si="118"/>
        <v>40.704999999999998</v>
      </c>
      <c r="IK66" s="618">
        <f t="shared" si="119"/>
        <v>0</v>
      </c>
      <c r="IL66" s="618">
        <f t="shared" si="120"/>
        <v>40.704999999999998</v>
      </c>
      <c r="IN66" s="618">
        <f t="shared" si="121"/>
        <v>0</v>
      </c>
      <c r="IO66" s="618">
        <f t="shared" si="122"/>
        <v>40.704999999999998</v>
      </c>
      <c r="IQ66" s="618">
        <f t="shared" si="123"/>
        <v>0</v>
      </c>
      <c r="IR66" s="618">
        <f t="shared" si="124"/>
        <v>40.704999999999998</v>
      </c>
      <c r="IT66" s="660" t="str">
        <f t="shared" si="278"/>
        <v>L250Q-1S</v>
      </c>
      <c r="IU66" s="628"/>
      <c r="IV66" s="439">
        <f t="shared" si="279"/>
        <v>4.1504399999999997</v>
      </c>
      <c r="IW66" s="440">
        <f t="shared" si="280"/>
        <v>3.1784400000000002</v>
      </c>
      <c r="IX66" s="439">
        <f t="shared" si="281"/>
        <v>-2.2064400000000002</v>
      </c>
      <c r="IY66" s="439">
        <f t="shared" si="282"/>
        <v>0</v>
      </c>
      <c r="IZ66" s="439">
        <f t="shared" si="283"/>
        <v>0</v>
      </c>
      <c r="JA66" s="439">
        <f t="shared" si="284"/>
        <v>0</v>
      </c>
      <c r="JB66" s="439">
        <f t="shared" si="285"/>
        <v>0</v>
      </c>
      <c r="JC66" s="439">
        <f t="shared" si="286"/>
        <v>0</v>
      </c>
      <c r="JD66" s="439">
        <f t="shared" si="287"/>
        <v>0</v>
      </c>
      <c r="JE66" s="439">
        <f t="shared" si="288"/>
        <v>0</v>
      </c>
      <c r="JF66" s="439">
        <f t="shared" si="289"/>
        <v>0</v>
      </c>
      <c r="JG66" s="439">
        <f t="shared" si="290"/>
        <v>0</v>
      </c>
      <c r="JH66" s="439">
        <f t="shared" si="291"/>
        <v>0</v>
      </c>
      <c r="JI66" s="439">
        <f t="shared" si="292"/>
        <v>0</v>
      </c>
      <c r="JJ66" s="442">
        <f t="shared" si="293"/>
        <v>0</v>
      </c>
      <c r="JK66" s="442">
        <f t="shared" si="294"/>
        <v>0</v>
      </c>
      <c r="JL66" s="439">
        <f t="shared" si="295"/>
        <v>0</v>
      </c>
      <c r="JM66" s="439">
        <f t="shared" si="296"/>
        <v>0</v>
      </c>
      <c r="JN66" s="661">
        <f t="shared" si="297"/>
        <v>0</v>
      </c>
      <c r="JO66" s="661">
        <f t="shared" si="298"/>
        <v>0</v>
      </c>
      <c r="JP66" s="439">
        <f t="shared" si="299"/>
        <v>0</v>
      </c>
      <c r="JQ66" s="439">
        <f t="shared" si="300"/>
        <v>0</v>
      </c>
      <c r="JR66" s="439">
        <f t="shared" si="301"/>
        <v>0</v>
      </c>
      <c r="JS66" s="439">
        <f t="shared" si="302"/>
        <v>0</v>
      </c>
      <c r="JT66" s="631" t="s">
        <v>92</v>
      </c>
      <c r="JU66" s="631">
        <f t="shared" si="158"/>
        <v>0.42271269154924401</v>
      </c>
      <c r="JW66" s="522"/>
      <c r="JX66" s="522"/>
      <c r="JY66" s="522"/>
      <c r="JZ66" s="522"/>
      <c r="KA66" s="522"/>
      <c r="KB66" s="522"/>
      <c r="KC66" s="522"/>
      <c r="KD66" s="522"/>
      <c r="KE66" s="522"/>
      <c r="KF66" s="522"/>
      <c r="KG66" s="522"/>
      <c r="KH66" s="522"/>
      <c r="KI66" s="522"/>
      <c r="KJ66" s="522"/>
      <c r="KK66" s="522"/>
      <c r="KL66" s="522"/>
    </row>
    <row r="67" spans="1:298" ht="10.5" customHeight="1">
      <c r="A67" s="155"/>
      <c r="B67" s="346"/>
      <c r="C67" s="313"/>
      <c r="D67" s="313"/>
      <c r="E67" s="475"/>
      <c r="F67" s="475"/>
      <c r="G67" s="475"/>
      <c r="H67" s="476" t="s">
        <v>108</v>
      </c>
      <c r="I67" s="471">
        <v>1000</v>
      </c>
      <c r="J67" s="477"/>
      <c r="K67" s="477"/>
      <c r="L67" s="477"/>
      <c r="M67" s="477"/>
      <c r="N67" s="477"/>
      <c r="O67" s="477"/>
      <c r="P67" s="477"/>
      <c r="Q67" s="473" t="s">
        <v>161</v>
      </c>
      <c r="R67" s="474">
        <v>1E-3</v>
      </c>
      <c r="S67" s="475"/>
      <c r="T67" s="403"/>
      <c r="U67" s="452"/>
      <c r="V67" s="452"/>
      <c r="W67" s="403"/>
      <c r="X67" s="403"/>
      <c r="Y67" s="403"/>
      <c r="Z67" s="403"/>
      <c r="AA67" s="403"/>
      <c r="AB67" s="150"/>
      <c r="AC67" s="466"/>
      <c r="AD67" s="452"/>
      <c r="AE67" s="403"/>
      <c r="AF67" s="403"/>
      <c r="AG67" s="403"/>
      <c r="AH67" s="403"/>
      <c r="AI67" s="403"/>
      <c r="AJ67" s="403"/>
      <c r="AK67" s="403"/>
      <c r="AL67" s="452"/>
      <c r="AM67" s="452"/>
      <c r="AN67" s="403"/>
      <c r="AO67" s="403"/>
      <c r="AP67" s="403"/>
      <c r="AQ67" s="403"/>
      <c r="AR67" s="403"/>
      <c r="AS67" s="403"/>
      <c r="AT67" s="452"/>
      <c r="AU67" s="452"/>
      <c r="AV67" s="93" t="e">
        <f t="shared" si="313"/>
        <v>#DIV/0!</v>
      </c>
      <c r="AW67" s="93" t="e">
        <f>IF($AY$32,'Data Sheet'!AA88,0)</f>
        <v>#DIV/0!</v>
      </c>
      <c r="AX67" s="93">
        <f t="shared" si="315"/>
        <v>40.704999999999998</v>
      </c>
      <c r="AY67" s="444"/>
      <c r="AZ67" s="423"/>
      <c r="BA67" s="423"/>
      <c r="BB67" s="267"/>
      <c r="BC67" s="153"/>
      <c r="BD67" s="153"/>
      <c r="BE67" s="153"/>
      <c r="BF67" s="153"/>
      <c r="BG67" s="153"/>
      <c r="BH67" s="153"/>
      <c r="BI67" s="153"/>
      <c r="BJ67" s="153"/>
      <c r="BK67" s="153"/>
      <c r="BL67" s="153"/>
      <c r="BM67" s="267"/>
      <c r="BN67" s="267"/>
      <c r="BO67" s="124"/>
      <c r="BP67" s="407" t="s">
        <v>557</v>
      </c>
      <c r="BQ67" s="124"/>
      <c r="BR67" s="124"/>
      <c r="BS67" s="124"/>
      <c r="BT67" s="124"/>
      <c r="BU67" s="124"/>
      <c r="BV67" s="124"/>
      <c r="BW67" s="124"/>
      <c r="BX67" s="124"/>
      <c r="BY67" s="124"/>
      <c r="BZ67" s="124"/>
      <c r="CA67" s="124"/>
      <c r="CB67" s="124"/>
      <c r="CC67" s="124"/>
      <c r="CD67" s="124"/>
      <c r="CE67" s="124"/>
      <c r="CF67" s="124"/>
      <c r="CG67" s="124"/>
      <c r="CH67" s="44"/>
      <c r="CI67" s="44"/>
      <c r="CO67" s="692" t="str">
        <f ca="1"/>
        <v>S250Q 2S</v>
      </c>
      <c r="CP67" s="632" t="str">
        <f>IF(OR(CQ67=0,CR67="",CS67&gt;120),"",IF(HLOOKUP(CQ67,Spec_Sheet!$F$3:$ED$19,17,FALSE)&lt;$AC$46,"",CQ67))</f>
        <v>L250Q-2S</v>
      </c>
      <c r="CQ67" s="660" t="str">
        <f>IF(Spec_Sheet!A66="","",Spec_Sheet!A66)</f>
        <v>L250Q-2S</v>
      </c>
      <c r="CR67" s="660">
        <f>IF(CQ67="",0,HLOOKUP(CQ67,Spec_Sheet!$F$3:$ED$19,2,FALSE))</f>
        <v>68.900000000000006</v>
      </c>
      <c r="CS67" s="660">
        <f t="shared" si="169"/>
        <v>9.4100545160634517E-4</v>
      </c>
      <c r="CT67" s="621">
        <f t="shared" si="310"/>
        <v>1.1876948856503798E-3</v>
      </c>
      <c r="CU67" s="621">
        <f t="shared" si="181"/>
        <v>9.4100545160634517E-4</v>
      </c>
      <c r="CV67" s="621">
        <f t="shared" si="311"/>
        <v>9.2942395637433625E-4</v>
      </c>
      <c r="CW67" s="621">
        <f t="shared" si="312"/>
        <v>7.1285358113800301E-4</v>
      </c>
      <c r="CX67" s="621">
        <f t="shared" si="157"/>
        <v>4.0668796995435401E-4</v>
      </c>
      <c r="CY67" s="619">
        <f>HLOOKUP(CQ67,Spec_Sheet!$F$3:$ED$19,13,FALSE)</f>
        <v>1.42</v>
      </c>
      <c r="CZ67" s="619">
        <f>VLOOKUP(HH67,'Shaft Weight'!$A$6:$CD$102,HJ67,TRUE)</f>
        <v>1.21</v>
      </c>
      <c r="DA67" s="619">
        <f>VLOOKUP(HI67,'Shaft Weight'!$A$6:$CD$102,HJ67,0)</f>
        <v>1.73</v>
      </c>
      <c r="DB67" s="619">
        <f>HLOOKUP(CQ67,Spec_Sheet!$F$3:$ED$19,6,FALSE)</f>
        <v>26.5</v>
      </c>
      <c r="DC67" s="439">
        <f t="shared" si="182"/>
        <v>2.33142</v>
      </c>
      <c r="DD67" s="440">
        <f t="shared" si="183"/>
        <v>1.78542</v>
      </c>
      <c r="DE67" s="439">
        <f t="shared" si="184"/>
        <v>-1.23942</v>
      </c>
      <c r="DF67" s="439">
        <f t="shared" si="185"/>
        <v>0</v>
      </c>
      <c r="DG67" s="439">
        <f t="shared" si="186"/>
        <v>0</v>
      </c>
      <c r="DH67" s="439">
        <f t="shared" si="187"/>
        <v>0</v>
      </c>
      <c r="DI67" s="439">
        <f t="shared" si="188"/>
        <v>0</v>
      </c>
      <c r="DJ67" s="439">
        <f t="shared" si="189"/>
        <v>0</v>
      </c>
      <c r="DK67" s="439">
        <f t="shared" si="190"/>
        <v>0</v>
      </c>
      <c r="DL67" s="439">
        <f t="shared" si="191"/>
        <v>0</v>
      </c>
      <c r="DM67" s="439">
        <f t="shared" si="192"/>
        <v>0</v>
      </c>
      <c r="DN67" s="439">
        <f t="shared" si="193"/>
        <v>0</v>
      </c>
      <c r="DO67" s="439">
        <f t="shared" si="194"/>
        <v>0</v>
      </c>
      <c r="DP67" s="439">
        <f t="shared" si="195"/>
        <v>0</v>
      </c>
      <c r="DQ67" s="442">
        <f t="shared" si="196"/>
        <v>0</v>
      </c>
      <c r="DR67" s="442">
        <f t="shared" si="197"/>
        <v>0</v>
      </c>
      <c r="DS67" s="439">
        <f t="shared" si="198"/>
        <v>0</v>
      </c>
      <c r="DT67" s="439">
        <f t="shared" si="199"/>
        <v>0</v>
      </c>
      <c r="DU67" s="661">
        <f t="shared" si="200"/>
        <v>0</v>
      </c>
      <c r="DV67" s="661">
        <f t="shared" si="201"/>
        <v>0</v>
      </c>
      <c r="DW67" s="439">
        <f t="shared" si="202"/>
        <v>0</v>
      </c>
      <c r="DX67" s="439">
        <f t="shared" si="203"/>
        <v>0</v>
      </c>
      <c r="DY67" s="439">
        <f t="shared" si="204"/>
        <v>0</v>
      </c>
      <c r="DZ67" s="439">
        <f t="shared" si="205"/>
        <v>0</v>
      </c>
      <c r="EA67" s="631" t="s">
        <v>92</v>
      </c>
      <c r="EB67" s="631">
        <f t="shared" si="151"/>
        <v>0.23744972179618026</v>
      </c>
      <c r="ED67" s="439">
        <f t="shared" si="206"/>
        <v>3.6124200000000002</v>
      </c>
      <c r="EE67" s="440">
        <f t="shared" si="207"/>
        <v>2.7664200000000001</v>
      </c>
      <c r="EF67" s="439">
        <f t="shared" si="208"/>
        <v>-1.92042</v>
      </c>
      <c r="EG67" s="441">
        <f t="shared" si="209"/>
        <v>0</v>
      </c>
      <c r="EH67" s="439">
        <f t="shared" si="210"/>
        <v>0</v>
      </c>
      <c r="EI67" s="439">
        <f t="shared" si="211"/>
        <v>0</v>
      </c>
      <c r="EJ67" s="439">
        <f t="shared" si="212"/>
        <v>0</v>
      </c>
      <c r="EK67" s="439">
        <f t="shared" si="213"/>
        <v>0</v>
      </c>
      <c r="EL67" s="439">
        <f t="shared" si="214"/>
        <v>0</v>
      </c>
      <c r="EM67" s="439">
        <f t="shared" si="215"/>
        <v>0</v>
      </c>
      <c r="EN67" s="439">
        <f t="shared" si="216"/>
        <v>0</v>
      </c>
      <c r="EO67" s="439">
        <f t="shared" si="217"/>
        <v>0</v>
      </c>
      <c r="EP67" s="439">
        <f t="shared" si="218"/>
        <v>0</v>
      </c>
      <c r="EQ67" s="439">
        <f t="shared" si="219"/>
        <v>0</v>
      </c>
      <c r="ER67" s="442">
        <f t="shared" si="220"/>
        <v>0</v>
      </c>
      <c r="ES67" s="442">
        <f t="shared" si="221"/>
        <v>0</v>
      </c>
      <c r="ET67" s="439">
        <f t="shared" si="222"/>
        <v>0</v>
      </c>
      <c r="EU67" s="439">
        <f t="shared" si="223"/>
        <v>0</v>
      </c>
      <c r="EV67" s="661">
        <f t="shared" si="224"/>
        <v>0</v>
      </c>
      <c r="EW67" s="661">
        <f t="shared" si="225"/>
        <v>0</v>
      </c>
      <c r="EX67" s="439">
        <f t="shared" si="226"/>
        <v>0</v>
      </c>
      <c r="EY67" s="439">
        <f t="shared" si="227"/>
        <v>0</v>
      </c>
      <c r="EZ67" s="439">
        <f t="shared" si="228"/>
        <v>0</v>
      </c>
      <c r="FA67" s="439">
        <f t="shared" si="229"/>
        <v>0</v>
      </c>
      <c r="FB67" s="631" t="s">
        <v>92</v>
      </c>
      <c r="FC67" s="631">
        <f t="shared" si="152"/>
        <v>0.36791660190397169</v>
      </c>
      <c r="FE67" s="439">
        <f t="shared" si="230"/>
        <v>2.0624100000000003</v>
      </c>
      <c r="FF67" s="440">
        <f t="shared" si="231"/>
        <v>1.5794100000000002</v>
      </c>
      <c r="FG67" s="439">
        <f t="shared" si="232"/>
        <v>-1.0964100000000003</v>
      </c>
      <c r="FH67" s="441">
        <f t="shared" si="233"/>
        <v>0</v>
      </c>
      <c r="FI67" s="439">
        <f t="shared" si="234"/>
        <v>0</v>
      </c>
      <c r="FJ67" s="439">
        <f t="shared" si="235"/>
        <v>0</v>
      </c>
      <c r="FK67" s="439">
        <f t="shared" si="236"/>
        <v>0</v>
      </c>
      <c r="FL67" s="439">
        <f t="shared" si="237"/>
        <v>0</v>
      </c>
      <c r="FM67" s="439">
        <f t="shared" si="238"/>
        <v>0</v>
      </c>
      <c r="FN67" s="439">
        <f t="shared" si="239"/>
        <v>0</v>
      </c>
      <c r="FO67" s="439">
        <f t="shared" si="240"/>
        <v>0</v>
      </c>
      <c r="FP67" s="439">
        <f t="shared" si="241"/>
        <v>0</v>
      </c>
      <c r="FQ67" s="439">
        <f t="shared" si="242"/>
        <v>0</v>
      </c>
      <c r="FR67" s="439">
        <f t="shared" si="243"/>
        <v>0</v>
      </c>
      <c r="FS67" s="442">
        <f t="shared" si="244"/>
        <v>0</v>
      </c>
      <c r="FT67" s="442">
        <f t="shared" si="245"/>
        <v>0</v>
      </c>
      <c r="FU67" s="439">
        <f t="shared" si="246"/>
        <v>0</v>
      </c>
      <c r="FV67" s="439">
        <f t="shared" si="247"/>
        <v>0</v>
      </c>
      <c r="FW67" s="661">
        <f t="shared" si="248"/>
        <v>0</v>
      </c>
      <c r="FX67" s="661">
        <f t="shared" si="249"/>
        <v>0</v>
      </c>
      <c r="FY67" s="439">
        <f t="shared" si="250"/>
        <v>0</v>
      </c>
      <c r="FZ67" s="439">
        <f t="shared" si="251"/>
        <v>0</v>
      </c>
      <c r="GA67" s="439">
        <f t="shared" si="252"/>
        <v>0</v>
      </c>
      <c r="GB67" s="439">
        <f t="shared" si="253"/>
        <v>0</v>
      </c>
      <c r="GC67" s="631" t="s">
        <v>92</v>
      </c>
      <c r="GD67" s="631">
        <f t="shared" si="153"/>
        <v>0.21005167697354413</v>
      </c>
      <c r="GF67" s="439">
        <f t="shared" si="254"/>
        <v>2.7285299999999997</v>
      </c>
      <c r="GG67" s="440">
        <f t="shared" si="255"/>
        <v>2.0895299999999999</v>
      </c>
      <c r="GH67" s="439">
        <f t="shared" si="256"/>
        <v>-1.4505300000000001</v>
      </c>
      <c r="GI67" s="439">
        <f t="shared" si="257"/>
        <v>0</v>
      </c>
      <c r="GJ67" s="439">
        <f t="shared" si="258"/>
        <v>0</v>
      </c>
      <c r="GK67" s="439">
        <f t="shared" si="259"/>
        <v>0</v>
      </c>
      <c r="GL67" s="439">
        <f t="shared" si="260"/>
        <v>0</v>
      </c>
      <c r="GM67" s="439">
        <f t="shared" si="261"/>
        <v>0</v>
      </c>
      <c r="GN67" s="439">
        <f t="shared" si="262"/>
        <v>0</v>
      </c>
      <c r="GO67" s="439">
        <f t="shared" si="263"/>
        <v>0</v>
      </c>
      <c r="GP67" s="439">
        <f t="shared" si="264"/>
        <v>0</v>
      </c>
      <c r="GQ67" s="439">
        <f t="shared" si="265"/>
        <v>0</v>
      </c>
      <c r="GR67" s="439">
        <f t="shared" si="266"/>
        <v>0</v>
      </c>
      <c r="GS67" s="439">
        <f t="shared" si="267"/>
        <v>0</v>
      </c>
      <c r="GT67" s="442">
        <f t="shared" si="268"/>
        <v>0</v>
      </c>
      <c r="GU67" s="442">
        <f t="shared" si="269"/>
        <v>0</v>
      </c>
      <c r="GV67" s="439">
        <f t="shared" si="270"/>
        <v>0</v>
      </c>
      <c r="GW67" s="439">
        <f t="shared" si="271"/>
        <v>0</v>
      </c>
      <c r="GX67" s="661">
        <f t="shared" si="272"/>
        <v>0</v>
      </c>
      <c r="GY67" s="661">
        <f t="shared" si="273"/>
        <v>0</v>
      </c>
      <c r="GZ67" s="439">
        <f t="shared" si="274"/>
        <v>0</v>
      </c>
      <c r="HA67" s="439">
        <f t="shared" si="275"/>
        <v>0</v>
      </c>
      <c r="HB67" s="439">
        <f t="shared" si="276"/>
        <v>0</v>
      </c>
      <c r="HC67" s="439">
        <f t="shared" si="277"/>
        <v>0</v>
      </c>
      <c r="HD67" s="631" t="s">
        <v>92</v>
      </c>
      <c r="HE67" s="631">
        <f t="shared" si="306"/>
        <v>0.27789445462959561</v>
      </c>
      <c r="HG67" s="618">
        <f>HLOOKUP(CQ67,Spec_Sheet!$F$3:$DV$19,11,FALSE)+HLOOKUP(CQ67,Spec_Sheet!$F$3:$DV$21,19,FALSE)</f>
        <v>225</v>
      </c>
      <c r="HH67" s="618">
        <f t="shared" si="154"/>
        <v>100</v>
      </c>
      <c r="HI67" s="634">
        <f t="shared" si="155"/>
        <v>250</v>
      </c>
      <c r="HJ67" s="634">
        <f>HLOOKUP(IF(LEN(CQ67)&gt;6,LEFT(CQ67,5),CQ67),'LSM List Pricing'!$B$1:$BW$2,2,0)</f>
        <v>13</v>
      </c>
      <c r="HK67" s="634">
        <f>HLOOKUP(HJ67,'LSM List Pricing'!$B$2:$BW$3,2)</f>
        <v>610</v>
      </c>
      <c r="HL67" s="634">
        <f>VLOOKUP(HH67,'LSM List Pricing'!$A$7:$BW$87,HJ67,0)</f>
        <v>600</v>
      </c>
      <c r="HM67" s="627">
        <f>VLOOKUP(HI67,'LSM List Pricing'!$A$7:$BW$87,HJ67,1)</f>
        <v>820</v>
      </c>
      <c r="HN67" s="628">
        <f t="shared" si="307"/>
        <v>3.1025641025641026</v>
      </c>
      <c r="HO67" s="628">
        <f t="shared" si="308"/>
        <v>6.2051282051282053</v>
      </c>
      <c r="HP67" s="628">
        <f t="shared" si="309"/>
        <v>5.2307692307692308</v>
      </c>
      <c r="HR67" s="618">
        <v>3.2000000000000001E-2</v>
      </c>
      <c r="HS67" s="618">
        <f t="shared" si="109"/>
        <v>214.85714285714286</v>
      </c>
      <c r="HT67" s="618">
        <f t="shared" si="110"/>
        <v>1</v>
      </c>
      <c r="HU67" s="618">
        <f t="shared" si="170"/>
        <v>0.81483903810374669</v>
      </c>
      <c r="HW67" s="618">
        <f t="shared" si="111"/>
        <v>34.842928565892677</v>
      </c>
      <c r="HX67" s="618">
        <f t="shared" si="171"/>
        <v>0.80153960864346629</v>
      </c>
      <c r="HY67" s="618">
        <f t="shared" si="172"/>
        <v>3.2000000000000001E-2</v>
      </c>
      <c r="IB67" s="618">
        <f t="shared" si="113"/>
        <v>25.000350341399081</v>
      </c>
      <c r="IC67" s="618">
        <f t="shared" si="114"/>
        <v>1E-3</v>
      </c>
      <c r="IE67" s="618">
        <f t="shared" si="115"/>
        <v>0</v>
      </c>
      <c r="IF67" s="618">
        <f t="shared" si="116"/>
        <v>40.704999999999998</v>
      </c>
      <c r="IH67" s="618">
        <f t="shared" si="117"/>
        <v>0</v>
      </c>
      <c r="II67" s="618">
        <f t="shared" si="118"/>
        <v>40.704999999999998</v>
      </c>
      <c r="IK67" s="618">
        <f t="shared" si="119"/>
        <v>0</v>
      </c>
      <c r="IL67" s="618">
        <f t="shared" si="120"/>
        <v>40.704999999999998</v>
      </c>
      <c r="IN67" s="618">
        <f t="shared" si="121"/>
        <v>0</v>
      </c>
      <c r="IO67" s="618">
        <f t="shared" si="122"/>
        <v>40.704999999999998</v>
      </c>
      <c r="IQ67" s="618">
        <f t="shared" si="123"/>
        <v>0</v>
      </c>
      <c r="IR67" s="618">
        <f t="shared" si="124"/>
        <v>40.704999999999998</v>
      </c>
      <c r="IT67" s="660" t="str">
        <f t="shared" si="278"/>
        <v>L250Q-2S</v>
      </c>
      <c r="IU67" s="628"/>
      <c r="IV67" s="439">
        <f t="shared" si="279"/>
        <v>4.1504399999999997</v>
      </c>
      <c r="IW67" s="440">
        <f t="shared" si="280"/>
        <v>3.1784400000000002</v>
      </c>
      <c r="IX67" s="439">
        <f t="shared" si="281"/>
        <v>-2.2064400000000002</v>
      </c>
      <c r="IY67" s="439">
        <f t="shared" si="282"/>
        <v>0</v>
      </c>
      <c r="IZ67" s="439">
        <f t="shared" si="283"/>
        <v>0</v>
      </c>
      <c r="JA67" s="439">
        <f t="shared" si="284"/>
        <v>0</v>
      </c>
      <c r="JB67" s="439">
        <f t="shared" si="285"/>
        <v>0</v>
      </c>
      <c r="JC67" s="439">
        <f t="shared" si="286"/>
        <v>0</v>
      </c>
      <c r="JD67" s="439">
        <f t="shared" si="287"/>
        <v>0</v>
      </c>
      <c r="JE67" s="439">
        <f t="shared" si="288"/>
        <v>0</v>
      </c>
      <c r="JF67" s="439">
        <f t="shared" si="289"/>
        <v>0</v>
      </c>
      <c r="JG67" s="439">
        <f t="shared" si="290"/>
        <v>0</v>
      </c>
      <c r="JH67" s="439">
        <f t="shared" si="291"/>
        <v>0</v>
      </c>
      <c r="JI67" s="439">
        <f t="shared" si="292"/>
        <v>0</v>
      </c>
      <c r="JJ67" s="442">
        <f t="shared" si="293"/>
        <v>0</v>
      </c>
      <c r="JK67" s="442">
        <f t="shared" si="294"/>
        <v>0</v>
      </c>
      <c r="JL67" s="439">
        <f t="shared" si="295"/>
        <v>0</v>
      </c>
      <c r="JM67" s="439">
        <f t="shared" si="296"/>
        <v>0</v>
      </c>
      <c r="JN67" s="661">
        <f t="shared" si="297"/>
        <v>0</v>
      </c>
      <c r="JO67" s="661">
        <f t="shared" si="298"/>
        <v>0</v>
      </c>
      <c r="JP67" s="439">
        <f t="shared" si="299"/>
        <v>0</v>
      </c>
      <c r="JQ67" s="439">
        <f t="shared" si="300"/>
        <v>0</v>
      </c>
      <c r="JR67" s="439">
        <f t="shared" si="301"/>
        <v>0</v>
      </c>
      <c r="JS67" s="439">
        <f t="shared" si="302"/>
        <v>0</v>
      </c>
      <c r="JT67" s="631" t="s">
        <v>92</v>
      </c>
      <c r="JU67" s="631">
        <f t="shared" si="158"/>
        <v>0.42271269154924401</v>
      </c>
      <c r="JW67" s="522"/>
      <c r="JX67" s="522"/>
      <c r="JY67" s="522"/>
      <c r="JZ67" s="522"/>
      <c r="KA67" s="522"/>
      <c r="KB67" s="522"/>
      <c r="KC67" s="522"/>
      <c r="KD67" s="522"/>
      <c r="KE67" s="522"/>
      <c r="KF67" s="522"/>
      <c r="KG67" s="522"/>
      <c r="KH67" s="522"/>
      <c r="KI67" s="522"/>
      <c r="KJ67" s="522"/>
      <c r="KK67" s="522"/>
      <c r="KL67" s="522"/>
    </row>
    <row r="68" spans="1:298" ht="10.5" customHeight="1">
      <c r="A68" s="155"/>
      <c r="B68" s="467"/>
      <c r="C68" s="153"/>
      <c r="D68" s="153"/>
      <c r="E68" s="403"/>
      <c r="F68" s="403"/>
      <c r="G68" s="403"/>
      <c r="H68" s="479" t="s">
        <v>296</v>
      </c>
      <c r="I68" s="480">
        <v>1</v>
      </c>
      <c r="J68" s="332"/>
      <c r="K68" s="332"/>
      <c r="L68" s="332"/>
      <c r="M68" s="332"/>
      <c r="N68" s="332"/>
      <c r="O68" s="332"/>
      <c r="P68" s="332"/>
      <c r="Q68" s="332"/>
      <c r="R68" s="332"/>
      <c r="S68" s="332"/>
      <c r="T68" s="332"/>
      <c r="U68" s="331"/>
      <c r="V68" s="331"/>
      <c r="W68" s="332"/>
      <c r="X68" s="332"/>
      <c r="Y68" s="332"/>
      <c r="Z68" s="332"/>
      <c r="AA68" s="332"/>
      <c r="AB68" s="150"/>
      <c r="AC68" s="466"/>
      <c r="AD68" s="331"/>
      <c r="AE68" s="332"/>
      <c r="AF68" s="332"/>
      <c r="AG68" s="332"/>
      <c r="AH68" s="332"/>
      <c r="AI68" s="332"/>
      <c r="AJ68" s="332"/>
      <c r="AK68" s="332"/>
      <c r="AL68" s="331"/>
      <c r="AM68" s="331"/>
      <c r="AN68" s="332"/>
      <c r="AO68" s="332"/>
      <c r="AP68" s="332"/>
      <c r="AQ68" s="332"/>
      <c r="AR68" s="332"/>
      <c r="AS68" s="332"/>
      <c r="AT68" s="331"/>
      <c r="AU68" s="331"/>
      <c r="AV68" s="93" t="str">
        <f>IF($AY$30,H32,0)</f>
        <v/>
      </c>
      <c r="AW68" s="93">
        <f>IF($AY$32,'Data Sheet'!AA89,0)</f>
        <v>0</v>
      </c>
      <c r="AX68" s="93">
        <f>H31-$AY$34</f>
        <v>40.704999999999998</v>
      </c>
      <c r="AY68" s="513"/>
      <c r="AZ68" s="512"/>
      <c r="BA68" s="153"/>
      <c r="BB68" s="267"/>
      <c r="BC68" s="153"/>
      <c r="BD68" s="153"/>
      <c r="BE68" s="153"/>
      <c r="BF68" s="153"/>
      <c r="BG68" s="153"/>
      <c r="BH68" s="153"/>
      <c r="BI68" s="153"/>
      <c r="BJ68" s="153"/>
      <c r="BK68" s="153"/>
      <c r="BL68" s="153"/>
      <c r="BM68" s="267"/>
      <c r="BN68" s="267"/>
      <c r="BO68" s="124"/>
      <c r="BP68" s="864" t="s">
        <v>559</v>
      </c>
      <c r="BQ68" s="864"/>
      <c r="BR68" s="864"/>
      <c r="BS68" s="864"/>
      <c r="BT68" s="864"/>
      <c r="BU68" s="864"/>
      <c r="BV68" s="864"/>
      <c r="BW68" s="864"/>
      <c r="BX68" s="864"/>
      <c r="BY68" s="864"/>
      <c r="BZ68" s="864"/>
      <c r="CA68" s="864"/>
      <c r="CB68" s="864"/>
      <c r="CC68" s="864"/>
      <c r="CD68" s="864"/>
      <c r="CE68" s="864"/>
      <c r="CF68" s="864"/>
      <c r="CG68" s="864"/>
      <c r="CH68" s="864"/>
      <c r="CI68" s="864"/>
      <c r="CJ68" s="864"/>
      <c r="CK68" s="864"/>
      <c r="CL68" s="864"/>
      <c r="CM68" s="864"/>
      <c r="CN68" s="864"/>
      <c r="CO68" s="692" t="str">
        <f ca="1"/>
        <v>S250Q</v>
      </c>
      <c r="CP68" s="632" t="str">
        <f>IF(OR(CQ68=0,CR68="",CS68&gt;120),"",IF(HLOOKUP(CQ68,Spec_Sheet!$F$3:$ED$19,17,FALSE)&lt;$AC$46,"",CQ68))</f>
        <v>L350QS</v>
      </c>
      <c r="CQ68" s="660" t="str">
        <f>IF(Spec_Sheet!A67="","",Spec_Sheet!A67)</f>
        <v>L350QS</v>
      </c>
      <c r="CR68" s="660">
        <f>IF(CQ68="",0,HLOOKUP(CQ68,Spec_Sheet!$F$3:$ED$19,2,FALSE))</f>
        <v>74.4265382306546</v>
      </c>
      <c r="CS68" s="660">
        <f t="shared" si="169"/>
        <v>4.4249402182297516E-4</v>
      </c>
      <c r="CT68" s="621">
        <f t="shared" si="310"/>
        <v>6.0228352970349429E-4</v>
      </c>
      <c r="CU68" s="621">
        <f t="shared" ref="CU68:CU99" si="316">((JU68/DB68)/((CR68*2)/DB68))^2*100</f>
        <v>4.4249402182297516E-4</v>
      </c>
      <c r="CV68" s="621" t="e">
        <f t="shared" si="311"/>
        <v>#REF!</v>
      </c>
      <c r="CW68" s="621" t="e">
        <f t="shared" si="312"/>
        <v>#REF!</v>
      </c>
      <c r="CX68" s="621" t="e">
        <f t="shared" si="157"/>
        <v>#REF!</v>
      </c>
      <c r="CY68" s="619">
        <f>HLOOKUP(CQ68,Spec_Sheet!$F$3:$ED$19,13,FALSE)</f>
        <v>1</v>
      </c>
      <c r="CZ68" s="619" t="e">
        <f>VLOOKUP(HH68,'Shaft Weight'!$A$6:$CD$102,HJ68,TRUE)</f>
        <v>#REF!</v>
      </c>
      <c r="DA68" s="619" t="e">
        <f>VLOOKUP(HI68,'Shaft Weight'!$A$6:$CD$102,HJ68,0)</f>
        <v>#REF!</v>
      </c>
      <c r="DB68" s="619">
        <f>HLOOKUP(CQ68,Spec_Sheet!$F$3:$ED$19,6,FALSE)</f>
        <v>46.6</v>
      </c>
      <c r="DC68" s="439">
        <f t="shared" ref="DC68:DC99" si="317">(ML+$CY68)*$AC$7+$DD68-IF(AND($Z$4,$V$11),Fl,0)</f>
        <v>1.7934000000000001</v>
      </c>
      <c r="DD68" s="440">
        <f t="shared" ref="DD68:DD99" si="318">(ML+$CY68)*(9.81*IF($W$11&gt;0,1,-1))*((SIN(a)*IF($W$11&gt;0,1,-1))+u*COS(a))+IF($V$11,Fl,0)+Fr</f>
        <v>1.3734000000000002</v>
      </c>
      <c r="DE68" s="439">
        <f t="shared" ref="DE68:DE99" si="319">(ML+$CY68)*$AC$10-$DD68+IF(AND($Z$4,$V$11),Fl,0)</f>
        <v>-0.95340000000000025</v>
      </c>
      <c r="DF68" s="439">
        <f t="shared" ref="DF68:DF99" si="320">(ML+$CY68)*9.81*SIN(a)+IF($V$11,Fl,0)-IF(AND($Z$4,$V$11),Fl,0)</f>
        <v>0</v>
      </c>
      <c r="DG68" s="439">
        <f t="shared" ref="DG68:DG99" si="321">IF($P$13,(ML+$CY68)*$AC$15+$DH68,0)</f>
        <v>0</v>
      </c>
      <c r="DH68" s="439">
        <f t="shared" ref="DH68:DH99" si="322">IF($P$13,(ML+$CY68)*(9.81*IF($W$19&gt;0,1,-1))*((SIN(a)*IF($W$19&gt;0,1,-1))+u*COS(a))+IF($V$19,Fl,0)+Fr,0)</f>
        <v>0</v>
      </c>
      <c r="DI68" s="439">
        <f t="shared" ref="DI68:DI99" si="323">IF($P$13,(ML+$CY68)*$AC$18-$DH68,0)</f>
        <v>0</v>
      </c>
      <c r="DJ68" s="439">
        <f t="shared" ref="DJ68:DJ99" si="324">IF($P$13,(ML+$CY68)*9.81*SIN(a)+IF($V$19,Fl,0),0)</f>
        <v>0</v>
      </c>
      <c r="DK68" s="439">
        <f t="shared" ref="DK68:DK99" si="325">IF($P$21,(ML+$CY68)*$AC$23+$DL68,0)</f>
        <v>0</v>
      </c>
      <c r="DL68" s="439">
        <f t="shared" ref="DL68:DL99" si="326">IF($P$21,(ML+$CY68)*(9.81*IF($W$27&gt;0,1,-1))*((SIN(a)*IF($W$27&gt;0,1,-1))+u*COS(a))+IF($V$27,Fl,0)+Fr,0)</f>
        <v>0</v>
      </c>
      <c r="DM68" s="439">
        <f t="shared" ref="DM68:DM99" si="327">IF($P$21,(ML+$CY68)*$AC$26-$DL68,0)</f>
        <v>0</v>
      </c>
      <c r="DN68" s="439">
        <f t="shared" ref="DN68:DN99" si="328">IF($P$21,(ML+$CY68)*9.81*SIN(a)+IF($V$27,Fl,0),0)</f>
        <v>0</v>
      </c>
      <c r="DO68" s="439">
        <f t="shared" ref="DO68:DO99" si="329">IF($AG$5,(ML+$CY68)*$AT$7+$DP68,0)</f>
        <v>0</v>
      </c>
      <c r="DP68" s="439">
        <f t="shared" ref="DP68:DP99" si="330">IF($AG$5,(ML+$CY68)*(9.81*IF($AN$11&gt;0,1,-1))*((SIN(a)*IF($AN$11&gt;0,1,-1))+u*COS(a))+IF($AM$11,Fl,0)+Fr,0)</f>
        <v>0</v>
      </c>
      <c r="DQ68" s="442">
        <f t="shared" ref="DQ68:DQ99" si="331">IF($AG$5,(ML+$CY68)*$AT$10-$DP68,0)</f>
        <v>0</v>
      </c>
      <c r="DR68" s="442">
        <f t="shared" ref="DR68:DR99" si="332">IF($AG$5,(ML+$CY68)*9.81*SIN(a)+IF($AM$11,Fl,0),0)</f>
        <v>0</v>
      </c>
      <c r="DS68" s="439">
        <f t="shared" ref="DS68:DS99" si="333">IF($AG$13,(ML+$CY68)*$AT$15+$DT68,0)</f>
        <v>0</v>
      </c>
      <c r="DT68" s="439">
        <f t="shared" ref="DT68:DT99" si="334">IF($AG$13,(ML+$CY68)*(9.81*IF($AN$19&gt;0,1,-1))*((SIN(a)*IF($AN$19&gt;0,1,-1))+u*COS(a))+IF($AM$19,Fl,0)+Fr,0)</f>
        <v>0</v>
      </c>
      <c r="DU68" s="661">
        <f t="shared" ref="DU68:DU99" si="335">IF($AG$13,(ML+$CY68)*$AT$18-$DT68,0)</f>
        <v>0</v>
      </c>
      <c r="DV68" s="661">
        <f t="shared" ref="DV68:DV99" si="336">IF($AG$13,(ML+$CY68)*9.81*SIN(a)+IF($AM$19,Fl,0),0)</f>
        <v>0</v>
      </c>
      <c r="DW68" s="439">
        <f t="shared" ref="DW68:DW99" si="337">IF($AG$21,(ML+$CY68)*$AT$23+$DX68,0)</f>
        <v>0</v>
      </c>
      <c r="DX68" s="439">
        <f t="shared" ref="DX68:DX99" si="338">IF($AG$21,(ML+$CY68)*(9.81*IF($AN$27&gt;0,1,-1))*((SIN(a)*IF($AN$27&gt;0,1,-1))+u*COS(a))+IF($AM$27,Fl,0)+Fr,0)</f>
        <v>0</v>
      </c>
      <c r="DY68" s="439">
        <f t="shared" ref="DY68:DY99" si="339">IF($AG$21,(ML+$CY68)*$AT$26-$DX68,0)</f>
        <v>0</v>
      </c>
      <c r="DZ68" s="439">
        <f t="shared" ref="DZ68:DZ99" si="340">IF($AG$21,(ML+$CY68)*9.81*SIN(a)+IF($AM$27,Fl,0),0)</f>
        <v>0</v>
      </c>
      <c r="EA68" s="631" t="s">
        <v>92</v>
      </c>
      <c r="EB68" s="631">
        <f t="shared" si="151"/>
        <v>0.18265363215090794</v>
      </c>
      <c r="ED68" s="439" t="e">
        <f t="shared" ref="ED68:ED99" si="341">(ML+($CZ68*2))*$AC$7+$EE68-IF(AND($Z$4,$V$11),Fl,0)</f>
        <v>#REF!</v>
      </c>
      <c r="EE68" s="440" t="e">
        <f t="shared" ref="EE68:EE99" si="342">(ML+($CZ68*2))*(9.81*IF($W$11&gt;0,1,-1))*((SIN(a)*IF($W$11&gt;0,1,-1))+u*COS(a))+IF($V$11,Fl,0)+Fr</f>
        <v>#REF!</v>
      </c>
      <c r="EF68" s="439" t="e">
        <f t="shared" ref="EF68:EF99" si="343">(ML+($CZ68*2))*$AC$10-$EE68+IF(AND($Z$4,$V$11),Fl,0)</f>
        <v>#REF!</v>
      </c>
      <c r="EG68" s="441" t="e">
        <f t="shared" ref="EG68:EG99" si="344">(ML+($CZ68*2))*9.81*SIN(a)+IF($V$11,Fl,0)-IF(AND($Z$4,$V$11),Fl,0)</f>
        <v>#REF!</v>
      </c>
      <c r="EH68" s="439">
        <f t="shared" ref="EH68:EH99" si="345">IF($P$13,(ML+($CZ68*2))*$AC$15+$EI68,0)</f>
        <v>0</v>
      </c>
      <c r="EI68" s="439">
        <f t="shared" ref="EI68:EI99" si="346">IF($P$13,(ML+($CZ68*2))*(9.81*IF($W$19&gt;0,1,-1))*((SIN(a)*IF($W$19&gt;0,1,-1))+u*COS(a))+IF($V$19,Fl,0)+Fr,0)</f>
        <v>0</v>
      </c>
      <c r="EJ68" s="439">
        <f t="shared" ref="EJ68:EJ99" si="347">IF($P$13,(ML+($CZ68*2))*$AC$18-$EI68,0)</f>
        <v>0</v>
      </c>
      <c r="EK68" s="439">
        <f t="shared" ref="EK68:EK99" si="348">IF($P$13,(ML+($CZ68*2))*9.81*SIN(a)+IF($V$19,Fl,0),0)</f>
        <v>0</v>
      </c>
      <c r="EL68" s="439">
        <f t="shared" ref="EL68:EL99" si="349">IF($P$21,(ML+($CZ68*2))*$AC$23+$EM68,0)</f>
        <v>0</v>
      </c>
      <c r="EM68" s="439">
        <f t="shared" ref="EM68:EM99" si="350">IF($P$21,(ML+($CZ68*2))*(9.81*IF($W$27&gt;0,1,-1))*((SIN(a)*IF($W$27&gt;0,1,-1))+u*COS(a))+IF($V$27,Fl,0)+Fr,0)</f>
        <v>0</v>
      </c>
      <c r="EN68" s="439">
        <f t="shared" ref="EN68:EN99" si="351">IF($P$21,(ML+($CZ68*2))*$AC$26-$EM68,0)</f>
        <v>0</v>
      </c>
      <c r="EO68" s="439">
        <f t="shared" ref="EO68:EO99" si="352">IF($P$21,(ML+($CZ68*2))*9.81*SIN(a)+IF($V$27,Fl,0),0)</f>
        <v>0</v>
      </c>
      <c r="EP68" s="439">
        <f t="shared" ref="EP68:EP99" si="353">IF($AG$5,(ML+($CZ68*2))*$AT$7+$EQ68,0)</f>
        <v>0</v>
      </c>
      <c r="EQ68" s="439">
        <f t="shared" ref="EQ68:EQ99" si="354">IF($AG$5,(ML+($CZ68*2))*(9.81*IF($AN$11&gt;0,1,-1))*((SIN(a)*IF($AN$11&gt;0,1,-1))+u*COS(a))+IF($AM$11,Fl,0)+Fr,0)</f>
        <v>0</v>
      </c>
      <c r="ER68" s="442">
        <f t="shared" ref="ER68:ER99" si="355">IF($AG$5,(ML+($CZ68*2))*$AT$10-$EQ68,0)</f>
        <v>0</v>
      </c>
      <c r="ES68" s="442">
        <f t="shared" ref="ES68:ES99" si="356">IF($AG$5,(ML+($CZ68*2))*9.81*SIN(a)+IF($AM$11,Fl,0),0)</f>
        <v>0</v>
      </c>
      <c r="ET68" s="439">
        <f t="shared" ref="ET68:ET99" si="357">IF($AG$13,(ML+($CZ68*2))*$AT$15+$EU68,0)</f>
        <v>0</v>
      </c>
      <c r="EU68" s="439">
        <f t="shared" ref="EU68:EU99" si="358">IF($AG$13,(ML+($CZ68*2))*(9.81*IF($AN$19&gt;0,1,-1))*((SIN(a)*IF($AN$19&gt;0,1,-1))+u*COS(a))+IF($AM$19,Fl,0)+Fr,0)</f>
        <v>0</v>
      </c>
      <c r="EV68" s="661">
        <f t="shared" ref="EV68:EV99" si="359">IF($AG$13,(ML+($CZ68*2))*$AT$18-$EU68,0)</f>
        <v>0</v>
      </c>
      <c r="EW68" s="661">
        <f t="shared" ref="EW68:EW99" si="360">IF($AG$13,(ML+($CZ68*2))*9.81*SIN(a)+IF($AM$19,Fl,0),0)</f>
        <v>0</v>
      </c>
      <c r="EX68" s="439">
        <f t="shared" ref="EX68:EX99" si="361">IF($AG$21,(ML+($CZ68*2))*$AT$23+$EY68,0)</f>
        <v>0</v>
      </c>
      <c r="EY68" s="439">
        <f t="shared" ref="EY68:EY99" si="362">IF($AG$21,(ML+($CZ68*2))*(9.81*IF($AN$27&gt;0,1,-1))*((SIN(a)*IF($AN$27&gt;0,1,-1))+u*COS(a))+IF($AM$27,Fl,0)+Fr,0)</f>
        <v>0</v>
      </c>
      <c r="EZ68" s="439">
        <f t="shared" ref="EZ68:EZ99" si="363">IF($AG$21,(ML+($CZ68*2))*$AT$26-$EY68,0)</f>
        <v>0</v>
      </c>
      <c r="FA68" s="439">
        <f t="shared" ref="FA68:FA99" si="364">IF($AG$21,(ML+($CZ68*2))*9.81*SIN(a)+IF($AM$27,Fl,0),0)</f>
        <v>0</v>
      </c>
      <c r="FB68" s="631" t="s">
        <v>92</v>
      </c>
      <c r="FC68" s="631" t="e">
        <f t="shared" si="152"/>
        <v>#REF!</v>
      </c>
      <c r="FE68" s="439" t="e">
        <f t="shared" ref="FE68:FE99" si="365">(ML+$CZ68)*$AC$7+$FF68-IF(AND($Z$4,$V$11),Fl,0)</f>
        <v>#REF!</v>
      </c>
      <c r="FF68" s="440" t="e">
        <f t="shared" ref="FF68:FF99" si="366">(ML+$CZ68)*(9.81*IF($W$11&gt;0,1,-1))*((SIN(a)*IF($W$11&gt;0,1,-1))+u*COS(a))+IF($V$11,Fl,0)+Fr</f>
        <v>#REF!</v>
      </c>
      <c r="FG68" s="439" t="e">
        <f t="shared" ref="FG68:FG99" si="367">(ML+$CZ68)*$AC$10-$FF68+IF(AND($Z$4,$V$11),Fl,0)</f>
        <v>#REF!</v>
      </c>
      <c r="FH68" s="441" t="e">
        <f t="shared" ref="FH68:FH99" si="368">(ML+$CZ68)*9.81*SIN(a)+IF($V$11,Fl,0)-IF(AND($Z$4,$V$11),Fl,0)</f>
        <v>#REF!</v>
      </c>
      <c r="FI68" s="439">
        <f t="shared" ref="FI68:FI99" si="369">IF($P$13,(ML+$CZ68)*$AC$15+$FJ68,0)</f>
        <v>0</v>
      </c>
      <c r="FJ68" s="439">
        <f t="shared" ref="FJ68:FJ99" si="370">IF($P$13,(ML+$CZ68)*(9.81*IF($W$19&gt;0,1,-1))*((SIN(a)*IF($W$19&gt;0,1,-1))+u*COS(a))+IF($V$19,Fl,0)+Fr,0)</f>
        <v>0</v>
      </c>
      <c r="FK68" s="439">
        <f t="shared" ref="FK68:FK99" si="371">IF($P$13,(ML+$CZ68)*$AC$18-$FJ68,0)</f>
        <v>0</v>
      </c>
      <c r="FL68" s="439">
        <f t="shared" ref="FL68:FL99" si="372">IF($P$13,(ML+$CZ68)*9.81*SIN(a)+IF($V$19,Fl,0),0)</f>
        <v>0</v>
      </c>
      <c r="FM68" s="439">
        <f t="shared" ref="FM68:FM99" si="373">IF($P$21,(ML+$CZ68)*$AC$23+$FN68,0)</f>
        <v>0</v>
      </c>
      <c r="FN68" s="439">
        <f t="shared" ref="FN68:FN99" si="374">IF($P$21,(ML+$CZ68)*(9.81*IF($W$27&gt;0,1,-1))*((SIN(a)*IF($W$27&gt;0,1,-1))+u*COS(a))+IF($V$27,Fl,0)+Fr,0)</f>
        <v>0</v>
      </c>
      <c r="FO68" s="439">
        <f t="shared" ref="FO68:FO99" si="375">IF($P$21,(ML+$CZ68)*$AC$26-$FN68,0)</f>
        <v>0</v>
      </c>
      <c r="FP68" s="439">
        <f t="shared" ref="FP68:FP99" si="376">IF($P$21,(ML+$CZ68)*9.81*SIN(a)+IF($V$27,Fl,0),0)</f>
        <v>0</v>
      </c>
      <c r="FQ68" s="439">
        <f t="shared" ref="FQ68:FQ99" si="377">IF($AG$5,(ML+$CZ68)*$AT$7+$FR68,0)</f>
        <v>0</v>
      </c>
      <c r="FR68" s="439">
        <f t="shared" ref="FR68:FR99" si="378">IF($AG$5,(ML+$CZ68)*(9.81*IF($AN$11&gt;0,1,-1))*((SIN(a)*IF($AN$11&gt;0,1,-1))+u*COS(a))+IF($AM$11,Fl,0)+Fr,0)</f>
        <v>0</v>
      </c>
      <c r="FS68" s="442">
        <f t="shared" ref="FS68:FS99" si="379">IF($AG$5,(ML+$CZ68)*$AT$10-$FR68,0)</f>
        <v>0</v>
      </c>
      <c r="FT68" s="442">
        <f t="shared" ref="FT68:FT99" si="380">IF($AG$5,(ML+$CZ68)*9.81*SIN(a)+IF($AM$11,Fl,0),0)</f>
        <v>0</v>
      </c>
      <c r="FU68" s="439">
        <f t="shared" ref="FU68:FU99" si="381">IF($AG$13,(ML+$CZ68)*$AT$15+$FV68,0)</f>
        <v>0</v>
      </c>
      <c r="FV68" s="439">
        <f t="shared" ref="FV68:FV99" si="382">IF($AG$13,(ML+$CZ68)*(9.81*IF($AN$19&gt;0,1,-1))*((SIN(a)*IF($AN$19&gt;0,1,-1))+u*COS(a))+IF($AM$19,Fl,0)+Fr,0)</f>
        <v>0</v>
      </c>
      <c r="FW68" s="661">
        <f t="shared" ref="FW68:FW99" si="383">IF($AG$13,(ML+$CZ68)*$AT$18-$FV68,0)</f>
        <v>0</v>
      </c>
      <c r="FX68" s="661">
        <f t="shared" ref="FX68:FX99" si="384">IF($AG$13,(ML+$CZ68)*9.81*SIN(a)+IF($AM$19,Fl,0),0)</f>
        <v>0</v>
      </c>
      <c r="FY68" s="439">
        <f t="shared" ref="FY68:FY99" si="385">IF($AG$21,(ML+$CZ68)*$AT$23+$FZ68,0)</f>
        <v>0</v>
      </c>
      <c r="FZ68" s="439">
        <f t="shared" ref="FZ68:FZ99" si="386">IF($AG$21,(ML+$CZ68)*(9.81*IF($AN$27&gt;0,1,-1))*((SIN(a)*IF($AN$27&gt;0,1,-1))+u*COS(a))+IF($AM$27,Fl,0)+Fr,0)</f>
        <v>0</v>
      </c>
      <c r="GA68" s="439">
        <f t="shared" ref="GA68:GA99" si="387">IF($AG$21,(ML+$CZ68)*$AT$26-$FZ68,0)</f>
        <v>0</v>
      </c>
      <c r="GB68" s="439">
        <f t="shared" ref="GB68:GB99" si="388">IF($AG$21,(ML+$CZ68)*9.81*SIN(a)+IF($AM$27,Fl,0),0)</f>
        <v>0</v>
      </c>
      <c r="GC68" s="631" t="s">
        <v>92</v>
      </c>
      <c r="GD68" s="631" t="e">
        <f t="shared" si="153"/>
        <v>#REF!</v>
      </c>
      <c r="GF68" s="439" t="e">
        <f t="shared" ref="GF68:GF99" si="389">(ML+DA68)*$AC$7+$GG68-IF(AND($Z$4,$V$11),Fl,0)</f>
        <v>#REF!</v>
      </c>
      <c r="GG68" s="440" t="e">
        <f t="shared" ref="GG68:GG99" si="390">(ML+$DA68)*(9.81*IF($W$11&gt;0,1,-1))*((SIN(a)*IF($W$11&gt;0,1,-1))+u*COS(a))+IF($V$11,Fl,0)+Fr</f>
        <v>#REF!</v>
      </c>
      <c r="GH68" s="439" t="e">
        <f t="shared" ref="GH68:GH99" si="391">(ML+$DA68)*$AC$10-$GG68+IF(AND($Z$4,$V$11),Fl,0)</f>
        <v>#REF!</v>
      </c>
      <c r="GI68" s="439" t="e">
        <f t="shared" ref="GI68:GI99" si="392">(ML+$DA68)*9.81*SIN(a)+IF($V$11,Fl,0)-IF(AND($Z$4,$V$11),Fl,0)</f>
        <v>#REF!</v>
      </c>
      <c r="GJ68" s="439">
        <f t="shared" ref="GJ68:GJ99" si="393">IF($P$13,(ML+$DA68)*$AC$15+$GK68,0)</f>
        <v>0</v>
      </c>
      <c r="GK68" s="439">
        <f t="shared" ref="GK68:GK99" si="394">IF($P$13,(ML+$DA68)*(9.81*IF($W$19&gt;0,1,-1))*((SIN(a)*IF($W$19&gt;0,1,-1))+u*COS(a))+IF($V$19,Fl,0)+Fr,0)</f>
        <v>0</v>
      </c>
      <c r="GL68" s="439">
        <f t="shared" ref="GL68:GL99" si="395">IF($P$13,(ML+$DA68)*$AC$18-$GK68,0)</f>
        <v>0</v>
      </c>
      <c r="GM68" s="439">
        <f t="shared" ref="GM68:GM99" si="396">IF($P$13,(ML+$DA68)*9.81*SIN(a)+IF($V$19,Fl,0),0)</f>
        <v>0</v>
      </c>
      <c r="GN68" s="439">
        <f t="shared" ref="GN68:GN99" si="397">IF($P$21,(ML+$DA68)*$AC$23+$GO68,0)</f>
        <v>0</v>
      </c>
      <c r="GO68" s="439">
        <f t="shared" ref="GO68:GO99" si="398">IF($P$21,(ML+$DA68)*(9.81*IF($W$27&gt;0,1,-1))*((SIN(a)*IF($W$27&gt;0,1,-1))+u*COS(a))+IF($V$27,Fl,0)+Fr,0)</f>
        <v>0</v>
      </c>
      <c r="GP68" s="439">
        <f t="shared" ref="GP68:GP99" si="399">IF($P$21,(ML+$DA68)*$AC$26-$GO68,0)</f>
        <v>0</v>
      </c>
      <c r="GQ68" s="439">
        <f t="shared" ref="GQ68:GQ99" si="400">IF($P$21,(ML+$DA68)*9.81*SIN(a)+IF($V$27,Fl,0),0)</f>
        <v>0</v>
      </c>
      <c r="GR68" s="439">
        <f t="shared" ref="GR68:GR99" si="401">IF($AG$5,(ML+$DA68)*$AT$7+$GS68,0)</f>
        <v>0</v>
      </c>
      <c r="GS68" s="439">
        <f t="shared" ref="GS68:GS99" si="402">IF($AG$5,(ML+$DA68)*(9.81*IF($AN$11&gt;0,1,-1))*((SIN(a)*IF($AN$11&gt;0,1,-1))+u*COS(a))+IF($AM$11,Fl,0)+Fr,0)</f>
        <v>0</v>
      </c>
      <c r="GT68" s="442">
        <f t="shared" ref="GT68:GT99" si="403">IF($AG$5,(ML+$DA68)*$AT$10-$GS68,0)</f>
        <v>0</v>
      </c>
      <c r="GU68" s="442">
        <f t="shared" ref="GU68:GU99" si="404">IF($AG$5,(ML+$DA68)*9.81*SIN(a)+IF($AM$11,Fl,0),0)</f>
        <v>0</v>
      </c>
      <c r="GV68" s="439">
        <f t="shared" ref="GV68:GV99" si="405">IF($AG$13,(ML+$DA68)*$AT$15+$GW68,0)</f>
        <v>0</v>
      </c>
      <c r="GW68" s="439">
        <f t="shared" ref="GW68:GW99" si="406">IF($AG$13,(ML+$DA68)*(9.81*IF($AN$19&gt;0,1,-1))*((SIN(a)*IF($AN$19&gt;0,1,-1))+u*COS(a))+IF($AM$19,Fl,0)+Fr,0)</f>
        <v>0</v>
      </c>
      <c r="GX68" s="661">
        <f t="shared" ref="GX68:GX99" si="407">IF($AG$13,(ML+$DA68)*$AT$18-$GW68,0)</f>
        <v>0</v>
      </c>
      <c r="GY68" s="661">
        <f t="shared" ref="GY68:GY99" si="408">IF($AG$13,(ML+$DA68)*9.81*SIN(a)+IF($AM$19,Fl,0),0)</f>
        <v>0</v>
      </c>
      <c r="GZ68" s="439">
        <f t="shared" ref="GZ68:GZ99" si="409">IF($AG$21,(ML+$DA68)*$AT$23+$HA68,0)</f>
        <v>0</v>
      </c>
      <c r="HA68" s="439">
        <f t="shared" ref="HA68:HA99" si="410">IF($AG$21,(ML+$DA68)*(9.81*IF($AN$27&gt;0,1,-1))*((SIN(a)*IF($AN$27&gt;0,1,-1))+u*COS(a))+IF($AM$27,Fl,0)+Fr,0)</f>
        <v>0</v>
      </c>
      <c r="HB68" s="439">
        <f t="shared" ref="HB68:HB99" si="411">IF($AG$21,(ML+$DA68)*$AT$26-$HA68,0)</f>
        <v>0</v>
      </c>
      <c r="HC68" s="439">
        <f t="shared" ref="HC68:HC99" si="412">IF($AG$21,(ML+$DA68)*9.81*SIN(a)+IF($AM$27,Fl,0),0)</f>
        <v>0</v>
      </c>
      <c r="HD68" s="631" t="s">
        <v>92</v>
      </c>
      <c r="HE68" s="631" t="e">
        <f t="shared" si="306"/>
        <v>#REF!</v>
      </c>
      <c r="HG68" s="618">
        <f>HLOOKUP(CQ68,Spec_Sheet!$F$3:$DV$19,11,FALSE)+HLOOKUP(CQ68,Spec_Sheet!$F$3:$DV$21,19,FALSE)</f>
        <v>150</v>
      </c>
      <c r="HH68" s="618">
        <f t="shared" si="154"/>
        <v>100</v>
      </c>
      <c r="HI68" s="634">
        <f t="shared" si="155"/>
        <v>200</v>
      </c>
      <c r="HJ68" s="634" t="e">
        <f>HLOOKUP(IF(LEN(CQ68)&gt;6,LEFT(CQ68,5),CQ68),'LSM List Pricing'!$B$1:$BW$2,2,0)</f>
        <v>#N/A</v>
      </c>
      <c r="HK68" s="634" t="e">
        <f>HLOOKUP(HJ68,'LSM List Pricing'!$B$2:$BW$3,2)</f>
        <v>#N/A</v>
      </c>
      <c r="HL68" s="634" t="e">
        <f>VLOOKUP(HH68,'LSM List Pricing'!$A$7:$BW$87,HJ68,0)</f>
        <v>#REF!</v>
      </c>
      <c r="HM68" s="627" t="e">
        <f>VLOOKUP(HI68,'LSM List Pricing'!$A$7:$BW$87,HJ68,1)</f>
        <v>#REF!</v>
      </c>
      <c r="HN68" s="628" t="e">
        <f t="shared" si="307"/>
        <v>#N/A</v>
      </c>
      <c r="HO68" s="628" t="e">
        <f t="shared" si="308"/>
        <v>#N/A</v>
      </c>
      <c r="HP68" s="628" t="e">
        <f t="shared" si="309"/>
        <v>#N/A</v>
      </c>
      <c r="HR68" s="618">
        <v>3.2500000000000001E-2</v>
      </c>
      <c r="HS68" s="618">
        <f t="shared" si="109"/>
        <v>218.21428571428572</v>
      </c>
      <c r="HT68" s="618">
        <f t="shared" si="110"/>
        <v>1</v>
      </c>
      <c r="HU68" s="618">
        <f t="shared" si="170"/>
        <v>0.82757808207737149</v>
      </c>
      <c r="HW68" s="618">
        <f t="shared" ref="HW68:HW131" si="413">$HW$3-(HU68*$AQ$36)</f>
        <v>34.824839123450133</v>
      </c>
      <c r="HX68" s="618">
        <f t="shared" si="171"/>
        <v>0.81386280744813411</v>
      </c>
      <c r="HY68" s="618">
        <f t="shared" si="172"/>
        <v>3.2500000000000001E-2</v>
      </c>
      <c r="IB68" s="618">
        <f t="shared" ref="IB68:IB131" si="414">IF(AND(HX68&lt;$IB$1,HY68&lt;$IC$1,$AY$31),(HX68*1000)*IF($D$45&lt;0,-1,1),IB67)</f>
        <v>25.000350341399081</v>
      </c>
      <c r="IC68" s="618">
        <f t="shared" ref="IC68:IC131" si="415">IF(AND(HX68&lt;$IB$1,HY68&lt;$IC$1,$AY$31),HY68,IC67)</f>
        <v>1E-3</v>
      </c>
      <c r="IE68" s="618">
        <f t="shared" ref="IE68:IE131" si="416">IF(AND(HX68&lt;$IE$1,HY68&lt;$IF$1,$AY$31),(HX68*1000)*IF($H$45&lt;0,-1,1),IE67)</f>
        <v>0</v>
      </c>
      <c r="IF68" s="618">
        <f t="shared" ref="IF68:IF131" si="417">IF(AND(HX68&lt;$IE$1,HY68&lt;$IF$1,$AY$31),HY68+$IF$3,IF67)</f>
        <v>40.704999999999998</v>
      </c>
      <c r="IH68" s="618">
        <f t="shared" ref="IH68:IH131" si="418">IF(AND(HX68&lt;$IH$1,HY68&lt;$II$1,$AY$31),(HX68*1000)*IF($L$45&lt;0,-1,1),IH67)</f>
        <v>0</v>
      </c>
      <c r="II68" s="618">
        <f t="shared" ref="II68:II131" si="419">IF(AND(HX68&lt;$IH$1,HY68&lt;$II$1,$AY$31),HY68+$II$3,II67)</f>
        <v>40.704999999999998</v>
      </c>
      <c r="IK68" s="618">
        <f t="shared" ref="IK68:IK131" si="420">IF(AND(HX68&lt;$IK$1,HY68&lt;$IL$1,$AY$31),(HX68*1000)*IF($P$45&lt;0,-1,1),IK67)</f>
        <v>0</v>
      </c>
      <c r="IL68" s="618">
        <f t="shared" ref="IL68:IL131" si="421">IF(AND(HX68&lt;$IK$1,HY68&lt;$IL$1,$AY$31),HY68+$IL$3,IL67)</f>
        <v>40.704999999999998</v>
      </c>
      <c r="IN68" s="618">
        <f t="shared" ref="IN68:IN131" si="422">IF(AND(HX68&lt;$IN$1,HY68&lt;$IO$1,$AY$31),(HX68*1000)*IF($T$45&lt;0,-1,1),IN67)</f>
        <v>0</v>
      </c>
      <c r="IO68" s="618">
        <f t="shared" ref="IO68:IO131" si="423">IF(AND(HX68&lt;$IN$1,HY68&lt;$IO$1,$AY$31),HY68+$IO$3,IO67)</f>
        <v>40.704999999999998</v>
      </c>
      <c r="IQ68" s="618">
        <f t="shared" ref="IQ68:IQ131" si="424">IF(AND(HX68&lt;$IQ$1,HY68&lt;$IR$1,$AY$31),(HX68*1000)*IF($X$45&lt;0,-1,1),IQ67)</f>
        <v>0</v>
      </c>
      <c r="IR68" s="618">
        <f t="shared" ref="IR68:IR131" si="425">IF(AND(HX68&lt;$IQ$1,HY68&lt;$IR$1,$AY$31),HY68+$IR$3,IR67)</f>
        <v>40.704999999999998</v>
      </c>
      <c r="IT68" s="660" t="str">
        <f t="shared" ref="IT68:IT111" si="426">CQ68</f>
        <v>L350QS</v>
      </c>
      <c r="IU68" s="628"/>
      <c r="IV68" s="439">
        <f t="shared" ref="IV68:IV99" si="427">(ML+($CY68*2))*$AC$7+$IW68-IF(AND($Z$4,$V$11),Fl,0)</f>
        <v>3.0743999999999998</v>
      </c>
      <c r="IW68" s="440">
        <f t="shared" ref="IW68:IW99" si="428">(ML+($CY68*2))*(9.81*IF($W$11&gt;0,1,-1))*((SIN(a)*IF($W$11&gt;0,1,-1))+u*COS(a))+IF($V$11,Fl,0)+Fr</f>
        <v>2.3544</v>
      </c>
      <c r="IX68" s="439">
        <f t="shared" ref="IX68:IX99" si="429">(ML+($CY68*2))*$AC$10-$IW68+IF(AND($Z$4,$V$11),Fl,0)</f>
        <v>-1.6344000000000001</v>
      </c>
      <c r="IY68" s="439">
        <f t="shared" ref="IY68:IY99" si="430">(ML+($CY68*2))*9.81*SIN(a)+IF($V$11,Fl,0)-IF(AND($Z$4,$V$11),Fl,0)</f>
        <v>0</v>
      </c>
      <c r="IZ68" s="439">
        <f t="shared" ref="IZ68:IZ99" si="431">IF($P$13,(ML+($CY68*2))*$AC$15+$JA68,0)</f>
        <v>0</v>
      </c>
      <c r="JA68" s="439">
        <f t="shared" ref="JA68:JA99" si="432">IF($P$13,(ML+($CY68*2))*(9.81*IF($W$19&gt;0,1,-1))*((SIN(a)*IF($W$19&gt;0,1,-1))+u*COS(a))+IF($V$19,Fl,0)+Fr,0)</f>
        <v>0</v>
      </c>
      <c r="JB68" s="439">
        <f t="shared" ref="JB68:JB99" si="433">IF($P$13,(ML+($CY68*2))*$AC$18-$JA68,0)</f>
        <v>0</v>
      </c>
      <c r="JC68" s="439">
        <f t="shared" ref="JC68:JC99" si="434">IF($P$13,(ML+($CY68*2))*9.81*SIN(a)+IF($V$19,Fl,0),0)</f>
        <v>0</v>
      </c>
      <c r="JD68" s="439">
        <f t="shared" ref="JD68:JD99" si="435">IF($P$21,(ML+($CY68*2))*$AC$23+$JE68,0)</f>
        <v>0</v>
      </c>
      <c r="JE68" s="439">
        <f t="shared" ref="JE68:JE99" si="436">IF($P$21,(ML+($CY68*2))*(9.81*IF($W$27&gt;0,1,-1))*((SIN(a)*IF($W$27&gt;0,1,-1))+u*COS(a))+IF($V$27,Fl,0)+Fr,0)</f>
        <v>0</v>
      </c>
      <c r="JF68" s="439">
        <f t="shared" ref="JF68:JF99" si="437">IF($P$21,(ML+($CY68*2))*$AC$26-$JE68,0)</f>
        <v>0</v>
      </c>
      <c r="JG68" s="439">
        <f t="shared" ref="JG68:JG99" si="438">IF($P$21,(ML+($CY68*2))*9.81*SIN(a)+IF($V$27,Fl,0),0)</f>
        <v>0</v>
      </c>
      <c r="JH68" s="439">
        <f t="shared" ref="JH68:JH99" si="439">IF($AG$5,(ML+($CY68*2))*$AT$7+$JI68,0)</f>
        <v>0</v>
      </c>
      <c r="JI68" s="439">
        <f t="shared" ref="JI68:JI99" si="440">IF($AG$5,(ML+($CY68*2))*(9.81*IF($AN$11&gt;0,1,-1))*((SIN(a)*IF($AN$11&gt;0,1,-1))+u*COS(a))+IF($AM$11,Fl,0)+Fr,0)</f>
        <v>0</v>
      </c>
      <c r="JJ68" s="442">
        <f t="shared" ref="JJ68:JJ99" si="441">IF($AG$5,(ML+($CY68*2))*$AT$10-$JI68,0)</f>
        <v>0</v>
      </c>
      <c r="JK68" s="442">
        <f t="shared" ref="JK68:JK99" si="442">IF($AG$5,(ML+($CY68*2))*9.81*SIN(a)+IF($AM$11,Fl,0),0)</f>
        <v>0</v>
      </c>
      <c r="JL68" s="439">
        <f t="shared" ref="JL68:JL99" si="443">IF($AG$13,(ML+($CY68*2))*$AT$15+$JM68,0)</f>
        <v>0</v>
      </c>
      <c r="JM68" s="439">
        <f t="shared" ref="JM68:JM99" si="444">IF($AG$13,(ML+($CY68*2))*(9.81*IF($AN$19&gt;0,1,-1))*((SIN(a)*IF($AN$19&gt;0,1,-1))+u*COS(a))+IF($AM$19,Fl,0)+Fr,0)</f>
        <v>0</v>
      </c>
      <c r="JN68" s="661">
        <f t="shared" ref="JN68:JN99" si="445">IF($AG$13,(ML+($CY68*2))*$AT$18-$JM68,0)</f>
        <v>0</v>
      </c>
      <c r="JO68" s="661">
        <f t="shared" ref="JO68:JO99" si="446">IF($AG$13,(ML+($CY68*2))*9.81*SIN(a)+IF($AM$19,Fl,0),0)</f>
        <v>0</v>
      </c>
      <c r="JP68" s="439">
        <f t="shared" ref="JP68:JP99" si="447">IF($AG$21,(ML+($CY68*2))*$AT$23+$JQ68,0)</f>
        <v>0</v>
      </c>
      <c r="JQ68" s="439">
        <f t="shared" ref="JQ68:JQ99" si="448">IF($AG$21,(ML+($CY68*2))*(9.81*IF($AN$27&gt;0,1,-1))*((SIN(a)*IF($AN$27&gt;0,1,-1))+u*COS(a))+IF($AM$27,Fl,0)+Fr,0)</f>
        <v>0</v>
      </c>
      <c r="JR68" s="439">
        <f t="shared" ref="JR68:JR99" si="449">IF($AG$21,(ML+($CY68*2))*$AT$26-$JQ68,0)</f>
        <v>0</v>
      </c>
      <c r="JS68" s="439">
        <f t="shared" ref="JS68:JS99" si="450">IF($AG$21,(ML+($CY68*2))*9.81*SIN(a)+IF($AM$27,Fl,0),0)</f>
        <v>0</v>
      </c>
      <c r="JT68" s="631" t="s">
        <v>92</v>
      </c>
      <c r="JU68" s="631">
        <f t="shared" si="158"/>
        <v>0.31312051225869925</v>
      </c>
      <c r="JW68" s="522"/>
      <c r="JX68" s="522"/>
      <c r="JY68" s="522"/>
      <c r="JZ68" s="522"/>
      <c r="KA68" s="522"/>
      <c r="KB68" s="522"/>
      <c r="KC68" s="522"/>
      <c r="KD68" s="522"/>
      <c r="KE68" s="522"/>
      <c r="KF68" s="522"/>
      <c r="KG68" s="522"/>
      <c r="KH68" s="522"/>
      <c r="KI68" s="522"/>
      <c r="KJ68" s="522"/>
      <c r="KK68" s="522"/>
      <c r="KL68" s="522"/>
    </row>
    <row r="69" spans="1:298" ht="10.5" customHeight="1">
      <c r="A69" s="155"/>
      <c r="B69" s="450"/>
      <c r="C69" s="153"/>
      <c r="D69" s="153"/>
      <c r="E69" s="332"/>
      <c r="F69" s="332"/>
      <c r="G69" s="332"/>
      <c r="H69" s="332"/>
      <c r="I69" s="332"/>
      <c r="J69" s="332"/>
      <c r="K69" s="332"/>
      <c r="L69" s="332"/>
      <c r="M69" s="332"/>
      <c r="N69" s="332"/>
      <c r="O69" s="332"/>
      <c r="P69" s="332"/>
      <c r="Q69" s="332"/>
      <c r="R69" s="332"/>
      <c r="S69" s="332"/>
      <c r="T69" s="332"/>
      <c r="U69" s="331"/>
      <c r="V69" s="331"/>
      <c r="W69" s="332"/>
      <c r="X69" s="332"/>
      <c r="Y69" s="332"/>
      <c r="Z69" s="332"/>
      <c r="AA69" s="332"/>
      <c r="AB69" s="150"/>
      <c r="AC69" s="466"/>
      <c r="AD69" s="154"/>
      <c r="AE69" s="45"/>
      <c r="AF69" s="45"/>
      <c r="AG69" s="45"/>
      <c r="AH69" s="45"/>
      <c r="AI69" s="45"/>
      <c r="AJ69" s="45"/>
      <c r="AK69" s="45"/>
      <c r="AL69" s="154"/>
      <c r="AM69" s="154"/>
      <c r="AN69" s="45"/>
      <c r="AO69" s="45"/>
      <c r="AP69" s="45"/>
      <c r="AQ69" s="45"/>
      <c r="AR69" s="45"/>
      <c r="AS69" s="45"/>
      <c r="AT69" s="154"/>
      <c r="AU69" s="154"/>
      <c r="AV69" s="93" t="str">
        <f>IF($AY$30,I32,0)</f>
        <v/>
      </c>
      <c r="AW69" s="93">
        <f>IF($AY$32,'Data Sheet'!AA90,0)</f>
        <v>0</v>
      </c>
      <c r="AX69" s="93">
        <f>I31-AY34</f>
        <v>40.704999999999998</v>
      </c>
      <c r="AY69" s="444"/>
      <c r="AZ69" s="423"/>
      <c r="BA69" s="423"/>
      <c r="BB69" s="120"/>
      <c r="BC69" s="153"/>
      <c r="BD69" s="153"/>
      <c r="BE69" s="153"/>
      <c r="BF69" s="153"/>
      <c r="BG69" s="153"/>
      <c r="BH69" s="153"/>
      <c r="BI69" s="153"/>
      <c r="BJ69" s="153"/>
      <c r="BK69" s="153"/>
      <c r="BL69" s="153"/>
      <c r="BM69" s="267"/>
      <c r="BN69" s="267"/>
      <c r="BO69" s="124"/>
      <c r="BP69" s="864"/>
      <c r="BQ69" s="864"/>
      <c r="BR69" s="864"/>
      <c r="BS69" s="864"/>
      <c r="BT69" s="864"/>
      <c r="BU69" s="864"/>
      <c r="BV69" s="864"/>
      <c r="BW69" s="864"/>
      <c r="BX69" s="864"/>
      <c r="BY69" s="864"/>
      <c r="BZ69" s="864"/>
      <c r="CA69" s="864"/>
      <c r="CB69" s="864"/>
      <c r="CC69" s="864"/>
      <c r="CD69" s="864"/>
      <c r="CE69" s="864"/>
      <c r="CF69" s="864"/>
      <c r="CG69" s="864"/>
      <c r="CH69" s="864"/>
      <c r="CI69" s="864"/>
      <c r="CJ69" s="864"/>
      <c r="CK69" s="864"/>
      <c r="CL69" s="864"/>
      <c r="CM69" s="864"/>
      <c r="CN69" s="864"/>
      <c r="CO69" s="692" t="str">
        <f ca="1"/>
        <v>S320T 1S</v>
      </c>
      <c r="CP69" s="632" t="str">
        <f>IF(OR(CQ69=0,CR69="",CS69&gt;120),"",IF(HLOOKUP(CQ69,Spec_Sheet!$F$3:$ED$19,17,FALSE)&lt;$AC$46,"",CQ69))</f>
        <v>S250Q 1S</v>
      </c>
      <c r="CQ69" s="660" t="str">
        <f>IF(Spec_Sheet!A68="","",Spec_Sheet!A68)</f>
        <v>S250Q 1S</v>
      </c>
      <c r="CR69" s="660">
        <f>IF(CQ69="",0,HLOOKUP(CQ69,Spec_Sheet!$F$3:$ED$19,2,FALSE))</f>
        <v>74.995200000000011</v>
      </c>
      <c r="CS69" s="660">
        <f t="shared" si="169"/>
        <v>8.74644282736771E-4</v>
      </c>
      <c r="CT69" s="621">
        <f t="shared" si="310"/>
        <v>1.092548740719635E-3</v>
      </c>
      <c r="CU69" s="621">
        <f t="shared" si="316"/>
        <v>8.74644282736771E-4</v>
      </c>
      <c r="CV69" s="621">
        <f t="shared" si="311"/>
        <v>7.8448631324636172E-4</v>
      </c>
      <c r="CW69" s="621">
        <f t="shared" si="312"/>
        <v>6.0168868460518186E-4</v>
      </c>
      <c r="CX69" s="621">
        <f t="shared" si="157"/>
        <v>3.4326761646612957E-4</v>
      </c>
      <c r="CY69" s="619">
        <f>HLOOKUP(CQ69,Spec_Sheet!$F$3:$ED$19,13,FALSE)</f>
        <v>1.5</v>
      </c>
      <c r="CZ69" s="619">
        <f>VLOOKUP(HH69,'Shaft Weight'!$A$6:$CD$102,HJ69,TRUE)</f>
        <v>1.21</v>
      </c>
      <c r="DA69" s="619">
        <f>VLOOKUP(HI69,'Shaft Weight'!$A$6:$CD$102,HJ69,0)</f>
        <v>1.73</v>
      </c>
      <c r="DB69" s="619">
        <f>HLOOKUP(CQ69,Spec_Sheet!$F$3:$ED$19,6,FALSE)</f>
        <v>14.647500000000001</v>
      </c>
      <c r="DC69" s="439">
        <f t="shared" si="317"/>
        <v>2.4339</v>
      </c>
      <c r="DD69" s="440">
        <f t="shared" si="318"/>
        <v>1.8639000000000001</v>
      </c>
      <c r="DE69" s="439">
        <f t="shared" si="319"/>
        <v>-1.2939000000000003</v>
      </c>
      <c r="DF69" s="439">
        <f t="shared" si="320"/>
        <v>0</v>
      </c>
      <c r="DG69" s="439">
        <f t="shared" si="321"/>
        <v>0</v>
      </c>
      <c r="DH69" s="439">
        <f t="shared" si="322"/>
        <v>0</v>
      </c>
      <c r="DI69" s="439">
        <f t="shared" si="323"/>
        <v>0</v>
      </c>
      <c r="DJ69" s="439">
        <f t="shared" si="324"/>
        <v>0</v>
      </c>
      <c r="DK69" s="439">
        <f t="shared" si="325"/>
        <v>0</v>
      </c>
      <c r="DL69" s="439">
        <f t="shared" si="326"/>
        <v>0</v>
      </c>
      <c r="DM69" s="439">
        <f t="shared" si="327"/>
        <v>0</v>
      </c>
      <c r="DN69" s="439">
        <f t="shared" si="328"/>
        <v>0</v>
      </c>
      <c r="DO69" s="439">
        <f t="shared" si="329"/>
        <v>0</v>
      </c>
      <c r="DP69" s="439">
        <f t="shared" si="330"/>
        <v>0</v>
      </c>
      <c r="DQ69" s="442">
        <f t="shared" si="331"/>
        <v>0</v>
      </c>
      <c r="DR69" s="442">
        <f t="shared" si="332"/>
        <v>0</v>
      </c>
      <c r="DS69" s="439">
        <f t="shared" si="333"/>
        <v>0</v>
      </c>
      <c r="DT69" s="439">
        <f t="shared" si="334"/>
        <v>0</v>
      </c>
      <c r="DU69" s="661">
        <f t="shared" si="335"/>
        <v>0</v>
      </c>
      <c r="DV69" s="661">
        <f t="shared" si="336"/>
        <v>0</v>
      </c>
      <c r="DW69" s="439">
        <f t="shared" si="337"/>
        <v>0</v>
      </c>
      <c r="DX69" s="439">
        <f t="shared" si="338"/>
        <v>0</v>
      </c>
      <c r="DY69" s="439">
        <f t="shared" si="339"/>
        <v>0</v>
      </c>
      <c r="DZ69" s="439">
        <f t="shared" si="340"/>
        <v>0</v>
      </c>
      <c r="EA69" s="631" t="s">
        <v>92</v>
      </c>
      <c r="EB69" s="631">
        <f t="shared" ref="EB69:EB111" si="451">SQRT((((IF(DC69&gt;0,DC69,DC69*-1))^2*$D$38)+((IF(DD69&gt;0,DD69,DD69*-1))^2*$E$38)+((IF(DE69&gt;0,DE69,DE69*-1))^2*$F$38)+((IF(DF69&gt;0,DF69,DF69*-1))^2*$G$38)+((IF(DG69&gt;0,DG69,DG69*-1))^2*$H$38)+((IF(DH69&gt;0,DH69,DH69*-1))^2*$I$38)+((IF(DI69&gt;0,DI69,DI69*-1))^2*$J$38)+((IF(DJ69&gt;0,DJ69,DJ69*-1))^2*$K$38)+((IF(DK69&gt;0,DK69,DK69*-1))^2*$L$38)+((IF(DL69&gt;0,DL69,DL69*-1))^2*$M$38)+((IF(DM69&gt;0,DM69,DM69*-1))^2*$N$38)+((IF(DN69&gt;0,DN69,DN69*-1))^2*$O$38)+((IF(DO69&gt;0,DO69,DO69*-1))^2*$P$38)+((IF(DP69&gt;0,DP69,DP69*-1))^2*$Q$38)+((IF(DQ69&gt;0,DQ69,DQ69*-1))^2*$R$38)+((IF(DR69&gt;0,DR69,DR69*-1))^2*$S$38)+((IF(DS69&gt;0,DS69,DS69*-1))^2*$T$38)+((IF(DT69&gt;0,DT69,DT69*-1))^2*$U$38)+((IF(DU69&gt;0,DU69,DU69*-1))^2*$V$38)+((IF(DV69&gt;0,DV69,DV69*-1))^2*$W$38)+((IF(DW69&gt;0,DW69,DW69*-1))^2*$X$38)+((IF(DX69&gt;0,DX69,DX69*-1))^2*$Y$38)+((IF(DY69&gt;0,DY69,DY69*-1))^2*$Z$38)+((IF(DZ69&gt;0,DZ69,DZ69*-1))^2*$AA$38))/$AA$31)</f>
        <v>0.2478870722048036</v>
      </c>
      <c r="ED69" s="439">
        <f t="shared" si="341"/>
        <v>3.6124200000000002</v>
      </c>
      <c r="EE69" s="440">
        <f t="shared" si="342"/>
        <v>2.7664200000000001</v>
      </c>
      <c r="EF69" s="439">
        <f t="shared" si="343"/>
        <v>-1.92042</v>
      </c>
      <c r="EG69" s="441">
        <f t="shared" si="344"/>
        <v>0</v>
      </c>
      <c r="EH69" s="439">
        <f t="shared" si="345"/>
        <v>0</v>
      </c>
      <c r="EI69" s="439">
        <f t="shared" si="346"/>
        <v>0</v>
      </c>
      <c r="EJ69" s="439">
        <f t="shared" si="347"/>
        <v>0</v>
      </c>
      <c r="EK69" s="439">
        <f t="shared" si="348"/>
        <v>0</v>
      </c>
      <c r="EL69" s="439">
        <f t="shared" si="349"/>
        <v>0</v>
      </c>
      <c r="EM69" s="439">
        <f t="shared" si="350"/>
        <v>0</v>
      </c>
      <c r="EN69" s="439">
        <f t="shared" si="351"/>
        <v>0</v>
      </c>
      <c r="EO69" s="439">
        <f t="shared" si="352"/>
        <v>0</v>
      </c>
      <c r="EP69" s="439">
        <f t="shared" si="353"/>
        <v>0</v>
      </c>
      <c r="EQ69" s="439">
        <f t="shared" si="354"/>
        <v>0</v>
      </c>
      <c r="ER69" s="442">
        <f t="shared" si="355"/>
        <v>0</v>
      </c>
      <c r="ES69" s="442">
        <f t="shared" si="356"/>
        <v>0</v>
      </c>
      <c r="ET69" s="439">
        <f t="shared" si="357"/>
        <v>0</v>
      </c>
      <c r="EU69" s="439">
        <f t="shared" si="358"/>
        <v>0</v>
      </c>
      <c r="EV69" s="661">
        <f t="shared" si="359"/>
        <v>0</v>
      </c>
      <c r="EW69" s="661">
        <f t="shared" si="360"/>
        <v>0</v>
      </c>
      <c r="EX69" s="439">
        <f t="shared" si="361"/>
        <v>0</v>
      </c>
      <c r="EY69" s="439">
        <f t="shared" si="362"/>
        <v>0</v>
      </c>
      <c r="EZ69" s="439">
        <f t="shared" si="363"/>
        <v>0</v>
      </c>
      <c r="FA69" s="439">
        <f t="shared" si="364"/>
        <v>0</v>
      </c>
      <c r="FB69" s="631" t="s">
        <v>92</v>
      </c>
      <c r="FC69" s="631">
        <f t="shared" ref="FC69:FC111" si="452">SQRT((((IF(ED69&gt;0,ED69,ED69*-1))^2*$D$38)+((IF(EE69&gt;0,EE69,EE69*-1))^2*$E$38)+((IF(EF69&gt;0,EF69,EF69*-1))^2*$F$38)+((IF(EG69&gt;0,EG69,EG69*-1))^2*$G$38)+((IF(EH69&gt;0,EH69,EH69*-1))^2*$H$38)+((IF(EI69&gt;0,EI69,EI69*-1))^2*$I$38)+((IF(EJ69&gt;0,EJ69,EJ69*-1))^2*$J$38)+((IF(EK69&gt;0,EK69,EK69*-1))^2*$K$38)+((IF(EL69&gt;0,EL69,EL69*-1))^2*$L$38)+((IF(EM69&gt;0,EM69,EM69*-1))^2*$M$38)+((IF(EN69&gt;0,EN69,EN69*-1))^2*$N$38)+((IF(EO69&gt;0,EO69,EO69*-1))^2*$O$38)+((IF(EP69&gt;0,EP69,EP69*-1))^2*$P$38)+((IF(EQ69&gt;0,EQ69,EQ69*-1))^2*$Q$38)+((IF(ER69&gt;0,ER69,ER69*-1))^2*$R$38)+((IF(ES69&gt;0,ES69,ES69*-1))^2*$S$38)+((IF(ET69&gt;0,ET69,ET69*-1))^2*$T$38)+((IF(EU69&gt;0,EU69,EU69*-1))^2*$U$38)+((IF(EV69&gt;0,EV69,EV69*-1))^2*$V$38)+((IF(EW69&gt;0,EW69,EW69*-1))^2*$W$38)+((IF(EX69&gt;0,EX69,EX69*-1))^2*$X$38)+((IF(EY69&gt;0,EY69,EY69*-1))^2*$Y$38)+((IF(EZ69&gt;0,EZ69,EZ69*-1))^2*$Z$38)+((IF(FA69&gt;0,FA69,FA69*-1))^2*$AA$38))/$AA$31)</f>
        <v>0.36791660190397169</v>
      </c>
      <c r="FE69" s="439">
        <f t="shared" si="365"/>
        <v>2.0624100000000003</v>
      </c>
      <c r="FF69" s="440">
        <f t="shared" si="366"/>
        <v>1.5794100000000002</v>
      </c>
      <c r="FG69" s="439">
        <f t="shared" si="367"/>
        <v>-1.0964100000000003</v>
      </c>
      <c r="FH69" s="441">
        <f t="shared" si="368"/>
        <v>0</v>
      </c>
      <c r="FI69" s="439">
        <f t="shared" si="369"/>
        <v>0</v>
      </c>
      <c r="FJ69" s="439">
        <f t="shared" si="370"/>
        <v>0</v>
      </c>
      <c r="FK69" s="439">
        <f t="shared" si="371"/>
        <v>0</v>
      </c>
      <c r="FL69" s="439">
        <f t="shared" si="372"/>
        <v>0</v>
      </c>
      <c r="FM69" s="439">
        <f t="shared" si="373"/>
        <v>0</v>
      </c>
      <c r="FN69" s="439">
        <f t="shared" si="374"/>
        <v>0</v>
      </c>
      <c r="FO69" s="439">
        <f t="shared" si="375"/>
        <v>0</v>
      </c>
      <c r="FP69" s="439">
        <f t="shared" si="376"/>
        <v>0</v>
      </c>
      <c r="FQ69" s="439">
        <f t="shared" si="377"/>
        <v>0</v>
      </c>
      <c r="FR69" s="439">
        <f t="shared" si="378"/>
        <v>0</v>
      </c>
      <c r="FS69" s="442">
        <f t="shared" si="379"/>
        <v>0</v>
      </c>
      <c r="FT69" s="442">
        <f t="shared" si="380"/>
        <v>0</v>
      </c>
      <c r="FU69" s="439">
        <f t="shared" si="381"/>
        <v>0</v>
      </c>
      <c r="FV69" s="439">
        <f t="shared" si="382"/>
        <v>0</v>
      </c>
      <c r="FW69" s="661">
        <f t="shared" si="383"/>
        <v>0</v>
      </c>
      <c r="FX69" s="661">
        <f t="shared" si="384"/>
        <v>0</v>
      </c>
      <c r="FY69" s="439">
        <f t="shared" si="385"/>
        <v>0</v>
      </c>
      <c r="FZ69" s="439">
        <f t="shared" si="386"/>
        <v>0</v>
      </c>
      <c r="GA69" s="439">
        <f t="shared" si="387"/>
        <v>0</v>
      </c>
      <c r="GB69" s="439">
        <f t="shared" si="388"/>
        <v>0</v>
      </c>
      <c r="GC69" s="631" t="s">
        <v>92</v>
      </c>
      <c r="GD69" s="631">
        <f t="shared" ref="GD69:GD111" si="453">SQRT((((IF(FE69&gt;0,FE69,FE69*-1))^2*$D$38)+((IF(FF69&gt;0,FF69,FF69*-1))^2*$E$38)+((IF(FG69&gt;0,FG69,FG69*-1))^2*$F$38)+((IF(FH69&gt;0,FH69,FH69*-1))^2*$G$38)+((IF(FI69&gt;0,FI69,FI69*-1))^2*$H$38)+((IF(FJ69&gt;0,FJ69,FJ69*-1))^2*$I$38)+((IF(FK69&gt;0,FK69,FK69*-1))^2*$J$38)+((IF(FL69&gt;0,FL69,FL69*-1))^2*$K$38)+((IF(FM69&gt;0,FM69,FM69*-1))^2*$L$38)+((IF(FN69&gt;0,FN69,FN69*-1))^2*$M$38)+((IF(FO69&gt;0,FO69,FO69*-1))^2*$N$38)+((IF(FP69&gt;0,FP69,FP69*-1))^2*$O$38)+((IF(FQ69&gt;0,FQ69,FQ69*-1))^2*$P$38)+((IF(FR69&gt;0,FR69,FR69*-1))^2*$Q$38)+((IF(FS69&gt;0,FS69,FS69*-1))^2*$R$38)+((IF(FT69&gt;0,FT69,FT69*-1))^2*$S$38)+((IF(FU69&gt;0,FU69,FU69*-1))^2*$T$38)+((IF(FV69&gt;0,FV69,FV69*-1))^2*$U$38)+((IF(FW69&gt;0,FW69,FW69*-1))^2*$V$38)+((IF(FX69&gt;0,FX69,FX69*-1))^2*$W$38)+((IF(FY69&gt;0,FY69,FY69*-1))^2*$X$38)+((IF(FZ69&gt;0,FZ69,FZ69*-1))^2*$Y$38)+((IF(GA69&gt;0,GA69,GA69*-1))^2*$Z$38)+((IF(GB69&gt;0,GB69,GB69*-1))^2*$AA$38))/$AA$31)</f>
        <v>0.21005167697354413</v>
      </c>
      <c r="GF69" s="439">
        <f t="shared" si="389"/>
        <v>2.7285299999999997</v>
      </c>
      <c r="GG69" s="440">
        <f t="shared" si="390"/>
        <v>2.0895299999999999</v>
      </c>
      <c r="GH69" s="439">
        <f t="shared" si="391"/>
        <v>-1.4505300000000001</v>
      </c>
      <c r="GI69" s="439">
        <f t="shared" si="392"/>
        <v>0</v>
      </c>
      <c r="GJ69" s="439">
        <f t="shared" si="393"/>
        <v>0</v>
      </c>
      <c r="GK69" s="439">
        <f t="shared" si="394"/>
        <v>0</v>
      </c>
      <c r="GL69" s="439">
        <f t="shared" si="395"/>
        <v>0</v>
      </c>
      <c r="GM69" s="439">
        <f t="shared" si="396"/>
        <v>0</v>
      </c>
      <c r="GN69" s="439">
        <f t="shared" si="397"/>
        <v>0</v>
      </c>
      <c r="GO69" s="439">
        <f t="shared" si="398"/>
        <v>0</v>
      </c>
      <c r="GP69" s="439">
        <f t="shared" si="399"/>
        <v>0</v>
      </c>
      <c r="GQ69" s="439">
        <f t="shared" si="400"/>
        <v>0</v>
      </c>
      <c r="GR69" s="439">
        <f t="shared" si="401"/>
        <v>0</v>
      </c>
      <c r="GS69" s="439">
        <f t="shared" si="402"/>
        <v>0</v>
      </c>
      <c r="GT69" s="442">
        <f t="shared" si="403"/>
        <v>0</v>
      </c>
      <c r="GU69" s="442">
        <f t="shared" si="404"/>
        <v>0</v>
      </c>
      <c r="GV69" s="439">
        <f t="shared" si="405"/>
        <v>0</v>
      </c>
      <c r="GW69" s="439">
        <f t="shared" si="406"/>
        <v>0</v>
      </c>
      <c r="GX69" s="661">
        <f t="shared" si="407"/>
        <v>0</v>
      </c>
      <c r="GY69" s="661">
        <f t="shared" si="408"/>
        <v>0</v>
      </c>
      <c r="GZ69" s="439">
        <f t="shared" si="409"/>
        <v>0</v>
      </c>
      <c r="HA69" s="439">
        <f t="shared" si="410"/>
        <v>0</v>
      </c>
      <c r="HB69" s="439">
        <f t="shared" si="411"/>
        <v>0</v>
      </c>
      <c r="HC69" s="439">
        <f t="shared" si="412"/>
        <v>0</v>
      </c>
      <c r="HD69" s="631" t="s">
        <v>92</v>
      </c>
      <c r="HE69" s="631">
        <f t="shared" si="306"/>
        <v>0.27789445462959561</v>
      </c>
      <c r="HG69" s="618">
        <f>HLOOKUP(CQ69,Spec_Sheet!$F$3:$DV$19,11,FALSE)+HLOOKUP(CQ69,Spec_Sheet!$F$3:$DV$21,19,FALSE)</f>
        <v>225</v>
      </c>
      <c r="HH69" s="618">
        <f t="shared" ref="HH69:HH111" si="454">IF(VALUE(RIGHT(LEFT(CQ69,4),3))=40,$AC$46,IF(VALUE(RIGHT(LEFT(CQ69,4),3))&lt;120,$AC$47,IF(VALUE(RIGHT(LEFT(CQ69,4),3))=120,$AC$48,$AC$49)))</f>
        <v>100</v>
      </c>
      <c r="HI69" s="634">
        <f t="shared" ref="HI69:HI111" si="455">IF(AND((HH69+HG69)&lt;50,VALUE(RIGHT(LEFT(CQ69,4),3))=40),CEILING($AC$34+HG69,10),CEILING($AC$34+HG69,50))</f>
        <v>250</v>
      </c>
      <c r="HJ69" s="634">
        <f>HLOOKUP(IF(LEN(CQ69)&gt;6,LEFT(CQ69,5),CQ69),'LSM List Pricing'!$B$1:$BW$2,2,0)</f>
        <v>50</v>
      </c>
      <c r="HK69" s="634">
        <f>HLOOKUP(HJ69,'LSM List Pricing'!$B$2:$BW$3,2)</f>
        <v>610</v>
      </c>
      <c r="HL69" s="634">
        <f>VLOOKUP(HH69,'LSM List Pricing'!$A$7:$BW$87,HJ69,0)</f>
        <v>600</v>
      </c>
      <c r="HM69" s="627">
        <f>VLOOKUP(HI69,'LSM List Pricing'!$A$7:$BW$87,HJ69,1)</f>
        <v>820</v>
      </c>
      <c r="HN69" s="628">
        <f t="shared" si="307"/>
        <v>3.1025641025641026</v>
      </c>
      <c r="HO69" s="628">
        <f t="shared" si="308"/>
        <v>6.2051282051282053</v>
      </c>
      <c r="HP69" s="628">
        <f t="shared" si="309"/>
        <v>5.2307692307692308</v>
      </c>
      <c r="HR69" s="618">
        <v>3.3000000000000002E-2</v>
      </c>
      <c r="HS69" s="618">
        <f t="shared" si="109"/>
        <v>221.57142857142858</v>
      </c>
      <c r="HT69" s="618">
        <f t="shared" si="110"/>
        <v>1</v>
      </c>
      <c r="HU69" s="618">
        <f t="shared" si="170"/>
        <v>0.84031712605099629</v>
      </c>
      <c r="HW69" s="618">
        <f t="shared" si="413"/>
        <v>34.806749681007588</v>
      </c>
      <c r="HX69" s="618">
        <f t="shared" si="171"/>
        <v>0.8261796050805037</v>
      </c>
      <c r="HY69" s="618">
        <f t="shared" si="172"/>
        <v>3.3000000000000002E-2</v>
      </c>
      <c r="IB69" s="618">
        <f t="shared" si="414"/>
        <v>25.000350341399081</v>
      </c>
      <c r="IC69" s="618">
        <f t="shared" si="415"/>
        <v>1E-3</v>
      </c>
      <c r="IE69" s="618">
        <f t="shared" si="416"/>
        <v>0</v>
      </c>
      <c r="IF69" s="618">
        <f t="shared" si="417"/>
        <v>40.704999999999998</v>
      </c>
      <c r="IH69" s="618">
        <f t="shared" si="418"/>
        <v>0</v>
      </c>
      <c r="II69" s="618">
        <f t="shared" si="419"/>
        <v>40.704999999999998</v>
      </c>
      <c r="IK69" s="618">
        <f t="shared" si="420"/>
        <v>0</v>
      </c>
      <c r="IL69" s="618">
        <f t="shared" si="421"/>
        <v>40.704999999999998</v>
      </c>
      <c r="IN69" s="618">
        <f t="shared" si="422"/>
        <v>0</v>
      </c>
      <c r="IO69" s="618">
        <f t="shared" si="423"/>
        <v>40.704999999999998</v>
      </c>
      <c r="IQ69" s="618">
        <f t="shared" si="424"/>
        <v>0</v>
      </c>
      <c r="IR69" s="618">
        <f t="shared" si="425"/>
        <v>40.704999999999998</v>
      </c>
      <c r="IT69" s="660" t="str">
        <f t="shared" si="426"/>
        <v>S250Q 1S</v>
      </c>
      <c r="IU69" s="628"/>
      <c r="IV69" s="439">
        <f t="shared" si="427"/>
        <v>4.3553999999999995</v>
      </c>
      <c r="IW69" s="440">
        <f t="shared" si="428"/>
        <v>3.3353999999999999</v>
      </c>
      <c r="IX69" s="439">
        <f t="shared" si="429"/>
        <v>-2.3153999999999999</v>
      </c>
      <c r="IY69" s="439">
        <f t="shared" si="430"/>
        <v>0</v>
      </c>
      <c r="IZ69" s="439">
        <f t="shared" si="431"/>
        <v>0</v>
      </c>
      <c r="JA69" s="439">
        <f t="shared" si="432"/>
        <v>0</v>
      </c>
      <c r="JB69" s="439">
        <f t="shared" si="433"/>
        <v>0</v>
      </c>
      <c r="JC69" s="439">
        <f t="shared" si="434"/>
        <v>0</v>
      </c>
      <c r="JD69" s="439">
        <f t="shared" si="435"/>
        <v>0</v>
      </c>
      <c r="JE69" s="439">
        <f t="shared" si="436"/>
        <v>0</v>
      </c>
      <c r="JF69" s="439">
        <f t="shared" si="437"/>
        <v>0</v>
      </c>
      <c r="JG69" s="439">
        <f t="shared" si="438"/>
        <v>0</v>
      </c>
      <c r="JH69" s="439">
        <f t="shared" si="439"/>
        <v>0</v>
      </c>
      <c r="JI69" s="439">
        <f t="shared" si="440"/>
        <v>0</v>
      </c>
      <c r="JJ69" s="442">
        <f t="shared" si="441"/>
        <v>0</v>
      </c>
      <c r="JK69" s="442">
        <f t="shared" si="442"/>
        <v>0</v>
      </c>
      <c r="JL69" s="439">
        <f t="shared" si="443"/>
        <v>0</v>
      </c>
      <c r="JM69" s="439">
        <f t="shared" si="444"/>
        <v>0</v>
      </c>
      <c r="JN69" s="661">
        <f t="shared" si="445"/>
        <v>0</v>
      </c>
      <c r="JO69" s="661">
        <f t="shared" si="446"/>
        <v>0</v>
      </c>
      <c r="JP69" s="439">
        <f t="shared" si="447"/>
        <v>0</v>
      </c>
      <c r="JQ69" s="439">
        <f t="shared" si="448"/>
        <v>0</v>
      </c>
      <c r="JR69" s="439">
        <f t="shared" si="449"/>
        <v>0</v>
      </c>
      <c r="JS69" s="439">
        <f t="shared" si="450"/>
        <v>0</v>
      </c>
      <c r="JT69" s="631" t="s">
        <v>92</v>
      </c>
      <c r="JU69" s="631">
        <f t="shared" si="158"/>
        <v>0.44358739236649058</v>
      </c>
      <c r="JW69" s="522"/>
      <c r="JX69" s="522"/>
      <c r="JY69" s="522"/>
      <c r="JZ69" s="522"/>
      <c r="KA69" s="522"/>
      <c r="KB69" s="522"/>
      <c r="KC69" s="522"/>
      <c r="KD69" s="522"/>
      <c r="KE69" s="522"/>
      <c r="KF69" s="522"/>
      <c r="KG69" s="522"/>
      <c r="KH69" s="522"/>
      <c r="KI69" s="522"/>
      <c r="KJ69" s="522"/>
      <c r="KK69" s="522"/>
      <c r="KL69" s="522"/>
    </row>
    <row r="70" spans="1:298" ht="12.75" customHeight="1">
      <c r="A70" s="155"/>
      <c r="B70" s="467"/>
      <c r="C70" s="153"/>
      <c r="D70" s="153"/>
      <c r="E70" s="150"/>
      <c r="F70" s="150"/>
      <c r="G70" s="150"/>
      <c r="H70" s="150"/>
      <c r="I70" s="150"/>
      <c r="J70" s="150"/>
      <c r="K70" s="150"/>
      <c r="L70" s="150"/>
      <c r="M70" s="150"/>
      <c r="N70" s="150"/>
      <c r="O70" s="150"/>
      <c r="P70" s="150"/>
      <c r="Q70" s="150"/>
      <c r="R70" s="150"/>
      <c r="S70" s="150"/>
      <c r="T70" s="150"/>
      <c r="U70" s="466"/>
      <c r="V70" s="466"/>
      <c r="W70" s="150"/>
      <c r="X70" s="150"/>
      <c r="Y70" s="150"/>
      <c r="Z70" s="150"/>
      <c r="AA70" s="150"/>
      <c r="AB70" s="150"/>
      <c r="AC70" s="466"/>
      <c r="AD70" s="154"/>
      <c r="AE70" s="45"/>
      <c r="AF70" s="45"/>
      <c r="AG70" s="45"/>
      <c r="AH70" s="45"/>
      <c r="AI70" s="45"/>
      <c r="AJ70" s="45"/>
      <c r="AK70" s="45"/>
      <c r="AL70" s="154"/>
      <c r="AM70" s="154"/>
      <c r="AN70" s="45"/>
      <c r="AO70" s="45"/>
      <c r="AP70" s="45"/>
      <c r="AQ70" s="45"/>
      <c r="AR70" s="45"/>
      <c r="AS70" s="45"/>
      <c r="AT70" s="154"/>
      <c r="AU70" s="154"/>
      <c r="AV70" s="93" t="e">
        <f>IF($AY$30,G93,0)*$G$82</f>
        <v>#DIV/0!</v>
      </c>
      <c r="AW70" s="93" t="e">
        <f>IF($AY$32,'Data Sheet'!AA91,0)</f>
        <v>#DIV/0!</v>
      </c>
      <c r="AX70" s="93">
        <f>AX69</f>
        <v>40.704999999999998</v>
      </c>
      <c r="AY70" s="513"/>
      <c r="AZ70" s="512"/>
      <c r="BA70" s="153"/>
      <c r="BB70" s="120"/>
      <c r="BC70" s="153"/>
      <c r="BD70" s="153"/>
      <c r="BE70" s="153"/>
      <c r="BF70" s="153"/>
      <c r="BG70" s="153"/>
      <c r="BH70" s="153"/>
      <c r="BI70" s="153"/>
      <c r="BJ70" s="153"/>
      <c r="BK70" s="153"/>
      <c r="BL70" s="153"/>
      <c r="BM70" s="267"/>
      <c r="BN70" s="267"/>
      <c r="BO70" s="124"/>
      <c r="BP70" s="407" t="s">
        <v>604</v>
      </c>
      <c r="BQ70" s="124"/>
      <c r="BR70" s="124"/>
      <c r="BS70" s="124"/>
      <c r="BT70" s="124"/>
      <c r="BU70" s="124"/>
      <c r="BV70" s="124"/>
      <c r="BW70" s="124"/>
      <c r="BX70" s="124"/>
      <c r="BY70" s="124"/>
      <c r="BZ70" s="124"/>
      <c r="CA70" s="124"/>
      <c r="CB70" s="124"/>
      <c r="CC70" s="124"/>
      <c r="CD70" s="124"/>
      <c r="CE70" s="124"/>
      <c r="CF70" s="124"/>
      <c r="CG70" s="124"/>
      <c r="CH70" s="44"/>
      <c r="CI70" s="44"/>
      <c r="CO70" s="693" t="str">
        <f ca="1"/>
        <v>L320T</v>
      </c>
      <c r="CP70" s="632" t="str">
        <f>IF(OR(CQ70=0,CR70="",CS70&gt;120),"",IF(HLOOKUP(CQ70,Spec_Sheet!$F$3:$ED$19,17,FALSE)&lt;$AC$46,"",CQ70))</f>
        <v>S250Q 2S</v>
      </c>
      <c r="CQ70" s="660" t="str">
        <f>IF(Spec_Sheet!A69="","",Spec_Sheet!A69)</f>
        <v>S250Q 2S</v>
      </c>
      <c r="CR70" s="660">
        <f>IF(CQ70="",0,HLOOKUP(CQ70,Spec_Sheet!$F$3:$ED$19,2,FALSE))</f>
        <v>74.995200000000011</v>
      </c>
      <c r="CS70" s="660">
        <f t="shared" si="169"/>
        <v>8.74644282736771E-4</v>
      </c>
      <c r="CT70" s="621">
        <f t="shared" si="310"/>
        <v>1.092548740719635E-3</v>
      </c>
      <c r="CU70" s="621">
        <f t="shared" si="316"/>
        <v>8.74644282736771E-4</v>
      </c>
      <c r="CV70" s="621">
        <f t="shared" si="311"/>
        <v>7.8448631324636172E-4</v>
      </c>
      <c r="CW70" s="621">
        <f t="shared" si="312"/>
        <v>6.0168868460518186E-4</v>
      </c>
      <c r="CX70" s="621">
        <f t="shared" ref="CX70:CX107" si="456">IF(DA70="X","",((HE70/DB70)/((CR70*2)/DB70))^2*100)</f>
        <v>3.4326761646612957E-4</v>
      </c>
      <c r="CY70" s="619">
        <f>HLOOKUP(CQ70,Spec_Sheet!$F$3:$ED$19,13,FALSE)</f>
        <v>1.5</v>
      </c>
      <c r="CZ70" s="619">
        <f>VLOOKUP(HH70,'Shaft Weight'!$A$6:$CD$102,HJ70,TRUE)</f>
        <v>1.21</v>
      </c>
      <c r="DA70" s="619">
        <f>VLOOKUP(HI70,'Shaft Weight'!$A$6:$CD$102,HJ70,0)</f>
        <v>1.73</v>
      </c>
      <c r="DB70" s="619">
        <f>HLOOKUP(CQ70,Spec_Sheet!$F$3:$ED$19,6,FALSE)</f>
        <v>29.295000000000002</v>
      </c>
      <c r="DC70" s="439">
        <f t="shared" si="317"/>
        <v>2.4339</v>
      </c>
      <c r="DD70" s="440">
        <f t="shared" si="318"/>
        <v>1.8639000000000001</v>
      </c>
      <c r="DE70" s="439">
        <f t="shared" si="319"/>
        <v>-1.2939000000000003</v>
      </c>
      <c r="DF70" s="439">
        <f t="shared" si="320"/>
        <v>0</v>
      </c>
      <c r="DG70" s="439">
        <f t="shared" si="321"/>
        <v>0</v>
      </c>
      <c r="DH70" s="439">
        <f t="shared" si="322"/>
        <v>0</v>
      </c>
      <c r="DI70" s="439">
        <f t="shared" si="323"/>
        <v>0</v>
      </c>
      <c r="DJ70" s="439">
        <f t="shared" si="324"/>
        <v>0</v>
      </c>
      <c r="DK70" s="439">
        <f t="shared" si="325"/>
        <v>0</v>
      </c>
      <c r="DL70" s="439">
        <f t="shared" si="326"/>
        <v>0</v>
      </c>
      <c r="DM70" s="439">
        <f t="shared" si="327"/>
        <v>0</v>
      </c>
      <c r="DN70" s="439">
        <f t="shared" si="328"/>
        <v>0</v>
      </c>
      <c r="DO70" s="439">
        <f t="shared" si="329"/>
        <v>0</v>
      </c>
      <c r="DP70" s="439">
        <f t="shared" si="330"/>
        <v>0</v>
      </c>
      <c r="DQ70" s="442">
        <f t="shared" si="331"/>
        <v>0</v>
      </c>
      <c r="DR70" s="442">
        <f t="shared" si="332"/>
        <v>0</v>
      </c>
      <c r="DS70" s="439">
        <f t="shared" si="333"/>
        <v>0</v>
      </c>
      <c r="DT70" s="439">
        <f t="shared" si="334"/>
        <v>0</v>
      </c>
      <c r="DU70" s="661">
        <f t="shared" si="335"/>
        <v>0</v>
      </c>
      <c r="DV70" s="661">
        <f t="shared" si="336"/>
        <v>0</v>
      </c>
      <c r="DW70" s="439">
        <f t="shared" si="337"/>
        <v>0</v>
      </c>
      <c r="DX70" s="439">
        <f t="shared" si="338"/>
        <v>0</v>
      </c>
      <c r="DY70" s="439">
        <f t="shared" si="339"/>
        <v>0</v>
      </c>
      <c r="DZ70" s="439">
        <f t="shared" si="340"/>
        <v>0</v>
      </c>
      <c r="EA70" s="631" t="s">
        <v>92</v>
      </c>
      <c r="EB70" s="631">
        <f t="shared" si="451"/>
        <v>0.2478870722048036</v>
      </c>
      <c r="ED70" s="439">
        <f t="shared" si="341"/>
        <v>3.6124200000000002</v>
      </c>
      <c r="EE70" s="440">
        <f t="shared" si="342"/>
        <v>2.7664200000000001</v>
      </c>
      <c r="EF70" s="439">
        <f t="shared" si="343"/>
        <v>-1.92042</v>
      </c>
      <c r="EG70" s="441">
        <f t="shared" si="344"/>
        <v>0</v>
      </c>
      <c r="EH70" s="439">
        <f t="shared" si="345"/>
        <v>0</v>
      </c>
      <c r="EI70" s="439">
        <f t="shared" si="346"/>
        <v>0</v>
      </c>
      <c r="EJ70" s="439">
        <f t="shared" si="347"/>
        <v>0</v>
      </c>
      <c r="EK70" s="439">
        <f t="shared" si="348"/>
        <v>0</v>
      </c>
      <c r="EL70" s="439">
        <f t="shared" si="349"/>
        <v>0</v>
      </c>
      <c r="EM70" s="439">
        <f t="shared" si="350"/>
        <v>0</v>
      </c>
      <c r="EN70" s="439">
        <f t="shared" si="351"/>
        <v>0</v>
      </c>
      <c r="EO70" s="439">
        <f t="shared" si="352"/>
        <v>0</v>
      </c>
      <c r="EP70" s="439">
        <f t="shared" si="353"/>
        <v>0</v>
      </c>
      <c r="EQ70" s="439">
        <f t="shared" si="354"/>
        <v>0</v>
      </c>
      <c r="ER70" s="442">
        <f t="shared" si="355"/>
        <v>0</v>
      </c>
      <c r="ES70" s="442">
        <f t="shared" si="356"/>
        <v>0</v>
      </c>
      <c r="ET70" s="439">
        <f t="shared" si="357"/>
        <v>0</v>
      </c>
      <c r="EU70" s="439">
        <f t="shared" si="358"/>
        <v>0</v>
      </c>
      <c r="EV70" s="661">
        <f t="shared" si="359"/>
        <v>0</v>
      </c>
      <c r="EW70" s="661">
        <f t="shared" si="360"/>
        <v>0</v>
      </c>
      <c r="EX70" s="439">
        <f t="shared" si="361"/>
        <v>0</v>
      </c>
      <c r="EY70" s="439">
        <f t="shared" si="362"/>
        <v>0</v>
      </c>
      <c r="EZ70" s="439">
        <f t="shared" si="363"/>
        <v>0</v>
      </c>
      <c r="FA70" s="439">
        <f t="shared" si="364"/>
        <v>0</v>
      </c>
      <c r="FB70" s="631" t="s">
        <v>92</v>
      </c>
      <c r="FC70" s="631">
        <f t="shared" si="452"/>
        <v>0.36791660190397169</v>
      </c>
      <c r="FE70" s="439">
        <f t="shared" si="365"/>
        <v>2.0624100000000003</v>
      </c>
      <c r="FF70" s="440">
        <f t="shared" si="366"/>
        <v>1.5794100000000002</v>
      </c>
      <c r="FG70" s="439">
        <f t="shared" si="367"/>
        <v>-1.0964100000000003</v>
      </c>
      <c r="FH70" s="441">
        <f t="shared" si="368"/>
        <v>0</v>
      </c>
      <c r="FI70" s="439">
        <f t="shared" si="369"/>
        <v>0</v>
      </c>
      <c r="FJ70" s="439">
        <f t="shared" si="370"/>
        <v>0</v>
      </c>
      <c r="FK70" s="439">
        <f t="shared" si="371"/>
        <v>0</v>
      </c>
      <c r="FL70" s="439">
        <f t="shared" si="372"/>
        <v>0</v>
      </c>
      <c r="FM70" s="439">
        <f t="shared" si="373"/>
        <v>0</v>
      </c>
      <c r="FN70" s="439">
        <f t="shared" si="374"/>
        <v>0</v>
      </c>
      <c r="FO70" s="439">
        <f t="shared" si="375"/>
        <v>0</v>
      </c>
      <c r="FP70" s="439">
        <f t="shared" si="376"/>
        <v>0</v>
      </c>
      <c r="FQ70" s="439">
        <f t="shared" si="377"/>
        <v>0</v>
      </c>
      <c r="FR70" s="439">
        <f t="shared" si="378"/>
        <v>0</v>
      </c>
      <c r="FS70" s="442">
        <f t="shared" si="379"/>
        <v>0</v>
      </c>
      <c r="FT70" s="442">
        <f t="shared" si="380"/>
        <v>0</v>
      </c>
      <c r="FU70" s="439">
        <f t="shared" si="381"/>
        <v>0</v>
      </c>
      <c r="FV70" s="439">
        <f t="shared" si="382"/>
        <v>0</v>
      </c>
      <c r="FW70" s="661">
        <f t="shared" si="383"/>
        <v>0</v>
      </c>
      <c r="FX70" s="661">
        <f t="shared" si="384"/>
        <v>0</v>
      </c>
      <c r="FY70" s="439">
        <f t="shared" si="385"/>
        <v>0</v>
      </c>
      <c r="FZ70" s="439">
        <f t="shared" si="386"/>
        <v>0</v>
      </c>
      <c r="GA70" s="439">
        <f t="shared" si="387"/>
        <v>0</v>
      </c>
      <c r="GB70" s="439">
        <f t="shared" si="388"/>
        <v>0</v>
      </c>
      <c r="GC70" s="631" t="s">
        <v>92</v>
      </c>
      <c r="GD70" s="631">
        <f t="shared" si="453"/>
        <v>0.21005167697354413</v>
      </c>
      <c r="GF70" s="439">
        <f t="shared" si="389"/>
        <v>2.7285299999999997</v>
      </c>
      <c r="GG70" s="440">
        <f t="shared" si="390"/>
        <v>2.0895299999999999</v>
      </c>
      <c r="GH70" s="439">
        <f t="shared" si="391"/>
        <v>-1.4505300000000001</v>
      </c>
      <c r="GI70" s="439">
        <f t="shared" si="392"/>
        <v>0</v>
      </c>
      <c r="GJ70" s="439">
        <f t="shared" si="393"/>
        <v>0</v>
      </c>
      <c r="GK70" s="439">
        <f t="shared" si="394"/>
        <v>0</v>
      </c>
      <c r="GL70" s="439">
        <f t="shared" si="395"/>
        <v>0</v>
      </c>
      <c r="GM70" s="439">
        <f t="shared" si="396"/>
        <v>0</v>
      </c>
      <c r="GN70" s="439">
        <f t="shared" si="397"/>
        <v>0</v>
      </c>
      <c r="GO70" s="439">
        <f t="shared" si="398"/>
        <v>0</v>
      </c>
      <c r="GP70" s="439">
        <f t="shared" si="399"/>
        <v>0</v>
      </c>
      <c r="GQ70" s="439">
        <f t="shared" si="400"/>
        <v>0</v>
      </c>
      <c r="GR70" s="439">
        <f t="shared" si="401"/>
        <v>0</v>
      </c>
      <c r="GS70" s="439">
        <f t="shared" si="402"/>
        <v>0</v>
      </c>
      <c r="GT70" s="442">
        <f t="shared" si="403"/>
        <v>0</v>
      </c>
      <c r="GU70" s="442">
        <f t="shared" si="404"/>
        <v>0</v>
      </c>
      <c r="GV70" s="439">
        <f t="shared" si="405"/>
        <v>0</v>
      </c>
      <c r="GW70" s="439">
        <f t="shared" si="406"/>
        <v>0</v>
      </c>
      <c r="GX70" s="661">
        <f t="shared" si="407"/>
        <v>0</v>
      </c>
      <c r="GY70" s="661">
        <f t="shared" si="408"/>
        <v>0</v>
      </c>
      <c r="GZ70" s="439">
        <f t="shared" si="409"/>
        <v>0</v>
      </c>
      <c r="HA70" s="439">
        <f t="shared" si="410"/>
        <v>0</v>
      </c>
      <c r="HB70" s="439">
        <f t="shared" si="411"/>
        <v>0</v>
      </c>
      <c r="HC70" s="439">
        <f t="shared" si="412"/>
        <v>0</v>
      </c>
      <c r="HD70" s="631" t="s">
        <v>92</v>
      </c>
      <c r="HE70" s="631">
        <f t="shared" si="306"/>
        <v>0.27789445462959561</v>
      </c>
      <c r="HG70" s="618">
        <f>HLOOKUP(CQ70,Spec_Sheet!$F$3:$DV$19,11,FALSE)+HLOOKUP(CQ70,Spec_Sheet!$F$3:$DV$21,19,FALSE)</f>
        <v>225</v>
      </c>
      <c r="HH70" s="618">
        <f t="shared" si="454"/>
        <v>100</v>
      </c>
      <c r="HI70" s="634">
        <f t="shared" si="455"/>
        <v>250</v>
      </c>
      <c r="HJ70" s="634">
        <f>HLOOKUP(IF(LEN(CQ70)&gt;6,LEFT(CQ70,5),CQ70),'LSM List Pricing'!$B$1:$BW$2,2,0)</f>
        <v>50</v>
      </c>
      <c r="HK70" s="634">
        <f>HLOOKUP(HJ70,'LSM List Pricing'!$B$2:$BW$3,2)</f>
        <v>610</v>
      </c>
      <c r="HL70" s="634">
        <f>VLOOKUP(HH70,'LSM List Pricing'!$A$7:$BW$87,HJ70,0)</f>
        <v>600</v>
      </c>
      <c r="HM70" s="627">
        <f>VLOOKUP(HI70,'LSM List Pricing'!$A$7:$BW$87,HJ70,1)</f>
        <v>820</v>
      </c>
      <c r="HN70" s="628">
        <f t="shared" si="307"/>
        <v>3.1025641025641026</v>
      </c>
      <c r="HO70" s="628">
        <f t="shared" si="308"/>
        <v>6.2051282051282053</v>
      </c>
      <c r="HP70" s="628">
        <f t="shared" si="309"/>
        <v>5.2307692307692308</v>
      </c>
      <c r="HR70" s="618">
        <v>3.3500000000000002E-2</v>
      </c>
      <c r="HS70" s="618">
        <f t="shared" ref="HS70:HS133" si="457">HR70/$AQ$43</f>
        <v>224.92857142857144</v>
      </c>
      <c r="HT70" s="618">
        <f t="shared" ref="HT70:HT133" si="458">1-EXP(-HS70)</f>
        <v>1</v>
      </c>
      <c r="HU70" s="618">
        <f t="shared" si="170"/>
        <v>0.85305617002462109</v>
      </c>
      <c r="HW70" s="618">
        <f t="shared" si="413"/>
        <v>34.788660238565036</v>
      </c>
      <c r="HX70" s="618">
        <f t="shared" si="171"/>
        <v>0.83849000154057518</v>
      </c>
      <c r="HY70" s="618">
        <f t="shared" si="172"/>
        <v>3.3500000000000002E-2</v>
      </c>
      <c r="IB70" s="618">
        <f t="shared" si="414"/>
        <v>25.000350341399081</v>
      </c>
      <c r="IC70" s="618">
        <f t="shared" si="415"/>
        <v>1E-3</v>
      </c>
      <c r="IE70" s="618">
        <f t="shared" si="416"/>
        <v>0</v>
      </c>
      <c r="IF70" s="618">
        <f t="shared" si="417"/>
        <v>40.704999999999998</v>
      </c>
      <c r="IH70" s="618">
        <f t="shared" si="418"/>
        <v>0</v>
      </c>
      <c r="II70" s="618">
        <f t="shared" si="419"/>
        <v>40.704999999999998</v>
      </c>
      <c r="IK70" s="618">
        <f t="shared" si="420"/>
        <v>0</v>
      </c>
      <c r="IL70" s="618">
        <f t="shared" si="421"/>
        <v>40.704999999999998</v>
      </c>
      <c r="IN70" s="618">
        <f t="shared" si="422"/>
        <v>0</v>
      </c>
      <c r="IO70" s="618">
        <f t="shared" si="423"/>
        <v>40.704999999999998</v>
      </c>
      <c r="IQ70" s="618">
        <f t="shared" si="424"/>
        <v>0</v>
      </c>
      <c r="IR70" s="618">
        <f t="shared" si="425"/>
        <v>40.704999999999998</v>
      </c>
      <c r="IT70" s="660" t="str">
        <f t="shared" si="426"/>
        <v>S250Q 2S</v>
      </c>
      <c r="IU70" s="628"/>
      <c r="IV70" s="439">
        <f t="shared" si="427"/>
        <v>4.3553999999999995</v>
      </c>
      <c r="IW70" s="440">
        <f t="shared" si="428"/>
        <v>3.3353999999999999</v>
      </c>
      <c r="IX70" s="439">
        <f t="shared" si="429"/>
        <v>-2.3153999999999999</v>
      </c>
      <c r="IY70" s="439">
        <f t="shared" si="430"/>
        <v>0</v>
      </c>
      <c r="IZ70" s="439">
        <f t="shared" si="431"/>
        <v>0</v>
      </c>
      <c r="JA70" s="439">
        <f t="shared" si="432"/>
        <v>0</v>
      </c>
      <c r="JB70" s="439">
        <f t="shared" si="433"/>
        <v>0</v>
      </c>
      <c r="JC70" s="439">
        <f t="shared" si="434"/>
        <v>0</v>
      </c>
      <c r="JD70" s="439">
        <f t="shared" si="435"/>
        <v>0</v>
      </c>
      <c r="JE70" s="439">
        <f t="shared" si="436"/>
        <v>0</v>
      </c>
      <c r="JF70" s="439">
        <f t="shared" si="437"/>
        <v>0</v>
      </c>
      <c r="JG70" s="439">
        <f t="shared" si="438"/>
        <v>0</v>
      </c>
      <c r="JH70" s="439">
        <f t="shared" si="439"/>
        <v>0</v>
      </c>
      <c r="JI70" s="439">
        <f t="shared" si="440"/>
        <v>0</v>
      </c>
      <c r="JJ70" s="442">
        <f t="shared" si="441"/>
        <v>0</v>
      </c>
      <c r="JK70" s="442">
        <f t="shared" si="442"/>
        <v>0</v>
      </c>
      <c r="JL70" s="439">
        <f t="shared" si="443"/>
        <v>0</v>
      </c>
      <c r="JM70" s="439">
        <f t="shared" si="444"/>
        <v>0</v>
      </c>
      <c r="JN70" s="661">
        <f t="shared" si="445"/>
        <v>0</v>
      </c>
      <c r="JO70" s="661">
        <f t="shared" si="446"/>
        <v>0</v>
      </c>
      <c r="JP70" s="439">
        <f t="shared" si="447"/>
        <v>0</v>
      </c>
      <c r="JQ70" s="439">
        <f t="shared" si="448"/>
        <v>0</v>
      </c>
      <c r="JR70" s="439">
        <f t="shared" si="449"/>
        <v>0</v>
      </c>
      <c r="JS70" s="439">
        <f t="shared" si="450"/>
        <v>0</v>
      </c>
      <c r="JT70" s="631" t="s">
        <v>92</v>
      </c>
      <c r="JU70" s="631">
        <f t="shared" ref="JU70:JU132" si="459">SQRT((((IF(IV70&gt;0,IV70,IV70*-1))^2*$D$38)+((IF(IW70&gt;0,IW70,IW70*-1))^2*$E$38)+((IF(IX70&gt;0,IX70,IX70*-1))^2*$F$38)+((IF(IY70&gt;0,IY70,IY70*-1))^2*$G$38)+((IF(IZ70&gt;0,IZ70,IZ70*-1))^2*$H$38)+((IF(JA70&gt;0,JA70,JA70*-1))^2*$I$38)+((IF(JB70&gt;0,JB70,JB70*-1))^2*$J$38)+((IF(JC70&gt;0,JC70,JC70*-1))^2*$K$38)+((IF(JD70&gt;0,JD70,JD70*-1))^2*$L$38)+((IF(JE70&gt;0,JE70,JE70*-1))^2*$M$38)+((IF(JF70&gt;0,JF70,JF70*-1))^2*$N$38)+((IF(JG70&gt;0,JG70,JG70*-1))^2*$O$38)+((IF(JH70&gt;0,JH70,JH70*-1))^2*$P$38)+((IF(JI70&gt;0,JI70,JI70*-1))^2*$Q$38)+((IF(JJ70&gt;0,JJ70,JJ70*-1))^2*$R$38)+((IF(JK70&gt;0,JK70,JK70*-1))^2*$S$38)+((IF(JL70&gt;0,JL70,JL70*-1))^2*$T$38)+((IF(JM70&gt;0,JM70,JM70*-1))^2*$U$38)+((IF(JN70&gt;0,JN70,JN70*-1))^2*$V$38)+((IF(JO70&gt;0,JO70,JO70*-1))^2*$W$38)+((IF(JP70&gt;0,JP70,JP70*-1))^2*$X$38)+((IF(JQ70&gt;0,JQ70,JQ70*-1))^2*$Y$38)+((IF(JR70&gt;0,JR70,JR70*-1))^2*$Z$38)+((IF(JS70&gt;0,JS70,JS70*-1))^2*$AA$38))/$AA$31)</f>
        <v>0.44358739236649058</v>
      </c>
      <c r="JW70" s="522"/>
      <c r="JX70" s="522"/>
      <c r="JY70" s="522"/>
      <c r="JZ70" s="522"/>
      <c r="KA70" s="522"/>
      <c r="KB70" s="522"/>
      <c r="KC70" s="522"/>
      <c r="KD70" s="522"/>
      <c r="KE70" s="522"/>
      <c r="KF70" s="522"/>
      <c r="KG70" s="522"/>
      <c r="KH70" s="522"/>
      <c r="KI70" s="522"/>
      <c r="KJ70" s="522"/>
      <c r="KK70" s="522"/>
      <c r="KL70" s="522"/>
    </row>
    <row r="71" spans="1:298">
      <c r="A71" s="155"/>
      <c r="B71" s="153"/>
      <c r="C71" s="153"/>
      <c r="D71" s="153"/>
      <c r="E71" s="150"/>
      <c r="F71" s="150"/>
      <c r="G71" s="150"/>
      <c r="H71" s="150"/>
      <c r="I71" s="150"/>
      <c r="J71" s="150"/>
      <c r="K71" s="150"/>
      <c r="L71" s="150"/>
      <c r="M71" s="150"/>
      <c r="N71" s="150"/>
      <c r="O71" s="150"/>
      <c r="P71" s="150"/>
      <c r="Q71" s="150"/>
      <c r="R71" s="150"/>
      <c r="S71" s="150"/>
      <c r="T71" s="150"/>
      <c r="U71" s="466"/>
      <c r="V71" s="466"/>
      <c r="W71" s="150"/>
      <c r="X71" s="150"/>
      <c r="Y71" s="150"/>
      <c r="Z71" s="150"/>
      <c r="AA71" s="150"/>
      <c r="AB71" s="150"/>
      <c r="AC71" s="466"/>
      <c r="AD71" s="154"/>
      <c r="AE71" s="45"/>
      <c r="AF71" s="45"/>
      <c r="AG71" s="45"/>
      <c r="AH71" s="45"/>
      <c r="AI71" s="45"/>
      <c r="AJ71" s="45"/>
      <c r="AK71" s="45"/>
      <c r="AL71" s="154"/>
      <c r="AM71" s="154"/>
      <c r="AN71" s="45"/>
      <c r="AO71" s="45"/>
      <c r="AP71" s="45"/>
      <c r="AQ71" s="45"/>
      <c r="AR71" s="45"/>
      <c r="AS71" s="45"/>
      <c r="AT71" s="154"/>
      <c r="AU71" s="154"/>
      <c r="AV71" s="93" t="e">
        <f>IF($AY$30,G92,0)*$G$82</f>
        <v>#DIV/0!</v>
      </c>
      <c r="AW71" s="93" t="e">
        <f>IF($AY$32,'Data Sheet'!AA92,0)</f>
        <v>#DIV/0!</v>
      </c>
      <c r="AX71" s="93">
        <f>AX70+$G$76</f>
        <v>40.704999999999998</v>
      </c>
      <c r="AY71" s="444"/>
      <c r="AZ71" s="423"/>
      <c r="BA71" s="423"/>
      <c r="BB71" s="153"/>
      <c r="BC71" s="153"/>
      <c r="BD71" s="153"/>
      <c r="BE71" s="153"/>
      <c r="BF71" s="153"/>
      <c r="BG71" s="153"/>
      <c r="BH71" s="153"/>
      <c r="BI71" s="153"/>
      <c r="BJ71" s="153"/>
      <c r="BK71" s="153"/>
      <c r="BL71" s="153"/>
      <c r="BM71" s="267"/>
      <c r="BN71" s="267"/>
      <c r="BO71" s="124"/>
      <c r="BP71" s="407" t="s">
        <v>605</v>
      </c>
      <c r="BQ71" s="124"/>
      <c r="BR71" s="124"/>
      <c r="BS71" s="124"/>
      <c r="BT71" s="124"/>
      <c r="BU71" s="124"/>
      <c r="BV71" s="124"/>
      <c r="BW71" s="124"/>
      <c r="BX71" s="124"/>
      <c r="BY71" s="124"/>
      <c r="BZ71" s="124"/>
      <c r="CA71" s="124"/>
      <c r="CB71" s="124"/>
      <c r="CC71" s="124"/>
      <c r="CD71" s="124"/>
      <c r="CE71" s="124"/>
      <c r="CF71" s="124"/>
      <c r="CG71" s="124"/>
      <c r="CH71" s="44"/>
      <c r="CI71" s="44"/>
      <c r="CO71" s="693" t="str">
        <f ca="1"/>
        <v>L320T-1S</v>
      </c>
      <c r="CP71" s="632" t="str">
        <f>IF(OR(CQ71=0,CR71="",CS71&gt;120),"",IF(HLOOKUP(CQ71,Spec_Sheet!$F$3:$ED$19,17,FALSE)&lt;$AC$46,"",CQ71))</f>
        <v>S250Q</v>
      </c>
      <c r="CQ71" s="660" t="str">
        <f>IF(Spec_Sheet!A70="","",Spec_Sheet!A70)</f>
        <v>S250Q</v>
      </c>
      <c r="CR71" s="660">
        <f>IF(CQ71="",0,HLOOKUP(CQ71,Spec_Sheet!$F$3:$ED$19,2,FALSE))</f>
        <v>75</v>
      </c>
      <c r="CS71" s="660">
        <f t="shared" si="169"/>
        <v>8.7453233185112408E-4</v>
      </c>
      <c r="CT71" s="621">
        <f t="shared" si="310"/>
        <v>1.0924088989559028E-3</v>
      </c>
      <c r="CU71" s="621">
        <f t="shared" si="316"/>
        <v>8.7453233185112408E-4</v>
      </c>
      <c r="CV71" s="621">
        <f t="shared" si="311"/>
        <v>7.8438590221152225E-4</v>
      </c>
      <c r="CW71" s="621">
        <f t="shared" si="312"/>
        <v>6.0161167091806931E-4</v>
      </c>
      <c r="CX71" s="621">
        <f t="shared" si="456"/>
        <v>3.4322367961724608E-4</v>
      </c>
      <c r="CY71" s="619">
        <f>HLOOKUP(CQ71,Spec_Sheet!$F$3:$ED$19,13,FALSE)</f>
        <v>1.5</v>
      </c>
      <c r="CZ71" s="619">
        <f>VLOOKUP(HH71,'Shaft Weight'!$A$6:$CD$102,HJ71,TRUE)</f>
        <v>1.21</v>
      </c>
      <c r="DA71" s="619">
        <f>VLOOKUP(HI71,'Shaft Weight'!$A$6:$CD$102,HJ71,0)</f>
        <v>1.73</v>
      </c>
      <c r="DB71" s="619">
        <f>HLOOKUP(CQ71,Spec_Sheet!$F$3:$ED$19,6,FALSE)</f>
        <v>58.59</v>
      </c>
      <c r="DC71" s="439">
        <f t="shared" si="317"/>
        <v>2.4339</v>
      </c>
      <c r="DD71" s="440">
        <f t="shared" si="318"/>
        <v>1.8639000000000001</v>
      </c>
      <c r="DE71" s="439">
        <f t="shared" si="319"/>
        <v>-1.2939000000000003</v>
      </c>
      <c r="DF71" s="439">
        <f t="shared" si="320"/>
        <v>0</v>
      </c>
      <c r="DG71" s="439">
        <f t="shared" si="321"/>
        <v>0</v>
      </c>
      <c r="DH71" s="439">
        <f t="shared" si="322"/>
        <v>0</v>
      </c>
      <c r="DI71" s="439">
        <f t="shared" si="323"/>
        <v>0</v>
      </c>
      <c r="DJ71" s="439">
        <f t="shared" si="324"/>
        <v>0</v>
      </c>
      <c r="DK71" s="439">
        <f t="shared" si="325"/>
        <v>0</v>
      </c>
      <c r="DL71" s="439">
        <f t="shared" si="326"/>
        <v>0</v>
      </c>
      <c r="DM71" s="439">
        <f t="shared" si="327"/>
        <v>0</v>
      </c>
      <c r="DN71" s="439">
        <f t="shared" si="328"/>
        <v>0</v>
      </c>
      <c r="DO71" s="439">
        <f t="shared" si="329"/>
        <v>0</v>
      </c>
      <c r="DP71" s="439">
        <f t="shared" si="330"/>
        <v>0</v>
      </c>
      <c r="DQ71" s="442">
        <f t="shared" si="331"/>
        <v>0</v>
      </c>
      <c r="DR71" s="442">
        <f t="shared" si="332"/>
        <v>0</v>
      </c>
      <c r="DS71" s="439">
        <f t="shared" si="333"/>
        <v>0</v>
      </c>
      <c r="DT71" s="439">
        <f t="shared" si="334"/>
        <v>0</v>
      </c>
      <c r="DU71" s="661">
        <f t="shared" si="335"/>
        <v>0</v>
      </c>
      <c r="DV71" s="661">
        <f t="shared" si="336"/>
        <v>0</v>
      </c>
      <c r="DW71" s="439">
        <f t="shared" si="337"/>
        <v>0</v>
      </c>
      <c r="DX71" s="439">
        <f t="shared" si="338"/>
        <v>0</v>
      </c>
      <c r="DY71" s="439">
        <f t="shared" si="339"/>
        <v>0</v>
      </c>
      <c r="DZ71" s="439">
        <f t="shared" si="340"/>
        <v>0</v>
      </c>
      <c r="EA71" s="631" t="s">
        <v>92</v>
      </c>
      <c r="EB71" s="631">
        <f t="shared" si="451"/>
        <v>0.2478870722048036</v>
      </c>
      <c r="ED71" s="439">
        <f t="shared" si="341"/>
        <v>3.6124200000000002</v>
      </c>
      <c r="EE71" s="440">
        <f t="shared" si="342"/>
        <v>2.7664200000000001</v>
      </c>
      <c r="EF71" s="439">
        <f t="shared" si="343"/>
        <v>-1.92042</v>
      </c>
      <c r="EG71" s="441">
        <f t="shared" si="344"/>
        <v>0</v>
      </c>
      <c r="EH71" s="439">
        <f t="shared" si="345"/>
        <v>0</v>
      </c>
      <c r="EI71" s="439">
        <f t="shared" si="346"/>
        <v>0</v>
      </c>
      <c r="EJ71" s="439">
        <f t="shared" si="347"/>
        <v>0</v>
      </c>
      <c r="EK71" s="439">
        <f t="shared" si="348"/>
        <v>0</v>
      </c>
      <c r="EL71" s="439">
        <f t="shared" si="349"/>
        <v>0</v>
      </c>
      <c r="EM71" s="439">
        <f t="shared" si="350"/>
        <v>0</v>
      </c>
      <c r="EN71" s="439">
        <f t="shared" si="351"/>
        <v>0</v>
      </c>
      <c r="EO71" s="439">
        <f t="shared" si="352"/>
        <v>0</v>
      </c>
      <c r="EP71" s="439">
        <f t="shared" si="353"/>
        <v>0</v>
      </c>
      <c r="EQ71" s="439">
        <f t="shared" si="354"/>
        <v>0</v>
      </c>
      <c r="ER71" s="442">
        <f t="shared" si="355"/>
        <v>0</v>
      </c>
      <c r="ES71" s="442">
        <f t="shared" si="356"/>
        <v>0</v>
      </c>
      <c r="ET71" s="439">
        <f t="shared" si="357"/>
        <v>0</v>
      </c>
      <c r="EU71" s="439">
        <f t="shared" si="358"/>
        <v>0</v>
      </c>
      <c r="EV71" s="661">
        <f t="shared" si="359"/>
        <v>0</v>
      </c>
      <c r="EW71" s="661">
        <f t="shared" si="360"/>
        <v>0</v>
      </c>
      <c r="EX71" s="439">
        <f t="shared" si="361"/>
        <v>0</v>
      </c>
      <c r="EY71" s="439">
        <f t="shared" si="362"/>
        <v>0</v>
      </c>
      <c r="EZ71" s="439">
        <f t="shared" si="363"/>
        <v>0</v>
      </c>
      <c r="FA71" s="439">
        <f t="shared" si="364"/>
        <v>0</v>
      </c>
      <c r="FB71" s="631" t="s">
        <v>92</v>
      </c>
      <c r="FC71" s="631">
        <f t="shared" si="452"/>
        <v>0.36791660190397169</v>
      </c>
      <c r="FE71" s="439">
        <f t="shared" si="365"/>
        <v>2.0624100000000003</v>
      </c>
      <c r="FF71" s="440">
        <f t="shared" si="366"/>
        <v>1.5794100000000002</v>
      </c>
      <c r="FG71" s="439">
        <f t="shared" si="367"/>
        <v>-1.0964100000000003</v>
      </c>
      <c r="FH71" s="441">
        <f t="shared" si="368"/>
        <v>0</v>
      </c>
      <c r="FI71" s="439">
        <f t="shared" si="369"/>
        <v>0</v>
      </c>
      <c r="FJ71" s="439">
        <f t="shared" si="370"/>
        <v>0</v>
      </c>
      <c r="FK71" s="439">
        <f t="shared" si="371"/>
        <v>0</v>
      </c>
      <c r="FL71" s="439">
        <f t="shared" si="372"/>
        <v>0</v>
      </c>
      <c r="FM71" s="439">
        <f t="shared" si="373"/>
        <v>0</v>
      </c>
      <c r="FN71" s="439">
        <f t="shared" si="374"/>
        <v>0</v>
      </c>
      <c r="FO71" s="439">
        <f t="shared" si="375"/>
        <v>0</v>
      </c>
      <c r="FP71" s="439">
        <f t="shared" si="376"/>
        <v>0</v>
      </c>
      <c r="FQ71" s="439">
        <f t="shared" si="377"/>
        <v>0</v>
      </c>
      <c r="FR71" s="439">
        <f t="shared" si="378"/>
        <v>0</v>
      </c>
      <c r="FS71" s="442">
        <f t="shared" si="379"/>
        <v>0</v>
      </c>
      <c r="FT71" s="442">
        <f t="shared" si="380"/>
        <v>0</v>
      </c>
      <c r="FU71" s="439">
        <f t="shared" si="381"/>
        <v>0</v>
      </c>
      <c r="FV71" s="439">
        <f t="shared" si="382"/>
        <v>0</v>
      </c>
      <c r="FW71" s="661">
        <f t="shared" si="383"/>
        <v>0</v>
      </c>
      <c r="FX71" s="661">
        <f t="shared" si="384"/>
        <v>0</v>
      </c>
      <c r="FY71" s="439">
        <f t="shared" si="385"/>
        <v>0</v>
      </c>
      <c r="FZ71" s="439">
        <f t="shared" si="386"/>
        <v>0</v>
      </c>
      <c r="GA71" s="439">
        <f t="shared" si="387"/>
        <v>0</v>
      </c>
      <c r="GB71" s="439">
        <f t="shared" si="388"/>
        <v>0</v>
      </c>
      <c r="GC71" s="631" t="s">
        <v>92</v>
      </c>
      <c r="GD71" s="631">
        <f t="shared" si="453"/>
        <v>0.21005167697354413</v>
      </c>
      <c r="GF71" s="439">
        <f t="shared" si="389"/>
        <v>2.7285299999999997</v>
      </c>
      <c r="GG71" s="440">
        <f t="shared" si="390"/>
        <v>2.0895299999999999</v>
      </c>
      <c r="GH71" s="439">
        <f t="shared" si="391"/>
        <v>-1.4505300000000001</v>
      </c>
      <c r="GI71" s="439">
        <f t="shared" si="392"/>
        <v>0</v>
      </c>
      <c r="GJ71" s="439">
        <f t="shared" si="393"/>
        <v>0</v>
      </c>
      <c r="GK71" s="439">
        <f t="shared" si="394"/>
        <v>0</v>
      </c>
      <c r="GL71" s="439">
        <f t="shared" si="395"/>
        <v>0</v>
      </c>
      <c r="GM71" s="439">
        <f t="shared" si="396"/>
        <v>0</v>
      </c>
      <c r="GN71" s="439">
        <f t="shared" si="397"/>
        <v>0</v>
      </c>
      <c r="GO71" s="439">
        <f t="shared" si="398"/>
        <v>0</v>
      </c>
      <c r="GP71" s="439">
        <f t="shared" si="399"/>
        <v>0</v>
      </c>
      <c r="GQ71" s="439">
        <f t="shared" si="400"/>
        <v>0</v>
      </c>
      <c r="GR71" s="439">
        <f t="shared" si="401"/>
        <v>0</v>
      </c>
      <c r="GS71" s="439">
        <f t="shared" si="402"/>
        <v>0</v>
      </c>
      <c r="GT71" s="442">
        <f t="shared" si="403"/>
        <v>0</v>
      </c>
      <c r="GU71" s="442">
        <f t="shared" si="404"/>
        <v>0</v>
      </c>
      <c r="GV71" s="439">
        <f t="shared" si="405"/>
        <v>0</v>
      </c>
      <c r="GW71" s="439">
        <f t="shared" si="406"/>
        <v>0</v>
      </c>
      <c r="GX71" s="661">
        <f t="shared" si="407"/>
        <v>0</v>
      </c>
      <c r="GY71" s="661">
        <f t="shared" si="408"/>
        <v>0</v>
      </c>
      <c r="GZ71" s="439">
        <f t="shared" si="409"/>
        <v>0</v>
      </c>
      <c r="HA71" s="439">
        <f t="shared" si="410"/>
        <v>0</v>
      </c>
      <c r="HB71" s="439">
        <f t="shared" si="411"/>
        <v>0</v>
      </c>
      <c r="HC71" s="439">
        <f t="shared" si="412"/>
        <v>0</v>
      </c>
      <c r="HD71" s="631" t="s">
        <v>92</v>
      </c>
      <c r="HE71" s="631">
        <f t="shared" si="306"/>
        <v>0.27789445462959561</v>
      </c>
      <c r="HG71" s="618">
        <f>HLOOKUP(CQ71,Spec_Sheet!$F$3:$DV$19,11,FALSE)+HLOOKUP(CQ71,Spec_Sheet!$F$3:$DV$21,19,FALSE)</f>
        <v>225</v>
      </c>
      <c r="HH71" s="618">
        <f t="shared" si="454"/>
        <v>100</v>
      </c>
      <c r="HI71" s="634">
        <f t="shared" si="455"/>
        <v>250</v>
      </c>
      <c r="HJ71" s="634">
        <f>HLOOKUP(IF(LEN(CQ71)&gt;6,LEFT(CQ71,5),CQ71),'LSM List Pricing'!$B$1:$BW$2,2,0)</f>
        <v>50</v>
      </c>
      <c r="HK71" s="634">
        <f>HLOOKUP(HJ71,'LSM List Pricing'!$B$2:$BW$3,2)</f>
        <v>610</v>
      </c>
      <c r="HL71" s="634">
        <f>VLOOKUP(HH71,'LSM List Pricing'!$A$7:$BW$87,HJ71,0)</f>
        <v>600</v>
      </c>
      <c r="HM71" s="627">
        <f>VLOOKUP(HI71,'LSM List Pricing'!$A$7:$BW$87,HJ71,1)</f>
        <v>820</v>
      </c>
      <c r="HN71" s="628">
        <f t="shared" si="307"/>
        <v>3.1025641025641026</v>
      </c>
      <c r="HO71" s="628">
        <f t="shared" si="308"/>
        <v>6.2051282051282053</v>
      </c>
      <c r="HP71" s="628">
        <f t="shared" si="309"/>
        <v>5.2307692307692308</v>
      </c>
      <c r="HR71" s="618">
        <v>3.4000000000000002E-2</v>
      </c>
      <c r="HS71" s="618">
        <f t="shared" si="457"/>
        <v>228.28571428571431</v>
      </c>
      <c r="HT71" s="618">
        <f t="shared" si="458"/>
        <v>1</v>
      </c>
      <c r="HU71" s="618">
        <f t="shared" si="170"/>
        <v>0.86579521399824588</v>
      </c>
      <c r="HW71" s="618">
        <f t="shared" si="413"/>
        <v>34.770570796122492</v>
      </c>
      <c r="HX71" s="618">
        <f t="shared" si="171"/>
        <v>0.85079399682834844</v>
      </c>
      <c r="HY71" s="618">
        <f t="shared" si="172"/>
        <v>3.4000000000000002E-2</v>
      </c>
      <c r="IB71" s="618">
        <f t="shared" si="414"/>
        <v>25.000350341399081</v>
      </c>
      <c r="IC71" s="618">
        <f t="shared" si="415"/>
        <v>1E-3</v>
      </c>
      <c r="IE71" s="618">
        <f t="shared" si="416"/>
        <v>0</v>
      </c>
      <c r="IF71" s="618">
        <f t="shared" si="417"/>
        <v>40.704999999999998</v>
      </c>
      <c r="IH71" s="618">
        <f t="shared" si="418"/>
        <v>0</v>
      </c>
      <c r="II71" s="618">
        <f t="shared" si="419"/>
        <v>40.704999999999998</v>
      </c>
      <c r="IK71" s="618">
        <f t="shared" si="420"/>
        <v>0</v>
      </c>
      <c r="IL71" s="618">
        <f t="shared" si="421"/>
        <v>40.704999999999998</v>
      </c>
      <c r="IN71" s="618">
        <f t="shared" si="422"/>
        <v>0</v>
      </c>
      <c r="IO71" s="618">
        <f t="shared" si="423"/>
        <v>40.704999999999998</v>
      </c>
      <c r="IQ71" s="618">
        <f t="shared" si="424"/>
        <v>0</v>
      </c>
      <c r="IR71" s="618">
        <f t="shared" si="425"/>
        <v>40.704999999999998</v>
      </c>
      <c r="IT71" s="660" t="str">
        <f t="shared" si="426"/>
        <v>S250Q</v>
      </c>
      <c r="IU71" s="628"/>
      <c r="IV71" s="439">
        <f t="shared" si="427"/>
        <v>4.3553999999999995</v>
      </c>
      <c r="IW71" s="440">
        <f t="shared" si="428"/>
        <v>3.3353999999999999</v>
      </c>
      <c r="IX71" s="439">
        <f t="shared" si="429"/>
        <v>-2.3153999999999999</v>
      </c>
      <c r="IY71" s="439">
        <f t="shared" si="430"/>
        <v>0</v>
      </c>
      <c r="IZ71" s="439">
        <f t="shared" si="431"/>
        <v>0</v>
      </c>
      <c r="JA71" s="439">
        <f t="shared" si="432"/>
        <v>0</v>
      </c>
      <c r="JB71" s="439">
        <f t="shared" si="433"/>
        <v>0</v>
      </c>
      <c r="JC71" s="439">
        <f t="shared" si="434"/>
        <v>0</v>
      </c>
      <c r="JD71" s="439">
        <f t="shared" si="435"/>
        <v>0</v>
      </c>
      <c r="JE71" s="439">
        <f t="shared" si="436"/>
        <v>0</v>
      </c>
      <c r="JF71" s="439">
        <f t="shared" si="437"/>
        <v>0</v>
      </c>
      <c r="JG71" s="439">
        <f t="shared" si="438"/>
        <v>0</v>
      </c>
      <c r="JH71" s="439">
        <f t="shared" si="439"/>
        <v>0</v>
      </c>
      <c r="JI71" s="439">
        <f t="shared" si="440"/>
        <v>0</v>
      </c>
      <c r="JJ71" s="442">
        <f t="shared" si="441"/>
        <v>0</v>
      </c>
      <c r="JK71" s="442">
        <f t="shared" si="442"/>
        <v>0</v>
      </c>
      <c r="JL71" s="439">
        <f t="shared" si="443"/>
        <v>0</v>
      </c>
      <c r="JM71" s="439">
        <f t="shared" si="444"/>
        <v>0</v>
      </c>
      <c r="JN71" s="661">
        <f t="shared" si="445"/>
        <v>0</v>
      </c>
      <c r="JO71" s="661">
        <f t="shared" si="446"/>
        <v>0</v>
      </c>
      <c r="JP71" s="439">
        <f t="shared" si="447"/>
        <v>0</v>
      </c>
      <c r="JQ71" s="439">
        <f t="shared" si="448"/>
        <v>0</v>
      </c>
      <c r="JR71" s="439">
        <f t="shared" si="449"/>
        <v>0</v>
      </c>
      <c r="JS71" s="439">
        <f t="shared" si="450"/>
        <v>0</v>
      </c>
      <c r="JT71" s="631" t="s">
        <v>92</v>
      </c>
      <c r="JU71" s="631">
        <f t="shared" si="459"/>
        <v>0.44358739236649058</v>
      </c>
      <c r="JW71" s="522"/>
      <c r="JX71" s="522"/>
      <c r="JY71" s="522"/>
      <c r="JZ71" s="522"/>
      <c r="KA71" s="522"/>
      <c r="KB71" s="522"/>
      <c r="KC71" s="522"/>
      <c r="KD71" s="522"/>
      <c r="KE71" s="522"/>
      <c r="KF71" s="522"/>
      <c r="KG71" s="522"/>
      <c r="KH71" s="522"/>
      <c r="KI71" s="522"/>
      <c r="KJ71" s="522"/>
      <c r="KK71" s="522"/>
      <c r="KL71" s="522"/>
    </row>
    <row r="72" spans="1:298">
      <c r="A72" s="377"/>
      <c r="B72" s="153"/>
      <c r="C72" s="153"/>
      <c r="D72" s="153"/>
      <c r="E72" s="45"/>
      <c r="F72" s="45"/>
      <c r="G72" s="45"/>
      <c r="H72" s="45"/>
      <c r="I72" s="45"/>
      <c r="J72" s="45"/>
      <c r="K72" s="45"/>
      <c r="L72" s="45"/>
      <c r="M72" s="45"/>
      <c r="N72" s="45"/>
      <c r="O72" s="45"/>
      <c r="P72" s="45"/>
      <c r="Q72" s="45"/>
      <c r="R72" s="45"/>
      <c r="S72" s="45"/>
      <c r="T72" s="45"/>
      <c r="U72" s="154"/>
      <c r="V72" s="154"/>
      <c r="W72" s="45"/>
      <c r="X72" s="45"/>
      <c r="Y72" s="45"/>
      <c r="Z72" s="45"/>
      <c r="AA72" s="45"/>
      <c r="AB72" s="45"/>
      <c r="AC72" s="154"/>
      <c r="AD72" s="154"/>
      <c r="AE72" s="45"/>
      <c r="AF72" s="45"/>
      <c r="AG72" s="45"/>
      <c r="AH72" s="45"/>
      <c r="AI72" s="45"/>
      <c r="AJ72" s="45"/>
      <c r="AK72" s="45"/>
      <c r="AL72" s="154"/>
      <c r="AM72" s="154"/>
      <c r="AN72" s="45"/>
      <c r="AO72" s="45"/>
      <c r="AP72" s="45"/>
      <c r="AQ72" s="45"/>
      <c r="AR72" s="45"/>
      <c r="AS72" s="45"/>
      <c r="AT72" s="154"/>
      <c r="AU72" s="154"/>
      <c r="AV72" s="93" t="e">
        <f>IF($AY$30,G91,0)*$G$82</f>
        <v>#DIV/0!</v>
      </c>
      <c r="AW72" s="93" t="e">
        <f>IF($AY$32,'Data Sheet'!AA93,0)</f>
        <v>#DIV/0!</v>
      </c>
      <c r="AX72" s="93">
        <f t="shared" ref="AX72:AX80" si="460">AX71+$G$76</f>
        <v>40.704999999999998</v>
      </c>
      <c r="AY72" s="513"/>
      <c r="AZ72" s="512"/>
      <c r="BA72" s="153"/>
      <c r="BB72" s="162"/>
      <c r="BC72" s="162"/>
      <c r="BD72" s="162"/>
      <c r="BE72" s="162"/>
      <c r="BF72" s="162"/>
      <c r="BG72" s="162"/>
      <c r="BH72" s="162"/>
      <c r="BI72" s="162"/>
      <c r="BJ72" s="162"/>
      <c r="BK72" s="162"/>
      <c r="BL72" s="162"/>
      <c r="BM72" s="267"/>
      <c r="BN72" s="267"/>
      <c r="BO72" s="124"/>
      <c r="BP72" s="387" t="s">
        <v>606</v>
      </c>
      <c r="BQ72" s="124"/>
      <c r="BR72" s="124"/>
      <c r="BS72" s="124"/>
      <c r="BT72" s="124"/>
      <c r="BU72" s="124"/>
      <c r="BV72" s="124"/>
      <c r="BW72" s="124"/>
      <c r="BX72" s="124"/>
      <c r="BY72" s="124"/>
      <c r="BZ72" s="124"/>
      <c r="CA72" s="124"/>
      <c r="CB72" s="124"/>
      <c r="CC72" s="124"/>
      <c r="CD72" s="124"/>
      <c r="CE72" s="124"/>
      <c r="CF72" s="124"/>
      <c r="CG72" s="124"/>
      <c r="CH72" s="44"/>
      <c r="CI72" s="44"/>
      <c r="CO72" s="692" t="str">
        <f ca="1"/>
        <v>S320T</v>
      </c>
      <c r="CP72" s="632" t="str">
        <f>IF(OR(CQ72=0,CR72="",CS72&gt;120),"",IF(HLOOKUP(CQ72,Spec_Sheet!$F$3:$ED$19,17,FALSE)&lt;$AC$46,"",CQ72))</f>
        <v>S320T 1S</v>
      </c>
      <c r="CQ72" s="660" t="str">
        <f>IF(Spec_Sheet!A71="","",Spec_Sheet!A71)</f>
        <v>S320T 1S</v>
      </c>
      <c r="CR72" s="660">
        <f>IF(CQ72="",0,HLOOKUP(CQ72,Spec_Sheet!$F$3:$ED$19,2,FALSE))</f>
        <v>79.56</v>
      </c>
      <c r="CS72" s="660">
        <f t="shared" si="169"/>
        <v>9.7077415867508738E-4</v>
      </c>
      <c r="CT72" s="621">
        <f t="shared" si="310"/>
        <v>1.185904166137711E-3</v>
      </c>
      <c r="CU72" s="621">
        <f t="shared" si="316"/>
        <v>9.7077415867508738E-4</v>
      </c>
      <c r="CV72" s="621">
        <f t="shared" si="311"/>
        <v>1.7486035919071336E-3</v>
      </c>
      <c r="CW72" s="621">
        <f t="shared" si="312"/>
        <v>1.4850693327654206E-3</v>
      </c>
      <c r="CX72" s="621">
        <f t="shared" si="456"/>
        <v>9.0548892422291443E-4</v>
      </c>
      <c r="CY72" s="619">
        <f>HLOOKUP(CQ72,Spec_Sheet!$F$3:$ED$19,13,FALSE)</f>
        <v>1.7</v>
      </c>
      <c r="CZ72" s="619">
        <f>VLOOKUP(HH72,'Shaft Weight'!$A$6:$CD$102,HJ72,TRUE)</f>
        <v>2.15</v>
      </c>
      <c r="DA72" s="619">
        <f>VLOOKUP(HI72,'Shaft Weight'!$A$6:$CD$102,HJ72,0)</f>
        <v>3.27</v>
      </c>
      <c r="DB72" s="619">
        <f>HLOOKUP(CQ72,Spec_Sheet!$F$3:$ED$19,6,FALSE)</f>
        <v>22.666666666666668</v>
      </c>
      <c r="DC72" s="439">
        <f t="shared" si="317"/>
        <v>2.6901000000000002</v>
      </c>
      <c r="DD72" s="440">
        <f t="shared" si="318"/>
        <v>2.0601000000000003</v>
      </c>
      <c r="DE72" s="439">
        <f t="shared" si="319"/>
        <v>-1.4301000000000004</v>
      </c>
      <c r="DF72" s="439">
        <f t="shared" si="320"/>
        <v>0</v>
      </c>
      <c r="DG72" s="439">
        <f t="shared" si="321"/>
        <v>0</v>
      </c>
      <c r="DH72" s="439">
        <f t="shared" si="322"/>
        <v>0</v>
      </c>
      <c r="DI72" s="439">
        <f t="shared" si="323"/>
        <v>0</v>
      </c>
      <c r="DJ72" s="439">
        <f t="shared" si="324"/>
        <v>0</v>
      </c>
      <c r="DK72" s="439">
        <f t="shared" si="325"/>
        <v>0</v>
      </c>
      <c r="DL72" s="439">
        <f t="shared" si="326"/>
        <v>0</v>
      </c>
      <c r="DM72" s="439">
        <f t="shared" si="327"/>
        <v>0</v>
      </c>
      <c r="DN72" s="439">
        <f t="shared" si="328"/>
        <v>0</v>
      </c>
      <c r="DO72" s="439">
        <f t="shared" si="329"/>
        <v>0</v>
      </c>
      <c r="DP72" s="439">
        <f t="shared" si="330"/>
        <v>0</v>
      </c>
      <c r="DQ72" s="442">
        <f t="shared" si="331"/>
        <v>0</v>
      </c>
      <c r="DR72" s="442">
        <f t="shared" si="332"/>
        <v>0</v>
      </c>
      <c r="DS72" s="439">
        <f t="shared" si="333"/>
        <v>0</v>
      </c>
      <c r="DT72" s="439">
        <f t="shared" si="334"/>
        <v>0</v>
      </c>
      <c r="DU72" s="661">
        <f t="shared" si="335"/>
        <v>0</v>
      </c>
      <c r="DV72" s="661">
        <f t="shared" si="336"/>
        <v>0</v>
      </c>
      <c r="DW72" s="439">
        <f t="shared" si="337"/>
        <v>0</v>
      </c>
      <c r="DX72" s="439">
        <f t="shared" si="338"/>
        <v>0</v>
      </c>
      <c r="DY72" s="439">
        <f t="shared" si="339"/>
        <v>0</v>
      </c>
      <c r="DZ72" s="439">
        <f t="shared" si="340"/>
        <v>0</v>
      </c>
      <c r="EA72" s="631" t="s">
        <v>92</v>
      </c>
      <c r="EB72" s="631">
        <f t="shared" si="451"/>
        <v>0.27398044822636192</v>
      </c>
      <c r="ED72" s="439">
        <f t="shared" si="341"/>
        <v>6.0207000000000006</v>
      </c>
      <c r="EE72" s="440">
        <f t="shared" si="342"/>
        <v>4.6107000000000005</v>
      </c>
      <c r="EF72" s="439">
        <f t="shared" si="343"/>
        <v>-3.2007000000000003</v>
      </c>
      <c r="EG72" s="441">
        <f t="shared" si="344"/>
        <v>0</v>
      </c>
      <c r="EH72" s="439">
        <f t="shared" si="345"/>
        <v>0</v>
      </c>
      <c r="EI72" s="439">
        <f t="shared" si="346"/>
        <v>0</v>
      </c>
      <c r="EJ72" s="439">
        <f t="shared" si="347"/>
        <v>0</v>
      </c>
      <c r="EK72" s="439">
        <f t="shared" si="348"/>
        <v>0</v>
      </c>
      <c r="EL72" s="439">
        <f t="shared" si="349"/>
        <v>0</v>
      </c>
      <c r="EM72" s="439">
        <f t="shared" si="350"/>
        <v>0</v>
      </c>
      <c r="EN72" s="439">
        <f t="shared" si="351"/>
        <v>0</v>
      </c>
      <c r="EO72" s="439">
        <f t="shared" si="352"/>
        <v>0</v>
      </c>
      <c r="EP72" s="439">
        <f t="shared" si="353"/>
        <v>0</v>
      </c>
      <c r="EQ72" s="439">
        <f t="shared" si="354"/>
        <v>0</v>
      </c>
      <c r="ER72" s="442">
        <f t="shared" si="355"/>
        <v>0</v>
      </c>
      <c r="ES72" s="442">
        <f t="shared" si="356"/>
        <v>0</v>
      </c>
      <c r="ET72" s="439">
        <f t="shared" si="357"/>
        <v>0</v>
      </c>
      <c r="EU72" s="439">
        <f t="shared" si="358"/>
        <v>0</v>
      </c>
      <c r="EV72" s="661">
        <f t="shared" si="359"/>
        <v>0</v>
      </c>
      <c r="EW72" s="661">
        <f t="shared" si="360"/>
        <v>0</v>
      </c>
      <c r="EX72" s="439">
        <f t="shared" si="361"/>
        <v>0</v>
      </c>
      <c r="EY72" s="439">
        <f t="shared" si="362"/>
        <v>0</v>
      </c>
      <c r="EZ72" s="439">
        <f t="shared" si="363"/>
        <v>0</v>
      </c>
      <c r="FA72" s="439">
        <f t="shared" si="364"/>
        <v>0</v>
      </c>
      <c r="FB72" s="631" t="s">
        <v>92</v>
      </c>
      <c r="FC72" s="631">
        <f t="shared" si="452"/>
        <v>0.61319433650661936</v>
      </c>
      <c r="FE72" s="439">
        <f t="shared" si="365"/>
        <v>3.2665499999999996</v>
      </c>
      <c r="FF72" s="440">
        <f t="shared" si="366"/>
        <v>2.5015499999999999</v>
      </c>
      <c r="FG72" s="439">
        <f t="shared" si="367"/>
        <v>-1.73655</v>
      </c>
      <c r="FH72" s="441">
        <f t="shared" si="368"/>
        <v>0</v>
      </c>
      <c r="FI72" s="439">
        <f t="shared" si="369"/>
        <v>0</v>
      </c>
      <c r="FJ72" s="439">
        <f t="shared" si="370"/>
        <v>0</v>
      </c>
      <c r="FK72" s="439">
        <f t="shared" si="371"/>
        <v>0</v>
      </c>
      <c r="FL72" s="439">
        <f t="shared" si="372"/>
        <v>0</v>
      </c>
      <c r="FM72" s="439">
        <f t="shared" si="373"/>
        <v>0</v>
      </c>
      <c r="FN72" s="439">
        <f t="shared" si="374"/>
        <v>0</v>
      </c>
      <c r="FO72" s="439">
        <f t="shared" si="375"/>
        <v>0</v>
      </c>
      <c r="FP72" s="439">
        <f t="shared" si="376"/>
        <v>0</v>
      </c>
      <c r="FQ72" s="439">
        <f t="shared" si="377"/>
        <v>0</v>
      </c>
      <c r="FR72" s="439">
        <f t="shared" si="378"/>
        <v>0</v>
      </c>
      <c r="FS72" s="442">
        <f t="shared" si="379"/>
        <v>0</v>
      </c>
      <c r="FT72" s="442">
        <f t="shared" si="380"/>
        <v>0</v>
      </c>
      <c r="FU72" s="439">
        <f t="shared" si="381"/>
        <v>0</v>
      </c>
      <c r="FV72" s="439">
        <f t="shared" si="382"/>
        <v>0</v>
      </c>
      <c r="FW72" s="661">
        <f t="shared" si="383"/>
        <v>0</v>
      </c>
      <c r="FX72" s="661">
        <f t="shared" si="384"/>
        <v>0</v>
      </c>
      <c r="FY72" s="439">
        <f t="shared" si="385"/>
        <v>0</v>
      </c>
      <c r="FZ72" s="439">
        <f t="shared" si="386"/>
        <v>0</v>
      </c>
      <c r="GA72" s="439">
        <f t="shared" si="387"/>
        <v>0</v>
      </c>
      <c r="GB72" s="439">
        <f t="shared" si="388"/>
        <v>0</v>
      </c>
      <c r="GC72" s="631" t="s">
        <v>92</v>
      </c>
      <c r="GD72" s="631">
        <f t="shared" si="453"/>
        <v>0.33269054427486794</v>
      </c>
      <c r="GF72" s="439">
        <f t="shared" si="389"/>
        <v>4.7012700000000009</v>
      </c>
      <c r="GG72" s="440">
        <f t="shared" si="390"/>
        <v>3.6002700000000005</v>
      </c>
      <c r="GH72" s="439">
        <f t="shared" si="391"/>
        <v>-2.4992700000000005</v>
      </c>
      <c r="GI72" s="439">
        <f t="shared" si="392"/>
        <v>0</v>
      </c>
      <c r="GJ72" s="439">
        <f t="shared" si="393"/>
        <v>0</v>
      </c>
      <c r="GK72" s="439">
        <f t="shared" si="394"/>
        <v>0</v>
      </c>
      <c r="GL72" s="439">
        <f t="shared" si="395"/>
        <v>0</v>
      </c>
      <c r="GM72" s="439">
        <f t="shared" si="396"/>
        <v>0</v>
      </c>
      <c r="GN72" s="439">
        <f t="shared" si="397"/>
        <v>0</v>
      </c>
      <c r="GO72" s="439">
        <f t="shared" si="398"/>
        <v>0</v>
      </c>
      <c r="GP72" s="439">
        <f t="shared" si="399"/>
        <v>0</v>
      </c>
      <c r="GQ72" s="439">
        <f t="shared" si="400"/>
        <v>0</v>
      </c>
      <c r="GR72" s="439">
        <f t="shared" si="401"/>
        <v>0</v>
      </c>
      <c r="GS72" s="439">
        <f t="shared" si="402"/>
        <v>0</v>
      </c>
      <c r="GT72" s="442">
        <f t="shared" si="403"/>
        <v>0</v>
      </c>
      <c r="GU72" s="442">
        <f t="shared" si="404"/>
        <v>0</v>
      </c>
      <c r="GV72" s="439">
        <f t="shared" si="405"/>
        <v>0</v>
      </c>
      <c r="GW72" s="439">
        <f t="shared" si="406"/>
        <v>0</v>
      </c>
      <c r="GX72" s="661">
        <f t="shared" si="407"/>
        <v>0</v>
      </c>
      <c r="GY72" s="661">
        <f t="shared" si="408"/>
        <v>0</v>
      </c>
      <c r="GZ72" s="439">
        <f t="shared" si="409"/>
        <v>0</v>
      </c>
      <c r="HA72" s="439">
        <f t="shared" si="410"/>
        <v>0</v>
      </c>
      <c r="HB72" s="439">
        <f t="shared" si="411"/>
        <v>0</v>
      </c>
      <c r="HC72" s="439">
        <f t="shared" si="412"/>
        <v>0</v>
      </c>
      <c r="HD72" s="631" t="s">
        <v>92</v>
      </c>
      <c r="HE72" s="631">
        <f t="shared" si="306"/>
        <v>0.47881344999559439</v>
      </c>
      <c r="HG72" s="618">
        <f>HLOOKUP(CQ72,Spec_Sheet!$F$3:$DV$19,11,FALSE)+HLOOKUP(CQ72,Spec_Sheet!$F$3:$DV$21,19,FALSE)</f>
        <v>240</v>
      </c>
      <c r="HH72" s="618">
        <f t="shared" si="454"/>
        <v>100</v>
      </c>
      <c r="HI72" s="634">
        <f t="shared" si="455"/>
        <v>300</v>
      </c>
      <c r="HJ72" s="634">
        <f>HLOOKUP(IF(LEN(CQ72)&gt;6,LEFT(CQ72,5),CQ72),'LSM List Pricing'!$B$1:$BW$2,2,0)</f>
        <v>53</v>
      </c>
      <c r="HK72" s="634">
        <f>HLOOKUP(HJ72,'LSM List Pricing'!$B$2:$BW$3,2)</f>
        <v>760</v>
      </c>
      <c r="HL72" s="634">
        <f>VLOOKUP(HH72,'LSM List Pricing'!$A$7:$BW$87,HJ72,0)</f>
        <v>840</v>
      </c>
      <c r="HM72" s="627">
        <f>VLOOKUP(HI72,'LSM List Pricing'!$A$7:$BW$87,HJ72,1)</f>
        <v>1230</v>
      </c>
      <c r="HN72" s="628">
        <f t="shared" si="307"/>
        <v>4.1025641025641022</v>
      </c>
      <c r="HO72" s="628">
        <f t="shared" si="308"/>
        <v>8.2051282051282044</v>
      </c>
      <c r="HP72" s="628">
        <f t="shared" si="309"/>
        <v>7.0512820512820511</v>
      </c>
      <c r="HR72" s="618">
        <v>3.4500000000000003E-2</v>
      </c>
      <c r="HS72" s="618">
        <f t="shared" si="457"/>
        <v>231.64285714285717</v>
      </c>
      <c r="HT72" s="618">
        <f t="shared" si="458"/>
        <v>1</v>
      </c>
      <c r="HU72" s="618">
        <f t="shared" si="170"/>
        <v>0.87853425797187068</v>
      </c>
      <c r="HW72" s="618">
        <f t="shared" si="413"/>
        <v>34.752481353679947</v>
      </c>
      <c r="HX72" s="618">
        <f t="shared" si="171"/>
        <v>0.86309159094382359</v>
      </c>
      <c r="HY72" s="618">
        <f t="shared" si="172"/>
        <v>3.4500000000000003E-2</v>
      </c>
      <c r="IB72" s="618">
        <f t="shared" si="414"/>
        <v>25.000350341399081</v>
      </c>
      <c r="IC72" s="618">
        <f t="shared" si="415"/>
        <v>1E-3</v>
      </c>
      <c r="IE72" s="618">
        <f t="shared" si="416"/>
        <v>0</v>
      </c>
      <c r="IF72" s="618">
        <f t="shared" si="417"/>
        <v>40.704999999999998</v>
      </c>
      <c r="IH72" s="618">
        <f t="shared" si="418"/>
        <v>0</v>
      </c>
      <c r="II72" s="618">
        <f t="shared" si="419"/>
        <v>40.704999999999998</v>
      </c>
      <c r="IK72" s="618">
        <f t="shared" si="420"/>
        <v>0</v>
      </c>
      <c r="IL72" s="618">
        <f t="shared" si="421"/>
        <v>40.704999999999998</v>
      </c>
      <c r="IN72" s="618">
        <f t="shared" si="422"/>
        <v>0</v>
      </c>
      <c r="IO72" s="618">
        <f t="shared" si="423"/>
        <v>40.704999999999998</v>
      </c>
      <c r="IQ72" s="618">
        <f t="shared" si="424"/>
        <v>0</v>
      </c>
      <c r="IR72" s="618">
        <f t="shared" si="425"/>
        <v>40.704999999999998</v>
      </c>
      <c r="IT72" s="660" t="str">
        <f t="shared" si="426"/>
        <v>S320T 1S</v>
      </c>
      <c r="IU72" s="628"/>
      <c r="IV72" s="439">
        <f t="shared" si="427"/>
        <v>4.8677999999999999</v>
      </c>
      <c r="IW72" s="440">
        <f t="shared" si="428"/>
        <v>3.7278000000000002</v>
      </c>
      <c r="IX72" s="439">
        <f t="shared" si="429"/>
        <v>-2.5878000000000005</v>
      </c>
      <c r="IY72" s="439">
        <f t="shared" si="430"/>
        <v>0</v>
      </c>
      <c r="IZ72" s="439">
        <f t="shared" si="431"/>
        <v>0</v>
      </c>
      <c r="JA72" s="439">
        <f t="shared" si="432"/>
        <v>0</v>
      </c>
      <c r="JB72" s="439">
        <f t="shared" si="433"/>
        <v>0</v>
      </c>
      <c r="JC72" s="439">
        <f t="shared" si="434"/>
        <v>0</v>
      </c>
      <c r="JD72" s="439">
        <f t="shared" si="435"/>
        <v>0</v>
      </c>
      <c r="JE72" s="439">
        <f t="shared" si="436"/>
        <v>0</v>
      </c>
      <c r="JF72" s="439">
        <f t="shared" si="437"/>
        <v>0</v>
      </c>
      <c r="JG72" s="439">
        <f t="shared" si="438"/>
        <v>0</v>
      </c>
      <c r="JH72" s="439">
        <f t="shared" si="439"/>
        <v>0</v>
      </c>
      <c r="JI72" s="439">
        <f t="shared" si="440"/>
        <v>0</v>
      </c>
      <c r="JJ72" s="442">
        <f t="shared" si="441"/>
        <v>0</v>
      </c>
      <c r="JK72" s="442">
        <f t="shared" si="442"/>
        <v>0</v>
      </c>
      <c r="JL72" s="439">
        <f t="shared" si="443"/>
        <v>0</v>
      </c>
      <c r="JM72" s="439">
        <f t="shared" si="444"/>
        <v>0</v>
      </c>
      <c r="JN72" s="661">
        <f t="shared" si="445"/>
        <v>0</v>
      </c>
      <c r="JO72" s="661">
        <f t="shared" si="446"/>
        <v>0</v>
      </c>
      <c r="JP72" s="439">
        <f t="shared" si="447"/>
        <v>0</v>
      </c>
      <c r="JQ72" s="439">
        <f t="shared" si="448"/>
        <v>0</v>
      </c>
      <c r="JR72" s="439">
        <f t="shared" si="449"/>
        <v>0</v>
      </c>
      <c r="JS72" s="439">
        <f t="shared" si="450"/>
        <v>0</v>
      </c>
      <c r="JT72" s="631" t="s">
        <v>92</v>
      </c>
      <c r="JU72" s="631">
        <f t="shared" si="459"/>
        <v>0.49577414440960721</v>
      </c>
      <c r="JW72" s="522"/>
      <c r="JX72" s="522"/>
      <c r="JY72" s="522"/>
      <c r="JZ72" s="522"/>
      <c r="KA72" s="522"/>
      <c r="KB72" s="522"/>
      <c r="KC72" s="522"/>
      <c r="KD72" s="522"/>
      <c r="KE72" s="522"/>
      <c r="KF72" s="522"/>
      <c r="KG72" s="522"/>
      <c r="KH72" s="522"/>
      <c r="KI72" s="522"/>
      <c r="KJ72" s="522"/>
      <c r="KK72" s="522"/>
      <c r="KL72" s="522"/>
    </row>
    <row r="73" spans="1:298">
      <c r="A73" s="155"/>
      <c r="B73" s="423"/>
      <c r="C73" s="423"/>
      <c r="D73" s="423"/>
      <c r="E73" s="45"/>
      <c r="F73" s="45"/>
      <c r="G73" s="45"/>
      <c r="H73" s="45"/>
      <c r="I73" s="45"/>
      <c r="J73" s="45"/>
      <c r="K73" s="45"/>
      <c r="L73" s="45"/>
      <c r="M73" s="45"/>
      <c r="N73" s="45"/>
      <c r="O73" s="45"/>
      <c r="P73" s="45"/>
      <c r="Q73" s="45"/>
      <c r="R73" s="45"/>
      <c r="S73" s="45"/>
      <c r="T73" s="45"/>
      <c r="U73" s="154"/>
      <c r="V73" s="154"/>
      <c r="W73" s="45"/>
      <c r="X73" s="45"/>
      <c r="Y73" s="45"/>
      <c r="Z73" s="45"/>
      <c r="AA73" s="45"/>
      <c r="AB73" s="45"/>
      <c r="AC73" s="154"/>
      <c r="AD73" s="154"/>
      <c r="AE73" s="45"/>
      <c r="AF73" s="45"/>
      <c r="AG73" s="45"/>
      <c r="AH73" s="45"/>
      <c r="AI73" s="45"/>
      <c r="AJ73" s="45"/>
      <c r="AK73" s="45"/>
      <c r="AL73" s="154"/>
      <c r="AM73" s="154"/>
      <c r="AN73" s="45"/>
      <c r="AO73" s="45"/>
      <c r="AP73" s="45"/>
      <c r="AQ73" s="45"/>
      <c r="AR73" s="45"/>
      <c r="AS73" s="45"/>
      <c r="AT73" s="154"/>
      <c r="AU73" s="154"/>
      <c r="AV73" s="93">
        <f>IF($AY$30,G90,0)*$G$82</f>
        <v>0</v>
      </c>
      <c r="AW73" s="93">
        <f>IF($AY$32,'Data Sheet'!AA94,0)</f>
        <v>0</v>
      </c>
      <c r="AX73" s="93">
        <f t="shared" si="460"/>
        <v>40.704999999999998</v>
      </c>
      <c r="AY73" s="444"/>
      <c r="AZ73" s="423"/>
      <c r="BA73" s="423"/>
      <c r="BB73" s="521"/>
      <c r="BC73" s="521"/>
      <c r="BD73" s="521"/>
      <c r="BE73" s="521"/>
      <c r="BF73" s="521"/>
      <c r="BG73" s="521"/>
      <c r="BH73" s="521"/>
      <c r="BI73" s="521"/>
      <c r="BJ73" s="521"/>
      <c r="BK73" s="521"/>
      <c r="BL73" s="521"/>
      <c r="BM73" s="267"/>
      <c r="BN73" s="267"/>
      <c r="BO73" s="387" t="s">
        <v>607</v>
      </c>
      <c r="BP73" s="707" t="s">
        <v>625</v>
      </c>
      <c r="BQ73" s="707"/>
      <c r="BR73" s="707"/>
      <c r="BS73" s="707"/>
      <c r="BT73" s="707"/>
      <c r="BU73" s="707"/>
      <c r="BV73" s="707"/>
      <c r="BW73" s="707"/>
      <c r="BX73" s="707"/>
      <c r="BY73" s="707"/>
      <c r="BZ73" s="707"/>
      <c r="CA73" s="707"/>
      <c r="CB73" s="707"/>
      <c r="CC73" s="707"/>
      <c r="CD73" s="707"/>
      <c r="CE73" s="707"/>
      <c r="CF73" s="707"/>
      <c r="CG73" s="707"/>
      <c r="CH73" s="707"/>
      <c r="CI73" s="707"/>
      <c r="CJ73" s="707"/>
      <c r="CK73" s="707"/>
      <c r="CL73" s="707"/>
      <c r="CM73" s="707"/>
      <c r="CN73" s="707"/>
      <c r="CO73" s="692" t="str">
        <f ca="1"/>
        <v>L320H-HV</v>
      </c>
      <c r="CP73" s="632" t="str">
        <f>IF(OR(CQ73=0,CR73="",CS73&gt;120),"",IF(HLOOKUP(CQ73,Spec_Sheet!$F$3:$ED$19,17,FALSE)&lt;$AC$46,"",CQ73))</f>
        <v>L320T</v>
      </c>
      <c r="CQ73" s="660" t="str">
        <f>IF(Spec_Sheet!A72="","",Spec_Sheet!A72)</f>
        <v>L320T</v>
      </c>
      <c r="CR73" s="660">
        <f>IF(CQ73="",0,HLOOKUP(CQ73,Spec_Sheet!$F$3:$ED$19,2,FALSE))</f>
        <v>81.75</v>
      </c>
      <c r="CS73" s="660">
        <f t="shared" si="169"/>
        <v>1.1538150383138426E-3</v>
      </c>
      <c r="CT73" s="621">
        <f t="shared" si="310"/>
        <v>1.3808435486664012E-3</v>
      </c>
      <c r="CU73" s="621">
        <f t="shared" si="316"/>
        <v>1.1538150383138426E-3</v>
      </c>
      <c r="CV73" s="621">
        <f t="shared" si="311"/>
        <v>1.6561718261636467E-3</v>
      </c>
      <c r="CW73" s="621">
        <f t="shared" si="312"/>
        <v>1.4065680753539002E-3</v>
      </c>
      <c r="CX73" s="621">
        <f t="shared" si="456"/>
        <v>8.5762447940851785E-4</v>
      </c>
      <c r="CY73" s="619">
        <f>HLOOKUP(CQ73,Spec_Sheet!$F$3:$ED$19,13,FALSE)</f>
        <v>1.9284114263480454</v>
      </c>
      <c r="CZ73" s="619">
        <f>VLOOKUP(HH73,'Shaft Weight'!$A$6:$CD$102,HJ73,TRUE)</f>
        <v>2.15</v>
      </c>
      <c r="DA73" s="619">
        <f>VLOOKUP(HI73,'Shaft Weight'!$A$6:$CD$102,HJ73,0)</f>
        <v>3.27</v>
      </c>
      <c r="DB73" s="619">
        <f>HLOOKUP(CQ73,Spec_Sheet!$F$3:$ED$19,6,FALSE)</f>
        <v>65.400000000000006</v>
      </c>
      <c r="DC73" s="439">
        <f t="shared" si="317"/>
        <v>2.9826950371518461</v>
      </c>
      <c r="DD73" s="440">
        <f t="shared" si="318"/>
        <v>2.2841716092474327</v>
      </c>
      <c r="DE73" s="439">
        <f t="shared" si="319"/>
        <v>-1.5856481813430192</v>
      </c>
      <c r="DF73" s="439">
        <f t="shared" si="320"/>
        <v>0</v>
      </c>
      <c r="DG73" s="439">
        <f t="shared" si="321"/>
        <v>0</v>
      </c>
      <c r="DH73" s="439">
        <f t="shared" si="322"/>
        <v>0</v>
      </c>
      <c r="DI73" s="439">
        <f t="shared" si="323"/>
        <v>0</v>
      </c>
      <c r="DJ73" s="439">
        <f t="shared" si="324"/>
        <v>0</v>
      </c>
      <c r="DK73" s="439">
        <f t="shared" si="325"/>
        <v>0</v>
      </c>
      <c r="DL73" s="439">
        <f t="shared" si="326"/>
        <v>0</v>
      </c>
      <c r="DM73" s="439">
        <f t="shared" si="327"/>
        <v>0</v>
      </c>
      <c r="DN73" s="439">
        <f t="shared" si="328"/>
        <v>0</v>
      </c>
      <c r="DO73" s="439">
        <f t="shared" si="329"/>
        <v>0</v>
      </c>
      <c r="DP73" s="439">
        <f t="shared" si="330"/>
        <v>0</v>
      </c>
      <c r="DQ73" s="442">
        <f t="shared" si="331"/>
        <v>0</v>
      </c>
      <c r="DR73" s="442">
        <f t="shared" si="332"/>
        <v>0</v>
      </c>
      <c r="DS73" s="439">
        <f t="shared" si="333"/>
        <v>0</v>
      </c>
      <c r="DT73" s="439">
        <f t="shared" si="334"/>
        <v>0</v>
      </c>
      <c r="DU73" s="661">
        <f t="shared" si="335"/>
        <v>0</v>
      </c>
      <c r="DV73" s="661">
        <f t="shared" si="336"/>
        <v>0</v>
      </c>
      <c r="DW73" s="439">
        <f t="shared" si="337"/>
        <v>0</v>
      </c>
      <c r="DX73" s="439">
        <f t="shared" si="338"/>
        <v>0</v>
      </c>
      <c r="DY73" s="439">
        <f t="shared" si="339"/>
        <v>0</v>
      </c>
      <c r="DZ73" s="439">
        <f t="shared" si="340"/>
        <v>0</v>
      </c>
      <c r="EA73" s="631" t="s">
        <v>92</v>
      </c>
      <c r="EB73" s="631">
        <f t="shared" si="451"/>
        <v>0.30378057440296197</v>
      </c>
      <c r="ED73" s="439">
        <f t="shared" si="341"/>
        <v>6.0207000000000006</v>
      </c>
      <c r="EE73" s="440">
        <f t="shared" si="342"/>
        <v>4.6107000000000005</v>
      </c>
      <c r="EF73" s="439">
        <f t="shared" si="343"/>
        <v>-3.2007000000000003</v>
      </c>
      <c r="EG73" s="441">
        <f t="shared" si="344"/>
        <v>0</v>
      </c>
      <c r="EH73" s="439">
        <f t="shared" si="345"/>
        <v>0</v>
      </c>
      <c r="EI73" s="439">
        <f t="shared" si="346"/>
        <v>0</v>
      </c>
      <c r="EJ73" s="439">
        <f t="shared" si="347"/>
        <v>0</v>
      </c>
      <c r="EK73" s="439">
        <f t="shared" si="348"/>
        <v>0</v>
      </c>
      <c r="EL73" s="439">
        <f t="shared" si="349"/>
        <v>0</v>
      </c>
      <c r="EM73" s="439">
        <f t="shared" si="350"/>
        <v>0</v>
      </c>
      <c r="EN73" s="439">
        <f t="shared" si="351"/>
        <v>0</v>
      </c>
      <c r="EO73" s="439">
        <f t="shared" si="352"/>
        <v>0</v>
      </c>
      <c r="EP73" s="439">
        <f t="shared" si="353"/>
        <v>0</v>
      </c>
      <c r="EQ73" s="439">
        <f t="shared" si="354"/>
        <v>0</v>
      </c>
      <c r="ER73" s="442">
        <f t="shared" si="355"/>
        <v>0</v>
      </c>
      <c r="ES73" s="442">
        <f t="shared" si="356"/>
        <v>0</v>
      </c>
      <c r="ET73" s="439">
        <f t="shared" si="357"/>
        <v>0</v>
      </c>
      <c r="EU73" s="439">
        <f t="shared" si="358"/>
        <v>0</v>
      </c>
      <c r="EV73" s="661">
        <f t="shared" si="359"/>
        <v>0</v>
      </c>
      <c r="EW73" s="661">
        <f t="shared" si="360"/>
        <v>0</v>
      </c>
      <c r="EX73" s="439">
        <f t="shared" si="361"/>
        <v>0</v>
      </c>
      <c r="EY73" s="439">
        <f t="shared" si="362"/>
        <v>0</v>
      </c>
      <c r="EZ73" s="439">
        <f t="shared" si="363"/>
        <v>0</v>
      </c>
      <c r="FA73" s="439">
        <f t="shared" si="364"/>
        <v>0</v>
      </c>
      <c r="FB73" s="631" t="s">
        <v>92</v>
      </c>
      <c r="FC73" s="631">
        <f t="shared" si="452"/>
        <v>0.61319433650661936</v>
      </c>
      <c r="FE73" s="439">
        <f t="shared" si="365"/>
        <v>3.2665499999999996</v>
      </c>
      <c r="FF73" s="440">
        <f t="shared" si="366"/>
        <v>2.5015499999999999</v>
      </c>
      <c r="FG73" s="439">
        <f t="shared" si="367"/>
        <v>-1.73655</v>
      </c>
      <c r="FH73" s="441">
        <f t="shared" si="368"/>
        <v>0</v>
      </c>
      <c r="FI73" s="439">
        <f t="shared" si="369"/>
        <v>0</v>
      </c>
      <c r="FJ73" s="439">
        <f t="shared" si="370"/>
        <v>0</v>
      </c>
      <c r="FK73" s="439">
        <f t="shared" si="371"/>
        <v>0</v>
      </c>
      <c r="FL73" s="439">
        <f t="shared" si="372"/>
        <v>0</v>
      </c>
      <c r="FM73" s="439">
        <f t="shared" si="373"/>
        <v>0</v>
      </c>
      <c r="FN73" s="439">
        <f t="shared" si="374"/>
        <v>0</v>
      </c>
      <c r="FO73" s="439">
        <f t="shared" si="375"/>
        <v>0</v>
      </c>
      <c r="FP73" s="439">
        <f t="shared" si="376"/>
        <v>0</v>
      </c>
      <c r="FQ73" s="439">
        <f t="shared" si="377"/>
        <v>0</v>
      </c>
      <c r="FR73" s="439">
        <f t="shared" si="378"/>
        <v>0</v>
      </c>
      <c r="FS73" s="442">
        <f t="shared" si="379"/>
        <v>0</v>
      </c>
      <c r="FT73" s="442">
        <f t="shared" si="380"/>
        <v>0</v>
      </c>
      <c r="FU73" s="439">
        <f t="shared" si="381"/>
        <v>0</v>
      </c>
      <c r="FV73" s="439">
        <f t="shared" si="382"/>
        <v>0</v>
      </c>
      <c r="FW73" s="661">
        <f t="shared" si="383"/>
        <v>0</v>
      </c>
      <c r="FX73" s="661">
        <f t="shared" si="384"/>
        <v>0</v>
      </c>
      <c r="FY73" s="439">
        <f t="shared" si="385"/>
        <v>0</v>
      </c>
      <c r="FZ73" s="439">
        <f t="shared" si="386"/>
        <v>0</v>
      </c>
      <c r="GA73" s="439">
        <f t="shared" si="387"/>
        <v>0</v>
      </c>
      <c r="GB73" s="439">
        <f t="shared" si="388"/>
        <v>0</v>
      </c>
      <c r="GC73" s="631" t="s">
        <v>92</v>
      </c>
      <c r="GD73" s="631">
        <f t="shared" si="453"/>
        <v>0.33269054427486794</v>
      </c>
      <c r="GF73" s="439">
        <f t="shared" si="389"/>
        <v>4.7012700000000009</v>
      </c>
      <c r="GG73" s="440">
        <f t="shared" si="390"/>
        <v>3.6002700000000005</v>
      </c>
      <c r="GH73" s="439">
        <f t="shared" si="391"/>
        <v>-2.4992700000000005</v>
      </c>
      <c r="GI73" s="439">
        <f t="shared" si="392"/>
        <v>0</v>
      </c>
      <c r="GJ73" s="439">
        <f t="shared" si="393"/>
        <v>0</v>
      </c>
      <c r="GK73" s="439">
        <f t="shared" si="394"/>
        <v>0</v>
      </c>
      <c r="GL73" s="439">
        <f t="shared" si="395"/>
        <v>0</v>
      </c>
      <c r="GM73" s="439">
        <f t="shared" si="396"/>
        <v>0</v>
      </c>
      <c r="GN73" s="439">
        <f t="shared" si="397"/>
        <v>0</v>
      </c>
      <c r="GO73" s="439">
        <f t="shared" si="398"/>
        <v>0</v>
      </c>
      <c r="GP73" s="439">
        <f t="shared" si="399"/>
        <v>0</v>
      </c>
      <c r="GQ73" s="439">
        <f t="shared" si="400"/>
        <v>0</v>
      </c>
      <c r="GR73" s="439">
        <f t="shared" si="401"/>
        <v>0</v>
      </c>
      <c r="GS73" s="439">
        <f t="shared" si="402"/>
        <v>0</v>
      </c>
      <c r="GT73" s="442">
        <f t="shared" si="403"/>
        <v>0</v>
      </c>
      <c r="GU73" s="442">
        <f t="shared" si="404"/>
        <v>0</v>
      </c>
      <c r="GV73" s="439">
        <f t="shared" si="405"/>
        <v>0</v>
      </c>
      <c r="GW73" s="439">
        <f t="shared" si="406"/>
        <v>0</v>
      </c>
      <c r="GX73" s="661">
        <f t="shared" si="407"/>
        <v>0</v>
      </c>
      <c r="GY73" s="661">
        <f t="shared" si="408"/>
        <v>0</v>
      </c>
      <c r="GZ73" s="439">
        <f t="shared" si="409"/>
        <v>0</v>
      </c>
      <c r="HA73" s="439">
        <f t="shared" si="410"/>
        <v>0</v>
      </c>
      <c r="HB73" s="439">
        <f t="shared" si="411"/>
        <v>0</v>
      </c>
      <c r="HC73" s="439">
        <f t="shared" si="412"/>
        <v>0</v>
      </c>
      <c r="HD73" s="631" t="s">
        <v>92</v>
      </c>
      <c r="HE73" s="631">
        <f t="shared" si="306"/>
        <v>0.47881344999559439</v>
      </c>
      <c r="HG73" s="618">
        <f>HLOOKUP(CQ73,Spec_Sheet!$F$3:$DV$19,11,FALSE)+HLOOKUP(CQ73,Spec_Sheet!$F$3:$DV$21,19,FALSE)</f>
        <v>240</v>
      </c>
      <c r="HH73" s="618">
        <f t="shared" si="454"/>
        <v>100</v>
      </c>
      <c r="HI73" s="634">
        <f t="shared" si="455"/>
        <v>300</v>
      </c>
      <c r="HJ73" s="634">
        <f>HLOOKUP(IF(LEN(CQ73)&gt;6,LEFT(CQ73,5),CQ73),'LSM List Pricing'!$B$1:$BW$2,2,0)</f>
        <v>18</v>
      </c>
      <c r="HK73" s="634">
        <f>HLOOKUP(HJ73,'LSM List Pricing'!$B$2:$BW$3,2)</f>
        <v>760</v>
      </c>
      <c r="HL73" s="634">
        <f>VLOOKUP(HH73,'LSM List Pricing'!$A$7:$BW$87,HJ73,0)</f>
        <v>840</v>
      </c>
      <c r="HM73" s="627">
        <f>VLOOKUP(HI73,'LSM List Pricing'!$A$7:$BW$87,HJ73,1)</f>
        <v>1230</v>
      </c>
      <c r="HN73" s="628">
        <f t="shared" si="307"/>
        <v>4.1025641025641022</v>
      </c>
      <c r="HO73" s="628">
        <f t="shared" si="308"/>
        <v>8.2051282051282044</v>
      </c>
      <c r="HP73" s="628">
        <f t="shared" si="309"/>
        <v>7.0512820512820511</v>
      </c>
      <c r="HR73" s="618">
        <v>3.5000000000000003E-2</v>
      </c>
      <c r="HS73" s="618">
        <f t="shared" si="457"/>
        <v>235.00000000000003</v>
      </c>
      <c r="HT73" s="618">
        <f t="shared" si="458"/>
        <v>1</v>
      </c>
      <c r="HU73" s="618">
        <f t="shared" si="170"/>
        <v>0.89127330194549548</v>
      </c>
      <c r="HW73" s="618">
        <f t="shared" si="413"/>
        <v>34.734391911237395</v>
      </c>
      <c r="HX73" s="618">
        <f t="shared" si="171"/>
        <v>0.87538278388700053</v>
      </c>
      <c r="HY73" s="618">
        <f t="shared" si="172"/>
        <v>3.5000000000000003E-2</v>
      </c>
      <c r="IB73" s="618">
        <f t="shared" si="414"/>
        <v>25.000350341399081</v>
      </c>
      <c r="IC73" s="618">
        <f t="shared" si="415"/>
        <v>1E-3</v>
      </c>
      <c r="IE73" s="618">
        <f t="shared" si="416"/>
        <v>0</v>
      </c>
      <c r="IF73" s="618">
        <f t="shared" si="417"/>
        <v>40.704999999999998</v>
      </c>
      <c r="IH73" s="618">
        <f t="shared" si="418"/>
        <v>0</v>
      </c>
      <c r="II73" s="618">
        <f t="shared" si="419"/>
        <v>40.704999999999998</v>
      </c>
      <c r="IK73" s="618">
        <f t="shared" si="420"/>
        <v>0</v>
      </c>
      <c r="IL73" s="618">
        <f t="shared" si="421"/>
        <v>40.704999999999998</v>
      </c>
      <c r="IN73" s="618">
        <f t="shared" si="422"/>
        <v>0</v>
      </c>
      <c r="IO73" s="618">
        <f t="shared" si="423"/>
        <v>40.704999999999998</v>
      </c>
      <c r="IQ73" s="618">
        <f t="shared" si="424"/>
        <v>0</v>
      </c>
      <c r="IR73" s="618">
        <f t="shared" si="425"/>
        <v>40.704999999999998</v>
      </c>
      <c r="IT73" s="660" t="str">
        <f t="shared" si="426"/>
        <v>L320T</v>
      </c>
      <c r="IU73" s="628"/>
      <c r="IV73" s="439">
        <f t="shared" si="427"/>
        <v>5.4529900743036936</v>
      </c>
      <c r="IW73" s="440">
        <f t="shared" si="428"/>
        <v>4.1759432184948659</v>
      </c>
      <c r="IX73" s="439">
        <f t="shared" si="429"/>
        <v>-2.8988963626860387</v>
      </c>
      <c r="IY73" s="439">
        <f t="shared" si="430"/>
        <v>0</v>
      </c>
      <c r="IZ73" s="439">
        <f t="shared" si="431"/>
        <v>0</v>
      </c>
      <c r="JA73" s="439">
        <f t="shared" si="432"/>
        <v>0</v>
      </c>
      <c r="JB73" s="439">
        <f t="shared" si="433"/>
        <v>0</v>
      </c>
      <c r="JC73" s="439">
        <f t="shared" si="434"/>
        <v>0</v>
      </c>
      <c r="JD73" s="439">
        <f t="shared" si="435"/>
        <v>0</v>
      </c>
      <c r="JE73" s="439">
        <f t="shared" si="436"/>
        <v>0</v>
      </c>
      <c r="JF73" s="439">
        <f t="shared" si="437"/>
        <v>0</v>
      </c>
      <c r="JG73" s="439">
        <f t="shared" si="438"/>
        <v>0</v>
      </c>
      <c r="JH73" s="439">
        <f t="shared" si="439"/>
        <v>0</v>
      </c>
      <c r="JI73" s="439">
        <f t="shared" si="440"/>
        <v>0</v>
      </c>
      <c r="JJ73" s="442">
        <f t="shared" si="441"/>
        <v>0</v>
      </c>
      <c r="JK73" s="442">
        <f t="shared" si="442"/>
        <v>0</v>
      </c>
      <c r="JL73" s="439">
        <f t="shared" si="443"/>
        <v>0</v>
      </c>
      <c r="JM73" s="439">
        <f t="shared" si="444"/>
        <v>0</v>
      </c>
      <c r="JN73" s="661">
        <f t="shared" si="445"/>
        <v>0</v>
      </c>
      <c r="JO73" s="661">
        <f t="shared" si="446"/>
        <v>0</v>
      </c>
      <c r="JP73" s="439">
        <f t="shared" si="447"/>
        <v>0</v>
      </c>
      <c r="JQ73" s="439">
        <f t="shared" si="448"/>
        <v>0</v>
      </c>
      <c r="JR73" s="439">
        <f t="shared" si="449"/>
        <v>0</v>
      </c>
      <c r="JS73" s="439">
        <f t="shared" si="450"/>
        <v>0</v>
      </c>
      <c r="JT73" s="631" t="s">
        <v>92</v>
      </c>
      <c r="JU73" s="631">
        <f t="shared" si="459"/>
        <v>0.55537439676280742</v>
      </c>
      <c r="JW73" s="522"/>
      <c r="JX73" s="522"/>
      <c r="JY73" s="522"/>
      <c r="JZ73" s="522"/>
      <c r="KA73" s="522"/>
      <c r="KB73" s="522"/>
      <c r="KC73" s="522"/>
      <c r="KD73" s="522"/>
      <c r="KE73" s="522"/>
      <c r="KF73" s="522"/>
      <c r="KG73" s="522"/>
      <c r="KH73" s="522"/>
      <c r="KI73" s="522"/>
      <c r="KJ73" s="522"/>
      <c r="KK73" s="522"/>
      <c r="KL73" s="522"/>
    </row>
    <row r="74" spans="1:298">
      <c r="A74" s="377"/>
      <c r="B74" s="153"/>
      <c r="C74" s="153"/>
      <c r="D74" s="153"/>
      <c r="E74" s="45"/>
      <c r="F74" s="45"/>
      <c r="G74" s="45"/>
      <c r="H74" s="45"/>
      <c r="I74" s="45"/>
      <c r="J74" s="45"/>
      <c r="K74" s="45"/>
      <c r="L74" s="45"/>
      <c r="M74" s="45"/>
      <c r="N74" s="45"/>
      <c r="O74" s="45"/>
      <c r="P74" s="45"/>
      <c r="Q74" s="45"/>
      <c r="R74" s="45"/>
      <c r="S74" s="45"/>
      <c r="T74" s="45"/>
      <c r="U74" s="154"/>
      <c r="V74" s="154"/>
      <c r="W74" s="45"/>
      <c r="X74" s="45"/>
      <c r="Y74" s="45"/>
      <c r="Z74" s="45"/>
      <c r="AA74" s="45"/>
      <c r="AB74" s="45"/>
      <c r="AC74" s="154"/>
      <c r="AD74" s="154"/>
      <c r="AE74" s="45"/>
      <c r="AF74" s="45"/>
      <c r="AG74" s="45"/>
      <c r="AH74" s="45"/>
      <c r="AI74" s="45"/>
      <c r="AJ74" s="45"/>
      <c r="AK74" s="45"/>
      <c r="AL74" s="154"/>
      <c r="AM74" s="154"/>
      <c r="AN74" s="45"/>
      <c r="AO74" s="45"/>
      <c r="AP74" s="45"/>
      <c r="AQ74" s="45"/>
      <c r="AR74" s="45"/>
      <c r="AS74" s="45"/>
      <c r="AT74" s="154"/>
      <c r="AU74" s="154"/>
      <c r="AV74" s="93">
        <f>IF($AY$30,G89,0)*$G$82</f>
        <v>0</v>
      </c>
      <c r="AW74" s="93">
        <f>IF($AY$32,'Data Sheet'!AA95,0)</f>
        <v>0</v>
      </c>
      <c r="AX74" s="93">
        <f t="shared" si="460"/>
        <v>40.704999999999998</v>
      </c>
      <c r="AY74" s="513"/>
      <c r="AZ74" s="512"/>
      <c r="BA74" s="153"/>
      <c r="BB74" s="521"/>
      <c r="BC74" s="521"/>
      <c r="BD74" s="521"/>
      <c r="BE74" s="521"/>
      <c r="BF74" s="521"/>
      <c r="BG74" s="521"/>
      <c r="BH74" s="521"/>
      <c r="BI74" s="521"/>
      <c r="BJ74" s="521"/>
      <c r="BK74" s="521"/>
      <c r="BL74" s="521"/>
      <c r="BM74" s="267"/>
      <c r="BN74" s="267"/>
      <c r="BO74" s="124"/>
      <c r="BP74" s="707"/>
      <c r="BQ74" s="707"/>
      <c r="BR74" s="707"/>
      <c r="BS74" s="707"/>
      <c r="BT74" s="707"/>
      <c r="BU74" s="707"/>
      <c r="BV74" s="707"/>
      <c r="BW74" s="707"/>
      <c r="BX74" s="707"/>
      <c r="BY74" s="707"/>
      <c r="BZ74" s="707"/>
      <c r="CA74" s="707"/>
      <c r="CB74" s="707"/>
      <c r="CC74" s="707"/>
      <c r="CD74" s="707"/>
      <c r="CE74" s="707"/>
      <c r="CF74" s="707"/>
      <c r="CG74" s="707"/>
      <c r="CH74" s="707"/>
      <c r="CI74" s="707"/>
      <c r="CJ74" s="707"/>
      <c r="CK74" s="707"/>
      <c r="CL74" s="707"/>
      <c r="CM74" s="707"/>
      <c r="CN74" s="707"/>
      <c r="CO74" s="692" t="str">
        <f ca="1"/>
        <v>S427D 1S</v>
      </c>
      <c r="CP74" s="632" t="str">
        <f>IF(OR(CQ74=0,CR74="",CS74&gt;120),"",IF(HLOOKUP(CQ74,Spec_Sheet!$F$3:$ED$19,17,FALSE)&lt;$AC$46,"",CQ74))</f>
        <v>L320T-1S</v>
      </c>
      <c r="CQ74" s="660" t="str">
        <f>IF(Spec_Sheet!A73="","",Spec_Sheet!A73)</f>
        <v>L320T-1S</v>
      </c>
      <c r="CR74" s="660">
        <f>IF(CQ74="",0,HLOOKUP(CQ74,Spec_Sheet!$F$3:$ED$19,2,FALSE))</f>
        <v>81.75</v>
      </c>
      <c r="CS74" s="660">
        <f t="shared" si="169"/>
        <v>1.1538150383138426E-3</v>
      </c>
      <c r="CT74" s="621">
        <f t="shared" si="310"/>
        <v>1.3808435486664012E-3</v>
      </c>
      <c r="CU74" s="621">
        <f t="shared" si="316"/>
        <v>1.1538150383138426E-3</v>
      </c>
      <c r="CV74" s="621">
        <f t="shared" si="311"/>
        <v>1.6561718261636467E-3</v>
      </c>
      <c r="CW74" s="621">
        <f t="shared" si="312"/>
        <v>1.4065680753539008E-3</v>
      </c>
      <c r="CX74" s="621">
        <f t="shared" si="456"/>
        <v>8.5762447940851817E-4</v>
      </c>
      <c r="CY74" s="619">
        <f>HLOOKUP(CQ74,Spec_Sheet!$F$3:$ED$19,13,FALSE)</f>
        <v>1.9284114263480454</v>
      </c>
      <c r="CZ74" s="619">
        <f>VLOOKUP(HH74,'Shaft Weight'!$A$6:$CD$102,HJ74,TRUE)</f>
        <v>2.15</v>
      </c>
      <c r="DA74" s="619">
        <f>VLOOKUP(HI74,'Shaft Weight'!$A$6:$CD$102,HJ74,0)</f>
        <v>3.27</v>
      </c>
      <c r="DB74" s="619">
        <f>HLOOKUP(CQ74,Spec_Sheet!$F$3:$ED$19,6,FALSE)</f>
        <v>21.8</v>
      </c>
      <c r="DC74" s="439">
        <f t="shared" si="317"/>
        <v>2.9826950371518461</v>
      </c>
      <c r="DD74" s="440">
        <f t="shared" si="318"/>
        <v>2.2841716092474327</v>
      </c>
      <c r="DE74" s="439">
        <f t="shared" si="319"/>
        <v>-1.5856481813430192</v>
      </c>
      <c r="DF74" s="439">
        <f t="shared" si="320"/>
        <v>0</v>
      </c>
      <c r="DG74" s="439">
        <f t="shared" si="321"/>
        <v>0</v>
      </c>
      <c r="DH74" s="439">
        <f t="shared" si="322"/>
        <v>0</v>
      </c>
      <c r="DI74" s="439">
        <f t="shared" si="323"/>
        <v>0</v>
      </c>
      <c r="DJ74" s="439">
        <f t="shared" si="324"/>
        <v>0</v>
      </c>
      <c r="DK74" s="439">
        <f t="shared" si="325"/>
        <v>0</v>
      </c>
      <c r="DL74" s="439">
        <f t="shared" si="326"/>
        <v>0</v>
      </c>
      <c r="DM74" s="439">
        <f t="shared" si="327"/>
        <v>0</v>
      </c>
      <c r="DN74" s="439">
        <f t="shared" si="328"/>
        <v>0</v>
      </c>
      <c r="DO74" s="439">
        <f t="shared" si="329"/>
        <v>0</v>
      </c>
      <c r="DP74" s="439">
        <f t="shared" si="330"/>
        <v>0</v>
      </c>
      <c r="DQ74" s="442">
        <f t="shared" si="331"/>
        <v>0</v>
      </c>
      <c r="DR74" s="442">
        <f t="shared" si="332"/>
        <v>0</v>
      </c>
      <c r="DS74" s="439">
        <f t="shared" si="333"/>
        <v>0</v>
      </c>
      <c r="DT74" s="439">
        <f t="shared" si="334"/>
        <v>0</v>
      </c>
      <c r="DU74" s="661">
        <f t="shared" si="335"/>
        <v>0</v>
      </c>
      <c r="DV74" s="661">
        <f t="shared" si="336"/>
        <v>0</v>
      </c>
      <c r="DW74" s="439">
        <f t="shared" si="337"/>
        <v>0</v>
      </c>
      <c r="DX74" s="439">
        <f t="shared" si="338"/>
        <v>0</v>
      </c>
      <c r="DY74" s="439">
        <f t="shared" si="339"/>
        <v>0</v>
      </c>
      <c r="DZ74" s="439">
        <f t="shared" si="340"/>
        <v>0</v>
      </c>
      <c r="EA74" s="631" t="s">
        <v>92</v>
      </c>
      <c r="EB74" s="631">
        <f t="shared" si="451"/>
        <v>0.30378057440296197</v>
      </c>
      <c r="ED74" s="439">
        <f t="shared" si="341"/>
        <v>6.0207000000000006</v>
      </c>
      <c r="EE74" s="440">
        <f t="shared" si="342"/>
        <v>4.6107000000000005</v>
      </c>
      <c r="EF74" s="439">
        <f t="shared" si="343"/>
        <v>-3.2007000000000003</v>
      </c>
      <c r="EG74" s="441">
        <f t="shared" si="344"/>
        <v>0</v>
      </c>
      <c r="EH74" s="439">
        <f t="shared" si="345"/>
        <v>0</v>
      </c>
      <c r="EI74" s="439">
        <f t="shared" si="346"/>
        <v>0</v>
      </c>
      <c r="EJ74" s="439">
        <f t="shared" si="347"/>
        <v>0</v>
      </c>
      <c r="EK74" s="439">
        <f t="shared" si="348"/>
        <v>0</v>
      </c>
      <c r="EL74" s="439">
        <f t="shared" si="349"/>
        <v>0</v>
      </c>
      <c r="EM74" s="439">
        <f t="shared" si="350"/>
        <v>0</v>
      </c>
      <c r="EN74" s="439">
        <f t="shared" si="351"/>
        <v>0</v>
      </c>
      <c r="EO74" s="439">
        <f t="shared" si="352"/>
        <v>0</v>
      </c>
      <c r="EP74" s="439">
        <f t="shared" si="353"/>
        <v>0</v>
      </c>
      <c r="EQ74" s="439">
        <f t="shared" si="354"/>
        <v>0</v>
      </c>
      <c r="ER74" s="442">
        <f t="shared" si="355"/>
        <v>0</v>
      </c>
      <c r="ES74" s="442">
        <f t="shared" si="356"/>
        <v>0</v>
      </c>
      <c r="ET74" s="439">
        <f t="shared" si="357"/>
        <v>0</v>
      </c>
      <c r="EU74" s="439">
        <f t="shared" si="358"/>
        <v>0</v>
      </c>
      <c r="EV74" s="661">
        <f t="shared" si="359"/>
        <v>0</v>
      </c>
      <c r="EW74" s="661">
        <f t="shared" si="360"/>
        <v>0</v>
      </c>
      <c r="EX74" s="439">
        <f t="shared" si="361"/>
        <v>0</v>
      </c>
      <c r="EY74" s="439">
        <f t="shared" si="362"/>
        <v>0</v>
      </c>
      <c r="EZ74" s="439">
        <f t="shared" si="363"/>
        <v>0</v>
      </c>
      <c r="FA74" s="439">
        <f t="shared" si="364"/>
        <v>0</v>
      </c>
      <c r="FB74" s="631" t="s">
        <v>92</v>
      </c>
      <c r="FC74" s="631">
        <f t="shared" si="452"/>
        <v>0.61319433650661936</v>
      </c>
      <c r="FE74" s="439">
        <f t="shared" si="365"/>
        <v>3.2665499999999996</v>
      </c>
      <c r="FF74" s="440">
        <f t="shared" si="366"/>
        <v>2.5015499999999999</v>
      </c>
      <c r="FG74" s="439">
        <f t="shared" si="367"/>
        <v>-1.73655</v>
      </c>
      <c r="FH74" s="441">
        <f t="shared" si="368"/>
        <v>0</v>
      </c>
      <c r="FI74" s="439">
        <f t="shared" si="369"/>
        <v>0</v>
      </c>
      <c r="FJ74" s="439">
        <f t="shared" si="370"/>
        <v>0</v>
      </c>
      <c r="FK74" s="439">
        <f t="shared" si="371"/>
        <v>0</v>
      </c>
      <c r="FL74" s="439">
        <f t="shared" si="372"/>
        <v>0</v>
      </c>
      <c r="FM74" s="439">
        <f t="shared" si="373"/>
        <v>0</v>
      </c>
      <c r="FN74" s="439">
        <f t="shared" si="374"/>
        <v>0</v>
      </c>
      <c r="FO74" s="439">
        <f t="shared" si="375"/>
        <v>0</v>
      </c>
      <c r="FP74" s="439">
        <f t="shared" si="376"/>
        <v>0</v>
      </c>
      <c r="FQ74" s="439">
        <f t="shared" si="377"/>
        <v>0</v>
      </c>
      <c r="FR74" s="439">
        <f t="shared" si="378"/>
        <v>0</v>
      </c>
      <c r="FS74" s="442">
        <f t="shared" si="379"/>
        <v>0</v>
      </c>
      <c r="FT74" s="442">
        <f t="shared" si="380"/>
        <v>0</v>
      </c>
      <c r="FU74" s="439">
        <f t="shared" si="381"/>
        <v>0</v>
      </c>
      <c r="FV74" s="439">
        <f t="shared" si="382"/>
        <v>0</v>
      </c>
      <c r="FW74" s="661">
        <f t="shared" si="383"/>
        <v>0</v>
      </c>
      <c r="FX74" s="661">
        <f t="shared" si="384"/>
        <v>0</v>
      </c>
      <c r="FY74" s="439">
        <f t="shared" si="385"/>
        <v>0</v>
      </c>
      <c r="FZ74" s="439">
        <f t="shared" si="386"/>
        <v>0</v>
      </c>
      <c r="GA74" s="439">
        <f t="shared" si="387"/>
        <v>0</v>
      </c>
      <c r="GB74" s="439">
        <f t="shared" si="388"/>
        <v>0</v>
      </c>
      <c r="GC74" s="631" t="s">
        <v>92</v>
      </c>
      <c r="GD74" s="631">
        <f t="shared" si="453"/>
        <v>0.33269054427486794</v>
      </c>
      <c r="GF74" s="439">
        <f t="shared" si="389"/>
        <v>4.7012700000000009</v>
      </c>
      <c r="GG74" s="440">
        <f t="shared" si="390"/>
        <v>3.6002700000000005</v>
      </c>
      <c r="GH74" s="439">
        <f t="shared" si="391"/>
        <v>-2.4992700000000005</v>
      </c>
      <c r="GI74" s="439">
        <f t="shared" si="392"/>
        <v>0</v>
      </c>
      <c r="GJ74" s="439">
        <f t="shared" si="393"/>
        <v>0</v>
      </c>
      <c r="GK74" s="439">
        <f t="shared" si="394"/>
        <v>0</v>
      </c>
      <c r="GL74" s="439">
        <f t="shared" si="395"/>
        <v>0</v>
      </c>
      <c r="GM74" s="439">
        <f t="shared" si="396"/>
        <v>0</v>
      </c>
      <c r="GN74" s="439">
        <f t="shared" si="397"/>
        <v>0</v>
      </c>
      <c r="GO74" s="439">
        <f t="shared" si="398"/>
        <v>0</v>
      </c>
      <c r="GP74" s="439">
        <f t="shared" si="399"/>
        <v>0</v>
      </c>
      <c r="GQ74" s="439">
        <f t="shared" si="400"/>
        <v>0</v>
      </c>
      <c r="GR74" s="439">
        <f t="shared" si="401"/>
        <v>0</v>
      </c>
      <c r="GS74" s="439">
        <f t="shared" si="402"/>
        <v>0</v>
      </c>
      <c r="GT74" s="442">
        <f t="shared" si="403"/>
        <v>0</v>
      </c>
      <c r="GU74" s="442">
        <f t="shared" si="404"/>
        <v>0</v>
      </c>
      <c r="GV74" s="439">
        <f t="shared" si="405"/>
        <v>0</v>
      </c>
      <c r="GW74" s="439">
        <f t="shared" si="406"/>
        <v>0</v>
      </c>
      <c r="GX74" s="661">
        <f t="shared" si="407"/>
        <v>0</v>
      </c>
      <c r="GY74" s="661">
        <f t="shared" si="408"/>
        <v>0</v>
      </c>
      <c r="GZ74" s="439">
        <f t="shared" si="409"/>
        <v>0</v>
      </c>
      <c r="HA74" s="439">
        <f t="shared" si="410"/>
        <v>0</v>
      </c>
      <c r="HB74" s="439">
        <f t="shared" si="411"/>
        <v>0</v>
      </c>
      <c r="HC74" s="439">
        <f t="shared" si="412"/>
        <v>0</v>
      </c>
      <c r="HD74" s="631" t="s">
        <v>92</v>
      </c>
      <c r="HE74" s="631">
        <f t="shared" si="306"/>
        <v>0.47881344999559439</v>
      </c>
      <c r="HG74" s="618">
        <f>HLOOKUP(CQ74,Spec_Sheet!$F$3:$DV$19,11,FALSE)+HLOOKUP(CQ74,Spec_Sheet!$F$3:$DV$21,19,FALSE)</f>
        <v>240</v>
      </c>
      <c r="HH74" s="618">
        <f t="shared" si="454"/>
        <v>100</v>
      </c>
      <c r="HI74" s="634">
        <f t="shared" si="455"/>
        <v>300</v>
      </c>
      <c r="HJ74" s="634">
        <f>HLOOKUP(IF(LEN(CQ74)&gt;6,LEFT(CQ74,5),CQ74),'LSM List Pricing'!$B$1:$BW$2,2,0)</f>
        <v>18</v>
      </c>
      <c r="HK74" s="634">
        <f>HLOOKUP(HJ74,'LSM List Pricing'!$B$2:$BW$3,2)</f>
        <v>760</v>
      </c>
      <c r="HL74" s="634">
        <f>VLOOKUP(HH74,'LSM List Pricing'!$A$7:$BW$87,HJ74,0)</f>
        <v>840</v>
      </c>
      <c r="HM74" s="627">
        <f>VLOOKUP(HI74,'LSM List Pricing'!$A$7:$BW$87,HJ74,1)</f>
        <v>1230</v>
      </c>
      <c r="HN74" s="628">
        <f t="shared" si="307"/>
        <v>4.1025641025641022</v>
      </c>
      <c r="HO74" s="628">
        <f t="shared" si="308"/>
        <v>8.2051282051282044</v>
      </c>
      <c r="HP74" s="628">
        <f t="shared" si="309"/>
        <v>7.0512820512820511</v>
      </c>
      <c r="HR74" s="618">
        <v>3.5499999999999997E-2</v>
      </c>
      <c r="HS74" s="618">
        <f t="shared" si="457"/>
        <v>238.35714285714283</v>
      </c>
      <c r="HT74" s="618">
        <f t="shared" si="458"/>
        <v>1</v>
      </c>
      <c r="HU74" s="618">
        <f t="shared" si="170"/>
        <v>0.90401234591912005</v>
      </c>
      <c r="HW74" s="618">
        <f t="shared" si="413"/>
        <v>34.716302468794851</v>
      </c>
      <c r="HX74" s="618">
        <f t="shared" si="171"/>
        <v>0.88766757565787913</v>
      </c>
      <c r="HY74" s="618">
        <f t="shared" si="172"/>
        <v>3.5499999999999997E-2</v>
      </c>
      <c r="IB74" s="618">
        <f t="shared" si="414"/>
        <v>25.000350341399081</v>
      </c>
      <c r="IC74" s="618">
        <f t="shared" si="415"/>
        <v>1E-3</v>
      </c>
      <c r="IE74" s="618">
        <f t="shared" si="416"/>
        <v>0</v>
      </c>
      <c r="IF74" s="618">
        <f t="shared" si="417"/>
        <v>40.704999999999998</v>
      </c>
      <c r="IH74" s="618">
        <f t="shared" si="418"/>
        <v>0</v>
      </c>
      <c r="II74" s="618">
        <f t="shared" si="419"/>
        <v>40.704999999999998</v>
      </c>
      <c r="IK74" s="618">
        <f t="shared" si="420"/>
        <v>0</v>
      </c>
      <c r="IL74" s="618">
        <f t="shared" si="421"/>
        <v>40.704999999999998</v>
      </c>
      <c r="IN74" s="618">
        <f t="shared" si="422"/>
        <v>0</v>
      </c>
      <c r="IO74" s="618">
        <f t="shared" si="423"/>
        <v>40.704999999999998</v>
      </c>
      <c r="IQ74" s="618">
        <f t="shared" si="424"/>
        <v>0</v>
      </c>
      <c r="IR74" s="618">
        <f t="shared" si="425"/>
        <v>40.704999999999998</v>
      </c>
      <c r="IT74" s="660" t="str">
        <f t="shared" si="426"/>
        <v>L320T-1S</v>
      </c>
      <c r="IU74" s="628"/>
      <c r="IV74" s="439">
        <f t="shared" si="427"/>
        <v>5.4529900743036936</v>
      </c>
      <c r="IW74" s="440">
        <f t="shared" si="428"/>
        <v>4.1759432184948659</v>
      </c>
      <c r="IX74" s="439">
        <f t="shared" si="429"/>
        <v>-2.8988963626860387</v>
      </c>
      <c r="IY74" s="439">
        <f t="shared" si="430"/>
        <v>0</v>
      </c>
      <c r="IZ74" s="439">
        <f t="shared" si="431"/>
        <v>0</v>
      </c>
      <c r="JA74" s="439">
        <f t="shared" si="432"/>
        <v>0</v>
      </c>
      <c r="JB74" s="439">
        <f t="shared" si="433"/>
        <v>0</v>
      </c>
      <c r="JC74" s="439">
        <f t="shared" si="434"/>
        <v>0</v>
      </c>
      <c r="JD74" s="439">
        <f t="shared" si="435"/>
        <v>0</v>
      </c>
      <c r="JE74" s="439">
        <f t="shared" si="436"/>
        <v>0</v>
      </c>
      <c r="JF74" s="439">
        <f t="shared" si="437"/>
        <v>0</v>
      </c>
      <c r="JG74" s="439">
        <f t="shared" si="438"/>
        <v>0</v>
      </c>
      <c r="JH74" s="439">
        <f t="shared" si="439"/>
        <v>0</v>
      </c>
      <c r="JI74" s="439">
        <f t="shared" si="440"/>
        <v>0</v>
      </c>
      <c r="JJ74" s="442">
        <f t="shared" si="441"/>
        <v>0</v>
      </c>
      <c r="JK74" s="442">
        <f t="shared" si="442"/>
        <v>0</v>
      </c>
      <c r="JL74" s="439">
        <f t="shared" si="443"/>
        <v>0</v>
      </c>
      <c r="JM74" s="439">
        <f t="shared" si="444"/>
        <v>0</v>
      </c>
      <c r="JN74" s="661">
        <f t="shared" si="445"/>
        <v>0</v>
      </c>
      <c r="JO74" s="661">
        <f t="shared" si="446"/>
        <v>0</v>
      </c>
      <c r="JP74" s="439">
        <f t="shared" si="447"/>
        <v>0</v>
      </c>
      <c r="JQ74" s="439">
        <f t="shared" si="448"/>
        <v>0</v>
      </c>
      <c r="JR74" s="439">
        <f t="shared" si="449"/>
        <v>0</v>
      </c>
      <c r="JS74" s="439">
        <f t="shared" si="450"/>
        <v>0</v>
      </c>
      <c r="JT74" s="631" t="s">
        <v>92</v>
      </c>
      <c r="JU74" s="631">
        <f t="shared" si="459"/>
        <v>0.55537439676280742</v>
      </c>
      <c r="JW74" s="522"/>
      <c r="JX74" s="522"/>
      <c r="JY74" s="522"/>
      <c r="JZ74" s="522"/>
      <c r="KA74" s="522"/>
      <c r="KB74" s="522"/>
      <c r="KC74" s="522"/>
      <c r="KD74" s="522"/>
      <c r="KE74" s="522"/>
      <c r="KF74" s="522"/>
      <c r="KG74" s="522"/>
      <c r="KH74" s="522"/>
      <c r="KI74" s="522"/>
      <c r="KJ74" s="522"/>
      <c r="KK74" s="522"/>
      <c r="KL74" s="522"/>
    </row>
    <row r="75" spans="1:298">
      <c r="A75" s="451"/>
      <c r="B75" s="579" t="s">
        <v>534</v>
      </c>
      <c r="C75" s="579">
        <f>IF(O4,AD4,0)</f>
        <v>50</v>
      </c>
      <c r="D75" s="579" t="s">
        <v>538</v>
      </c>
      <c r="E75" s="579" t="s">
        <v>542</v>
      </c>
      <c r="F75" s="579" t="s">
        <v>539</v>
      </c>
      <c r="G75" s="579" t="s">
        <v>543</v>
      </c>
      <c r="H75" s="579" t="s">
        <v>544</v>
      </c>
      <c r="I75" s="579" t="s">
        <v>545</v>
      </c>
      <c r="J75" s="579" t="s">
        <v>540</v>
      </c>
      <c r="K75" s="579" t="s">
        <v>546</v>
      </c>
      <c r="L75" s="579" t="s">
        <v>541</v>
      </c>
      <c r="M75" s="579" t="s">
        <v>547</v>
      </c>
      <c r="N75" s="579" t="s">
        <v>548</v>
      </c>
      <c r="O75" s="579" t="s">
        <v>549</v>
      </c>
      <c r="P75" s="579"/>
      <c r="Q75" s="579"/>
      <c r="R75" s="579"/>
      <c r="S75" s="579"/>
      <c r="T75" s="579"/>
      <c r="U75" s="580"/>
      <c r="V75" s="580"/>
      <c r="W75" s="579"/>
      <c r="X75" s="579"/>
      <c r="Y75" s="579"/>
      <c r="Z75" s="579"/>
      <c r="AA75" s="579"/>
      <c r="AB75" s="579"/>
      <c r="AC75" s="580"/>
      <c r="AD75" s="580"/>
      <c r="AE75" s="579"/>
      <c r="AF75" s="579"/>
      <c r="AG75" s="579"/>
      <c r="AH75" s="579"/>
      <c r="AI75" s="579"/>
      <c r="AJ75" s="579"/>
      <c r="AK75" s="579"/>
      <c r="AL75" s="580"/>
      <c r="AM75" s="580"/>
      <c r="AN75" s="579"/>
      <c r="AO75" s="579"/>
      <c r="AP75" s="579"/>
      <c r="AQ75" s="579"/>
      <c r="AR75" s="579"/>
      <c r="AS75" s="579"/>
      <c r="AT75" s="580"/>
      <c r="AU75" s="580"/>
      <c r="AV75" s="581">
        <f>IF($AY$30,G88,0)*$G$82</f>
        <v>0</v>
      </c>
      <c r="AW75" s="581">
        <f>IF($AY$32,'Data Sheet'!AA96,0)</f>
        <v>0</v>
      </c>
      <c r="AX75" s="581">
        <f t="shared" si="460"/>
        <v>40.704999999999998</v>
      </c>
      <c r="AY75" s="579"/>
      <c r="AZ75" s="579"/>
      <c r="BA75" s="579"/>
      <c r="BB75" s="579"/>
      <c r="BC75" s="579"/>
      <c r="BD75" s="579"/>
      <c r="BE75" s="579"/>
      <c r="BF75" s="579"/>
      <c r="BG75" s="456"/>
      <c r="BH75" s="456"/>
      <c r="BI75" s="456"/>
      <c r="BJ75" s="456"/>
      <c r="BK75" s="456"/>
      <c r="BL75" s="456"/>
      <c r="BM75" s="456"/>
      <c r="BN75" s="456"/>
      <c r="BO75" s="686"/>
      <c r="BP75" s="707" t="s">
        <v>681</v>
      </c>
      <c r="BQ75" s="707"/>
      <c r="BR75" s="707"/>
      <c r="BS75" s="707"/>
      <c r="BT75" s="707"/>
      <c r="BU75" s="707"/>
      <c r="BV75" s="707"/>
      <c r="BW75" s="707"/>
      <c r="BX75" s="707"/>
      <c r="BY75" s="707"/>
      <c r="BZ75" s="707"/>
      <c r="CA75" s="707"/>
      <c r="CB75" s="707"/>
      <c r="CC75" s="707"/>
      <c r="CD75" s="707"/>
      <c r="CE75" s="707"/>
      <c r="CF75" s="707"/>
      <c r="CG75" s="707"/>
      <c r="CH75" s="707"/>
      <c r="CI75" s="707"/>
      <c r="CJ75" s="707"/>
      <c r="CK75" s="707"/>
      <c r="CL75" s="707"/>
      <c r="CM75" s="707"/>
      <c r="CN75" s="707"/>
      <c r="CO75" s="694" t="str">
        <f ca="1"/>
        <v>S427D</v>
      </c>
      <c r="CP75" s="632" t="str">
        <f>IF(OR(CQ75=0,CR75="",CS75&gt;120),"",IF(HLOOKUP(CQ75,Spec_Sheet!$F$3:$ED$19,17,FALSE)&lt;$AC$46,"",CQ75))</f>
        <v>S320T</v>
      </c>
      <c r="CQ75" s="660" t="str">
        <f>IF(Spec_Sheet!A74="","",Spec_Sheet!A74)</f>
        <v>S320T</v>
      </c>
      <c r="CR75" s="660">
        <f>IF(CQ75="",0,HLOOKUP(CQ75,Spec_Sheet!$F$3:$ED$19,2,FALSE))</f>
        <v>85</v>
      </c>
      <c r="CS75" s="660">
        <f t="shared" ref="CS75:CS107" si="461">IF(CR75=0,500,IF(IFERROR(CV75,TRUE),SMALL(CT75:CU75,1),SMALL(CT75:CX75,1)))</f>
        <v>8.5049135731860904E-4</v>
      </c>
      <c r="CT75" s="621">
        <f t="shared" si="310"/>
        <v>1.0389658963365841E-3</v>
      </c>
      <c r="CU75" s="621">
        <f t="shared" si="316"/>
        <v>8.5049135731860904E-4</v>
      </c>
      <c r="CV75" s="621">
        <f t="shared" si="311"/>
        <v>1.5319446124554725E-3</v>
      </c>
      <c r="CW75" s="621">
        <f t="shared" si="312"/>
        <v>1.3010633021584537E-3</v>
      </c>
      <c r="CX75" s="621">
        <f t="shared" si="456"/>
        <v>7.9329522455599865E-4</v>
      </c>
      <c r="CY75" s="619">
        <f>HLOOKUP(CQ75,Spec_Sheet!$F$3:$ED$19,13,FALSE)</f>
        <v>1.7</v>
      </c>
      <c r="CZ75" s="619">
        <f>VLOOKUP(HH75,'Shaft Weight'!$A$6:$CD$102,HJ75,TRUE)</f>
        <v>2.15</v>
      </c>
      <c r="DA75" s="619">
        <f>VLOOKUP(HI75,'Shaft Weight'!$A$6:$CD$102,HJ75,0)</f>
        <v>3.27</v>
      </c>
      <c r="DB75" s="619">
        <f>HLOOKUP(CQ75,Spec_Sheet!$F$3:$ED$19,6,FALSE)</f>
        <v>68</v>
      </c>
      <c r="DC75" s="439">
        <f t="shared" si="317"/>
        <v>2.6901000000000002</v>
      </c>
      <c r="DD75" s="440">
        <f t="shared" si="318"/>
        <v>2.0601000000000003</v>
      </c>
      <c r="DE75" s="439">
        <f t="shared" si="319"/>
        <v>-1.4301000000000004</v>
      </c>
      <c r="DF75" s="439">
        <f t="shared" si="320"/>
        <v>0</v>
      </c>
      <c r="DG75" s="439">
        <f t="shared" si="321"/>
        <v>0</v>
      </c>
      <c r="DH75" s="439">
        <f t="shared" si="322"/>
        <v>0</v>
      </c>
      <c r="DI75" s="439">
        <f t="shared" si="323"/>
        <v>0</v>
      </c>
      <c r="DJ75" s="439">
        <f t="shared" si="324"/>
        <v>0</v>
      </c>
      <c r="DK75" s="439">
        <f t="shared" si="325"/>
        <v>0</v>
      </c>
      <c r="DL75" s="439">
        <f t="shared" si="326"/>
        <v>0</v>
      </c>
      <c r="DM75" s="439">
        <f t="shared" si="327"/>
        <v>0</v>
      </c>
      <c r="DN75" s="439">
        <f t="shared" si="328"/>
        <v>0</v>
      </c>
      <c r="DO75" s="439">
        <f t="shared" si="329"/>
        <v>0</v>
      </c>
      <c r="DP75" s="439">
        <f t="shared" si="330"/>
        <v>0</v>
      </c>
      <c r="DQ75" s="442">
        <f t="shared" si="331"/>
        <v>0</v>
      </c>
      <c r="DR75" s="442">
        <f t="shared" si="332"/>
        <v>0</v>
      </c>
      <c r="DS75" s="439">
        <f t="shared" si="333"/>
        <v>0</v>
      </c>
      <c r="DT75" s="439">
        <f t="shared" si="334"/>
        <v>0</v>
      </c>
      <c r="DU75" s="661">
        <f t="shared" si="335"/>
        <v>0</v>
      </c>
      <c r="DV75" s="661">
        <f t="shared" si="336"/>
        <v>0</v>
      </c>
      <c r="DW75" s="439">
        <f t="shared" si="337"/>
        <v>0</v>
      </c>
      <c r="DX75" s="439">
        <f t="shared" si="338"/>
        <v>0</v>
      </c>
      <c r="DY75" s="439">
        <f t="shared" si="339"/>
        <v>0</v>
      </c>
      <c r="DZ75" s="439">
        <f t="shared" si="340"/>
        <v>0</v>
      </c>
      <c r="EA75" s="631" t="s">
        <v>92</v>
      </c>
      <c r="EB75" s="631">
        <f t="shared" si="451"/>
        <v>0.27398044822636192</v>
      </c>
      <c r="ED75" s="439">
        <f t="shared" si="341"/>
        <v>6.0207000000000006</v>
      </c>
      <c r="EE75" s="440">
        <f t="shared" si="342"/>
        <v>4.6107000000000005</v>
      </c>
      <c r="EF75" s="439">
        <f t="shared" si="343"/>
        <v>-3.2007000000000003</v>
      </c>
      <c r="EG75" s="441">
        <f t="shared" si="344"/>
        <v>0</v>
      </c>
      <c r="EH75" s="439">
        <f t="shared" si="345"/>
        <v>0</v>
      </c>
      <c r="EI75" s="439">
        <f t="shared" si="346"/>
        <v>0</v>
      </c>
      <c r="EJ75" s="439">
        <f t="shared" si="347"/>
        <v>0</v>
      </c>
      <c r="EK75" s="439">
        <f t="shared" si="348"/>
        <v>0</v>
      </c>
      <c r="EL75" s="439">
        <f t="shared" si="349"/>
        <v>0</v>
      </c>
      <c r="EM75" s="439">
        <f t="shared" si="350"/>
        <v>0</v>
      </c>
      <c r="EN75" s="439">
        <f t="shared" si="351"/>
        <v>0</v>
      </c>
      <c r="EO75" s="439">
        <f t="shared" si="352"/>
        <v>0</v>
      </c>
      <c r="EP75" s="439">
        <f t="shared" si="353"/>
        <v>0</v>
      </c>
      <c r="EQ75" s="439">
        <f t="shared" si="354"/>
        <v>0</v>
      </c>
      <c r="ER75" s="442">
        <f t="shared" si="355"/>
        <v>0</v>
      </c>
      <c r="ES75" s="442">
        <f t="shared" si="356"/>
        <v>0</v>
      </c>
      <c r="ET75" s="439">
        <f t="shared" si="357"/>
        <v>0</v>
      </c>
      <c r="EU75" s="439">
        <f t="shared" si="358"/>
        <v>0</v>
      </c>
      <c r="EV75" s="661">
        <f t="shared" si="359"/>
        <v>0</v>
      </c>
      <c r="EW75" s="661">
        <f t="shared" si="360"/>
        <v>0</v>
      </c>
      <c r="EX75" s="439">
        <f t="shared" si="361"/>
        <v>0</v>
      </c>
      <c r="EY75" s="439">
        <f t="shared" si="362"/>
        <v>0</v>
      </c>
      <c r="EZ75" s="439">
        <f t="shared" si="363"/>
        <v>0</v>
      </c>
      <c r="FA75" s="439">
        <f t="shared" si="364"/>
        <v>0</v>
      </c>
      <c r="FB75" s="631" t="s">
        <v>92</v>
      </c>
      <c r="FC75" s="631">
        <f t="shared" si="452"/>
        <v>0.61319433650661936</v>
      </c>
      <c r="FE75" s="439">
        <f t="shared" si="365"/>
        <v>3.2665499999999996</v>
      </c>
      <c r="FF75" s="440">
        <f t="shared" si="366"/>
        <v>2.5015499999999999</v>
      </c>
      <c r="FG75" s="439">
        <f t="shared" si="367"/>
        <v>-1.73655</v>
      </c>
      <c r="FH75" s="441">
        <f t="shared" si="368"/>
        <v>0</v>
      </c>
      <c r="FI75" s="439">
        <f t="shared" si="369"/>
        <v>0</v>
      </c>
      <c r="FJ75" s="439">
        <f t="shared" si="370"/>
        <v>0</v>
      </c>
      <c r="FK75" s="439">
        <f t="shared" si="371"/>
        <v>0</v>
      </c>
      <c r="FL75" s="439">
        <f t="shared" si="372"/>
        <v>0</v>
      </c>
      <c r="FM75" s="439">
        <f t="shared" si="373"/>
        <v>0</v>
      </c>
      <c r="FN75" s="439">
        <f t="shared" si="374"/>
        <v>0</v>
      </c>
      <c r="FO75" s="439">
        <f t="shared" si="375"/>
        <v>0</v>
      </c>
      <c r="FP75" s="439">
        <f t="shared" si="376"/>
        <v>0</v>
      </c>
      <c r="FQ75" s="439">
        <f t="shared" si="377"/>
        <v>0</v>
      </c>
      <c r="FR75" s="439">
        <f t="shared" si="378"/>
        <v>0</v>
      </c>
      <c r="FS75" s="442">
        <f t="shared" si="379"/>
        <v>0</v>
      </c>
      <c r="FT75" s="442">
        <f t="shared" si="380"/>
        <v>0</v>
      </c>
      <c r="FU75" s="439">
        <f t="shared" si="381"/>
        <v>0</v>
      </c>
      <c r="FV75" s="439">
        <f t="shared" si="382"/>
        <v>0</v>
      </c>
      <c r="FW75" s="661">
        <f t="shared" si="383"/>
        <v>0</v>
      </c>
      <c r="FX75" s="661">
        <f t="shared" si="384"/>
        <v>0</v>
      </c>
      <c r="FY75" s="439">
        <f t="shared" si="385"/>
        <v>0</v>
      </c>
      <c r="FZ75" s="439">
        <f t="shared" si="386"/>
        <v>0</v>
      </c>
      <c r="GA75" s="439">
        <f t="shared" si="387"/>
        <v>0</v>
      </c>
      <c r="GB75" s="439">
        <f t="shared" si="388"/>
        <v>0</v>
      </c>
      <c r="GC75" s="631" t="s">
        <v>92</v>
      </c>
      <c r="GD75" s="631">
        <f t="shared" si="453"/>
        <v>0.33269054427486794</v>
      </c>
      <c r="GF75" s="439">
        <f t="shared" si="389"/>
        <v>4.7012700000000009</v>
      </c>
      <c r="GG75" s="440">
        <f t="shared" si="390"/>
        <v>3.6002700000000005</v>
      </c>
      <c r="GH75" s="439">
        <f t="shared" si="391"/>
        <v>-2.4992700000000005</v>
      </c>
      <c r="GI75" s="439">
        <f t="shared" si="392"/>
        <v>0</v>
      </c>
      <c r="GJ75" s="439">
        <f t="shared" si="393"/>
        <v>0</v>
      </c>
      <c r="GK75" s="439">
        <f t="shared" si="394"/>
        <v>0</v>
      </c>
      <c r="GL75" s="439">
        <f t="shared" si="395"/>
        <v>0</v>
      </c>
      <c r="GM75" s="439">
        <f t="shared" si="396"/>
        <v>0</v>
      </c>
      <c r="GN75" s="439">
        <f t="shared" si="397"/>
        <v>0</v>
      </c>
      <c r="GO75" s="439">
        <f t="shared" si="398"/>
        <v>0</v>
      </c>
      <c r="GP75" s="439">
        <f t="shared" si="399"/>
        <v>0</v>
      </c>
      <c r="GQ75" s="439">
        <f t="shared" si="400"/>
        <v>0</v>
      </c>
      <c r="GR75" s="439">
        <f t="shared" si="401"/>
        <v>0</v>
      </c>
      <c r="GS75" s="439">
        <f t="shared" si="402"/>
        <v>0</v>
      </c>
      <c r="GT75" s="442">
        <f t="shared" si="403"/>
        <v>0</v>
      </c>
      <c r="GU75" s="442">
        <f t="shared" si="404"/>
        <v>0</v>
      </c>
      <c r="GV75" s="439">
        <f t="shared" si="405"/>
        <v>0</v>
      </c>
      <c r="GW75" s="439">
        <f t="shared" si="406"/>
        <v>0</v>
      </c>
      <c r="GX75" s="661">
        <f t="shared" si="407"/>
        <v>0</v>
      </c>
      <c r="GY75" s="661">
        <f t="shared" si="408"/>
        <v>0</v>
      </c>
      <c r="GZ75" s="439">
        <f t="shared" si="409"/>
        <v>0</v>
      </c>
      <c r="HA75" s="439">
        <f t="shared" si="410"/>
        <v>0</v>
      </c>
      <c r="HB75" s="439">
        <f t="shared" si="411"/>
        <v>0</v>
      </c>
      <c r="HC75" s="439">
        <f t="shared" si="412"/>
        <v>0</v>
      </c>
      <c r="HD75" s="631" t="s">
        <v>92</v>
      </c>
      <c r="HE75" s="631">
        <f t="shared" si="306"/>
        <v>0.47881344999559439</v>
      </c>
      <c r="HG75" s="618">
        <f>HLOOKUP(CQ75,Spec_Sheet!$F$3:$DV$19,11,FALSE)+HLOOKUP(CQ75,Spec_Sheet!$F$3:$DV$21,19,FALSE)</f>
        <v>240</v>
      </c>
      <c r="HH75" s="618">
        <f t="shared" si="454"/>
        <v>100</v>
      </c>
      <c r="HI75" s="634">
        <f t="shared" si="455"/>
        <v>300</v>
      </c>
      <c r="HJ75" s="634">
        <f>HLOOKUP(IF(LEN(CQ75)&gt;6,LEFT(CQ75,5),CQ75),'LSM List Pricing'!$B$1:$BW$2,2,0)</f>
        <v>53</v>
      </c>
      <c r="HK75" s="634">
        <f>HLOOKUP(HJ75,'LSM List Pricing'!$B$2:$BW$3,2)</f>
        <v>760</v>
      </c>
      <c r="HL75" s="634">
        <f>VLOOKUP(HH75,'LSM List Pricing'!$A$7:$BW$87,HJ75,0)</f>
        <v>840</v>
      </c>
      <c r="HM75" s="627">
        <f>VLOOKUP(HI75,'LSM List Pricing'!$A$7:$BW$87,HJ75,1)</f>
        <v>1230</v>
      </c>
      <c r="HN75" s="628">
        <f t="shared" si="307"/>
        <v>4.1025641025641022</v>
      </c>
      <c r="HO75" s="628">
        <f t="shared" si="308"/>
        <v>8.2051282051282044</v>
      </c>
      <c r="HP75" s="628">
        <f t="shared" si="309"/>
        <v>7.0512820512820511</v>
      </c>
      <c r="HR75" s="618">
        <v>3.5999999999999997E-2</v>
      </c>
      <c r="HS75" s="618">
        <f t="shared" si="457"/>
        <v>241.71428571428569</v>
      </c>
      <c r="HT75" s="618">
        <f t="shared" si="458"/>
        <v>1</v>
      </c>
      <c r="HU75" s="618">
        <f t="shared" si="170"/>
        <v>0.91675138989274485</v>
      </c>
      <c r="HW75" s="618">
        <f t="shared" si="413"/>
        <v>34.698213026352299</v>
      </c>
      <c r="HX75" s="618">
        <f t="shared" si="171"/>
        <v>0.89994596625645973</v>
      </c>
      <c r="HY75" s="618">
        <f t="shared" si="172"/>
        <v>3.5999999999999997E-2</v>
      </c>
      <c r="IB75" s="618">
        <f t="shared" si="414"/>
        <v>25.000350341399081</v>
      </c>
      <c r="IC75" s="618">
        <f t="shared" si="415"/>
        <v>1E-3</v>
      </c>
      <c r="IE75" s="618">
        <f t="shared" si="416"/>
        <v>0</v>
      </c>
      <c r="IF75" s="618">
        <f t="shared" si="417"/>
        <v>40.704999999999998</v>
      </c>
      <c r="IH75" s="618">
        <f t="shared" si="418"/>
        <v>0</v>
      </c>
      <c r="II75" s="618">
        <f t="shared" si="419"/>
        <v>40.704999999999998</v>
      </c>
      <c r="IK75" s="618">
        <f t="shared" si="420"/>
        <v>0</v>
      </c>
      <c r="IL75" s="618">
        <f t="shared" si="421"/>
        <v>40.704999999999998</v>
      </c>
      <c r="IN75" s="618">
        <f t="shared" si="422"/>
        <v>0</v>
      </c>
      <c r="IO75" s="618">
        <f t="shared" si="423"/>
        <v>40.704999999999998</v>
      </c>
      <c r="IQ75" s="618">
        <f t="shared" si="424"/>
        <v>0</v>
      </c>
      <c r="IR75" s="618">
        <f t="shared" si="425"/>
        <v>40.704999999999998</v>
      </c>
      <c r="IT75" s="660" t="str">
        <f t="shared" si="426"/>
        <v>S320T</v>
      </c>
      <c r="IU75" s="628"/>
      <c r="IV75" s="439">
        <f t="shared" si="427"/>
        <v>4.8677999999999999</v>
      </c>
      <c r="IW75" s="440">
        <f t="shared" si="428"/>
        <v>3.7278000000000002</v>
      </c>
      <c r="IX75" s="439">
        <f t="shared" si="429"/>
        <v>-2.5878000000000005</v>
      </c>
      <c r="IY75" s="439">
        <f t="shared" si="430"/>
        <v>0</v>
      </c>
      <c r="IZ75" s="439">
        <f t="shared" si="431"/>
        <v>0</v>
      </c>
      <c r="JA75" s="439">
        <f t="shared" si="432"/>
        <v>0</v>
      </c>
      <c r="JB75" s="439">
        <f t="shared" si="433"/>
        <v>0</v>
      </c>
      <c r="JC75" s="439">
        <f t="shared" si="434"/>
        <v>0</v>
      </c>
      <c r="JD75" s="439">
        <f t="shared" si="435"/>
        <v>0</v>
      </c>
      <c r="JE75" s="439">
        <f t="shared" si="436"/>
        <v>0</v>
      </c>
      <c r="JF75" s="439">
        <f t="shared" si="437"/>
        <v>0</v>
      </c>
      <c r="JG75" s="439">
        <f t="shared" si="438"/>
        <v>0</v>
      </c>
      <c r="JH75" s="439">
        <f t="shared" si="439"/>
        <v>0</v>
      </c>
      <c r="JI75" s="439">
        <f t="shared" si="440"/>
        <v>0</v>
      </c>
      <c r="JJ75" s="442">
        <f t="shared" si="441"/>
        <v>0</v>
      </c>
      <c r="JK75" s="442">
        <f t="shared" si="442"/>
        <v>0</v>
      </c>
      <c r="JL75" s="439">
        <f t="shared" si="443"/>
        <v>0</v>
      </c>
      <c r="JM75" s="439">
        <f t="shared" si="444"/>
        <v>0</v>
      </c>
      <c r="JN75" s="661">
        <f t="shared" si="445"/>
        <v>0</v>
      </c>
      <c r="JO75" s="661">
        <f t="shared" si="446"/>
        <v>0</v>
      </c>
      <c r="JP75" s="439">
        <f t="shared" si="447"/>
        <v>0</v>
      </c>
      <c r="JQ75" s="439">
        <f t="shared" si="448"/>
        <v>0</v>
      </c>
      <c r="JR75" s="439">
        <f t="shared" si="449"/>
        <v>0</v>
      </c>
      <c r="JS75" s="439">
        <f t="shared" si="450"/>
        <v>0</v>
      </c>
      <c r="JT75" s="631" t="s">
        <v>92</v>
      </c>
      <c r="JU75" s="631">
        <f t="shared" si="459"/>
        <v>0.49577414440960721</v>
      </c>
      <c r="JW75" s="522"/>
      <c r="JX75" s="522"/>
      <c r="JY75" s="522"/>
      <c r="JZ75" s="522"/>
      <c r="KA75" s="522"/>
      <c r="KB75" s="522"/>
      <c r="KC75" s="522"/>
      <c r="KD75" s="522"/>
      <c r="KE75" s="522"/>
      <c r="KF75" s="522"/>
      <c r="KG75" s="522"/>
      <c r="KH75" s="522"/>
      <c r="KI75" s="522"/>
      <c r="KJ75" s="522"/>
      <c r="KK75" s="522"/>
      <c r="KL75" s="522"/>
    </row>
    <row r="76" spans="1:298" ht="39" customHeight="1">
      <c r="A76" s="334"/>
      <c r="B76" s="579" t="s">
        <v>550</v>
      </c>
      <c r="C76" s="579">
        <v>10</v>
      </c>
      <c r="D76" s="579">
        <f>U6/10</f>
        <v>8.0000000000000002E-3</v>
      </c>
      <c r="E76" s="579">
        <f>U8/10</f>
        <v>8.0000000000000002E-3</v>
      </c>
      <c r="F76" s="579">
        <f>IF(P13,U14/10,0)</f>
        <v>0</v>
      </c>
      <c r="G76" s="579">
        <f>IF(P13,U16/10,0)</f>
        <v>0</v>
      </c>
      <c r="H76" s="579">
        <f>IF(P21,U22/10,0)</f>
        <v>0</v>
      </c>
      <c r="I76" s="579">
        <f>IF(P21,U24/10,0)</f>
        <v>0</v>
      </c>
      <c r="J76" s="579">
        <f>IF(AG5,AL6/10,0)</f>
        <v>0</v>
      </c>
      <c r="K76" s="579">
        <f>IF(AG5,AL8/10,0)</f>
        <v>0</v>
      </c>
      <c r="L76" s="579">
        <f>IF(AG13,AL14/10,0)</f>
        <v>0</v>
      </c>
      <c r="M76" s="579">
        <f>IF(AG13,AL16/10,0)</f>
        <v>0</v>
      </c>
      <c r="N76" s="579">
        <f>IF(AG21,AL22/10,0)</f>
        <v>0</v>
      </c>
      <c r="O76" s="579">
        <f>IF(AG21,AL24/10,0)</f>
        <v>0</v>
      </c>
      <c r="P76" s="579"/>
      <c r="Q76" s="579"/>
      <c r="R76" s="579"/>
      <c r="S76" s="579"/>
      <c r="T76" s="579"/>
      <c r="U76" s="580"/>
      <c r="V76" s="580"/>
      <c r="W76" s="579"/>
      <c r="X76" s="579"/>
      <c r="Y76" s="579"/>
      <c r="Z76" s="579"/>
      <c r="AA76" s="579"/>
      <c r="AB76" s="579"/>
      <c r="AC76" s="580"/>
      <c r="AD76" s="580"/>
      <c r="AE76" s="579"/>
      <c r="AF76" s="579"/>
      <c r="AG76" s="579"/>
      <c r="AH76" s="579"/>
      <c r="AI76" s="579"/>
      <c r="AJ76" s="579"/>
      <c r="AK76" s="579"/>
      <c r="AL76" s="580"/>
      <c r="AM76" s="580"/>
      <c r="AN76" s="579"/>
      <c r="AO76" s="579"/>
      <c r="AP76" s="579"/>
      <c r="AQ76" s="579"/>
      <c r="AR76" s="579"/>
      <c r="AS76" s="579"/>
      <c r="AT76" s="580"/>
      <c r="AU76" s="580"/>
      <c r="AV76" s="581">
        <f>IF($AY$30,G87,0)*$G$82</f>
        <v>0</v>
      </c>
      <c r="AW76" s="581">
        <f>IF($AY$32,'Data Sheet'!AA97,0)</f>
        <v>0</v>
      </c>
      <c r="AX76" s="581">
        <f t="shared" si="460"/>
        <v>40.704999999999998</v>
      </c>
      <c r="AY76" s="579"/>
      <c r="AZ76" s="579"/>
      <c r="BA76" s="579"/>
      <c r="BB76" s="579"/>
      <c r="BC76" s="579"/>
      <c r="BD76" s="579"/>
      <c r="BE76" s="579"/>
      <c r="BF76" s="579"/>
      <c r="BG76" s="456"/>
      <c r="BH76" s="456"/>
      <c r="BI76" s="456"/>
      <c r="BJ76" s="456"/>
      <c r="BK76" s="456"/>
      <c r="BL76" s="456"/>
      <c r="BM76" s="456"/>
      <c r="BN76" s="456"/>
      <c r="BO76" s="686"/>
      <c r="BP76" s="707"/>
      <c r="BQ76" s="707"/>
      <c r="BR76" s="707"/>
      <c r="BS76" s="707"/>
      <c r="BT76" s="707"/>
      <c r="BU76" s="707"/>
      <c r="BV76" s="707"/>
      <c r="BW76" s="707"/>
      <c r="BX76" s="707"/>
      <c r="BY76" s="707"/>
      <c r="BZ76" s="707"/>
      <c r="CA76" s="707"/>
      <c r="CB76" s="707"/>
      <c r="CC76" s="707"/>
      <c r="CD76" s="707"/>
      <c r="CE76" s="707"/>
      <c r="CF76" s="707"/>
      <c r="CG76" s="707"/>
      <c r="CH76" s="707"/>
      <c r="CI76" s="707"/>
      <c r="CJ76" s="707"/>
      <c r="CK76" s="707"/>
      <c r="CL76" s="707"/>
      <c r="CM76" s="707"/>
      <c r="CN76" s="707"/>
      <c r="CO76" s="694" t="str">
        <f ca="1"/>
        <v>S350D 1S</v>
      </c>
      <c r="CP76" s="632" t="str">
        <f>IF(OR(CQ76=0,CR76="",CS76&gt;120),"",IF(HLOOKUP(CQ76,Spec_Sheet!$F$3:$ED$19,17,FALSE)&lt;$AC$46,"",CQ76))</f>
        <v>L320H-HV</v>
      </c>
      <c r="CQ76" s="660" t="str">
        <f>IF(Spec_Sheet!A75="","",Spec_Sheet!A75)</f>
        <v>L320H-HV</v>
      </c>
      <c r="CR76" s="660">
        <f>IF(CQ76="",0,HLOOKUP(CQ76,Spec_Sheet!$F$3:$ED$19,2,FALSE))</f>
        <v>87.06096629174921</v>
      </c>
      <c r="CS76" s="660">
        <f t="shared" si="461"/>
        <v>1.5180996633371866E-3</v>
      </c>
      <c r="CT76" s="621">
        <f t="shared" si="310"/>
        <v>1.7606362959413523E-3</v>
      </c>
      <c r="CU76" s="621">
        <f t="shared" si="316"/>
        <v>1.5180996633371866E-3</v>
      </c>
      <c r="CV76" s="621" t="e">
        <f t="shared" si="311"/>
        <v>#REF!</v>
      </c>
      <c r="CW76" s="621" t="e">
        <f t="shared" si="312"/>
        <v>#REF!</v>
      </c>
      <c r="CX76" s="621" t="e">
        <f t="shared" si="456"/>
        <v>#REF!</v>
      </c>
      <c r="CY76" s="619">
        <f>HLOOKUP(CQ76,Spec_Sheet!$F$3:$ED$19,13,FALSE)</f>
        <v>2.4</v>
      </c>
      <c r="CZ76" s="619" t="e">
        <f>VLOOKUP(HH76,'Shaft Weight'!$A$6:$CD$102,HJ76,TRUE)</f>
        <v>#REF!</v>
      </c>
      <c r="DA76" s="619" t="e">
        <f>VLOOKUP(HI76,'Shaft Weight'!$A$6:$CD$102,HJ76,0)</f>
        <v>#REF!</v>
      </c>
      <c r="DB76" s="619">
        <f>HLOOKUP(CQ76,Spec_Sheet!$F$3:$ED$19,6,FALSE)</f>
        <v>73.076210223692172</v>
      </c>
      <c r="DC76" s="439">
        <f t="shared" si="317"/>
        <v>3.5868000000000002</v>
      </c>
      <c r="DD76" s="440">
        <f t="shared" si="318"/>
        <v>2.7468000000000004</v>
      </c>
      <c r="DE76" s="439">
        <f t="shared" si="319"/>
        <v>-1.9068000000000005</v>
      </c>
      <c r="DF76" s="439">
        <f t="shared" si="320"/>
        <v>0</v>
      </c>
      <c r="DG76" s="439">
        <f t="shared" si="321"/>
        <v>0</v>
      </c>
      <c r="DH76" s="439">
        <f t="shared" si="322"/>
        <v>0</v>
      </c>
      <c r="DI76" s="439">
        <f t="shared" si="323"/>
        <v>0</v>
      </c>
      <c r="DJ76" s="439">
        <f t="shared" si="324"/>
        <v>0</v>
      </c>
      <c r="DK76" s="439">
        <f t="shared" si="325"/>
        <v>0</v>
      </c>
      <c r="DL76" s="439">
        <f t="shared" si="326"/>
        <v>0</v>
      </c>
      <c r="DM76" s="439">
        <f t="shared" si="327"/>
        <v>0</v>
      </c>
      <c r="DN76" s="439">
        <f t="shared" si="328"/>
        <v>0</v>
      </c>
      <c r="DO76" s="439">
        <f t="shared" si="329"/>
        <v>0</v>
      </c>
      <c r="DP76" s="439">
        <f t="shared" si="330"/>
        <v>0</v>
      </c>
      <c r="DQ76" s="442">
        <f t="shared" si="331"/>
        <v>0</v>
      </c>
      <c r="DR76" s="442">
        <f t="shared" si="332"/>
        <v>0</v>
      </c>
      <c r="DS76" s="439">
        <f t="shared" si="333"/>
        <v>0</v>
      </c>
      <c r="DT76" s="439">
        <f t="shared" si="334"/>
        <v>0</v>
      </c>
      <c r="DU76" s="661">
        <f t="shared" si="335"/>
        <v>0</v>
      </c>
      <c r="DV76" s="661">
        <f t="shared" si="336"/>
        <v>0</v>
      </c>
      <c r="DW76" s="439">
        <f t="shared" si="337"/>
        <v>0</v>
      </c>
      <c r="DX76" s="439">
        <f t="shared" si="338"/>
        <v>0</v>
      </c>
      <c r="DY76" s="439">
        <f t="shared" si="339"/>
        <v>0</v>
      </c>
      <c r="DZ76" s="439">
        <f t="shared" si="340"/>
        <v>0</v>
      </c>
      <c r="EA76" s="631" t="s">
        <v>92</v>
      </c>
      <c r="EB76" s="631">
        <f t="shared" si="451"/>
        <v>0.36530726430181587</v>
      </c>
      <c r="ED76" s="439" t="e">
        <f t="shared" si="341"/>
        <v>#REF!</v>
      </c>
      <c r="EE76" s="440" t="e">
        <f t="shared" si="342"/>
        <v>#REF!</v>
      </c>
      <c r="EF76" s="439" t="e">
        <f t="shared" si="343"/>
        <v>#REF!</v>
      </c>
      <c r="EG76" s="441" t="e">
        <f t="shared" si="344"/>
        <v>#REF!</v>
      </c>
      <c r="EH76" s="439">
        <f t="shared" si="345"/>
        <v>0</v>
      </c>
      <c r="EI76" s="439">
        <f t="shared" si="346"/>
        <v>0</v>
      </c>
      <c r="EJ76" s="439">
        <f t="shared" si="347"/>
        <v>0</v>
      </c>
      <c r="EK76" s="439">
        <f t="shared" si="348"/>
        <v>0</v>
      </c>
      <c r="EL76" s="439">
        <f t="shared" si="349"/>
        <v>0</v>
      </c>
      <c r="EM76" s="439">
        <f t="shared" si="350"/>
        <v>0</v>
      </c>
      <c r="EN76" s="439">
        <f t="shared" si="351"/>
        <v>0</v>
      </c>
      <c r="EO76" s="439">
        <f t="shared" si="352"/>
        <v>0</v>
      </c>
      <c r="EP76" s="439">
        <f t="shared" si="353"/>
        <v>0</v>
      </c>
      <c r="EQ76" s="439">
        <f t="shared" si="354"/>
        <v>0</v>
      </c>
      <c r="ER76" s="442">
        <f t="shared" si="355"/>
        <v>0</v>
      </c>
      <c r="ES76" s="442">
        <f t="shared" si="356"/>
        <v>0</v>
      </c>
      <c r="ET76" s="439">
        <f t="shared" si="357"/>
        <v>0</v>
      </c>
      <c r="EU76" s="439">
        <f t="shared" si="358"/>
        <v>0</v>
      </c>
      <c r="EV76" s="661">
        <f t="shared" si="359"/>
        <v>0</v>
      </c>
      <c r="EW76" s="661">
        <f t="shared" si="360"/>
        <v>0</v>
      </c>
      <c r="EX76" s="439">
        <f t="shared" si="361"/>
        <v>0</v>
      </c>
      <c r="EY76" s="439">
        <f t="shared" si="362"/>
        <v>0</v>
      </c>
      <c r="EZ76" s="439">
        <f t="shared" si="363"/>
        <v>0</v>
      </c>
      <c r="FA76" s="439">
        <f t="shared" si="364"/>
        <v>0</v>
      </c>
      <c r="FB76" s="631" t="s">
        <v>92</v>
      </c>
      <c r="FC76" s="631" t="e">
        <f t="shared" si="452"/>
        <v>#REF!</v>
      </c>
      <c r="FE76" s="439" t="e">
        <f t="shared" si="365"/>
        <v>#REF!</v>
      </c>
      <c r="FF76" s="440" t="e">
        <f t="shared" si="366"/>
        <v>#REF!</v>
      </c>
      <c r="FG76" s="439" t="e">
        <f t="shared" si="367"/>
        <v>#REF!</v>
      </c>
      <c r="FH76" s="441" t="e">
        <f t="shared" si="368"/>
        <v>#REF!</v>
      </c>
      <c r="FI76" s="439">
        <f t="shared" si="369"/>
        <v>0</v>
      </c>
      <c r="FJ76" s="439">
        <f t="shared" si="370"/>
        <v>0</v>
      </c>
      <c r="FK76" s="439">
        <f t="shared" si="371"/>
        <v>0</v>
      </c>
      <c r="FL76" s="439">
        <f t="shared" si="372"/>
        <v>0</v>
      </c>
      <c r="FM76" s="439">
        <f t="shared" si="373"/>
        <v>0</v>
      </c>
      <c r="FN76" s="439">
        <f t="shared" si="374"/>
        <v>0</v>
      </c>
      <c r="FO76" s="439">
        <f t="shared" si="375"/>
        <v>0</v>
      </c>
      <c r="FP76" s="439">
        <f t="shared" si="376"/>
        <v>0</v>
      </c>
      <c r="FQ76" s="439">
        <f t="shared" si="377"/>
        <v>0</v>
      </c>
      <c r="FR76" s="439">
        <f t="shared" si="378"/>
        <v>0</v>
      </c>
      <c r="FS76" s="442">
        <f t="shared" si="379"/>
        <v>0</v>
      </c>
      <c r="FT76" s="442">
        <f t="shared" si="380"/>
        <v>0</v>
      </c>
      <c r="FU76" s="439">
        <f t="shared" si="381"/>
        <v>0</v>
      </c>
      <c r="FV76" s="439">
        <f t="shared" si="382"/>
        <v>0</v>
      </c>
      <c r="FW76" s="661">
        <f t="shared" si="383"/>
        <v>0</v>
      </c>
      <c r="FX76" s="661">
        <f t="shared" si="384"/>
        <v>0</v>
      </c>
      <c r="FY76" s="439">
        <f t="shared" si="385"/>
        <v>0</v>
      </c>
      <c r="FZ76" s="439">
        <f t="shared" si="386"/>
        <v>0</v>
      </c>
      <c r="GA76" s="439">
        <f t="shared" si="387"/>
        <v>0</v>
      </c>
      <c r="GB76" s="439">
        <f t="shared" si="388"/>
        <v>0</v>
      </c>
      <c r="GC76" s="631" t="s">
        <v>92</v>
      </c>
      <c r="GD76" s="631" t="e">
        <f t="shared" si="453"/>
        <v>#REF!</v>
      </c>
      <c r="GF76" s="439" t="e">
        <f t="shared" si="389"/>
        <v>#REF!</v>
      </c>
      <c r="GG76" s="440" t="e">
        <f t="shared" si="390"/>
        <v>#REF!</v>
      </c>
      <c r="GH76" s="439" t="e">
        <f t="shared" si="391"/>
        <v>#REF!</v>
      </c>
      <c r="GI76" s="439" t="e">
        <f t="shared" si="392"/>
        <v>#REF!</v>
      </c>
      <c r="GJ76" s="439">
        <f t="shared" si="393"/>
        <v>0</v>
      </c>
      <c r="GK76" s="439">
        <f t="shared" si="394"/>
        <v>0</v>
      </c>
      <c r="GL76" s="439">
        <f t="shared" si="395"/>
        <v>0</v>
      </c>
      <c r="GM76" s="439">
        <f t="shared" si="396"/>
        <v>0</v>
      </c>
      <c r="GN76" s="439">
        <f t="shared" si="397"/>
        <v>0</v>
      </c>
      <c r="GO76" s="439">
        <f t="shared" si="398"/>
        <v>0</v>
      </c>
      <c r="GP76" s="439">
        <f t="shared" si="399"/>
        <v>0</v>
      </c>
      <c r="GQ76" s="439">
        <f t="shared" si="400"/>
        <v>0</v>
      </c>
      <c r="GR76" s="439">
        <f t="shared" si="401"/>
        <v>0</v>
      </c>
      <c r="GS76" s="439">
        <f t="shared" si="402"/>
        <v>0</v>
      </c>
      <c r="GT76" s="442">
        <f t="shared" si="403"/>
        <v>0</v>
      </c>
      <c r="GU76" s="442">
        <f t="shared" si="404"/>
        <v>0</v>
      </c>
      <c r="GV76" s="439">
        <f t="shared" si="405"/>
        <v>0</v>
      </c>
      <c r="GW76" s="439">
        <f t="shared" si="406"/>
        <v>0</v>
      </c>
      <c r="GX76" s="661">
        <f t="shared" si="407"/>
        <v>0</v>
      </c>
      <c r="GY76" s="661">
        <f t="shared" si="408"/>
        <v>0</v>
      </c>
      <c r="GZ76" s="439">
        <f t="shared" si="409"/>
        <v>0</v>
      </c>
      <c r="HA76" s="439">
        <f t="shared" si="410"/>
        <v>0</v>
      </c>
      <c r="HB76" s="439">
        <f t="shared" si="411"/>
        <v>0</v>
      </c>
      <c r="HC76" s="439">
        <f t="shared" si="412"/>
        <v>0</v>
      </c>
      <c r="HD76" s="631" t="s">
        <v>92</v>
      </c>
      <c r="HE76" s="631" t="e">
        <f t="shared" si="306"/>
        <v>#REF!</v>
      </c>
      <c r="HG76" s="618">
        <f>HLOOKUP(CQ76,Spec_Sheet!$F$3:$DV$19,11,FALSE)+HLOOKUP(CQ76,Spec_Sheet!$F$3:$DV$21,19,FALSE)</f>
        <v>420</v>
      </c>
      <c r="HH76" s="618">
        <f t="shared" si="454"/>
        <v>100</v>
      </c>
      <c r="HI76" s="634">
        <f t="shared" si="455"/>
        <v>450</v>
      </c>
      <c r="HJ76" s="634" t="e">
        <f>HLOOKUP(IF(LEN(CQ76)&gt;6,LEFT(CQ76,5),CQ76),'LSM List Pricing'!$B$1:$BW$2,2,0)</f>
        <v>#N/A</v>
      </c>
      <c r="HK76" s="634" t="e">
        <f>HLOOKUP(HJ76,'LSM List Pricing'!$B$2:$BW$3,2)</f>
        <v>#N/A</v>
      </c>
      <c r="HL76" s="634" t="e">
        <f>VLOOKUP(HH76,'LSM List Pricing'!$A$7:$BW$87,HJ76,0)</f>
        <v>#REF!</v>
      </c>
      <c r="HM76" s="627" t="e">
        <f>VLOOKUP(HI76,'LSM List Pricing'!$A$7:$BW$87,HJ76,1)</f>
        <v>#REF!</v>
      </c>
      <c r="HN76" s="628" t="e">
        <f t="shared" si="307"/>
        <v>#N/A</v>
      </c>
      <c r="HO76" s="628" t="e">
        <f t="shared" si="308"/>
        <v>#N/A</v>
      </c>
      <c r="HP76" s="628" t="e">
        <f t="shared" si="309"/>
        <v>#N/A</v>
      </c>
      <c r="HR76" s="618">
        <v>3.6499999999999998E-2</v>
      </c>
      <c r="HS76" s="618">
        <f t="shared" si="457"/>
        <v>245.07142857142856</v>
      </c>
      <c r="HT76" s="618">
        <f t="shared" si="458"/>
        <v>1</v>
      </c>
      <c r="HU76" s="618">
        <f t="shared" si="170"/>
        <v>0.92949043386636965</v>
      </c>
      <c r="HW76" s="618">
        <f t="shared" si="413"/>
        <v>34.680123583909754</v>
      </c>
      <c r="HX76" s="618">
        <f t="shared" si="171"/>
        <v>0.91221795568274222</v>
      </c>
      <c r="HY76" s="618">
        <f t="shared" si="172"/>
        <v>3.6499999999999998E-2</v>
      </c>
      <c r="IB76" s="618">
        <f t="shared" si="414"/>
        <v>25.000350341399081</v>
      </c>
      <c r="IC76" s="618">
        <f t="shared" si="415"/>
        <v>1E-3</v>
      </c>
      <c r="IE76" s="618">
        <f t="shared" si="416"/>
        <v>0</v>
      </c>
      <c r="IF76" s="618">
        <f t="shared" si="417"/>
        <v>40.704999999999998</v>
      </c>
      <c r="IH76" s="618">
        <f t="shared" si="418"/>
        <v>0</v>
      </c>
      <c r="II76" s="618">
        <f t="shared" si="419"/>
        <v>40.704999999999998</v>
      </c>
      <c r="IK76" s="618">
        <f t="shared" si="420"/>
        <v>0</v>
      </c>
      <c r="IL76" s="618">
        <f t="shared" si="421"/>
        <v>40.704999999999998</v>
      </c>
      <c r="IN76" s="618">
        <f t="shared" si="422"/>
        <v>0</v>
      </c>
      <c r="IO76" s="618">
        <f t="shared" si="423"/>
        <v>40.704999999999998</v>
      </c>
      <c r="IQ76" s="618">
        <f t="shared" si="424"/>
        <v>0</v>
      </c>
      <c r="IR76" s="618">
        <f t="shared" si="425"/>
        <v>40.704999999999998</v>
      </c>
      <c r="IT76" s="660" t="str">
        <f t="shared" si="426"/>
        <v>L320H-HV</v>
      </c>
      <c r="IU76" s="628"/>
      <c r="IV76" s="439">
        <f t="shared" si="427"/>
        <v>6.6612000000000009</v>
      </c>
      <c r="IW76" s="440">
        <f t="shared" si="428"/>
        <v>5.1012000000000013</v>
      </c>
      <c r="IX76" s="439">
        <f t="shared" si="429"/>
        <v>-3.5412000000000012</v>
      </c>
      <c r="IY76" s="439">
        <f t="shared" si="430"/>
        <v>0</v>
      </c>
      <c r="IZ76" s="439">
        <f t="shared" si="431"/>
        <v>0</v>
      </c>
      <c r="JA76" s="439">
        <f t="shared" si="432"/>
        <v>0</v>
      </c>
      <c r="JB76" s="439">
        <f t="shared" si="433"/>
        <v>0</v>
      </c>
      <c r="JC76" s="439">
        <f t="shared" si="434"/>
        <v>0</v>
      </c>
      <c r="JD76" s="439">
        <f t="shared" si="435"/>
        <v>0</v>
      </c>
      <c r="JE76" s="439">
        <f t="shared" si="436"/>
        <v>0</v>
      </c>
      <c r="JF76" s="439">
        <f t="shared" si="437"/>
        <v>0</v>
      </c>
      <c r="JG76" s="439">
        <f t="shared" si="438"/>
        <v>0</v>
      </c>
      <c r="JH76" s="439">
        <f t="shared" si="439"/>
        <v>0</v>
      </c>
      <c r="JI76" s="439">
        <f t="shared" si="440"/>
        <v>0</v>
      </c>
      <c r="JJ76" s="442">
        <f t="shared" si="441"/>
        <v>0</v>
      </c>
      <c r="JK76" s="442">
        <f t="shared" si="442"/>
        <v>0</v>
      </c>
      <c r="JL76" s="439">
        <f t="shared" si="443"/>
        <v>0</v>
      </c>
      <c r="JM76" s="439">
        <f t="shared" si="444"/>
        <v>0</v>
      </c>
      <c r="JN76" s="661">
        <f t="shared" si="445"/>
        <v>0</v>
      </c>
      <c r="JO76" s="661">
        <f t="shared" si="446"/>
        <v>0</v>
      </c>
      <c r="JP76" s="439">
        <f t="shared" si="447"/>
        <v>0</v>
      </c>
      <c r="JQ76" s="439">
        <f t="shared" si="448"/>
        <v>0</v>
      </c>
      <c r="JR76" s="439">
        <f t="shared" si="449"/>
        <v>0</v>
      </c>
      <c r="JS76" s="439">
        <f t="shared" si="450"/>
        <v>0</v>
      </c>
      <c r="JT76" s="631" t="s">
        <v>92</v>
      </c>
      <c r="JU76" s="631">
        <f t="shared" si="459"/>
        <v>0.67842777656051523</v>
      </c>
      <c r="JW76" s="522"/>
      <c r="JX76" s="522"/>
      <c r="JY76" s="522"/>
      <c r="JZ76" s="522"/>
      <c r="KA76" s="522"/>
      <c r="KB76" s="522"/>
      <c r="KC76" s="522"/>
      <c r="KD76" s="522"/>
      <c r="KE76" s="522"/>
      <c r="KF76" s="522"/>
      <c r="KG76" s="522"/>
      <c r="KH76" s="522"/>
      <c r="KI76" s="522"/>
      <c r="KJ76" s="522"/>
      <c r="KK76" s="522"/>
      <c r="KL76" s="522"/>
    </row>
    <row r="77" spans="1:298">
      <c r="A77" s="334"/>
      <c r="B77" s="579" t="s">
        <v>535</v>
      </c>
      <c r="C77" s="579">
        <f>C75/20</f>
        <v>2.5</v>
      </c>
      <c r="D77" s="579">
        <f>$C$77*D76</f>
        <v>0.02</v>
      </c>
      <c r="E77" s="579">
        <f t="shared" ref="E77:O77" si="462">$C$77*E76</f>
        <v>0.02</v>
      </c>
      <c r="F77" s="579">
        <f t="shared" si="462"/>
        <v>0</v>
      </c>
      <c r="G77" s="579">
        <f t="shared" si="462"/>
        <v>0</v>
      </c>
      <c r="H77" s="579">
        <f t="shared" si="462"/>
        <v>0</v>
      </c>
      <c r="I77" s="579">
        <f t="shared" si="462"/>
        <v>0</v>
      </c>
      <c r="J77" s="579">
        <f t="shared" si="462"/>
        <v>0</v>
      </c>
      <c r="K77" s="579">
        <f t="shared" si="462"/>
        <v>0</v>
      </c>
      <c r="L77" s="579">
        <f t="shared" si="462"/>
        <v>0</v>
      </c>
      <c r="M77" s="579">
        <f t="shared" si="462"/>
        <v>0</v>
      </c>
      <c r="N77" s="579">
        <f t="shared" si="462"/>
        <v>0</v>
      </c>
      <c r="O77" s="579">
        <f t="shared" si="462"/>
        <v>0</v>
      </c>
      <c r="P77" s="579"/>
      <c r="Q77" s="579"/>
      <c r="R77" s="579"/>
      <c r="S77" s="381"/>
      <c r="T77" s="381"/>
      <c r="U77" s="605"/>
      <c r="V77" s="605"/>
      <c r="W77" s="381"/>
      <c r="X77" s="579"/>
      <c r="Y77" s="579"/>
      <c r="Z77" s="579"/>
      <c r="AA77" s="579"/>
      <c r="AB77" s="579"/>
      <c r="AC77" s="580"/>
      <c r="AD77" s="580"/>
      <c r="AE77" s="579"/>
      <c r="AF77" s="579"/>
      <c r="AG77" s="579"/>
      <c r="AH77" s="579"/>
      <c r="AI77" s="579"/>
      <c r="AJ77" s="579"/>
      <c r="AK77" s="579"/>
      <c r="AL77" s="580"/>
      <c r="AM77" s="580"/>
      <c r="AN77" s="579"/>
      <c r="AO77" s="579"/>
      <c r="AP77" s="579"/>
      <c r="AQ77" s="579"/>
      <c r="AR77" s="579"/>
      <c r="AS77" s="579"/>
      <c r="AT77" s="580"/>
      <c r="AU77" s="580"/>
      <c r="AV77" s="581">
        <f>IF($AY$30,G86,0)*$G$82</f>
        <v>0</v>
      </c>
      <c r="AW77" s="581">
        <f>IF($AY$32,'Data Sheet'!AA98,0)</f>
        <v>0</v>
      </c>
      <c r="AX77" s="581">
        <f t="shared" si="460"/>
        <v>40.704999999999998</v>
      </c>
      <c r="AY77" s="579"/>
      <c r="AZ77" s="579"/>
      <c r="BA77" s="579"/>
      <c r="BB77" s="579"/>
      <c r="BC77" s="579"/>
      <c r="BD77" s="579"/>
      <c r="BE77" s="579"/>
      <c r="BF77" s="579"/>
      <c r="BG77" s="456"/>
      <c r="BH77" s="456"/>
      <c r="BI77" s="456"/>
      <c r="BJ77" s="456"/>
      <c r="BK77" s="456"/>
      <c r="BL77" s="456"/>
      <c r="BM77" s="456"/>
      <c r="BN77" s="727">
        <f>MTvt</f>
        <v>0</v>
      </c>
      <c r="BO77" s="727"/>
      <c r="BP77" s="727"/>
      <c r="BQ77" s="727"/>
      <c r="BR77" s="727"/>
      <c r="BS77" s="727"/>
      <c r="BT77" s="727"/>
      <c r="BU77" s="727"/>
      <c r="BV77" s="727"/>
      <c r="BW77" s="727"/>
      <c r="BX77" s="727"/>
      <c r="BY77" s="727"/>
      <c r="BZ77" s="727"/>
      <c r="CA77" s="727"/>
      <c r="CB77" s="727"/>
      <c r="CC77" s="727"/>
      <c r="CD77" s="727"/>
      <c r="CE77" s="727"/>
      <c r="CF77" s="727"/>
      <c r="CG77" s="727"/>
      <c r="CH77" s="727"/>
      <c r="CI77" s="727"/>
      <c r="CJ77" s="727"/>
      <c r="CK77" s="727"/>
      <c r="CL77" s="381"/>
      <c r="CM77" s="381"/>
      <c r="CN77" s="445"/>
      <c r="CO77" s="694" t="str">
        <f ca="1"/>
        <v>S350D</v>
      </c>
      <c r="CP77" s="632" t="str">
        <f>IF(OR(CQ77=0,CR77="",CS77&gt;120),"",IF(HLOOKUP(CQ77,Spec_Sheet!$F$3:$ED$19,17,FALSE)&lt;$AC$46,"",CQ77))</f>
        <v>S427D 1S</v>
      </c>
      <c r="CQ77" s="660" t="str">
        <f>IF(Spec_Sheet!A76="","",Spec_Sheet!A76)</f>
        <v>S427D 1S</v>
      </c>
      <c r="CR77" s="660">
        <f>IF(CQ77="",0,HLOOKUP(CQ77,Spec_Sheet!$F$3:$ED$19,2,FALSE))</f>
        <v>98.835211307255122</v>
      </c>
      <c r="CS77" s="660">
        <f t="shared" si="461"/>
        <v>1.7843379840259449E-3</v>
      </c>
      <c r="CT77" s="621">
        <f t="shared" si="310"/>
        <v>2.0143503022792887E-3</v>
      </c>
      <c r="CU77" s="621">
        <f t="shared" si="316"/>
        <v>1.7843379840259449E-3</v>
      </c>
      <c r="CV77" s="621">
        <f t="shared" si="311"/>
        <v>3.2369180493226919E-3</v>
      </c>
      <c r="CW77" s="621">
        <f t="shared" si="312"/>
        <v>2.9434780917934251E-3</v>
      </c>
      <c r="CX77" s="621">
        <f t="shared" si="456"/>
        <v>1.7345063380316266E-3</v>
      </c>
      <c r="CY77" s="619">
        <f>HLOOKUP(CQ77,Spec_Sheet!$F$3:$ED$19,13,FALSE)</f>
        <v>3</v>
      </c>
      <c r="CZ77" s="619">
        <f>VLOOKUP(HH77,'Shaft Weight'!$A$6:$CD$102,HJ77,TRUE)</f>
        <v>3.91</v>
      </c>
      <c r="DA77" s="619">
        <f>VLOOKUP(HI77,'Shaft Weight'!$A$6:$CD$102,HJ77,0)</f>
        <v>5.91</v>
      </c>
      <c r="DB77" s="619">
        <f>HLOOKUP(CQ77,Spec_Sheet!$F$3:$ED$19,6,FALSE)</f>
        <v>16.649999999999999</v>
      </c>
      <c r="DC77" s="439">
        <f t="shared" si="317"/>
        <v>4.3553999999999995</v>
      </c>
      <c r="DD77" s="440">
        <f t="shared" si="318"/>
        <v>3.3353999999999999</v>
      </c>
      <c r="DE77" s="439">
        <f t="shared" si="319"/>
        <v>-2.3153999999999999</v>
      </c>
      <c r="DF77" s="439">
        <f t="shared" si="320"/>
        <v>0</v>
      </c>
      <c r="DG77" s="439">
        <f t="shared" si="321"/>
        <v>0</v>
      </c>
      <c r="DH77" s="439">
        <f t="shared" si="322"/>
        <v>0</v>
      </c>
      <c r="DI77" s="439">
        <f t="shared" si="323"/>
        <v>0</v>
      </c>
      <c r="DJ77" s="439">
        <f t="shared" si="324"/>
        <v>0</v>
      </c>
      <c r="DK77" s="439">
        <f t="shared" si="325"/>
        <v>0</v>
      </c>
      <c r="DL77" s="439">
        <f t="shared" si="326"/>
        <v>0</v>
      </c>
      <c r="DM77" s="439">
        <f t="shared" si="327"/>
        <v>0</v>
      </c>
      <c r="DN77" s="439">
        <f t="shared" si="328"/>
        <v>0</v>
      </c>
      <c r="DO77" s="439">
        <f t="shared" si="329"/>
        <v>0</v>
      </c>
      <c r="DP77" s="439">
        <f t="shared" si="330"/>
        <v>0</v>
      </c>
      <c r="DQ77" s="442">
        <f t="shared" si="331"/>
        <v>0</v>
      </c>
      <c r="DR77" s="442">
        <f t="shared" si="332"/>
        <v>0</v>
      </c>
      <c r="DS77" s="439">
        <f t="shared" si="333"/>
        <v>0</v>
      </c>
      <c r="DT77" s="439">
        <f t="shared" si="334"/>
        <v>0</v>
      </c>
      <c r="DU77" s="661">
        <f t="shared" si="335"/>
        <v>0</v>
      </c>
      <c r="DV77" s="661">
        <f t="shared" si="336"/>
        <v>0</v>
      </c>
      <c r="DW77" s="439">
        <f t="shared" si="337"/>
        <v>0</v>
      </c>
      <c r="DX77" s="439">
        <f t="shared" si="338"/>
        <v>0</v>
      </c>
      <c r="DY77" s="439">
        <f t="shared" si="339"/>
        <v>0</v>
      </c>
      <c r="DZ77" s="439">
        <f t="shared" si="340"/>
        <v>0</v>
      </c>
      <c r="EA77" s="631" t="s">
        <v>92</v>
      </c>
      <c r="EB77" s="631">
        <f t="shared" si="451"/>
        <v>0.44358739236649058</v>
      </c>
      <c r="ED77" s="439">
        <f t="shared" si="341"/>
        <v>10.529820000000001</v>
      </c>
      <c r="EE77" s="440">
        <f t="shared" si="342"/>
        <v>8.0638200000000015</v>
      </c>
      <c r="EF77" s="439">
        <f t="shared" si="343"/>
        <v>-5.5978200000000014</v>
      </c>
      <c r="EG77" s="441">
        <f t="shared" si="344"/>
        <v>0</v>
      </c>
      <c r="EH77" s="439">
        <f t="shared" si="345"/>
        <v>0</v>
      </c>
      <c r="EI77" s="439">
        <f t="shared" si="346"/>
        <v>0</v>
      </c>
      <c r="EJ77" s="439">
        <f t="shared" si="347"/>
        <v>0</v>
      </c>
      <c r="EK77" s="439">
        <f t="shared" si="348"/>
        <v>0</v>
      </c>
      <c r="EL77" s="439">
        <f t="shared" si="349"/>
        <v>0</v>
      </c>
      <c r="EM77" s="439">
        <f t="shared" si="350"/>
        <v>0</v>
      </c>
      <c r="EN77" s="439">
        <f t="shared" si="351"/>
        <v>0</v>
      </c>
      <c r="EO77" s="439">
        <f t="shared" si="352"/>
        <v>0</v>
      </c>
      <c r="EP77" s="439">
        <f t="shared" si="353"/>
        <v>0</v>
      </c>
      <c r="EQ77" s="439">
        <f t="shared" si="354"/>
        <v>0</v>
      </c>
      <c r="ER77" s="442">
        <f t="shared" si="355"/>
        <v>0</v>
      </c>
      <c r="ES77" s="442">
        <f t="shared" si="356"/>
        <v>0</v>
      </c>
      <c r="ET77" s="439">
        <f t="shared" si="357"/>
        <v>0</v>
      </c>
      <c r="EU77" s="439">
        <f t="shared" si="358"/>
        <v>0</v>
      </c>
      <c r="EV77" s="661">
        <f t="shared" si="359"/>
        <v>0</v>
      </c>
      <c r="EW77" s="661">
        <f t="shared" si="360"/>
        <v>0</v>
      </c>
      <c r="EX77" s="439">
        <f t="shared" si="361"/>
        <v>0</v>
      </c>
      <c r="EY77" s="439">
        <f t="shared" si="362"/>
        <v>0</v>
      </c>
      <c r="EZ77" s="439">
        <f t="shared" si="363"/>
        <v>0</v>
      </c>
      <c r="FA77" s="439">
        <f t="shared" si="364"/>
        <v>0</v>
      </c>
      <c r="FB77" s="631" t="s">
        <v>92</v>
      </c>
      <c r="FC77" s="631">
        <f t="shared" si="452"/>
        <v>1.0724377544860453</v>
      </c>
      <c r="FE77" s="439">
        <f t="shared" si="365"/>
        <v>5.5211100000000011</v>
      </c>
      <c r="FF77" s="440">
        <f t="shared" si="366"/>
        <v>4.2281100000000009</v>
      </c>
      <c r="FG77" s="439">
        <f t="shared" si="367"/>
        <v>-2.9351100000000008</v>
      </c>
      <c r="FH77" s="441">
        <f t="shared" si="368"/>
        <v>0</v>
      </c>
      <c r="FI77" s="439">
        <f t="shared" si="369"/>
        <v>0</v>
      </c>
      <c r="FJ77" s="439">
        <f t="shared" si="370"/>
        <v>0</v>
      </c>
      <c r="FK77" s="439">
        <f t="shared" si="371"/>
        <v>0</v>
      </c>
      <c r="FL77" s="439">
        <f t="shared" si="372"/>
        <v>0</v>
      </c>
      <c r="FM77" s="439">
        <f t="shared" si="373"/>
        <v>0</v>
      </c>
      <c r="FN77" s="439">
        <f t="shared" si="374"/>
        <v>0</v>
      </c>
      <c r="FO77" s="439">
        <f t="shared" si="375"/>
        <v>0</v>
      </c>
      <c r="FP77" s="439">
        <f t="shared" si="376"/>
        <v>0</v>
      </c>
      <c r="FQ77" s="439">
        <f t="shared" si="377"/>
        <v>0</v>
      </c>
      <c r="FR77" s="439">
        <f t="shared" si="378"/>
        <v>0</v>
      </c>
      <c r="FS77" s="442">
        <f t="shared" si="379"/>
        <v>0</v>
      </c>
      <c r="FT77" s="442">
        <f t="shared" si="380"/>
        <v>0</v>
      </c>
      <c r="FU77" s="439">
        <f t="shared" si="381"/>
        <v>0</v>
      </c>
      <c r="FV77" s="439">
        <f t="shared" si="382"/>
        <v>0</v>
      </c>
      <c r="FW77" s="661">
        <f t="shared" si="383"/>
        <v>0</v>
      </c>
      <c r="FX77" s="661">
        <f t="shared" si="384"/>
        <v>0</v>
      </c>
      <c r="FY77" s="439">
        <f t="shared" si="385"/>
        <v>0</v>
      </c>
      <c r="FZ77" s="439">
        <f t="shared" si="386"/>
        <v>0</v>
      </c>
      <c r="GA77" s="439">
        <f t="shared" si="387"/>
        <v>0</v>
      </c>
      <c r="GB77" s="439">
        <f t="shared" si="388"/>
        <v>0</v>
      </c>
      <c r="GC77" s="631" t="s">
        <v>92</v>
      </c>
      <c r="GD77" s="631">
        <f t="shared" si="453"/>
        <v>0.56231225326458101</v>
      </c>
      <c r="GF77" s="439">
        <f t="shared" si="389"/>
        <v>8.0831100000000013</v>
      </c>
      <c r="GG77" s="440">
        <f t="shared" si="390"/>
        <v>6.1901100000000007</v>
      </c>
      <c r="GH77" s="439">
        <f t="shared" si="391"/>
        <v>-4.2971100000000009</v>
      </c>
      <c r="GI77" s="439">
        <f t="shared" si="392"/>
        <v>0</v>
      </c>
      <c r="GJ77" s="439">
        <f t="shared" si="393"/>
        <v>0</v>
      </c>
      <c r="GK77" s="439">
        <f t="shared" si="394"/>
        <v>0</v>
      </c>
      <c r="GL77" s="439">
        <f t="shared" si="395"/>
        <v>0</v>
      </c>
      <c r="GM77" s="439">
        <f t="shared" si="396"/>
        <v>0</v>
      </c>
      <c r="GN77" s="439">
        <f t="shared" si="397"/>
        <v>0</v>
      </c>
      <c r="GO77" s="439">
        <f t="shared" si="398"/>
        <v>0</v>
      </c>
      <c r="GP77" s="439">
        <f t="shared" si="399"/>
        <v>0</v>
      </c>
      <c r="GQ77" s="439">
        <f t="shared" si="400"/>
        <v>0</v>
      </c>
      <c r="GR77" s="439">
        <f t="shared" si="401"/>
        <v>0</v>
      </c>
      <c r="GS77" s="439">
        <f t="shared" si="402"/>
        <v>0</v>
      </c>
      <c r="GT77" s="442">
        <f t="shared" si="403"/>
        <v>0</v>
      </c>
      <c r="GU77" s="442">
        <f t="shared" si="404"/>
        <v>0</v>
      </c>
      <c r="GV77" s="439">
        <f t="shared" si="405"/>
        <v>0</v>
      </c>
      <c r="GW77" s="439">
        <f t="shared" si="406"/>
        <v>0</v>
      </c>
      <c r="GX77" s="661">
        <f t="shared" si="407"/>
        <v>0</v>
      </c>
      <c r="GY77" s="661">
        <f t="shared" si="408"/>
        <v>0</v>
      </c>
      <c r="GZ77" s="439">
        <f t="shared" si="409"/>
        <v>0</v>
      </c>
      <c r="HA77" s="439">
        <f t="shared" si="410"/>
        <v>0</v>
      </c>
      <c r="HB77" s="439">
        <f t="shared" si="411"/>
        <v>0</v>
      </c>
      <c r="HC77" s="439">
        <f t="shared" si="412"/>
        <v>0</v>
      </c>
      <c r="HD77" s="631" t="s">
        <v>92</v>
      </c>
      <c r="HE77" s="631">
        <f t="shared" si="306"/>
        <v>0.82324601348016357</v>
      </c>
      <c r="HG77" s="618">
        <f>HLOOKUP(CQ77,Spec_Sheet!$F$3:$DV$19,11,FALSE)+HLOOKUP(CQ77,Spec_Sheet!$F$3:$DV$21,19,FALSE)</f>
        <v>270</v>
      </c>
      <c r="HH77" s="618">
        <f t="shared" si="454"/>
        <v>100</v>
      </c>
      <c r="HI77" s="634">
        <f t="shared" si="455"/>
        <v>300</v>
      </c>
      <c r="HJ77" s="634">
        <f>HLOOKUP(IF(LEN(CQ77)&gt;6,LEFT(CQ77,5),CQ77),'LSM List Pricing'!$B$1:$BW$2,2,0)</f>
        <v>61</v>
      </c>
      <c r="HK77" s="634">
        <f>HLOOKUP(HJ77,'LSM List Pricing'!$B$2:$BW$3,2)</f>
        <v>780</v>
      </c>
      <c r="HL77" s="634">
        <f>VLOOKUP(HH77,'LSM List Pricing'!$A$7:$BW$87,HJ77,0)</f>
        <v>1560</v>
      </c>
      <c r="HM77" s="627">
        <f>VLOOKUP(HI77,'LSM List Pricing'!$A$7:$BW$87,HJ77,1)</f>
        <v>2270</v>
      </c>
      <c r="HN77" s="628">
        <f t="shared" si="307"/>
        <v>6</v>
      </c>
      <c r="HO77" s="628">
        <f t="shared" si="308"/>
        <v>12</v>
      </c>
      <c r="HP77" s="628">
        <f t="shared" si="309"/>
        <v>9.8205128205128212</v>
      </c>
      <c r="HR77" s="618">
        <v>3.6999999999999998E-2</v>
      </c>
      <c r="HS77" s="618">
        <f t="shared" si="457"/>
        <v>248.42857142857142</v>
      </c>
      <c r="HT77" s="618">
        <f t="shared" si="458"/>
        <v>1</v>
      </c>
      <c r="HU77" s="618">
        <f t="shared" si="170"/>
        <v>0.94222947783999444</v>
      </c>
      <c r="HW77" s="618">
        <f t="shared" si="413"/>
        <v>34.66203414146721</v>
      </c>
      <c r="HX77" s="618">
        <f t="shared" si="171"/>
        <v>0.92448354393672649</v>
      </c>
      <c r="HY77" s="618">
        <f t="shared" si="172"/>
        <v>3.6999999999999998E-2</v>
      </c>
      <c r="IB77" s="618">
        <f t="shared" si="414"/>
        <v>25.000350341399081</v>
      </c>
      <c r="IC77" s="618">
        <f t="shared" si="415"/>
        <v>1E-3</v>
      </c>
      <c r="IE77" s="618">
        <f t="shared" si="416"/>
        <v>0</v>
      </c>
      <c r="IF77" s="618">
        <f t="shared" si="417"/>
        <v>40.704999999999998</v>
      </c>
      <c r="IH77" s="618">
        <f t="shared" si="418"/>
        <v>0</v>
      </c>
      <c r="II77" s="618">
        <f t="shared" si="419"/>
        <v>40.704999999999998</v>
      </c>
      <c r="IK77" s="618">
        <f t="shared" si="420"/>
        <v>0</v>
      </c>
      <c r="IL77" s="618">
        <f t="shared" si="421"/>
        <v>40.704999999999998</v>
      </c>
      <c r="IN77" s="618">
        <f t="shared" si="422"/>
        <v>0</v>
      </c>
      <c r="IO77" s="618">
        <f t="shared" si="423"/>
        <v>40.704999999999998</v>
      </c>
      <c r="IQ77" s="618">
        <f t="shared" si="424"/>
        <v>0</v>
      </c>
      <c r="IR77" s="618">
        <f t="shared" si="425"/>
        <v>40.704999999999998</v>
      </c>
      <c r="IT77" s="660" t="str">
        <f t="shared" si="426"/>
        <v>S427D 1S</v>
      </c>
      <c r="IU77" s="628"/>
      <c r="IV77" s="439">
        <f t="shared" si="427"/>
        <v>8.1984000000000012</v>
      </c>
      <c r="IW77" s="440">
        <f t="shared" si="428"/>
        <v>6.2784000000000013</v>
      </c>
      <c r="IX77" s="439">
        <f t="shared" si="429"/>
        <v>-4.3584000000000014</v>
      </c>
      <c r="IY77" s="439">
        <f t="shared" si="430"/>
        <v>0</v>
      </c>
      <c r="IZ77" s="439">
        <f t="shared" si="431"/>
        <v>0</v>
      </c>
      <c r="JA77" s="439">
        <f t="shared" si="432"/>
        <v>0</v>
      </c>
      <c r="JB77" s="439">
        <f t="shared" si="433"/>
        <v>0</v>
      </c>
      <c r="JC77" s="439">
        <f t="shared" si="434"/>
        <v>0</v>
      </c>
      <c r="JD77" s="439">
        <f t="shared" si="435"/>
        <v>0</v>
      </c>
      <c r="JE77" s="439">
        <f t="shared" si="436"/>
        <v>0</v>
      </c>
      <c r="JF77" s="439">
        <f t="shared" si="437"/>
        <v>0</v>
      </c>
      <c r="JG77" s="439">
        <f t="shared" si="438"/>
        <v>0</v>
      </c>
      <c r="JH77" s="439">
        <f t="shared" si="439"/>
        <v>0</v>
      </c>
      <c r="JI77" s="439">
        <f t="shared" si="440"/>
        <v>0</v>
      </c>
      <c r="JJ77" s="442">
        <f t="shared" si="441"/>
        <v>0</v>
      </c>
      <c r="JK77" s="442">
        <f t="shared" si="442"/>
        <v>0</v>
      </c>
      <c r="JL77" s="439">
        <f t="shared" si="443"/>
        <v>0</v>
      </c>
      <c r="JM77" s="439">
        <f t="shared" si="444"/>
        <v>0</v>
      </c>
      <c r="JN77" s="661">
        <f t="shared" si="445"/>
        <v>0</v>
      </c>
      <c r="JO77" s="661">
        <f t="shared" si="446"/>
        <v>0</v>
      </c>
      <c r="JP77" s="439">
        <f t="shared" si="447"/>
        <v>0</v>
      </c>
      <c r="JQ77" s="439">
        <f t="shared" si="448"/>
        <v>0</v>
      </c>
      <c r="JR77" s="439">
        <f t="shared" si="449"/>
        <v>0</v>
      </c>
      <c r="JS77" s="439">
        <f t="shared" si="450"/>
        <v>0</v>
      </c>
      <c r="JT77" s="631" t="s">
        <v>92</v>
      </c>
      <c r="JU77" s="631">
        <f t="shared" si="459"/>
        <v>0.83498803268986488</v>
      </c>
      <c r="JW77" s="522"/>
      <c r="JX77" s="522"/>
      <c r="JY77" s="522"/>
      <c r="JZ77" s="522"/>
      <c r="KA77" s="522"/>
      <c r="KB77" s="522"/>
      <c r="KC77" s="522"/>
      <c r="KD77" s="522"/>
      <c r="KE77" s="522"/>
      <c r="KF77" s="522"/>
      <c r="KG77" s="522"/>
      <c r="KH77" s="522"/>
      <c r="KI77" s="522"/>
      <c r="KJ77" s="522"/>
      <c r="KK77" s="522"/>
      <c r="KL77" s="522"/>
    </row>
    <row r="78" spans="1:298">
      <c r="A78" s="334"/>
      <c r="B78" s="579" t="s">
        <v>536</v>
      </c>
      <c r="C78" s="579">
        <f>10-(C77*2)</f>
        <v>5</v>
      </c>
      <c r="D78" s="579">
        <f>$C$78*D76</f>
        <v>0.04</v>
      </c>
      <c r="E78" s="579">
        <f t="shared" ref="E78:O78" si="463">$C$78*E76</f>
        <v>0.04</v>
      </c>
      <c r="F78" s="579">
        <f t="shared" si="463"/>
        <v>0</v>
      </c>
      <c r="G78" s="579">
        <f t="shared" si="463"/>
        <v>0</v>
      </c>
      <c r="H78" s="579">
        <f t="shared" si="463"/>
        <v>0</v>
      </c>
      <c r="I78" s="579">
        <f t="shared" si="463"/>
        <v>0</v>
      </c>
      <c r="J78" s="579">
        <f t="shared" si="463"/>
        <v>0</v>
      </c>
      <c r="K78" s="579">
        <f t="shared" si="463"/>
        <v>0</v>
      </c>
      <c r="L78" s="579">
        <f t="shared" si="463"/>
        <v>0</v>
      </c>
      <c r="M78" s="579">
        <f t="shared" si="463"/>
        <v>0</v>
      </c>
      <c r="N78" s="579">
        <f t="shared" si="463"/>
        <v>0</v>
      </c>
      <c r="O78" s="579">
        <f t="shared" si="463"/>
        <v>0</v>
      </c>
      <c r="P78" s="579"/>
      <c r="Q78" s="579"/>
      <c r="R78" s="579"/>
      <c r="S78" s="381"/>
      <c r="T78" s="381"/>
      <c r="U78" s="605"/>
      <c r="V78" s="605"/>
      <c r="W78" s="381"/>
      <c r="X78" s="579"/>
      <c r="Y78" s="579"/>
      <c r="Z78" s="579"/>
      <c r="AA78" s="579"/>
      <c r="AB78" s="579"/>
      <c r="AC78" s="580"/>
      <c r="AD78" s="580"/>
      <c r="AE78" s="579"/>
      <c r="AF78" s="579"/>
      <c r="AG78" s="579"/>
      <c r="AH78" s="579"/>
      <c r="AI78" s="579"/>
      <c r="AJ78" s="579"/>
      <c r="AK78" s="579"/>
      <c r="AL78" s="580"/>
      <c r="AM78" s="580"/>
      <c r="AN78" s="579"/>
      <c r="AO78" s="579"/>
      <c r="AP78" s="579"/>
      <c r="AQ78" s="579"/>
      <c r="AR78" s="579"/>
      <c r="AS78" s="579"/>
      <c r="AT78" s="580"/>
      <c r="AU78" s="580"/>
      <c r="AV78" s="581" t="e">
        <f>IF($AY$30,G85,0)*$G$82</f>
        <v>#DIV/0!</v>
      </c>
      <c r="AW78" s="581" t="e">
        <f>IF($AY$32,'Data Sheet'!AA99,0)</f>
        <v>#DIV/0!</v>
      </c>
      <c r="AX78" s="581">
        <f t="shared" si="460"/>
        <v>40.704999999999998</v>
      </c>
      <c r="AY78" s="579"/>
      <c r="AZ78" s="579"/>
      <c r="BA78" s="579"/>
      <c r="BB78" s="579"/>
      <c r="BC78" s="579"/>
      <c r="BD78" s="579"/>
      <c r="BE78" s="579"/>
      <c r="BF78" s="579"/>
      <c r="BG78" s="456"/>
      <c r="BH78" s="456"/>
      <c r="BI78" s="456"/>
      <c r="BJ78" s="456"/>
      <c r="BK78" s="456"/>
      <c r="BL78" s="456"/>
      <c r="BM78" s="456"/>
      <c r="BN78" s="456"/>
      <c r="BO78" s="456"/>
      <c r="BP78" s="456"/>
      <c r="BQ78" s="379"/>
      <c r="BR78" s="379"/>
      <c r="BS78" s="379"/>
      <c r="BT78" s="379"/>
      <c r="BU78" s="379"/>
      <c r="BV78" s="379"/>
      <c r="BW78" s="379"/>
      <c r="BX78" s="379"/>
      <c r="BY78" s="379"/>
      <c r="BZ78" s="379"/>
      <c r="CA78" s="379"/>
      <c r="CB78" s="379"/>
      <c r="CC78" s="379"/>
      <c r="CD78" s="379"/>
      <c r="CE78" s="379"/>
      <c r="CF78" s="379"/>
      <c r="CG78" s="379"/>
      <c r="CH78" s="77"/>
      <c r="CI78" s="77"/>
      <c r="CJ78" s="380"/>
      <c r="CK78" s="380"/>
      <c r="CL78" s="381"/>
      <c r="CM78" s="381"/>
      <c r="CN78" s="381"/>
      <c r="CO78" s="694" t="str">
        <f ca="1"/>
        <v>S320Q 1S</v>
      </c>
      <c r="CP78" s="632" t="str">
        <f>IF(OR(CQ78=0,CR78="",CS78&gt;120),"",IF(HLOOKUP(CQ78,Spec_Sheet!$F$3:$ED$19,17,FALSE)&lt;$AC$46,"",CQ78))</f>
        <v>S427D</v>
      </c>
      <c r="CQ78" s="660" t="str">
        <f>IF(Spec_Sheet!A77="","",Spec_Sheet!A77)</f>
        <v>S427D</v>
      </c>
      <c r="CR78" s="660">
        <f>IF(CQ78="",0,HLOOKUP(CQ78,Spec_Sheet!$F$3:$ED$19,2,FALSE))</f>
        <v>99.725618616329498</v>
      </c>
      <c r="CS78" s="660">
        <f t="shared" si="461"/>
        <v>1.7526170520714022E-3</v>
      </c>
      <c r="CT78" s="621">
        <f t="shared" si="310"/>
        <v>1.9785403439399806E-3</v>
      </c>
      <c r="CU78" s="621">
        <f t="shared" si="316"/>
        <v>1.7526170520714022E-3</v>
      </c>
      <c r="CV78" s="621">
        <f t="shared" si="311"/>
        <v>3.1793739864241785E-3</v>
      </c>
      <c r="CW78" s="621">
        <f t="shared" si="312"/>
        <v>2.8911506352827477E-3</v>
      </c>
      <c r="CX78" s="621">
        <f t="shared" si="456"/>
        <v>1.7036712843501015E-3</v>
      </c>
      <c r="CY78" s="619">
        <f>HLOOKUP(CQ78,Spec_Sheet!$F$3:$ED$19,13,FALSE)</f>
        <v>3</v>
      </c>
      <c r="CZ78" s="619">
        <f>VLOOKUP(HH78,'Shaft Weight'!$A$6:$CD$102,HJ78,TRUE)</f>
        <v>3.91</v>
      </c>
      <c r="DA78" s="619">
        <f>VLOOKUP(HI78,'Shaft Weight'!$A$6:$CD$102,HJ78,0)</f>
        <v>5.91</v>
      </c>
      <c r="DB78" s="619">
        <f>HLOOKUP(CQ78,Spec_Sheet!$F$3:$ED$19,6,FALSE)</f>
        <v>33.299999999999997</v>
      </c>
      <c r="DC78" s="439">
        <f t="shared" si="317"/>
        <v>4.3553999999999995</v>
      </c>
      <c r="DD78" s="440">
        <f t="shared" si="318"/>
        <v>3.3353999999999999</v>
      </c>
      <c r="DE78" s="439">
        <f t="shared" si="319"/>
        <v>-2.3153999999999999</v>
      </c>
      <c r="DF78" s="439">
        <f t="shared" si="320"/>
        <v>0</v>
      </c>
      <c r="DG78" s="439">
        <f t="shared" si="321"/>
        <v>0</v>
      </c>
      <c r="DH78" s="439">
        <f t="shared" si="322"/>
        <v>0</v>
      </c>
      <c r="DI78" s="439">
        <f t="shared" si="323"/>
        <v>0</v>
      </c>
      <c r="DJ78" s="439">
        <f t="shared" si="324"/>
        <v>0</v>
      </c>
      <c r="DK78" s="439">
        <f t="shared" si="325"/>
        <v>0</v>
      </c>
      <c r="DL78" s="439">
        <f t="shared" si="326"/>
        <v>0</v>
      </c>
      <c r="DM78" s="439">
        <f t="shared" si="327"/>
        <v>0</v>
      </c>
      <c r="DN78" s="439">
        <f t="shared" si="328"/>
        <v>0</v>
      </c>
      <c r="DO78" s="439">
        <f t="shared" si="329"/>
        <v>0</v>
      </c>
      <c r="DP78" s="439">
        <f t="shared" si="330"/>
        <v>0</v>
      </c>
      <c r="DQ78" s="442">
        <f t="shared" si="331"/>
        <v>0</v>
      </c>
      <c r="DR78" s="442">
        <f t="shared" si="332"/>
        <v>0</v>
      </c>
      <c r="DS78" s="439">
        <f t="shared" si="333"/>
        <v>0</v>
      </c>
      <c r="DT78" s="439">
        <f t="shared" si="334"/>
        <v>0</v>
      </c>
      <c r="DU78" s="661">
        <f t="shared" si="335"/>
        <v>0</v>
      </c>
      <c r="DV78" s="661">
        <f t="shared" si="336"/>
        <v>0</v>
      </c>
      <c r="DW78" s="439">
        <f t="shared" si="337"/>
        <v>0</v>
      </c>
      <c r="DX78" s="439">
        <f t="shared" si="338"/>
        <v>0</v>
      </c>
      <c r="DY78" s="439">
        <f t="shared" si="339"/>
        <v>0</v>
      </c>
      <c r="DZ78" s="439">
        <f t="shared" si="340"/>
        <v>0</v>
      </c>
      <c r="EA78" s="631" t="s">
        <v>92</v>
      </c>
      <c r="EB78" s="631">
        <f t="shared" si="451"/>
        <v>0.44358739236649058</v>
      </c>
      <c r="ED78" s="439">
        <f t="shared" si="341"/>
        <v>10.529820000000001</v>
      </c>
      <c r="EE78" s="440">
        <f t="shared" si="342"/>
        <v>8.0638200000000015</v>
      </c>
      <c r="EF78" s="439">
        <f t="shared" si="343"/>
        <v>-5.5978200000000014</v>
      </c>
      <c r="EG78" s="441">
        <f t="shared" si="344"/>
        <v>0</v>
      </c>
      <c r="EH78" s="439">
        <f t="shared" si="345"/>
        <v>0</v>
      </c>
      <c r="EI78" s="439">
        <f t="shared" si="346"/>
        <v>0</v>
      </c>
      <c r="EJ78" s="439">
        <f t="shared" si="347"/>
        <v>0</v>
      </c>
      <c r="EK78" s="439">
        <f t="shared" si="348"/>
        <v>0</v>
      </c>
      <c r="EL78" s="439">
        <f t="shared" si="349"/>
        <v>0</v>
      </c>
      <c r="EM78" s="439">
        <f t="shared" si="350"/>
        <v>0</v>
      </c>
      <c r="EN78" s="439">
        <f t="shared" si="351"/>
        <v>0</v>
      </c>
      <c r="EO78" s="439">
        <f t="shared" si="352"/>
        <v>0</v>
      </c>
      <c r="EP78" s="439">
        <f t="shared" si="353"/>
        <v>0</v>
      </c>
      <c r="EQ78" s="439">
        <f t="shared" si="354"/>
        <v>0</v>
      </c>
      <c r="ER78" s="442">
        <f t="shared" si="355"/>
        <v>0</v>
      </c>
      <c r="ES78" s="442">
        <f t="shared" si="356"/>
        <v>0</v>
      </c>
      <c r="ET78" s="439">
        <f t="shared" si="357"/>
        <v>0</v>
      </c>
      <c r="EU78" s="439">
        <f t="shared" si="358"/>
        <v>0</v>
      </c>
      <c r="EV78" s="661">
        <f t="shared" si="359"/>
        <v>0</v>
      </c>
      <c r="EW78" s="661">
        <f t="shared" si="360"/>
        <v>0</v>
      </c>
      <c r="EX78" s="439">
        <f t="shared" si="361"/>
        <v>0</v>
      </c>
      <c r="EY78" s="439">
        <f t="shared" si="362"/>
        <v>0</v>
      </c>
      <c r="EZ78" s="439">
        <f t="shared" si="363"/>
        <v>0</v>
      </c>
      <c r="FA78" s="439">
        <f t="shared" si="364"/>
        <v>0</v>
      </c>
      <c r="FB78" s="631" t="s">
        <v>92</v>
      </c>
      <c r="FC78" s="631">
        <f t="shared" si="452"/>
        <v>1.0724377544860453</v>
      </c>
      <c r="FE78" s="439">
        <f t="shared" si="365"/>
        <v>5.5211100000000011</v>
      </c>
      <c r="FF78" s="440">
        <f t="shared" si="366"/>
        <v>4.2281100000000009</v>
      </c>
      <c r="FG78" s="439">
        <f t="shared" si="367"/>
        <v>-2.9351100000000008</v>
      </c>
      <c r="FH78" s="441">
        <f t="shared" si="368"/>
        <v>0</v>
      </c>
      <c r="FI78" s="439">
        <f t="shared" si="369"/>
        <v>0</v>
      </c>
      <c r="FJ78" s="439">
        <f t="shared" si="370"/>
        <v>0</v>
      </c>
      <c r="FK78" s="439">
        <f t="shared" si="371"/>
        <v>0</v>
      </c>
      <c r="FL78" s="439">
        <f t="shared" si="372"/>
        <v>0</v>
      </c>
      <c r="FM78" s="439">
        <f t="shared" si="373"/>
        <v>0</v>
      </c>
      <c r="FN78" s="439">
        <f t="shared" si="374"/>
        <v>0</v>
      </c>
      <c r="FO78" s="439">
        <f t="shared" si="375"/>
        <v>0</v>
      </c>
      <c r="FP78" s="439">
        <f t="shared" si="376"/>
        <v>0</v>
      </c>
      <c r="FQ78" s="439">
        <f t="shared" si="377"/>
        <v>0</v>
      </c>
      <c r="FR78" s="439">
        <f t="shared" si="378"/>
        <v>0</v>
      </c>
      <c r="FS78" s="442">
        <f t="shared" si="379"/>
        <v>0</v>
      </c>
      <c r="FT78" s="442">
        <f t="shared" si="380"/>
        <v>0</v>
      </c>
      <c r="FU78" s="439">
        <f t="shared" si="381"/>
        <v>0</v>
      </c>
      <c r="FV78" s="439">
        <f t="shared" si="382"/>
        <v>0</v>
      </c>
      <c r="FW78" s="661">
        <f t="shared" si="383"/>
        <v>0</v>
      </c>
      <c r="FX78" s="661">
        <f t="shared" si="384"/>
        <v>0</v>
      </c>
      <c r="FY78" s="439">
        <f t="shared" si="385"/>
        <v>0</v>
      </c>
      <c r="FZ78" s="439">
        <f t="shared" si="386"/>
        <v>0</v>
      </c>
      <c r="GA78" s="439">
        <f t="shared" si="387"/>
        <v>0</v>
      </c>
      <c r="GB78" s="439">
        <f t="shared" si="388"/>
        <v>0</v>
      </c>
      <c r="GC78" s="631" t="s">
        <v>92</v>
      </c>
      <c r="GD78" s="631">
        <f t="shared" si="453"/>
        <v>0.56231225326458101</v>
      </c>
      <c r="GF78" s="439">
        <f t="shared" si="389"/>
        <v>8.0831100000000013</v>
      </c>
      <c r="GG78" s="440">
        <f t="shared" si="390"/>
        <v>6.1901100000000007</v>
      </c>
      <c r="GH78" s="439">
        <f t="shared" si="391"/>
        <v>-4.2971100000000009</v>
      </c>
      <c r="GI78" s="439">
        <f t="shared" si="392"/>
        <v>0</v>
      </c>
      <c r="GJ78" s="439">
        <f t="shared" si="393"/>
        <v>0</v>
      </c>
      <c r="GK78" s="439">
        <f t="shared" si="394"/>
        <v>0</v>
      </c>
      <c r="GL78" s="439">
        <f t="shared" si="395"/>
        <v>0</v>
      </c>
      <c r="GM78" s="439">
        <f t="shared" si="396"/>
        <v>0</v>
      </c>
      <c r="GN78" s="439">
        <f t="shared" si="397"/>
        <v>0</v>
      </c>
      <c r="GO78" s="439">
        <f t="shared" si="398"/>
        <v>0</v>
      </c>
      <c r="GP78" s="439">
        <f t="shared" si="399"/>
        <v>0</v>
      </c>
      <c r="GQ78" s="439">
        <f t="shared" si="400"/>
        <v>0</v>
      </c>
      <c r="GR78" s="439">
        <f t="shared" si="401"/>
        <v>0</v>
      </c>
      <c r="GS78" s="439">
        <f t="shared" si="402"/>
        <v>0</v>
      </c>
      <c r="GT78" s="442">
        <f t="shared" si="403"/>
        <v>0</v>
      </c>
      <c r="GU78" s="442">
        <f t="shared" si="404"/>
        <v>0</v>
      </c>
      <c r="GV78" s="439">
        <f t="shared" si="405"/>
        <v>0</v>
      </c>
      <c r="GW78" s="439">
        <f t="shared" si="406"/>
        <v>0</v>
      </c>
      <c r="GX78" s="661">
        <f t="shared" si="407"/>
        <v>0</v>
      </c>
      <c r="GY78" s="661">
        <f t="shared" si="408"/>
        <v>0</v>
      </c>
      <c r="GZ78" s="439">
        <f t="shared" si="409"/>
        <v>0</v>
      </c>
      <c r="HA78" s="439">
        <f t="shared" si="410"/>
        <v>0</v>
      </c>
      <c r="HB78" s="439">
        <f t="shared" si="411"/>
        <v>0</v>
      </c>
      <c r="HC78" s="439">
        <f t="shared" si="412"/>
        <v>0</v>
      </c>
      <c r="HD78" s="631" t="s">
        <v>92</v>
      </c>
      <c r="HE78" s="631">
        <f t="shared" si="306"/>
        <v>0.82324601348016357</v>
      </c>
      <c r="HG78" s="618">
        <f>HLOOKUP(CQ78,Spec_Sheet!$F$3:$DV$19,11,FALSE)+HLOOKUP(CQ78,Spec_Sheet!$F$3:$DV$21,19,FALSE)</f>
        <v>270</v>
      </c>
      <c r="HH78" s="618">
        <f t="shared" si="454"/>
        <v>100</v>
      </c>
      <c r="HI78" s="634">
        <f t="shared" si="455"/>
        <v>300</v>
      </c>
      <c r="HJ78" s="634">
        <f>HLOOKUP(IF(LEN(CQ78)&gt;6,LEFT(CQ78,5),CQ78),'LSM List Pricing'!$B$1:$BW$2,2,0)</f>
        <v>61</v>
      </c>
      <c r="HK78" s="634">
        <f>HLOOKUP(HJ78,'LSM List Pricing'!$B$2:$BW$3,2)</f>
        <v>780</v>
      </c>
      <c r="HL78" s="634">
        <f>VLOOKUP(HH78,'LSM List Pricing'!$A$7:$BW$87,HJ78,0)</f>
        <v>1560</v>
      </c>
      <c r="HM78" s="627">
        <f>VLOOKUP(HI78,'LSM List Pricing'!$A$7:$BW$87,HJ78,1)</f>
        <v>2270</v>
      </c>
      <c r="HN78" s="628">
        <f t="shared" si="307"/>
        <v>6</v>
      </c>
      <c r="HO78" s="628">
        <f t="shared" si="308"/>
        <v>12</v>
      </c>
      <c r="HP78" s="628">
        <f t="shared" si="309"/>
        <v>9.8205128205128212</v>
      </c>
      <c r="HR78" s="618">
        <v>3.7499999999999999E-2</v>
      </c>
      <c r="HS78" s="618">
        <f t="shared" si="457"/>
        <v>251.78571428571428</v>
      </c>
      <c r="HT78" s="618">
        <f t="shared" si="458"/>
        <v>1</v>
      </c>
      <c r="HU78" s="618">
        <f t="shared" si="170"/>
        <v>0.95496852181361924</v>
      </c>
      <c r="HW78" s="618">
        <f t="shared" si="413"/>
        <v>34.643944699024658</v>
      </c>
      <c r="HX78" s="618">
        <f t="shared" si="171"/>
        <v>0.93674273101841266</v>
      </c>
      <c r="HY78" s="618">
        <f t="shared" si="172"/>
        <v>3.7499999999999999E-2</v>
      </c>
      <c r="IB78" s="618">
        <f t="shared" si="414"/>
        <v>25.000350341399081</v>
      </c>
      <c r="IC78" s="618">
        <f t="shared" si="415"/>
        <v>1E-3</v>
      </c>
      <c r="IE78" s="618">
        <f t="shared" si="416"/>
        <v>0</v>
      </c>
      <c r="IF78" s="618">
        <f t="shared" si="417"/>
        <v>40.704999999999998</v>
      </c>
      <c r="IH78" s="618">
        <f t="shared" si="418"/>
        <v>0</v>
      </c>
      <c r="II78" s="618">
        <f t="shared" si="419"/>
        <v>40.704999999999998</v>
      </c>
      <c r="IK78" s="618">
        <f t="shared" si="420"/>
        <v>0</v>
      </c>
      <c r="IL78" s="618">
        <f t="shared" si="421"/>
        <v>40.704999999999998</v>
      </c>
      <c r="IN78" s="618">
        <f t="shared" si="422"/>
        <v>0</v>
      </c>
      <c r="IO78" s="618">
        <f t="shared" si="423"/>
        <v>40.704999999999998</v>
      </c>
      <c r="IQ78" s="618">
        <f t="shared" si="424"/>
        <v>0</v>
      </c>
      <c r="IR78" s="618">
        <f t="shared" si="425"/>
        <v>40.704999999999998</v>
      </c>
      <c r="IT78" s="660" t="str">
        <f t="shared" si="426"/>
        <v>S427D</v>
      </c>
      <c r="IU78" s="628"/>
      <c r="IV78" s="439">
        <f t="shared" si="427"/>
        <v>8.1984000000000012</v>
      </c>
      <c r="IW78" s="440">
        <f t="shared" si="428"/>
        <v>6.2784000000000013</v>
      </c>
      <c r="IX78" s="439">
        <f t="shared" si="429"/>
        <v>-4.3584000000000014</v>
      </c>
      <c r="IY78" s="439">
        <f t="shared" si="430"/>
        <v>0</v>
      </c>
      <c r="IZ78" s="439">
        <f t="shared" si="431"/>
        <v>0</v>
      </c>
      <c r="JA78" s="439">
        <f t="shared" si="432"/>
        <v>0</v>
      </c>
      <c r="JB78" s="439">
        <f t="shared" si="433"/>
        <v>0</v>
      </c>
      <c r="JC78" s="439">
        <f t="shared" si="434"/>
        <v>0</v>
      </c>
      <c r="JD78" s="439">
        <f t="shared" si="435"/>
        <v>0</v>
      </c>
      <c r="JE78" s="439">
        <f t="shared" si="436"/>
        <v>0</v>
      </c>
      <c r="JF78" s="439">
        <f t="shared" si="437"/>
        <v>0</v>
      </c>
      <c r="JG78" s="439">
        <f t="shared" si="438"/>
        <v>0</v>
      </c>
      <c r="JH78" s="439">
        <f t="shared" si="439"/>
        <v>0</v>
      </c>
      <c r="JI78" s="439">
        <f t="shared" si="440"/>
        <v>0</v>
      </c>
      <c r="JJ78" s="442">
        <f t="shared" si="441"/>
        <v>0</v>
      </c>
      <c r="JK78" s="442">
        <f t="shared" si="442"/>
        <v>0</v>
      </c>
      <c r="JL78" s="439">
        <f t="shared" si="443"/>
        <v>0</v>
      </c>
      <c r="JM78" s="439">
        <f t="shared" si="444"/>
        <v>0</v>
      </c>
      <c r="JN78" s="661">
        <f t="shared" si="445"/>
        <v>0</v>
      </c>
      <c r="JO78" s="661">
        <f t="shared" si="446"/>
        <v>0</v>
      </c>
      <c r="JP78" s="439">
        <f t="shared" si="447"/>
        <v>0</v>
      </c>
      <c r="JQ78" s="439">
        <f t="shared" si="448"/>
        <v>0</v>
      </c>
      <c r="JR78" s="439">
        <f t="shared" si="449"/>
        <v>0</v>
      </c>
      <c r="JS78" s="439">
        <f t="shared" si="450"/>
        <v>0</v>
      </c>
      <c r="JT78" s="631" t="s">
        <v>92</v>
      </c>
      <c r="JU78" s="631">
        <f t="shared" si="459"/>
        <v>0.83498803268986488</v>
      </c>
      <c r="JW78" s="522"/>
      <c r="JX78" s="522"/>
      <c r="JY78" s="522"/>
      <c r="JZ78" s="522"/>
      <c r="KA78" s="522"/>
      <c r="KB78" s="522"/>
      <c r="KC78" s="522"/>
      <c r="KD78" s="522"/>
      <c r="KE78" s="522"/>
      <c r="KF78" s="522"/>
      <c r="KG78" s="522"/>
      <c r="KH78" s="522"/>
      <c r="KI78" s="522"/>
      <c r="KJ78" s="522"/>
      <c r="KK78" s="522"/>
      <c r="KL78" s="522"/>
    </row>
    <row r="79" spans="1:298">
      <c r="A79" s="334"/>
      <c r="B79" s="579" t="s">
        <v>537</v>
      </c>
      <c r="C79" s="579">
        <f>C77</f>
        <v>2.5</v>
      </c>
      <c r="D79" s="579">
        <f>$C$79*D76</f>
        <v>0.02</v>
      </c>
      <c r="E79" s="579">
        <f t="shared" ref="E79:O79" si="464">$C$79*E76</f>
        <v>0.02</v>
      </c>
      <c r="F79" s="579">
        <f t="shared" si="464"/>
        <v>0</v>
      </c>
      <c r="G79" s="579">
        <f t="shared" si="464"/>
        <v>0</v>
      </c>
      <c r="H79" s="579">
        <f t="shared" si="464"/>
        <v>0</v>
      </c>
      <c r="I79" s="579">
        <f t="shared" si="464"/>
        <v>0</v>
      </c>
      <c r="J79" s="579">
        <f t="shared" si="464"/>
        <v>0</v>
      </c>
      <c r="K79" s="579">
        <f t="shared" si="464"/>
        <v>0</v>
      </c>
      <c r="L79" s="579">
        <f t="shared" si="464"/>
        <v>0</v>
      </c>
      <c r="M79" s="579">
        <f t="shared" si="464"/>
        <v>0</v>
      </c>
      <c r="N79" s="579">
        <f t="shared" si="464"/>
        <v>0</v>
      </c>
      <c r="O79" s="579">
        <f t="shared" si="464"/>
        <v>0</v>
      </c>
      <c r="P79" s="579"/>
      <c r="Q79" s="579"/>
      <c r="R79" s="579"/>
      <c r="S79" s="381"/>
      <c r="T79" s="381"/>
      <c r="U79" s="605"/>
      <c r="V79" s="605"/>
      <c r="W79" s="381"/>
      <c r="X79" s="579"/>
      <c r="Y79" s="579"/>
      <c r="Z79" s="579"/>
      <c r="AA79" s="579"/>
      <c r="AB79" s="579"/>
      <c r="AC79" s="580"/>
      <c r="AD79" s="580"/>
      <c r="AE79" s="579"/>
      <c r="AF79" s="579"/>
      <c r="AG79" s="579"/>
      <c r="AH79" s="579"/>
      <c r="AI79" s="579"/>
      <c r="AJ79" s="579"/>
      <c r="AK79" s="579"/>
      <c r="AL79" s="580"/>
      <c r="AM79" s="580"/>
      <c r="AN79" s="579"/>
      <c r="AO79" s="579"/>
      <c r="AP79" s="579"/>
      <c r="AQ79" s="579"/>
      <c r="AR79" s="579"/>
      <c r="AS79" s="579"/>
      <c r="AT79" s="580"/>
      <c r="AU79" s="580"/>
      <c r="AV79" s="581" t="e">
        <f>IF($AY$30,G84,0)*$G$82</f>
        <v>#DIV/0!</v>
      </c>
      <c r="AW79" s="581" t="e">
        <f>IF($AY$32,'Data Sheet'!AA100,0)</f>
        <v>#DIV/0!</v>
      </c>
      <c r="AX79" s="581">
        <f t="shared" si="460"/>
        <v>40.704999999999998</v>
      </c>
      <c r="AY79" s="579"/>
      <c r="AZ79" s="579"/>
      <c r="BA79" s="579"/>
      <c r="BB79" s="579"/>
      <c r="BC79" s="579"/>
      <c r="BD79" s="579"/>
      <c r="BE79" s="579"/>
      <c r="BF79" s="579"/>
      <c r="BG79" s="379"/>
      <c r="BH79" s="379"/>
      <c r="BI79" s="379"/>
      <c r="BJ79" s="379"/>
      <c r="BK79" s="379"/>
      <c r="BL79" s="379"/>
      <c r="BM79" s="456"/>
      <c r="BN79" s="456"/>
      <c r="BO79" s="456"/>
      <c r="BP79" s="456"/>
      <c r="BQ79" s="379"/>
      <c r="BR79" s="379"/>
      <c r="BS79" s="379"/>
      <c r="BT79" s="379"/>
      <c r="BU79" s="379"/>
      <c r="BV79" s="379"/>
      <c r="BW79" s="379"/>
      <c r="BX79" s="379"/>
      <c r="BY79" s="379"/>
      <c r="BZ79" s="379"/>
      <c r="CA79" s="379"/>
      <c r="CB79" s="379"/>
      <c r="CC79" s="379"/>
      <c r="CD79" s="379"/>
      <c r="CE79" s="379"/>
      <c r="CF79" s="379"/>
      <c r="CG79" s="379"/>
      <c r="CH79" s="77"/>
      <c r="CI79" s="77"/>
      <c r="CJ79" s="380"/>
      <c r="CK79" s="380"/>
      <c r="CL79" s="381"/>
      <c r="CM79" s="381"/>
      <c r="CN79" s="445"/>
      <c r="CO79" s="694" t="str">
        <f ca="1"/>
        <v>S320Q 2S</v>
      </c>
      <c r="CP79" s="632" t="str">
        <f>IF(OR(CQ79=0,CR79="",CS79&gt;120),"",IF(HLOOKUP(CQ79,Spec_Sheet!$F$3:$ED$19,17,FALSE)&lt;$AC$46,"",CQ79))</f>
        <v>S350D 1S</v>
      </c>
      <c r="CQ79" s="660" t="str">
        <f>IF(Spec_Sheet!A78="","",Spec_Sheet!A78)</f>
        <v>S350D 1S</v>
      </c>
      <c r="CR79" s="660">
        <f>IF(CQ79="",0,HLOOKUP(CQ79,Spec_Sheet!$F$3:$ED$19,2,FALSE))</f>
        <v>103.995</v>
      </c>
      <c r="CS79" s="660">
        <f t="shared" si="461"/>
        <v>3.5412627714624233E-4</v>
      </c>
      <c r="CT79" s="621">
        <f t="shared" si="310"/>
        <v>4.548555293122847E-4</v>
      </c>
      <c r="CU79" s="621">
        <f t="shared" si="316"/>
        <v>3.5412627714624233E-4</v>
      </c>
      <c r="CV79" s="621">
        <f t="shared" si="311"/>
        <v>1.1473691379538249E-3</v>
      </c>
      <c r="CW79" s="621">
        <f t="shared" si="312"/>
        <v>9.8368410318400677E-4</v>
      </c>
      <c r="CX79" s="621">
        <f t="shared" si="456"/>
        <v>4.5485552931228437E-4</v>
      </c>
      <c r="CY79" s="619">
        <f>HLOOKUP(CQ79,Spec_Sheet!$F$3:$ED$19,13,FALSE)</f>
        <v>1.3</v>
      </c>
      <c r="CZ79" s="619">
        <f>VLOOKUP(HH79,'Shaft Weight'!$A$6:$CD$102,HJ79,TRUE)</f>
        <v>2.2999999999999998</v>
      </c>
      <c r="DA79" s="619">
        <f>VLOOKUP(HI79,'Shaft Weight'!$A$6:$CD$102,HJ79,0)</f>
        <v>3</v>
      </c>
      <c r="DB79" s="619">
        <f>HLOOKUP(CQ79,Spec_Sheet!$F$3:$ED$19,6,FALSE)</f>
        <v>34.664999999999999</v>
      </c>
      <c r="DC79" s="439">
        <f t="shared" si="317"/>
        <v>2.1777000000000006</v>
      </c>
      <c r="DD79" s="440">
        <f t="shared" si="318"/>
        <v>1.6677000000000004</v>
      </c>
      <c r="DE79" s="439">
        <f t="shared" si="319"/>
        <v>-1.1577000000000004</v>
      </c>
      <c r="DF79" s="439">
        <f t="shared" si="320"/>
        <v>0</v>
      </c>
      <c r="DG79" s="439">
        <f t="shared" si="321"/>
        <v>0</v>
      </c>
      <c r="DH79" s="439">
        <f t="shared" si="322"/>
        <v>0</v>
      </c>
      <c r="DI79" s="439">
        <f t="shared" si="323"/>
        <v>0</v>
      </c>
      <c r="DJ79" s="439">
        <f t="shared" si="324"/>
        <v>0</v>
      </c>
      <c r="DK79" s="439">
        <f t="shared" si="325"/>
        <v>0</v>
      </c>
      <c r="DL79" s="439">
        <f t="shared" si="326"/>
        <v>0</v>
      </c>
      <c r="DM79" s="439">
        <f t="shared" si="327"/>
        <v>0</v>
      </c>
      <c r="DN79" s="439">
        <f t="shared" si="328"/>
        <v>0</v>
      </c>
      <c r="DO79" s="439">
        <f t="shared" si="329"/>
        <v>0</v>
      </c>
      <c r="DP79" s="439">
        <f t="shared" si="330"/>
        <v>0</v>
      </c>
      <c r="DQ79" s="442">
        <f t="shared" si="331"/>
        <v>0</v>
      </c>
      <c r="DR79" s="442">
        <f t="shared" si="332"/>
        <v>0</v>
      </c>
      <c r="DS79" s="439">
        <f t="shared" si="333"/>
        <v>0</v>
      </c>
      <c r="DT79" s="439">
        <f t="shared" si="334"/>
        <v>0</v>
      </c>
      <c r="DU79" s="661">
        <f t="shared" si="335"/>
        <v>0</v>
      </c>
      <c r="DV79" s="661">
        <f t="shared" si="336"/>
        <v>0</v>
      </c>
      <c r="DW79" s="439">
        <f t="shared" si="337"/>
        <v>0</v>
      </c>
      <c r="DX79" s="439">
        <f t="shared" si="338"/>
        <v>0</v>
      </c>
      <c r="DY79" s="439">
        <f t="shared" si="339"/>
        <v>0</v>
      </c>
      <c r="DZ79" s="439">
        <f t="shared" si="340"/>
        <v>0</v>
      </c>
      <c r="EA79" s="631" t="s">
        <v>92</v>
      </c>
      <c r="EB79" s="631">
        <f t="shared" si="451"/>
        <v>0.22179369618324538</v>
      </c>
      <c r="ED79" s="439">
        <f t="shared" si="341"/>
        <v>6.4050000000000011</v>
      </c>
      <c r="EE79" s="440">
        <f t="shared" si="342"/>
        <v>4.9050000000000011</v>
      </c>
      <c r="EF79" s="439">
        <f t="shared" si="343"/>
        <v>-3.4050000000000011</v>
      </c>
      <c r="EG79" s="441">
        <f t="shared" si="344"/>
        <v>0</v>
      </c>
      <c r="EH79" s="439">
        <f t="shared" si="345"/>
        <v>0</v>
      </c>
      <c r="EI79" s="439">
        <f t="shared" si="346"/>
        <v>0</v>
      </c>
      <c r="EJ79" s="439">
        <f t="shared" si="347"/>
        <v>0</v>
      </c>
      <c r="EK79" s="439">
        <f t="shared" si="348"/>
        <v>0</v>
      </c>
      <c r="EL79" s="439">
        <f t="shared" si="349"/>
        <v>0</v>
      </c>
      <c r="EM79" s="439">
        <f t="shared" si="350"/>
        <v>0</v>
      </c>
      <c r="EN79" s="439">
        <f t="shared" si="351"/>
        <v>0</v>
      </c>
      <c r="EO79" s="439">
        <f t="shared" si="352"/>
        <v>0</v>
      </c>
      <c r="EP79" s="439">
        <f t="shared" si="353"/>
        <v>0</v>
      </c>
      <c r="EQ79" s="439">
        <f t="shared" si="354"/>
        <v>0</v>
      </c>
      <c r="ER79" s="442">
        <f t="shared" si="355"/>
        <v>0</v>
      </c>
      <c r="ES79" s="442">
        <f t="shared" si="356"/>
        <v>0</v>
      </c>
      <c r="ET79" s="439">
        <f t="shared" si="357"/>
        <v>0</v>
      </c>
      <c r="EU79" s="439">
        <f t="shared" si="358"/>
        <v>0</v>
      </c>
      <c r="EV79" s="661">
        <f t="shared" si="359"/>
        <v>0</v>
      </c>
      <c r="EW79" s="661">
        <f t="shared" si="360"/>
        <v>0</v>
      </c>
      <c r="EX79" s="439">
        <f t="shared" si="361"/>
        <v>0</v>
      </c>
      <c r="EY79" s="439">
        <f t="shared" si="362"/>
        <v>0</v>
      </c>
      <c r="EZ79" s="439">
        <f t="shared" si="363"/>
        <v>0</v>
      </c>
      <c r="FA79" s="439">
        <f t="shared" si="364"/>
        <v>0</v>
      </c>
      <c r="FB79" s="631" t="s">
        <v>92</v>
      </c>
      <c r="FC79" s="631">
        <f t="shared" si="452"/>
        <v>0.65233440053895697</v>
      </c>
      <c r="FE79" s="439">
        <f t="shared" si="365"/>
        <v>3.4586999999999999</v>
      </c>
      <c r="FF79" s="440">
        <f t="shared" si="366"/>
        <v>2.6486999999999998</v>
      </c>
      <c r="FG79" s="439">
        <f t="shared" si="367"/>
        <v>-1.8386999999999998</v>
      </c>
      <c r="FH79" s="441">
        <f t="shared" si="368"/>
        <v>0</v>
      </c>
      <c r="FI79" s="439">
        <f t="shared" si="369"/>
        <v>0</v>
      </c>
      <c r="FJ79" s="439">
        <f t="shared" si="370"/>
        <v>0</v>
      </c>
      <c r="FK79" s="439">
        <f t="shared" si="371"/>
        <v>0</v>
      </c>
      <c r="FL79" s="439">
        <f t="shared" si="372"/>
        <v>0</v>
      </c>
      <c r="FM79" s="439">
        <f t="shared" si="373"/>
        <v>0</v>
      </c>
      <c r="FN79" s="439">
        <f t="shared" si="374"/>
        <v>0</v>
      </c>
      <c r="FO79" s="439">
        <f t="shared" si="375"/>
        <v>0</v>
      </c>
      <c r="FP79" s="439">
        <f t="shared" si="376"/>
        <v>0</v>
      </c>
      <c r="FQ79" s="439">
        <f t="shared" si="377"/>
        <v>0</v>
      </c>
      <c r="FR79" s="439">
        <f t="shared" si="378"/>
        <v>0</v>
      </c>
      <c r="FS79" s="442">
        <f t="shared" si="379"/>
        <v>0</v>
      </c>
      <c r="FT79" s="442">
        <f t="shared" si="380"/>
        <v>0</v>
      </c>
      <c r="FU79" s="439">
        <f t="shared" si="381"/>
        <v>0</v>
      </c>
      <c r="FV79" s="439">
        <f t="shared" si="382"/>
        <v>0</v>
      </c>
      <c r="FW79" s="661">
        <f t="shared" si="383"/>
        <v>0</v>
      </c>
      <c r="FX79" s="661">
        <f t="shared" si="384"/>
        <v>0</v>
      </c>
      <c r="FY79" s="439">
        <f t="shared" si="385"/>
        <v>0</v>
      </c>
      <c r="FZ79" s="439">
        <f t="shared" si="386"/>
        <v>0</v>
      </c>
      <c r="GA79" s="439">
        <f t="shared" si="387"/>
        <v>0</v>
      </c>
      <c r="GB79" s="439">
        <f t="shared" si="388"/>
        <v>0</v>
      </c>
      <c r="GC79" s="631" t="s">
        <v>92</v>
      </c>
      <c r="GD79" s="631">
        <f t="shared" si="453"/>
        <v>0.35226057629103663</v>
      </c>
      <c r="GF79" s="439">
        <f t="shared" si="389"/>
        <v>4.3553999999999995</v>
      </c>
      <c r="GG79" s="440">
        <f t="shared" si="390"/>
        <v>3.3353999999999999</v>
      </c>
      <c r="GH79" s="439">
        <f t="shared" si="391"/>
        <v>-2.3153999999999999</v>
      </c>
      <c r="GI79" s="439">
        <f t="shared" si="392"/>
        <v>0</v>
      </c>
      <c r="GJ79" s="439">
        <f t="shared" si="393"/>
        <v>0</v>
      </c>
      <c r="GK79" s="439">
        <f t="shared" si="394"/>
        <v>0</v>
      </c>
      <c r="GL79" s="439">
        <f t="shared" si="395"/>
        <v>0</v>
      </c>
      <c r="GM79" s="439">
        <f t="shared" si="396"/>
        <v>0</v>
      </c>
      <c r="GN79" s="439">
        <f t="shared" si="397"/>
        <v>0</v>
      </c>
      <c r="GO79" s="439">
        <f t="shared" si="398"/>
        <v>0</v>
      </c>
      <c r="GP79" s="439">
        <f t="shared" si="399"/>
        <v>0</v>
      </c>
      <c r="GQ79" s="439">
        <f t="shared" si="400"/>
        <v>0</v>
      </c>
      <c r="GR79" s="439">
        <f t="shared" si="401"/>
        <v>0</v>
      </c>
      <c r="GS79" s="439">
        <f t="shared" si="402"/>
        <v>0</v>
      </c>
      <c r="GT79" s="442">
        <f t="shared" si="403"/>
        <v>0</v>
      </c>
      <c r="GU79" s="442">
        <f t="shared" si="404"/>
        <v>0</v>
      </c>
      <c r="GV79" s="439">
        <f t="shared" si="405"/>
        <v>0</v>
      </c>
      <c r="GW79" s="439">
        <f t="shared" si="406"/>
        <v>0</v>
      </c>
      <c r="GX79" s="661">
        <f t="shared" si="407"/>
        <v>0</v>
      </c>
      <c r="GY79" s="661">
        <f t="shared" si="408"/>
        <v>0</v>
      </c>
      <c r="GZ79" s="439">
        <f t="shared" si="409"/>
        <v>0</v>
      </c>
      <c r="HA79" s="439">
        <f t="shared" si="410"/>
        <v>0</v>
      </c>
      <c r="HB79" s="439">
        <f t="shared" si="411"/>
        <v>0</v>
      </c>
      <c r="HC79" s="439">
        <f t="shared" si="412"/>
        <v>0</v>
      </c>
      <c r="HD79" s="631" t="s">
        <v>92</v>
      </c>
      <c r="HE79" s="631">
        <f t="shared" si="306"/>
        <v>0.44358739236649058</v>
      </c>
      <c r="HG79" s="618">
        <f>HLOOKUP(CQ79,Spec_Sheet!$F$3:$DV$19,11,FALSE)+HLOOKUP(CQ79,Spec_Sheet!$F$3:$DV$21,19,FALSE)</f>
        <v>180</v>
      </c>
      <c r="HH79" s="618">
        <f t="shared" si="454"/>
        <v>100</v>
      </c>
      <c r="HI79" s="634">
        <f t="shared" si="455"/>
        <v>200</v>
      </c>
      <c r="HJ79" s="634">
        <f>HLOOKUP(IF(LEN(CQ79)&gt;6,LEFT(CQ79,5),CQ79),'LSM List Pricing'!$B$1:$BW$2,2,0)</f>
        <v>55</v>
      </c>
      <c r="HK79" s="634">
        <f>HLOOKUP(HJ79,'LSM List Pricing'!$B$2:$BW$3,2)</f>
        <v>540</v>
      </c>
      <c r="HL79" s="634">
        <f>VLOOKUP(HH79,'LSM List Pricing'!$A$7:$BW$87,HJ79,0)</f>
        <v>990</v>
      </c>
      <c r="HM79" s="627">
        <f>VLOOKUP(HI79,'LSM List Pricing'!$A$7:$BW$87,HJ79,1)</f>
        <v>1210</v>
      </c>
      <c r="HN79" s="628">
        <f t="shared" si="307"/>
        <v>3.9230769230769229</v>
      </c>
      <c r="HO79" s="628">
        <f t="shared" si="308"/>
        <v>7.8461538461538458</v>
      </c>
      <c r="HP79" s="628">
        <f t="shared" si="309"/>
        <v>5.8717948717948714</v>
      </c>
      <c r="HR79" s="618">
        <v>3.7999999999999999E-2</v>
      </c>
      <c r="HS79" s="618">
        <f t="shared" si="457"/>
        <v>255.14285714285714</v>
      </c>
      <c r="HT79" s="618">
        <f t="shared" si="458"/>
        <v>1</v>
      </c>
      <c r="HU79" s="618">
        <f t="shared" si="170"/>
        <v>0.96770756578724404</v>
      </c>
      <c r="HW79" s="618">
        <f t="shared" si="413"/>
        <v>34.625855256582113</v>
      </c>
      <c r="HX79" s="618">
        <f t="shared" si="171"/>
        <v>0.9489955169278006</v>
      </c>
      <c r="HY79" s="618">
        <f t="shared" si="172"/>
        <v>3.7999999999999999E-2</v>
      </c>
      <c r="IB79" s="618">
        <f t="shared" si="414"/>
        <v>25.000350341399081</v>
      </c>
      <c r="IC79" s="618">
        <f t="shared" si="415"/>
        <v>1E-3</v>
      </c>
      <c r="IE79" s="618">
        <f t="shared" si="416"/>
        <v>0</v>
      </c>
      <c r="IF79" s="618">
        <f t="shared" si="417"/>
        <v>40.704999999999998</v>
      </c>
      <c r="IH79" s="618">
        <f t="shared" si="418"/>
        <v>0</v>
      </c>
      <c r="II79" s="618">
        <f t="shared" si="419"/>
        <v>40.704999999999998</v>
      </c>
      <c r="IK79" s="618">
        <f t="shared" si="420"/>
        <v>0</v>
      </c>
      <c r="IL79" s="618">
        <f t="shared" si="421"/>
        <v>40.704999999999998</v>
      </c>
      <c r="IN79" s="618">
        <f t="shared" si="422"/>
        <v>0</v>
      </c>
      <c r="IO79" s="618">
        <f t="shared" si="423"/>
        <v>40.704999999999998</v>
      </c>
      <c r="IQ79" s="618">
        <f t="shared" si="424"/>
        <v>0</v>
      </c>
      <c r="IR79" s="618">
        <f t="shared" si="425"/>
        <v>40.704999999999998</v>
      </c>
      <c r="IT79" s="660" t="str">
        <f t="shared" si="426"/>
        <v>S350D 1S</v>
      </c>
      <c r="IU79" s="628"/>
      <c r="IV79" s="439">
        <f t="shared" si="427"/>
        <v>3.843</v>
      </c>
      <c r="IW79" s="440">
        <f t="shared" si="428"/>
        <v>2.9430000000000001</v>
      </c>
      <c r="IX79" s="439">
        <f t="shared" si="429"/>
        <v>-2.0430000000000001</v>
      </c>
      <c r="IY79" s="439">
        <f t="shared" si="430"/>
        <v>0</v>
      </c>
      <c r="IZ79" s="439">
        <f t="shared" si="431"/>
        <v>0</v>
      </c>
      <c r="JA79" s="439">
        <f t="shared" si="432"/>
        <v>0</v>
      </c>
      <c r="JB79" s="439">
        <f t="shared" si="433"/>
        <v>0</v>
      </c>
      <c r="JC79" s="439">
        <f t="shared" si="434"/>
        <v>0</v>
      </c>
      <c r="JD79" s="439">
        <f t="shared" si="435"/>
        <v>0</v>
      </c>
      <c r="JE79" s="439">
        <f t="shared" si="436"/>
        <v>0</v>
      </c>
      <c r="JF79" s="439">
        <f t="shared" si="437"/>
        <v>0</v>
      </c>
      <c r="JG79" s="439">
        <f t="shared" si="438"/>
        <v>0</v>
      </c>
      <c r="JH79" s="439">
        <f t="shared" si="439"/>
        <v>0</v>
      </c>
      <c r="JI79" s="439">
        <f t="shared" si="440"/>
        <v>0</v>
      </c>
      <c r="JJ79" s="442">
        <f t="shared" si="441"/>
        <v>0</v>
      </c>
      <c r="JK79" s="442">
        <f t="shared" si="442"/>
        <v>0</v>
      </c>
      <c r="JL79" s="439">
        <f t="shared" si="443"/>
        <v>0</v>
      </c>
      <c r="JM79" s="439">
        <f t="shared" si="444"/>
        <v>0</v>
      </c>
      <c r="JN79" s="661">
        <f t="shared" si="445"/>
        <v>0</v>
      </c>
      <c r="JO79" s="661">
        <f t="shared" si="446"/>
        <v>0</v>
      </c>
      <c r="JP79" s="439">
        <f t="shared" si="447"/>
        <v>0</v>
      </c>
      <c r="JQ79" s="439">
        <f t="shared" si="448"/>
        <v>0</v>
      </c>
      <c r="JR79" s="439">
        <f t="shared" si="449"/>
        <v>0</v>
      </c>
      <c r="JS79" s="439">
        <f t="shared" si="450"/>
        <v>0</v>
      </c>
      <c r="JT79" s="631" t="s">
        <v>92</v>
      </c>
      <c r="JU79" s="631">
        <f t="shared" si="459"/>
        <v>0.39140064032337407</v>
      </c>
      <c r="JW79" s="522"/>
      <c r="JX79" s="522"/>
      <c r="JY79" s="522"/>
      <c r="JZ79" s="522"/>
      <c r="KA79" s="522"/>
      <c r="KB79" s="522"/>
      <c r="KC79" s="522"/>
      <c r="KD79" s="522"/>
      <c r="KE79" s="522"/>
      <c r="KF79" s="522"/>
      <c r="KG79" s="522"/>
      <c r="KH79" s="522"/>
      <c r="KI79" s="522"/>
      <c r="KJ79" s="522"/>
      <c r="KK79" s="522"/>
      <c r="KL79" s="522"/>
    </row>
    <row r="80" spans="1:298">
      <c r="A80" s="334"/>
      <c r="B80" s="579" t="s">
        <v>223</v>
      </c>
      <c r="C80" s="579"/>
      <c r="D80" s="582">
        <f>AC5*1000</f>
        <v>24</v>
      </c>
      <c r="E80" s="582">
        <f>D80</f>
        <v>24</v>
      </c>
      <c r="F80" s="582">
        <f>IF(P13,AC13*1000,0)</f>
        <v>0</v>
      </c>
      <c r="G80" s="582">
        <f>F80</f>
        <v>0</v>
      </c>
      <c r="H80" s="579">
        <f>IF(P21,AC21*1000,0)</f>
        <v>0</v>
      </c>
      <c r="I80" s="579">
        <f>H80</f>
        <v>0</v>
      </c>
      <c r="J80" s="579">
        <f>IF(AG5,AT5*1000,0)</f>
        <v>0</v>
      </c>
      <c r="K80" s="579">
        <f>J80</f>
        <v>0</v>
      </c>
      <c r="L80" s="579">
        <f>IF(AG13,AT13*1000,0)</f>
        <v>0</v>
      </c>
      <c r="M80" s="579">
        <f>L80</f>
        <v>0</v>
      </c>
      <c r="N80" s="579">
        <f>IF(AG21,AT21*1000,0)</f>
        <v>0</v>
      </c>
      <c r="O80" s="579">
        <f>N80</f>
        <v>0</v>
      </c>
      <c r="P80" s="579"/>
      <c r="Q80" s="579"/>
      <c r="R80" s="579"/>
      <c r="S80" s="381"/>
      <c r="T80" s="381"/>
      <c r="U80" s="605"/>
      <c r="V80" s="605"/>
      <c r="W80" s="381"/>
      <c r="X80" s="579"/>
      <c r="Y80" s="579"/>
      <c r="Z80" s="579"/>
      <c r="AA80" s="579"/>
      <c r="AB80" s="579"/>
      <c r="AC80" s="580"/>
      <c r="AD80" s="580"/>
      <c r="AE80" s="579"/>
      <c r="AF80" s="579"/>
      <c r="AG80" s="579"/>
      <c r="AH80" s="579"/>
      <c r="AI80" s="579"/>
      <c r="AJ80" s="579"/>
      <c r="AK80" s="579"/>
      <c r="AL80" s="580"/>
      <c r="AM80" s="580"/>
      <c r="AN80" s="579"/>
      <c r="AO80" s="579"/>
      <c r="AP80" s="579"/>
      <c r="AQ80" s="579"/>
      <c r="AR80" s="579"/>
      <c r="AS80" s="579"/>
      <c r="AT80" s="580"/>
      <c r="AU80" s="580"/>
      <c r="AV80" s="581" t="e">
        <f>IF($AY$30,G83,0)*$G$82</f>
        <v>#DIV/0!</v>
      </c>
      <c r="AW80" s="581" t="e">
        <f>IF($AY$32,'Data Sheet'!AA101,0)</f>
        <v>#DIV/0!</v>
      </c>
      <c r="AX80" s="581">
        <f t="shared" si="460"/>
        <v>40.704999999999998</v>
      </c>
      <c r="AY80" s="579"/>
      <c r="AZ80" s="579"/>
      <c r="BA80" s="579"/>
      <c r="BB80" s="579"/>
      <c r="BC80" s="579"/>
      <c r="BD80" s="579"/>
      <c r="BE80" s="579"/>
      <c r="BF80" s="579"/>
      <c r="BG80" s="379"/>
      <c r="BH80" s="379"/>
      <c r="BI80" s="379"/>
      <c r="BJ80" s="379"/>
      <c r="BK80" s="379"/>
      <c r="BL80" s="379"/>
      <c r="BM80" s="456"/>
      <c r="BN80" s="456"/>
      <c r="BO80" s="456"/>
      <c r="BP80" s="456"/>
      <c r="BQ80" s="379"/>
      <c r="BR80" s="379"/>
      <c r="BS80" s="379"/>
      <c r="BT80" s="379"/>
      <c r="BU80" s="379"/>
      <c r="BV80" s="379"/>
      <c r="BW80" s="379"/>
      <c r="BX80" s="379"/>
      <c r="BY80" s="379"/>
      <c r="BZ80" s="379"/>
      <c r="CA80" s="379"/>
      <c r="CB80" s="379"/>
      <c r="CC80" s="379"/>
      <c r="CD80" s="379"/>
      <c r="CE80" s="379"/>
      <c r="CF80" s="379"/>
      <c r="CG80" s="379"/>
      <c r="CH80" s="77"/>
      <c r="CI80" s="77"/>
      <c r="CJ80" s="380"/>
      <c r="CK80" s="380"/>
      <c r="CL80" s="381"/>
      <c r="CM80" s="381"/>
      <c r="CN80" s="381"/>
      <c r="CO80" s="694" t="str">
        <f ca="1"/>
        <v>L320Q</v>
      </c>
      <c r="CP80" s="632" t="str">
        <f>IF(OR(CQ80=0,CR80="",CS80&gt;120),"",IF(HLOOKUP(CQ80,Spec_Sheet!$F$3:$ED$19,17,FALSE)&lt;$AC$46,"",CQ80))</f>
        <v>S350D</v>
      </c>
      <c r="CQ80" s="660" t="str">
        <f>IF(Spec_Sheet!A79="","",Spec_Sheet!A79)</f>
        <v>S350D</v>
      </c>
      <c r="CR80" s="660">
        <f>IF(CQ80="",0,HLOOKUP(CQ80,Spec_Sheet!$F$3:$ED$19,2,FALSE))</f>
        <v>104</v>
      </c>
      <c r="CS80" s="660">
        <f t="shared" si="461"/>
        <v>3.5409222736119462E-4</v>
      </c>
      <c r="CT80" s="621">
        <f t="shared" si="310"/>
        <v>4.5481179425504575E-4</v>
      </c>
      <c r="CU80" s="621">
        <f t="shared" si="316"/>
        <v>3.5409222736119462E-4</v>
      </c>
      <c r="CV80" s="621">
        <f t="shared" si="311"/>
        <v>1.1472588166502704E-3</v>
      </c>
      <c r="CW80" s="621">
        <f t="shared" si="312"/>
        <v>9.8358952044776322E-4</v>
      </c>
      <c r="CX80" s="621">
        <f t="shared" si="456"/>
        <v>4.5481179425504542E-4</v>
      </c>
      <c r="CY80" s="619">
        <f>HLOOKUP(CQ80,Spec_Sheet!$F$3:$ED$19,13,FALSE)</f>
        <v>1.3</v>
      </c>
      <c r="CZ80" s="619">
        <f>VLOOKUP(HH80,'Shaft Weight'!$A$6:$CD$102,HJ80,TRUE)</f>
        <v>2.2999999999999998</v>
      </c>
      <c r="DA80" s="619">
        <f>VLOOKUP(HI80,'Shaft Weight'!$A$6:$CD$102,HJ80,0)</f>
        <v>3</v>
      </c>
      <c r="DB80" s="619">
        <f>HLOOKUP(CQ80,Spec_Sheet!$F$3:$ED$19,6,FALSE)</f>
        <v>69.33</v>
      </c>
      <c r="DC80" s="439">
        <f t="shared" si="317"/>
        <v>2.1777000000000006</v>
      </c>
      <c r="DD80" s="440">
        <f t="shared" si="318"/>
        <v>1.6677000000000004</v>
      </c>
      <c r="DE80" s="439">
        <f t="shared" si="319"/>
        <v>-1.1577000000000004</v>
      </c>
      <c r="DF80" s="439">
        <f t="shared" si="320"/>
        <v>0</v>
      </c>
      <c r="DG80" s="439">
        <f t="shared" si="321"/>
        <v>0</v>
      </c>
      <c r="DH80" s="439">
        <f t="shared" si="322"/>
        <v>0</v>
      </c>
      <c r="DI80" s="439">
        <f t="shared" si="323"/>
        <v>0</v>
      </c>
      <c r="DJ80" s="439">
        <f t="shared" si="324"/>
        <v>0</v>
      </c>
      <c r="DK80" s="439">
        <f t="shared" si="325"/>
        <v>0</v>
      </c>
      <c r="DL80" s="439">
        <f t="shared" si="326"/>
        <v>0</v>
      </c>
      <c r="DM80" s="439">
        <f t="shared" si="327"/>
        <v>0</v>
      </c>
      <c r="DN80" s="439">
        <f t="shared" si="328"/>
        <v>0</v>
      </c>
      <c r="DO80" s="439">
        <f t="shared" si="329"/>
        <v>0</v>
      </c>
      <c r="DP80" s="439">
        <f t="shared" si="330"/>
        <v>0</v>
      </c>
      <c r="DQ80" s="442">
        <f t="shared" si="331"/>
        <v>0</v>
      </c>
      <c r="DR80" s="442">
        <f t="shared" si="332"/>
        <v>0</v>
      </c>
      <c r="DS80" s="439">
        <f t="shared" si="333"/>
        <v>0</v>
      </c>
      <c r="DT80" s="439">
        <f t="shared" si="334"/>
        <v>0</v>
      </c>
      <c r="DU80" s="661">
        <f t="shared" si="335"/>
        <v>0</v>
      </c>
      <c r="DV80" s="661">
        <f t="shared" si="336"/>
        <v>0</v>
      </c>
      <c r="DW80" s="439">
        <f t="shared" si="337"/>
        <v>0</v>
      </c>
      <c r="DX80" s="439">
        <f t="shared" si="338"/>
        <v>0</v>
      </c>
      <c r="DY80" s="439">
        <f t="shared" si="339"/>
        <v>0</v>
      </c>
      <c r="DZ80" s="439">
        <f t="shared" si="340"/>
        <v>0</v>
      </c>
      <c r="EA80" s="631" t="s">
        <v>92</v>
      </c>
      <c r="EB80" s="631">
        <f t="shared" si="451"/>
        <v>0.22179369618324538</v>
      </c>
      <c r="ED80" s="439">
        <f t="shared" si="341"/>
        <v>6.4050000000000011</v>
      </c>
      <c r="EE80" s="440">
        <f t="shared" si="342"/>
        <v>4.9050000000000011</v>
      </c>
      <c r="EF80" s="439">
        <f t="shared" si="343"/>
        <v>-3.4050000000000011</v>
      </c>
      <c r="EG80" s="441">
        <f t="shared" si="344"/>
        <v>0</v>
      </c>
      <c r="EH80" s="439">
        <f t="shared" si="345"/>
        <v>0</v>
      </c>
      <c r="EI80" s="439">
        <f t="shared" si="346"/>
        <v>0</v>
      </c>
      <c r="EJ80" s="439">
        <f t="shared" si="347"/>
        <v>0</v>
      </c>
      <c r="EK80" s="439">
        <f t="shared" si="348"/>
        <v>0</v>
      </c>
      <c r="EL80" s="439">
        <f t="shared" si="349"/>
        <v>0</v>
      </c>
      <c r="EM80" s="439">
        <f t="shared" si="350"/>
        <v>0</v>
      </c>
      <c r="EN80" s="439">
        <f t="shared" si="351"/>
        <v>0</v>
      </c>
      <c r="EO80" s="439">
        <f t="shared" si="352"/>
        <v>0</v>
      </c>
      <c r="EP80" s="439">
        <f t="shared" si="353"/>
        <v>0</v>
      </c>
      <c r="EQ80" s="439">
        <f t="shared" si="354"/>
        <v>0</v>
      </c>
      <c r="ER80" s="442">
        <f t="shared" si="355"/>
        <v>0</v>
      </c>
      <c r="ES80" s="442">
        <f t="shared" si="356"/>
        <v>0</v>
      </c>
      <c r="ET80" s="439">
        <f t="shared" si="357"/>
        <v>0</v>
      </c>
      <c r="EU80" s="439">
        <f t="shared" si="358"/>
        <v>0</v>
      </c>
      <c r="EV80" s="661">
        <f t="shared" si="359"/>
        <v>0</v>
      </c>
      <c r="EW80" s="661">
        <f t="shared" si="360"/>
        <v>0</v>
      </c>
      <c r="EX80" s="439">
        <f t="shared" si="361"/>
        <v>0</v>
      </c>
      <c r="EY80" s="439">
        <f t="shared" si="362"/>
        <v>0</v>
      </c>
      <c r="EZ80" s="439">
        <f t="shared" si="363"/>
        <v>0</v>
      </c>
      <c r="FA80" s="439">
        <f t="shared" si="364"/>
        <v>0</v>
      </c>
      <c r="FB80" s="631" t="s">
        <v>92</v>
      </c>
      <c r="FC80" s="631">
        <f t="shared" si="452"/>
        <v>0.65233440053895697</v>
      </c>
      <c r="FE80" s="439">
        <f t="shared" si="365"/>
        <v>3.4586999999999999</v>
      </c>
      <c r="FF80" s="440">
        <f t="shared" si="366"/>
        <v>2.6486999999999998</v>
      </c>
      <c r="FG80" s="439">
        <f t="shared" si="367"/>
        <v>-1.8386999999999998</v>
      </c>
      <c r="FH80" s="441">
        <f t="shared" si="368"/>
        <v>0</v>
      </c>
      <c r="FI80" s="439">
        <f t="shared" si="369"/>
        <v>0</v>
      </c>
      <c r="FJ80" s="439">
        <f t="shared" si="370"/>
        <v>0</v>
      </c>
      <c r="FK80" s="439">
        <f t="shared" si="371"/>
        <v>0</v>
      </c>
      <c r="FL80" s="439">
        <f t="shared" si="372"/>
        <v>0</v>
      </c>
      <c r="FM80" s="439">
        <f t="shared" si="373"/>
        <v>0</v>
      </c>
      <c r="FN80" s="439">
        <f t="shared" si="374"/>
        <v>0</v>
      </c>
      <c r="FO80" s="439">
        <f t="shared" si="375"/>
        <v>0</v>
      </c>
      <c r="FP80" s="439">
        <f t="shared" si="376"/>
        <v>0</v>
      </c>
      <c r="FQ80" s="439">
        <f t="shared" si="377"/>
        <v>0</v>
      </c>
      <c r="FR80" s="439">
        <f t="shared" si="378"/>
        <v>0</v>
      </c>
      <c r="FS80" s="442">
        <f t="shared" si="379"/>
        <v>0</v>
      </c>
      <c r="FT80" s="442">
        <f t="shared" si="380"/>
        <v>0</v>
      </c>
      <c r="FU80" s="439">
        <f t="shared" si="381"/>
        <v>0</v>
      </c>
      <c r="FV80" s="439">
        <f t="shared" si="382"/>
        <v>0</v>
      </c>
      <c r="FW80" s="661">
        <f t="shared" si="383"/>
        <v>0</v>
      </c>
      <c r="FX80" s="661">
        <f t="shared" si="384"/>
        <v>0</v>
      </c>
      <c r="FY80" s="439">
        <f t="shared" si="385"/>
        <v>0</v>
      </c>
      <c r="FZ80" s="439">
        <f t="shared" si="386"/>
        <v>0</v>
      </c>
      <c r="GA80" s="439">
        <f t="shared" si="387"/>
        <v>0</v>
      </c>
      <c r="GB80" s="439">
        <f t="shared" si="388"/>
        <v>0</v>
      </c>
      <c r="GC80" s="631" t="s">
        <v>92</v>
      </c>
      <c r="GD80" s="631">
        <f t="shared" si="453"/>
        <v>0.35226057629103663</v>
      </c>
      <c r="GF80" s="439">
        <f t="shared" si="389"/>
        <v>4.3553999999999995</v>
      </c>
      <c r="GG80" s="440">
        <f t="shared" si="390"/>
        <v>3.3353999999999999</v>
      </c>
      <c r="GH80" s="439">
        <f t="shared" si="391"/>
        <v>-2.3153999999999999</v>
      </c>
      <c r="GI80" s="439">
        <f t="shared" si="392"/>
        <v>0</v>
      </c>
      <c r="GJ80" s="439">
        <f t="shared" si="393"/>
        <v>0</v>
      </c>
      <c r="GK80" s="439">
        <f t="shared" si="394"/>
        <v>0</v>
      </c>
      <c r="GL80" s="439">
        <f t="shared" si="395"/>
        <v>0</v>
      </c>
      <c r="GM80" s="439">
        <f t="shared" si="396"/>
        <v>0</v>
      </c>
      <c r="GN80" s="439">
        <f t="shared" si="397"/>
        <v>0</v>
      </c>
      <c r="GO80" s="439">
        <f t="shared" si="398"/>
        <v>0</v>
      </c>
      <c r="GP80" s="439">
        <f t="shared" si="399"/>
        <v>0</v>
      </c>
      <c r="GQ80" s="439">
        <f t="shared" si="400"/>
        <v>0</v>
      </c>
      <c r="GR80" s="439">
        <f t="shared" si="401"/>
        <v>0</v>
      </c>
      <c r="GS80" s="439">
        <f t="shared" si="402"/>
        <v>0</v>
      </c>
      <c r="GT80" s="442">
        <f t="shared" si="403"/>
        <v>0</v>
      </c>
      <c r="GU80" s="442">
        <f t="shared" si="404"/>
        <v>0</v>
      </c>
      <c r="GV80" s="439">
        <f t="shared" si="405"/>
        <v>0</v>
      </c>
      <c r="GW80" s="439">
        <f t="shared" si="406"/>
        <v>0</v>
      </c>
      <c r="GX80" s="661">
        <f t="shared" si="407"/>
        <v>0</v>
      </c>
      <c r="GY80" s="661">
        <f t="shared" si="408"/>
        <v>0</v>
      </c>
      <c r="GZ80" s="439">
        <f t="shared" si="409"/>
        <v>0</v>
      </c>
      <c r="HA80" s="439">
        <f t="shared" si="410"/>
        <v>0</v>
      </c>
      <c r="HB80" s="439">
        <f t="shared" si="411"/>
        <v>0</v>
      </c>
      <c r="HC80" s="439">
        <f t="shared" si="412"/>
        <v>0</v>
      </c>
      <c r="HD80" s="631" t="s">
        <v>92</v>
      </c>
      <c r="HE80" s="631">
        <f t="shared" si="306"/>
        <v>0.44358739236649058</v>
      </c>
      <c r="HG80" s="618">
        <f>HLOOKUP(CQ80,Spec_Sheet!$F$3:$DV$19,11,FALSE)+HLOOKUP(CQ80,Spec_Sheet!$F$3:$DV$21,19,FALSE)</f>
        <v>180</v>
      </c>
      <c r="HH80" s="618">
        <f t="shared" si="454"/>
        <v>100</v>
      </c>
      <c r="HI80" s="634">
        <f t="shared" si="455"/>
        <v>200</v>
      </c>
      <c r="HJ80" s="634">
        <f>HLOOKUP(IF(LEN(CQ80)&gt;6,LEFT(CQ80,5),CQ80),'LSM List Pricing'!$B$1:$BW$2,2,0)</f>
        <v>55</v>
      </c>
      <c r="HK80" s="634">
        <f>HLOOKUP(HJ80,'LSM List Pricing'!$B$2:$BW$3,2)</f>
        <v>540</v>
      </c>
      <c r="HL80" s="634">
        <f>VLOOKUP(HH80,'LSM List Pricing'!$A$7:$BW$87,HJ80,0)</f>
        <v>990</v>
      </c>
      <c r="HM80" s="627">
        <f>VLOOKUP(HI80,'LSM List Pricing'!$A$7:$BW$87,HJ80,1)</f>
        <v>1210</v>
      </c>
      <c r="HN80" s="628">
        <f t="shared" si="307"/>
        <v>3.9230769230769229</v>
      </c>
      <c r="HO80" s="628">
        <f t="shared" si="308"/>
        <v>7.8461538461538458</v>
      </c>
      <c r="HP80" s="628">
        <f t="shared" si="309"/>
        <v>5.8717948717948714</v>
      </c>
      <c r="HR80" s="618">
        <v>3.85E-2</v>
      </c>
      <c r="HS80" s="618">
        <f t="shared" si="457"/>
        <v>258.5</v>
      </c>
      <c r="HT80" s="618">
        <f t="shared" si="458"/>
        <v>1</v>
      </c>
      <c r="HU80" s="618">
        <f t="shared" si="170"/>
        <v>0.98044660976086884</v>
      </c>
      <c r="HW80" s="618">
        <f t="shared" si="413"/>
        <v>34.607765814139569</v>
      </c>
      <c r="HX80" s="618">
        <f t="shared" si="171"/>
        <v>0.96124190166489043</v>
      </c>
      <c r="HY80" s="618">
        <f t="shared" si="172"/>
        <v>3.85E-2</v>
      </c>
      <c r="IB80" s="618">
        <f t="shared" si="414"/>
        <v>25.000350341399081</v>
      </c>
      <c r="IC80" s="618">
        <f t="shared" si="415"/>
        <v>1E-3</v>
      </c>
      <c r="IE80" s="618">
        <f t="shared" si="416"/>
        <v>0</v>
      </c>
      <c r="IF80" s="618">
        <f t="shared" si="417"/>
        <v>40.704999999999998</v>
      </c>
      <c r="IH80" s="618">
        <f t="shared" si="418"/>
        <v>0</v>
      </c>
      <c r="II80" s="618">
        <f t="shared" si="419"/>
        <v>40.704999999999998</v>
      </c>
      <c r="IK80" s="618">
        <f t="shared" si="420"/>
        <v>0</v>
      </c>
      <c r="IL80" s="618">
        <f t="shared" si="421"/>
        <v>40.704999999999998</v>
      </c>
      <c r="IN80" s="618">
        <f t="shared" si="422"/>
        <v>0</v>
      </c>
      <c r="IO80" s="618">
        <f t="shared" si="423"/>
        <v>40.704999999999998</v>
      </c>
      <c r="IQ80" s="618">
        <f t="shared" si="424"/>
        <v>0</v>
      </c>
      <c r="IR80" s="618">
        <f t="shared" si="425"/>
        <v>40.704999999999998</v>
      </c>
      <c r="IT80" s="660" t="str">
        <f t="shared" si="426"/>
        <v>S350D</v>
      </c>
      <c r="IU80" s="628"/>
      <c r="IV80" s="439">
        <f t="shared" si="427"/>
        <v>3.843</v>
      </c>
      <c r="IW80" s="440">
        <f t="shared" si="428"/>
        <v>2.9430000000000001</v>
      </c>
      <c r="IX80" s="439">
        <f t="shared" si="429"/>
        <v>-2.0430000000000001</v>
      </c>
      <c r="IY80" s="439">
        <f t="shared" si="430"/>
        <v>0</v>
      </c>
      <c r="IZ80" s="439">
        <f t="shared" si="431"/>
        <v>0</v>
      </c>
      <c r="JA80" s="439">
        <f t="shared" si="432"/>
        <v>0</v>
      </c>
      <c r="JB80" s="439">
        <f t="shared" si="433"/>
        <v>0</v>
      </c>
      <c r="JC80" s="439">
        <f t="shared" si="434"/>
        <v>0</v>
      </c>
      <c r="JD80" s="439">
        <f t="shared" si="435"/>
        <v>0</v>
      </c>
      <c r="JE80" s="439">
        <f t="shared" si="436"/>
        <v>0</v>
      </c>
      <c r="JF80" s="439">
        <f t="shared" si="437"/>
        <v>0</v>
      </c>
      <c r="JG80" s="439">
        <f t="shared" si="438"/>
        <v>0</v>
      </c>
      <c r="JH80" s="439">
        <f t="shared" si="439"/>
        <v>0</v>
      </c>
      <c r="JI80" s="439">
        <f t="shared" si="440"/>
        <v>0</v>
      </c>
      <c r="JJ80" s="442">
        <f t="shared" si="441"/>
        <v>0</v>
      </c>
      <c r="JK80" s="442">
        <f t="shared" si="442"/>
        <v>0</v>
      </c>
      <c r="JL80" s="439">
        <f t="shared" si="443"/>
        <v>0</v>
      </c>
      <c r="JM80" s="439">
        <f t="shared" si="444"/>
        <v>0</v>
      </c>
      <c r="JN80" s="661">
        <f t="shared" si="445"/>
        <v>0</v>
      </c>
      <c r="JO80" s="661">
        <f t="shared" si="446"/>
        <v>0</v>
      </c>
      <c r="JP80" s="439">
        <f t="shared" si="447"/>
        <v>0</v>
      </c>
      <c r="JQ80" s="439">
        <f t="shared" si="448"/>
        <v>0</v>
      </c>
      <c r="JR80" s="439">
        <f t="shared" si="449"/>
        <v>0</v>
      </c>
      <c r="JS80" s="439">
        <f t="shared" si="450"/>
        <v>0</v>
      </c>
      <c r="JT80" s="631" t="s">
        <v>92</v>
      </c>
      <c r="JU80" s="631">
        <f t="shared" si="459"/>
        <v>0.39140064032337407</v>
      </c>
      <c r="JW80" s="522"/>
      <c r="JX80" s="522"/>
      <c r="JY80" s="522"/>
      <c r="JZ80" s="522"/>
      <c r="KA80" s="522"/>
      <c r="KB80" s="522"/>
      <c r="KC80" s="522"/>
      <c r="KD80" s="522"/>
      <c r="KE80" s="522"/>
      <c r="KF80" s="522"/>
      <c r="KG80" s="522"/>
      <c r="KH80" s="522"/>
      <c r="KI80" s="522"/>
      <c r="KJ80" s="522"/>
      <c r="KK80" s="522"/>
      <c r="KL80" s="522"/>
    </row>
    <row r="81" spans="1:298">
      <c r="A81" s="334"/>
      <c r="B81" s="579" t="s">
        <v>551</v>
      </c>
      <c r="C81" s="579"/>
      <c r="D81" s="579">
        <f>D80/(D78+D77)</f>
        <v>400</v>
      </c>
      <c r="E81" s="579">
        <f>E80/(E78+E77)</f>
        <v>400</v>
      </c>
      <c r="F81" s="579">
        <f>IF(P13,F80/(F78+F77),0)</f>
        <v>0</v>
      </c>
      <c r="G81" s="579">
        <f>IF(P13,G80/(G78+G77),0)</f>
        <v>0</v>
      </c>
      <c r="H81" s="579">
        <f>IF(P21,H80/(H78+H77),0)</f>
        <v>0</v>
      </c>
      <c r="I81" s="579">
        <f>IF(P21,I80/(I78+I77),0)</f>
        <v>0</v>
      </c>
      <c r="J81" s="579">
        <f>IF(AG5,J80/(J78+J77),0)</f>
        <v>0</v>
      </c>
      <c r="K81" s="579">
        <f>IF(AG5,K80/(K78+K77),0)</f>
        <v>0</v>
      </c>
      <c r="L81" s="579">
        <f>IF(AG13,L80/(L78+L77),0)</f>
        <v>0</v>
      </c>
      <c r="M81" s="579">
        <f>IF(AG13,M80/(M78+M77),0)</f>
        <v>0</v>
      </c>
      <c r="N81" s="579">
        <f>IF(AG21,N80/(N78+N77),0)</f>
        <v>0</v>
      </c>
      <c r="O81" s="579">
        <f>IF(AG21,O80/(O78+O77),0)</f>
        <v>0</v>
      </c>
      <c r="P81" s="579"/>
      <c r="Q81" s="579"/>
      <c r="R81" s="579"/>
      <c r="S81" s="381"/>
      <c r="T81" s="381"/>
      <c r="U81" s="605"/>
      <c r="V81" s="605"/>
      <c r="W81" s="381"/>
      <c r="X81" s="579"/>
      <c r="Y81" s="579"/>
      <c r="Z81" s="579"/>
      <c r="AA81" s="579"/>
      <c r="AB81" s="579"/>
      <c r="AC81" s="580"/>
      <c r="AD81" s="580"/>
      <c r="AE81" s="579"/>
      <c r="AF81" s="579"/>
      <c r="AG81" s="579"/>
      <c r="AH81" s="579"/>
      <c r="AI81" s="579"/>
      <c r="AJ81" s="579"/>
      <c r="AK81" s="579"/>
      <c r="AL81" s="580"/>
      <c r="AM81" s="580"/>
      <c r="AN81" s="579"/>
      <c r="AO81" s="579"/>
      <c r="AP81" s="579"/>
      <c r="AQ81" s="579"/>
      <c r="AR81" s="579"/>
      <c r="AS81" s="579"/>
      <c r="AT81" s="580"/>
      <c r="AU81" s="580"/>
      <c r="AV81" s="581" t="str">
        <f>IF($AY$30,J32,0)</f>
        <v/>
      </c>
      <c r="AW81" s="581">
        <f>IF($AY$32,'Data Sheet'!AA102,0)</f>
        <v>0</v>
      </c>
      <c r="AX81" s="581">
        <f>J31-AY34</f>
        <v>40.704999999999998</v>
      </c>
      <c r="AY81" s="579"/>
      <c r="AZ81" s="579"/>
      <c r="BA81" s="579"/>
      <c r="BB81" s="579"/>
      <c r="BC81" s="579"/>
      <c r="BD81" s="579"/>
      <c r="BE81" s="579"/>
      <c r="BF81" s="579"/>
      <c r="BG81" s="379"/>
      <c r="BH81" s="379"/>
      <c r="BI81" s="379"/>
      <c r="BJ81" s="379"/>
      <c r="BK81" s="379"/>
      <c r="BL81" s="379"/>
      <c r="BM81" s="379"/>
      <c r="BN81" s="379"/>
      <c r="BO81" s="379"/>
      <c r="BP81" s="379"/>
      <c r="BQ81" s="379"/>
      <c r="BR81" s="379"/>
      <c r="BS81" s="379"/>
      <c r="BT81" s="379"/>
      <c r="BU81" s="379"/>
      <c r="BV81" s="379"/>
      <c r="BW81" s="379"/>
      <c r="BX81" s="379"/>
      <c r="BY81" s="379"/>
      <c r="BZ81" s="379"/>
      <c r="CA81" s="379"/>
      <c r="CB81" s="379"/>
      <c r="CC81" s="379"/>
      <c r="CD81" s="379"/>
      <c r="CE81" s="379"/>
      <c r="CF81" s="379"/>
      <c r="CG81" s="379"/>
      <c r="CH81" s="77"/>
      <c r="CI81" s="77"/>
      <c r="CJ81" s="380"/>
      <c r="CK81" s="380"/>
      <c r="CL81" s="381"/>
      <c r="CM81" s="381"/>
      <c r="CN81" s="445"/>
      <c r="CO81" s="694" t="str">
        <f ca="1"/>
        <v>L320Q-1S</v>
      </c>
      <c r="CP81" s="632" t="str">
        <f>IF(OR(CQ81=0,CR81="",CS81&gt;120),"",IF(HLOOKUP(CQ81,Spec_Sheet!$F$3:$ED$19,17,FALSE)&lt;$AC$46,"",CQ81))</f>
        <v>S320Q 1S</v>
      </c>
      <c r="CQ81" s="660" t="str">
        <f>IF(Spec_Sheet!A80="","",Spec_Sheet!A80)</f>
        <v>S320Q 1S</v>
      </c>
      <c r="CR81" s="660">
        <f>IF(CQ81="",0,HLOOKUP(CQ81,Spec_Sheet!$F$3:$ED$19,2,FALSE))</f>
        <v>104.18999999999998</v>
      </c>
      <c r="CS81" s="660">
        <f t="shared" si="461"/>
        <v>9.0317303226087426E-4</v>
      </c>
      <c r="CT81" s="621">
        <f t="shared" si="310"/>
        <v>1.0599739059172762E-3</v>
      </c>
      <c r="CU81" s="621">
        <f t="shared" si="316"/>
        <v>9.0317303226087426E-4</v>
      </c>
      <c r="CV81" s="621">
        <f t="shared" si="311"/>
        <v>1.3005691664556586E-3</v>
      </c>
      <c r="CW81" s="621">
        <f t="shared" si="312"/>
        <v>1.1262065949497397E-3</v>
      </c>
      <c r="CX81" s="621">
        <f t="shared" si="456"/>
        <v>7.2144473971494599E-4</v>
      </c>
      <c r="CY81" s="619">
        <f>HLOOKUP(CQ81,Spec_Sheet!$F$3:$ED$19,13,FALSE)</f>
        <v>2.2000000000000002</v>
      </c>
      <c r="CZ81" s="619">
        <f>VLOOKUP(HH81,'Shaft Weight'!$A$6:$CD$102,HJ81,TRUE)</f>
        <v>2.48</v>
      </c>
      <c r="DA81" s="619">
        <f>VLOOKUP(HI81,'Shaft Weight'!$A$6:$CD$102,HJ81,0)</f>
        <v>3.89</v>
      </c>
      <c r="DB81" s="619">
        <f>HLOOKUP(CQ81,Spec_Sheet!$F$3:$ED$19,6,FALSE)</f>
        <v>22.65</v>
      </c>
      <c r="DC81" s="439">
        <f t="shared" si="317"/>
        <v>3.3306000000000004</v>
      </c>
      <c r="DD81" s="440">
        <f t="shared" si="318"/>
        <v>2.5506000000000006</v>
      </c>
      <c r="DE81" s="439">
        <f t="shared" si="319"/>
        <v>-1.7706000000000006</v>
      </c>
      <c r="DF81" s="439">
        <f t="shared" si="320"/>
        <v>0</v>
      </c>
      <c r="DG81" s="439">
        <f t="shared" si="321"/>
        <v>0</v>
      </c>
      <c r="DH81" s="439">
        <f t="shared" si="322"/>
        <v>0</v>
      </c>
      <c r="DI81" s="439">
        <f t="shared" si="323"/>
        <v>0</v>
      </c>
      <c r="DJ81" s="439">
        <f t="shared" si="324"/>
        <v>0</v>
      </c>
      <c r="DK81" s="439">
        <f t="shared" si="325"/>
        <v>0</v>
      </c>
      <c r="DL81" s="439">
        <f t="shared" si="326"/>
        <v>0</v>
      </c>
      <c r="DM81" s="439">
        <f t="shared" si="327"/>
        <v>0</v>
      </c>
      <c r="DN81" s="439">
        <f t="shared" si="328"/>
        <v>0</v>
      </c>
      <c r="DO81" s="439">
        <f t="shared" si="329"/>
        <v>0</v>
      </c>
      <c r="DP81" s="439">
        <f t="shared" si="330"/>
        <v>0</v>
      </c>
      <c r="DQ81" s="442">
        <f t="shared" si="331"/>
        <v>0</v>
      </c>
      <c r="DR81" s="442">
        <f t="shared" si="332"/>
        <v>0</v>
      </c>
      <c r="DS81" s="439">
        <f t="shared" si="333"/>
        <v>0</v>
      </c>
      <c r="DT81" s="439">
        <f t="shared" si="334"/>
        <v>0</v>
      </c>
      <c r="DU81" s="661">
        <f t="shared" si="335"/>
        <v>0</v>
      </c>
      <c r="DV81" s="661">
        <f t="shared" si="336"/>
        <v>0</v>
      </c>
      <c r="DW81" s="439">
        <f t="shared" si="337"/>
        <v>0</v>
      </c>
      <c r="DX81" s="439">
        <f t="shared" si="338"/>
        <v>0</v>
      </c>
      <c r="DY81" s="439">
        <f t="shared" si="339"/>
        <v>0</v>
      </c>
      <c r="DZ81" s="439">
        <f t="shared" si="340"/>
        <v>0</v>
      </c>
      <c r="EA81" s="631" t="s">
        <v>92</v>
      </c>
      <c r="EB81" s="631">
        <f t="shared" si="451"/>
        <v>0.33921388828025761</v>
      </c>
      <c r="ED81" s="439">
        <f t="shared" si="341"/>
        <v>6.8661600000000007</v>
      </c>
      <c r="EE81" s="440">
        <f t="shared" si="342"/>
        <v>5.2581600000000011</v>
      </c>
      <c r="EF81" s="439">
        <f t="shared" si="343"/>
        <v>-3.650160000000001</v>
      </c>
      <c r="EG81" s="441">
        <f t="shared" si="344"/>
        <v>0</v>
      </c>
      <c r="EH81" s="439">
        <f t="shared" si="345"/>
        <v>0</v>
      </c>
      <c r="EI81" s="439">
        <f t="shared" si="346"/>
        <v>0</v>
      </c>
      <c r="EJ81" s="439">
        <f t="shared" si="347"/>
        <v>0</v>
      </c>
      <c r="EK81" s="439">
        <f t="shared" si="348"/>
        <v>0</v>
      </c>
      <c r="EL81" s="439">
        <f t="shared" si="349"/>
        <v>0</v>
      </c>
      <c r="EM81" s="439">
        <f t="shared" si="350"/>
        <v>0</v>
      </c>
      <c r="EN81" s="439">
        <f t="shared" si="351"/>
        <v>0</v>
      </c>
      <c r="EO81" s="439">
        <f t="shared" si="352"/>
        <v>0</v>
      </c>
      <c r="EP81" s="439">
        <f t="shared" si="353"/>
        <v>0</v>
      </c>
      <c r="EQ81" s="439">
        <f t="shared" si="354"/>
        <v>0</v>
      </c>
      <c r="ER81" s="442">
        <f t="shared" si="355"/>
        <v>0</v>
      </c>
      <c r="ES81" s="442">
        <f t="shared" si="356"/>
        <v>0</v>
      </c>
      <c r="ET81" s="439">
        <f t="shared" si="357"/>
        <v>0</v>
      </c>
      <c r="EU81" s="439">
        <f t="shared" si="358"/>
        <v>0</v>
      </c>
      <c r="EV81" s="661">
        <f t="shared" si="359"/>
        <v>0</v>
      </c>
      <c r="EW81" s="661">
        <f t="shared" si="360"/>
        <v>0</v>
      </c>
      <c r="EX81" s="439">
        <f t="shared" si="361"/>
        <v>0</v>
      </c>
      <c r="EY81" s="439">
        <f t="shared" si="362"/>
        <v>0</v>
      </c>
      <c r="EZ81" s="439">
        <f t="shared" si="363"/>
        <v>0</v>
      </c>
      <c r="FA81" s="439">
        <f t="shared" si="364"/>
        <v>0</v>
      </c>
      <c r="FB81" s="631" t="s">
        <v>92</v>
      </c>
      <c r="FC81" s="631">
        <f t="shared" si="452"/>
        <v>0.69930247737776174</v>
      </c>
      <c r="FE81" s="439">
        <f t="shared" si="365"/>
        <v>3.6892800000000001</v>
      </c>
      <c r="FF81" s="440">
        <f t="shared" si="366"/>
        <v>2.8252800000000002</v>
      </c>
      <c r="FG81" s="439">
        <f t="shared" si="367"/>
        <v>-1.9612800000000004</v>
      </c>
      <c r="FH81" s="441">
        <f t="shared" si="368"/>
        <v>0</v>
      </c>
      <c r="FI81" s="439">
        <f t="shared" si="369"/>
        <v>0</v>
      </c>
      <c r="FJ81" s="439">
        <f t="shared" si="370"/>
        <v>0</v>
      </c>
      <c r="FK81" s="439">
        <f t="shared" si="371"/>
        <v>0</v>
      </c>
      <c r="FL81" s="439">
        <f t="shared" si="372"/>
        <v>0</v>
      </c>
      <c r="FM81" s="439">
        <f t="shared" si="373"/>
        <v>0</v>
      </c>
      <c r="FN81" s="439">
        <f t="shared" si="374"/>
        <v>0</v>
      </c>
      <c r="FO81" s="439">
        <f t="shared" si="375"/>
        <v>0</v>
      </c>
      <c r="FP81" s="439">
        <f t="shared" si="376"/>
        <v>0</v>
      </c>
      <c r="FQ81" s="439">
        <f t="shared" si="377"/>
        <v>0</v>
      </c>
      <c r="FR81" s="439">
        <f t="shared" si="378"/>
        <v>0</v>
      </c>
      <c r="FS81" s="442">
        <f t="shared" si="379"/>
        <v>0</v>
      </c>
      <c r="FT81" s="442">
        <f t="shared" si="380"/>
        <v>0</v>
      </c>
      <c r="FU81" s="439">
        <f t="shared" si="381"/>
        <v>0</v>
      </c>
      <c r="FV81" s="439">
        <f t="shared" si="382"/>
        <v>0</v>
      </c>
      <c r="FW81" s="661">
        <f t="shared" si="383"/>
        <v>0</v>
      </c>
      <c r="FX81" s="661">
        <f t="shared" si="384"/>
        <v>0</v>
      </c>
      <c r="FY81" s="439">
        <f t="shared" si="385"/>
        <v>0</v>
      </c>
      <c r="FZ81" s="439">
        <f t="shared" si="386"/>
        <v>0</v>
      </c>
      <c r="GA81" s="439">
        <f t="shared" si="387"/>
        <v>0</v>
      </c>
      <c r="GB81" s="439">
        <f t="shared" si="388"/>
        <v>0</v>
      </c>
      <c r="GC81" s="631" t="s">
        <v>92</v>
      </c>
      <c r="GD81" s="631">
        <f t="shared" si="453"/>
        <v>0.37574461471043913</v>
      </c>
      <c r="GF81" s="439">
        <f t="shared" si="389"/>
        <v>5.4954900000000002</v>
      </c>
      <c r="GG81" s="440">
        <f t="shared" si="390"/>
        <v>4.2084900000000003</v>
      </c>
      <c r="GH81" s="439">
        <f t="shared" si="391"/>
        <v>-2.9214900000000004</v>
      </c>
      <c r="GI81" s="439">
        <f t="shared" si="392"/>
        <v>0</v>
      </c>
      <c r="GJ81" s="439">
        <f t="shared" si="393"/>
        <v>0</v>
      </c>
      <c r="GK81" s="439">
        <f t="shared" si="394"/>
        <v>0</v>
      </c>
      <c r="GL81" s="439">
        <f t="shared" si="395"/>
        <v>0</v>
      </c>
      <c r="GM81" s="439">
        <f t="shared" si="396"/>
        <v>0</v>
      </c>
      <c r="GN81" s="439">
        <f t="shared" si="397"/>
        <v>0</v>
      </c>
      <c r="GO81" s="439">
        <f t="shared" si="398"/>
        <v>0</v>
      </c>
      <c r="GP81" s="439">
        <f t="shared" si="399"/>
        <v>0</v>
      </c>
      <c r="GQ81" s="439">
        <f t="shared" si="400"/>
        <v>0</v>
      </c>
      <c r="GR81" s="439">
        <f t="shared" si="401"/>
        <v>0</v>
      </c>
      <c r="GS81" s="439">
        <f t="shared" si="402"/>
        <v>0</v>
      </c>
      <c r="GT81" s="442">
        <f t="shared" si="403"/>
        <v>0</v>
      </c>
      <c r="GU81" s="442">
        <f t="shared" si="404"/>
        <v>0</v>
      </c>
      <c r="GV81" s="439">
        <f t="shared" si="405"/>
        <v>0</v>
      </c>
      <c r="GW81" s="439">
        <f t="shared" si="406"/>
        <v>0</v>
      </c>
      <c r="GX81" s="661">
        <f t="shared" si="407"/>
        <v>0</v>
      </c>
      <c r="GY81" s="661">
        <f t="shared" si="408"/>
        <v>0</v>
      </c>
      <c r="GZ81" s="439">
        <f t="shared" si="409"/>
        <v>0</v>
      </c>
      <c r="HA81" s="439">
        <f t="shared" si="410"/>
        <v>0</v>
      </c>
      <c r="HB81" s="439">
        <f t="shared" si="411"/>
        <v>0</v>
      </c>
      <c r="HC81" s="439">
        <f t="shared" si="412"/>
        <v>0</v>
      </c>
      <c r="HD81" s="631" t="s">
        <v>92</v>
      </c>
      <c r="HE81" s="631">
        <f t="shared" si="306"/>
        <v>0.55970291566242503</v>
      </c>
      <c r="HG81" s="618">
        <f>HLOOKUP(CQ81,Spec_Sheet!$F$3:$DV$19,11,FALSE)+HLOOKUP(CQ81,Spec_Sheet!$F$3:$DV$21,19,FALSE)</f>
        <v>300</v>
      </c>
      <c r="HH81" s="618">
        <f t="shared" si="454"/>
        <v>100</v>
      </c>
      <c r="HI81" s="634">
        <f t="shared" si="455"/>
        <v>350</v>
      </c>
      <c r="HJ81" s="634">
        <f>HLOOKUP(IF(LEN(CQ81)&gt;6,LEFT(CQ81,5),CQ81),'LSM List Pricing'!$B$1:$BW$2,2,0)</f>
        <v>54</v>
      </c>
      <c r="HK81" s="634">
        <f>HLOOKUP(HJ81,'LSM List Pricing'!$B$2:$BW$3,2)</f>
        <v>850</v>
      </c>
      <c r="HL81" s="634">
        <f>VLOOKUP(HH81,'LSM List Pricing'!$A$7:$BW$87,HJ81,0)</f>
        <v>960</v>
      </c>
      <c r="HM81" s="627">
        <f>VLOOKUP(HI81,'LSM List Pricing'!$A$7:$BW$87,HJ81,1)</f>
        <v>1450</v>
      </c>
      <c r="HN81" s="628">
        <f t="shared" si="307"/>
        <v>4.6410256410256414</v>
      </c>
      <c r="HO81" s="628">
        <f t="shared" si="308"/>
        <v>9.2820512820512828</v>
      </c>
      <c r="HP81" s="628">
        <f t="shared" si="309"/>
        <v>8.0769230769230766</v>
      </c>
      <c r="HR81" s="618">
        <v>3.9E-2</v>
      </c>
      <c r="HS81" s="618">
        <f t="shared" si="457"/>
        <v>261.85714285714283</v>
      </c>
      <c r="HT81" s="618">
        <f t="shared" si="458"/>
        <v>1</v>
      </c>
      <c r="HU81" s="618">
        <f t="shared" si="170"/>
        <v>0.99318565373449363</v>
      </c>
      <c r="HW81" s="618">
        <f t="shared" si="413"/>
        <v>34.589676371697017</v>
      </c>
      <c r="HX81" s="618">
        <f t="shared" si="171"/>
        <v>0.97348188522968204</v>
      </c>
      <c r="HY81" s="618">
        <f t="shared" si="172"/>
        <v>3.9E-2</v>
      </c>
      <c r="IB81" s="618">
        <f t="shared" si="414"/>
        <v>25.000350341399081</v>
      </c>
      <c r="IC81" s="618">
        <f t="shared" si="415"/>
        <v>1E-3</v>
      </c>
      <c r="IE81" s="618">
        <f t="shared" si="416"/>
        <v>0</v>
      </c>
      <c r="IF81" s="618">
        <f t="shared" si="417"/>
        <v>40.704999999999998</v>
      </c>
      <c r="IH81" s="618">
        <f t="shared" si="418"/>
        <v>0</v>
      </c>
      <c r="II81" s="618">
        <f t="shared" si="419"/>
        <v>40.704999999999998</v>
      </c>
      <c r="IK81" s="618">
        <f t="shared" si="420"/>
        <v>0</v>
      </c>
      <c r="IL81" s="618">
        <f t="shared" si="421"/>
        <v>40.704999999999998</v>
      </c>
      <c r="IN81" s="618">
        <f t="shared" si="422"/>
        <v>0</v>
      </c>
      <c r="IO81" s="618">
        <f t="shared" si="423"/>
        <v>40.704999999999998</v>
      </c>
      <c r="IQ81" s="618">
        <f t="shared" si="424"/>
        <v>0</v>
      </c>
      <c r="IR81" s="618">
        <f t="shared" si="425"/>
        <v>40.704999999999998</v>
      </c>
      <c r="IT81" s="660" t="str">
        <f t="shared" si="426"/>
        <v>S320Q 1S</v>
      </c>
      <c r="IU81" s="628"/>
      <c r="IV81" s="439">
        <f t="shared" si="427"/>
        <v>6.1488000000000014</v>
      </c>
      <c r="IW81" s="440">
        <f t="shared" si="428"/>
        <v>4.708800000000001</v>
      </c>
      <c r="IX81" s="439">
        <f t="shared" si="429"/>
        <v>-3.2688000000000006</v>
      </c>
      <c r="IY81" s="439">
        <f t="shared" si="430"/>
        <v>0</v>
      </c>
      <c r="IZ81" s="439">
        <f t="shared" si="431"/>
        <v>0</v>
      </c>
      <c r="JA81" s="439">
        <f t="shared" si="432"/>
        <v>0</v>
      </c>
      <c r="JB81" s="439">
        <f t="shared" si="433"/>
        <v>0</v>
      </c>
      <c r="JC81" s="439">
        <f t="shared" si="434"/>
        <v>0</v>
      </c>
      <c r="JD81" s="439">
        <f t="shared" si="435"/>
        <v>0</v>
      </c>
      <c r="JE81" s="439">
        <f t="shared" si="436"/>
        <v>0</v>
      </c>
      <c r="JF81" s="439">
        <f t="shared" si="437"/>
        <v>0</v>
      </c>
      <c r="JG81" s="439">
        <f t="shared" si="438"/>
        <v>0</v>
      </c>
      <c r="JH81" s="439">
        <f t="shared" si="439"/>
        <v>0</v>
      </c>
      <c r="JI81" s="439">
        <f t="shared" si="440"/>
        <v>0</v>
      </c>
      <c r="JJ81" s="442">
        <f t="shared" si="441"/>
        <v>0</v>
      </c>
      <c r="JK81" s="442">
        <f t="shared" si="442"/>
        <v>0</v>
      </c>
      <c r="JL81" s="439">
        <f t="shared" si="443"/>
        <v>0</v>
      </c>
      <c r="JM81" s="439">
        <f t="shared" si="444"/>
        <v>0</v>
      </c>
      <c r="JN81" s="661">
        <f t="shared" si="445"/>
        <v>0</v>
      </c>
      <c r="JO81" s="661">
        <f t="shared" si="446"/>
        <v>0</v>
      </c>
      <c r="JP81" s="439">
        <f t="shared" si="447"/>
        <v>0</v>
      </c>
      <c r="JQ81" s="439">
        <f t="shared" si="448"/>
        <v>0</v>
      </c>
      <c r="JR81" s="439">
        <f t="shared" si="449"/>
        <v>0</v>
      </c>
      <c r="JS81" s="439">
        <f t="shared" si="450"/>
        <v>0</v>
      </c>
      <c r="JT81" s="631" t="s">
        <v>92</v>
      </c>
      <c r="JU81" s="631">
        <f t="shared" si="459"/>
        <v>0.62624102451739871</v>
      </c>
      <c r="JW81" s="522"/>
      <c r="JX81" s="522"/>
      <c r="JY81" s="522"/>
      <c r="JZ81" s="522"/>
      <c r="KA81" s="522"/>
      <c r="KB81" s="522"/>
      <c r="KC81" s="522"/>
      <c r="KD81" s="522"/>
      <c r="KE81" s="522"/>
      <c r="KF81" s="522"/>
      <c r="KG81" s="522"/>
      <c r="KH81" s="522"/>
      <c r="KI81" s="522"/>
      <c r="KJ81" s="522"/>
      <c r="KK81" s="522"/>
      <c r="KL81" s="522"/>
    </row>
    <row r="82" spans="1:298">
      <c r="A82" s="334"/>
      <c r="B82" s="579"/>
      <c r="C82" s="579"/>
      <c r="D82" s="579">
        <f>IF(U10&gt;0,1,-1)</f>
        <v>1</v>
      </c>
      <c r="E82" s="579">
        <f>IF(U10&gt;0,1,-1)</f>
        <v>1</v>
      </c>
      <c r="F82" s="579">
        <f>IF(U18&gt;0,1,-1)</f>
        <v>-1</v>
      </c>
      <c r="G82" s="579">
        <f>IF(U18&gt;0,1,-1)</f>
        <v>-1</v>
      </c>
      <c r="H82" s="579">
        <f>IF(U26&gt;0,1,-1)</f>
        <v>-1</v>
      </c>
      <c r="I82" s="579">
        <f>IF(U26&gt;0,1,-1)</f>
        <v>-1</v>
      </c>
      <c r="J82" s="579">
        <f>IF($AY$30,IF(AL10&gt;0,1,-1),0)</f>
        <v>1</v>
      </c>
      <c r="K82" s="579">
        <f>IF($AY$30,IF(AL10&gt;0,1,-1),0)</f>
        <v>1</v>
      </c>
      <c r="L82" s="579">
        <f>IF($AY$30,IF(AL18&gt;0,1,-1),0)</f>
        <v>-1</v>
      </c>
      <c r="M82" s="579">
        <f>IF($AY$30,IF(AL18&gt;0,1,-1),0)</f>
        <v>-1</v>
      </c>
      <c r="N82" s="579">
        <f>IF($AY$30,IF(AL26&gt;0,1,-1),0)</f>
        <v>1</v>
      </c>
      <c r="O82" s="579">
        <f>IF($AY$30,IF(AL26&gt;0,1,-1),0)</f>
        <v>1</v>
      </c>
      <c r="P82" s="579"/>
      <c r="Q82" s="579"/>
      <c r="R82" s="579"/>
      <c r="S82" s="381"/>
      <c r="T82" s="381"/>
      <c r="U82" s="605"/>
      <c r="V82" s="605"/>
      <c r="W82" s="381"/>
      <c r="X82" s="579"/>
      <c r="Y82" s="579"/>
      <c r="Z82" s="579"/>
      <c r="AA82" s="579"/>
      <c r="AB82" s="579"/>
      <c r="AC82" s="580"/>
      <c r="AD82" s="580"/>
      <c r="AE82" s="579"/>
      <c r="AF82" s="579"/>
      <c r="AG82" s="579"/>
      <c r="AH82" s="579"/>
      <c r="AI82" s="579"/>
      <c r="AJ82" s="579"/>
      <c r="AK82" s="579"/>
      <c r="AL82" s="580"/>
      <c r="AM82" s="580"/>
      <c r="AN82" s="579"/>
      <c r="AO82" s="579"/>
      <c r="AP82" s="579"/>
      <c r="AQ82" s="579"/>
      <c r="AR82" s="579"/>
      <c r="AS82" s="579"/>
      <c r="AT82" s="580"/>
      <c r="AU82" s="580"/>
      <c r="AV82" s="581" t="str">
        <f>IF($AY$30,K32,0)</f>
        <v/>
      </c>
      <c r="AW82" s="581">
        <f>IF($AY$32,'Data Sheet'!AA103,0)</f>
        <v>0</v>
      </c>
      <c r="AX82" s="581">
        <f>K31-AY38</f>
        <v>40.704999999999998</v>
      </c>
      <c r="AY82" s="579"/>
      <c r="AZ82" s="579"/>
      <c r="BA82" s="579"/>
      <c r="BB82" s="579"/>
      <c r="BC82" s="579"/>
      <c r="BD82" s="579"/>
      <c r="BE82" s="579"/>
      <c r="BF82" s="579"/>
      <c r="BG82" s="379"/>
      <c r="BH82" s="379"/>
      <c r="BI82" s="379"/>
      <c r="BJ82" s="379"/>
      <c r="BK82" s="379"/>
      <c r="BL82" s="379"/>
      <c r="BM82" s="379"/>
      <c r="BN82" s="379"/>
      <c r="BO82" s="379"/>
      <c r="BP82" s="379"/>
      <c r="BQ82" s="379"/>
      <c r="BR82" s="379"/>
      <c r="BS82" s="379"/>
      <c r="BT82" s="379"/>
      <c r="BU82" s="379"/>
      <c r="BV82" s="379"/>
      <c r="BW82" s="379"/>
      <c r="BX82" s="379"/>
      <c r="BY82" s="379"/>
      <c r="BZ82" s="379"/>
      <c r="CA82" s="379"/>
      <c r="CB82" s="379"/>
      <c r="CC82" s="379"/>
      <c r="CD82" s="379"/>
      <c r="CE82" s="379"/>
      <c r="CF82" s="379"/>
      <c r="CG82" s="379"/>
      <c r="CH82" s="77"/>
      <c r="CI82" s="77"/>
      <c r="CJ82" s="380"/>
      <c r="CK82" s="380"/>
      <c r="CL82" s="381"/>
      <c r="CM82" s="381"/>
      <c r="CN82" s="381"/>
      <c r="CO82" s="694" t="str">
        <f ca="1"/>
        <v>L320Q-2S</v>
      </c>
      <c r="CP82" s="632" t="str">
        <f>IF(OR(CQ82=0,CR82="",CS82&gt;120),"",IF(HLOOKUP(CQ82,Spec_Sheet!$F$3:$ED$19,17,FALSE)&lt;$AC$46,"",CQ82))</f>
        <v>S320Q 2S</v>
      </c>
      <c r="CQ82" s="660" t="str">
        <f>IF(Spec_Sheet!A81="","",Spec_Sheet!A81)</f>
        <v>S320Q 2S</v>
      </c>
      <c r="CR82" s="660">
        <f>IF(CQ82="",0,HLOOKUP(CQ82,Spec_Sheet!$F$3:$ED$19,2,FALSE))</f>
        <v>104.18999999999998</v>
      </c>
      <c r="CS82" s="660">
        <f t="shared" si="461"/>
        <v>9.0317303226087426E-4</v>
      </c>
      <c r="CT82" s="621">
        <f t="shared" si="310"/>
        <v>1.0599739059172762E-3</v>
      </c>
      <c r="CU82" s="621">
        <f t="shared" si="316"/>
        <v>9.0317303226087426E-4</v>
      </c>
      <c r="CV82" s="621">
        <f t="shared" si="311"/>
        <v>1.3005691664556586E-3</v>
      </c>
      <c r="CW82" s="621">
        <f t="shared" si="312"/>
        <v>1.1262065949497397E-3</v>
      </c>
      <c r="CX82" s="621">
        <f t="shared" si="456"/>
        <v>7.2144473971494599E-4</v>
      </c>
      <c r="CY82" s="619">
        <f>HLOOKUP(CQ82,Spec_Sheet!$F$3:$ED$19,13,FALSE)</f>
        <v>2.2000000000000002</v>
      </c>
      <c r="CZ82" s="619">
        <f>VLOOKUP(HH82,'Shaft Weight'!$A$6:$CD$102,HJ82,TRUE)</f>
        <v>2.48</v>
      </c>
      <c r="DA82" s="619">
        <f>VLOOKUP(HI82,'Shaft Weight'!$A$6:$CD$102,HJ82,0)</f>
        <v>3.89</v>
      </c>
      <c r="DB82" s="619">
        <f>HLOOKUP(CQ82,Spec_Sheet!$F$3:$ED$19,6,FALSE)</f>
        <v>45.3</v>
      </c>
      <c r="DC82" s="439">
        <f t="shared" si="317"/>
        <v>3.3306000000000004</v>
      </c>
      <c r="DD82" s="440">
        <f t="shared" si="318"/>
        <v>2.5506000000000006</v>
      </c>
      <c r="DE82" s="439">
        <f t="shared" si="319"/>
        <v>-1.7706000000000006</v>
      </c>
      <c r="DF82" s="439">
        <f t="shared" si="320"/>
        <v>0</v>
      </c>
      <c r="DG82" s="439">
        <f t="shared" si="321"/>
        <v>0</v>
      </c>
      <c r="DH82" s="439">
        <f t="shared" si="322"/>
        <v>0</v>
      </c>
      <c r="DI82" s="439">
        <f t="shared" si="323"/>
        <v>0</v>
      </c>
      <c r="DJ82" s="439">
        <f t="shared" si="324"/>
        <v>0</v>
      </c>
      <c r="DK82" s="439">
        <f t="shared" si="325"/>
        <v>0</v>
      </c>
      <c r="DL82" s="439">
        <f t="shared" si="326"/>
        <v>0</v>
      </c>
      <c r="DM82" s="439">
        <f t="shared" si="327"/>
        <v>0</v>
      </c>
      <c r="DN82" s="439">
        <f t="shared" si="328"/>
        <v>0</v>
      </c>
      <c r="DO82" s="439">
        <f t="shared" si="329"/>
        <v>0</v>
      </c>
      <c r="DP82" s="439">
        <f t="shared" si="330"/>
        <v>0</v>
      </c>
      <c r="DQ82" s="442">
        <f t="shared" si="331"/>
        <v>0</v>
      </c>
      <c r="DR82" s="442">
        <f t="shared" si="332"/>
        <v>0</v>
      </c>
      <c r="DS82" s="439">
        <f t="shared" si="333"/>
        <v>0</v>
      </c>
      <c r="DT82" s="439">
        <f t="shared" si="334"/>
        <v>0</v>
      </c>
      <c r="DU82" s="661">
        <f t="shared" si="335"/>
        <v>0</v>
      </c>
      <c r="DV82" s="661">
        <f t="shared" si="336"/>
        <v>0</v>
      </c>
      <c r="DW82" s="439">
        <f t="shared" si="337"/>
        <v>0</v>
      </c>
      <c r="DX82" s="439">
        <f t="shared" si="338"/>
        <v>0</v>
      </c>
      <c r="DY82" s="439">
        <f t="shared" si="339"/>
        <v>0</v>
      </c>
      <c r="DZ82" s="439">
        <f t="shared" si="340"/>
        <v>0</v>
      </c>
      <c r="EA82" s="631" t="s">
        <v>92</v>
      </c>
      <c r="EB82" s="631">
        <f t="shared" si="451"/>
        <v>0.33921388828025761</v>
      </c>
      <c r="ED82" s="439">
        <f t="shared" si="341"/>
        <v>6.8661600000000007</v>
      </c>
      <c r="EE82" s="440">
        <f t="shared" si="342"/>
        <v>5.2581600000000011</v>
      </c>
      <c r="EF82" s="439">
        <f t="shared" si="343"/>
        <v>-3.650160000000001</v>
      </c>
      <c r="EG82" s="441">
        <f t="shared" si="344"/>
        <v>0</v>
      </c>
      <c r="EH82" s="439">
        <f t="shared" si="345"/>
        <v>0</v>
      </c>
      <c r="EI82" s="439">
        <f t="shared" si="346"/>
        <v>0</v>
      </c>
      <c r="EJ82" s="439">
        <f t="shared" si="347"/>
        <v>0</v>
      </c>
      <c r="EK82" s="439">
        <f t="shared" si="348"/>
        <v>0</v>
      </c>
      <c r="EL82" s="439">
        <f t="shared" si="349"/>
        <v>0</v>
      </c>
      <c r="EM82" s="439">
        <f t="shared" si="350"/>
        <v>0</v>
      </c>
      <c r="EN82" s="439">
        <f t="shared" si="351"/>
        <v>0</v>
      </c>
      <c r="EO82" s="439">
        <f t="shared" si="352"/>
        <v>0</v>
      </c>
      <c r="EP82" s="439">
        <f t="shared" si="353"/>
        <v>0</v>
      </c>
      <c r="EQ82" s="439">
        <f t="shared" si="354"/>
        <v>0</v>
      </c>
      <c r="ER82" s="442">
        <f t="shared" si="355"/>
        <v>0</v>
      </c>
      <c r="ES82" s="442">
        <f t="shared" si="356"/>
        <v>0</v>
      </c>
      <c r="ET82" s="439">
        <f t="shared" si="357"/>
        <v>0</v>
      </c>
      <c r="EU82" s="439">
        <f t="shared" si="358"/>
        <v>0</v>
      </c>
      <c r="EV82" s="661">
        <f t="shared" si="359"/>
        <v>0</v>
      </c>
      <c r="EW82" s="661">
        <f t="shared" si="360"/>
        <v>0</v>
      </c>
      <c r="EX82" s="439">
        <f t="shared" si="361"/>
        <v>0</v>
      </c>
      <c r="EY82" s="439">
        <f t="shared" si="362"/>
        <v>0</v>
      </c>
      <c r="EZ82" s="439">
        <f t="shared" si="363"/>
        <v>0</v>
      </c>
      <c r="FA82" s="439">
        <f t="shared" si="364"/>
        <v>0</v>
      </c>
      <c r="FB82" s="631" t="s">
        <v>92</v>
      </c>
      <c r="FC82" s="631">
        <f t="shared" si="452"/>
        <v>0.69930247737776174</v>
      </c>
      <c r="FE82" s="439">
        <f t="shared" si="365"/>
        <v>3.6892800000000001</v>
      </c>
      <c r="FF82" s="440">
        <f t="shared" si="366"/>
        <v>2.8252800000000002</v>
      </c>
      <c r="FG82" s="439">
        <f t="shared" si="367"/>
        <v>-1.9612800000000004</v>
      </c>
      <c r="FH82" s="441">
        <f t="shared" si="368"/>
        <v>0</v>
      </c>
      <c r="FI82" s="439">
        <f t="shared" si="369"/>
        <v>0</v>
      </c>
      <c r="FJ82" s="439">
        <f t="shared" si="370"/>
        <v>0</v>
      </c>
      <c r="FK82" s="439">
        <f t="shared" si="371"/>
        <v>0</v>
      </c>
      <c r="FL82" s="439">
        <f t="shared" si="372"/>
        <v>0</v>
      </c>
      <c r="FM82" s="439">
        <f t="shared" si="373"/>
        <v>0</v>
      </c>
      <c r="FN82" s="439">
        <f t="shared" si="374"/>
        <v>0</v>
      </c>
      <c r="FO82" s="439">
        <f t="shared" si="375"/>
        <v>0</v>
      </c>
      <c r="FP82" s="439">
        <f t="shared" si="376"/>
        <v>0</v>
      </c>
      <c r="FQ82" s="439">
        <f t="shared" si="377"/>
        <v>0</v>
      </c>
      <c r="FR82" s="439">
        <f t="shared" si="378"/>
        <v>0</v>
      </c>
      <c r="FS82" s="442">
        <f t="shared" si="379"/>
        <v>0</v>
      </c>
      <c r="FT82" s="442">
        <f t="shared" si="380"/>
        <v>0</v>
      </c>
      <c r="FU82" s="439">
        <f t="shared" si="381"/>
        <v>0</v>
      </c>
      <c r="FV82" s="439">
        <f t="shared" si="382"/>
        <v>0</v>
      </c>
      <c r="FW82" s="661">
        <f t="shared" si="383"/>
        <v>0</v>
      </c>
      <c r="FX82" s="661">
        <f t="shared" si="384"/>
        <v>0</v>
      </c>
      <c r="FY82" s="439">
        <f t="shared" si="385"/>
        <v>0</v>
      </c>
      <c r="FZ82" s="439">
        <f t="shared" si="386"/>
        <v>0</v>
      </c>
      <c r="GA82" s="439">
        <f t="shared" si="387"/>
        <v>0</v>
      </c>
      <c r="GB82" s="439">
        <f t="shared" si="388"/>
        <v>0</v>
      </c>
      <c r="GC82" s="631" t="s">
        <v>92</v>
      </c>
      <c r="GD82" s="631">
        <f t="shared" si="453"/>
        <v>0.37574461471043913</v>
      </c>
      <c r="GF82" s="439">
        <f t="shared" si="389"/>
        <v>5.4954900000000002</v>
      </c>
      <c r="GG82" s="440">
        <f t="shared" si="390"/>
        <v>4.2084900000000003</v>
      </c>
      <c r="GH82" s="439">
        <f t="shared" si="391"/>
        <v>-2.9214900000000004</v>
      </c>
      <c r="GI82" s="439">
        <f t="shared" si="392"/>
        <v>0</v>
      </c>
      <c r="GJ82" s="439">
        <f t="shared" si="393"/>
        <v>0</v>
      </c>
      <c r="GK82" s="439">
        <f t="shared" si="394"/>
        <v>0</v>
      </c>
      <c r="GL82" s="439">
        <f t="shared" si="395"/>
        <v>0</v>
      </c>
      <c r="GM82" s="439">
        <f t="shared" si="396"/>
        <v>0</v>
      </c>
      <c r="GN82" s="439">
        <f t="shared" si="397"/>
        <v>0</v>
      </c>
      <c r="GO82" s="439">
        <f t="shared" si="398"/>
        <v>0</v>
      </c>
      <c r="GP82" s="439">
        <f t="shared" si="399"/>
        <v>0</v>
      </c>
      <c r="GQ82" s="439">
        <f t="shared" si="400"/>
        <v>0</v>
      </c>
      <c r="GR82" s="439">
        <f t="shared" si="401"/>
        <v>0</v>
      </c>
      <c r="GS82" s="439">
        <f t="shared" si="402"/>
        <v>0</v>
      </c>
      <c r="GT82" s="442">
        <f t="shared" si="403"/>
        <v>0</v>
      </c>
      <c r="GU82" s="442">
        <f t="shared" si="404"/>
        <v>0</v>
      </c>
      <c r="GV82" s="439">
        <f t="shared" si="405"/>
        <v>0</v>
      </c>
      <c r="GW82" s="439">
        <f t="shared" si="406"/>
        <v>0</v>
      </c>
      <c r="GX82" s="661">
        <f t="shared" si="407"/>
        <v>0</v>
      </c>
      <c r="GY82" s="661">
        <f t="shared" si="408"/>
        <v>0</v>
      </c>
      <c r="GZ82" s="439">
        <f t="shared" si="409"/>
        <v>0</v>
      </c>
      <c r="HA82" s="439">
        <f t="shared" si="410"/>
        <v>0</v>
      </c>
      <c r="HB82" s="439">
        <f t="shared" si="411"/>
        <v>0</v>
      </c>
      <c r="HC82" s="439">
        <f t="shared" si="412"/>
        <v>0</v>
      </c>
      <c r="HD82" s="631" t="s">
        <v>92</v>
      </c>
      <c r="HE82" s="631">
        <f t="shared" si="306"/>
        <v>0.55970291566242503</v>
      </c>
      <c r="HG82" s="618">
        <f>HLOOKUP(CQ82,Spec_Sheet!$F$3:$DV$19,11,FALSE)+HLOOKUP(CQ82,Spec_Sheet!$F$3:$DV$21,19,FALSE)</f>
        <v>300</v>
      </c>
      <c r="HH82" s="618">
        <f t="shared" si="454"/>
        <v>100</v>
      </c>
      <c r="HI82" s="634">
        <f t="shared" si="455"/>
        <v>350</v>
      </c>
      <c r="HJ82" s="634">
        <f>HLOOKUP(IF(LEN(CQ82)&gt;6,LEFT(CQ82,5),CQ82),'LSM List Pricing'!$B$1:$BW$2,2,0)</f>
        <v>54</v>
      </c>
      <c r="HK82" s="634">
        <f>HLOOKUP(HJ82,'LSM List Pricing'!$B$2:$BW$3,2)</f>
        <v>850</v>
      </c>
      <c r="HL82" s="634">
        <f>VLOOKUP(HH82,'LSM List Pricing'!$A$7:$BW$87,HJ82,0)</f>
        <v>960</v>
      </c>
      <c r="HM82" s="627">
        <f>VLOOKUP(HI82,'LSM List Pricing'!$A$7:$BW$87,HJ82,1)</f>
        <v>1450</v>
      </c>
      <c r="HN82" s="628">
        <f t="shared" si="307"/>
        <v>4.6410256410256414</v>
      </c>
      <c r="HO82" s="628">
        <f t="shared" si="308"/>
        <v>9.2820512820512828</v>
      </c>
      <c r="HP82" s="628">
        <f t="shared" si="309"/>
        <v>8.0769230769230766</v>
      </c>
      <c r="HR82" s="618">
        <v>3.95E-2</v>
      </c>
      <c r="HS82" s="618">
        <f t="shared" si="457"/>
        <v>265.21428571428572</v>
      </c>
      <c r="HT82" s="618">
        <f t="shared" si="458"/>
        <v>1</v>
      </c>
      <c r="HU82" s="618">
        <f t="shared" si="170"/>
        <v>1.0059246977081184</v>
      </c>
      <c r="HW82" s="618">
        <f t="shared" si="413"/>
        <v>34.571586929254472</v>
      </c>
      <c r="HX82" s="618">
        <f t="shared" si="171"/>
        <v>0.98571546762217555</v>
      </c>
      <c r="HY82" s="618">
        <f t="shared" si="172"/>
        <v>3.95E-2</v>
      </c>
      <c r="IB82" s="618">
        <f t="shared" si="414"/>
        <v>25.000350341399081</v>
      </c>
      <c r="IC82" s="618">
        <f t="shared" si="415"/>
        <v>1E-3</v>
      </c>
      <c r="IE82" s="618">
        <f t="shared" si="416"/>
        <v>0</v>
      </c>
      <c r="IF82" s="618">
        <f t="shared" si="417"/>
        <v>40.704999999999998</v>
      </c>
      <c r="IH82" s="618">
        <f t="shared" si="418"/>
        <v>0</v>
      </c>
      <c r="II82" s="618">
        <f t="shared" si="419"/>
        <v>40.704999999999998</v>
      </c>
      <c r="IK82" s="618">
        <f t="shared" si="420"/>
        <v>0</v>
      </c>
      <c r="IL82" s="618">
        <f t="shared" si="421"/>
        <v>40.704999999999998</v>
      </c>
      <c r="IN82" s="618">
        <f t="shared" si="422"/>
        <v>0</v>
      </c>
      <c r="IO82" s="618">
        <f t="shared" si="423"/>
        <v>40.704999999999998</v>
      </c>
      <c r="IQ82" s="618">
        <f t="shared" si="424"/>
        <v>0</v>
      </c>
      <c r="IR82" s="618">
        <f t="shared" si="425"/>
        <v>40.704999999999998</v>
      </c>
      <c r="IT82" s="660" t="str">
        <f t="shared" si="426"/>
        <v>S320Q 2S</v>
      </c>
      <c r="IU82" s="628"/>
      <c r="IV82" s="439">
        <f t="shared" si="427"/>
        <v>6.1488000000000014</v>
      </c>
      <c r="IW82" s="440">
        <f t="shared" si="428"/>
        <v>4.708800000000001</v>
      </c>
      <c r="IX82" s="439">
        <f t="shared" si="429"/>
        <v>-3.2688000000000006</v>
      </c>
      <c r="IY82" s="439">
        <f t="shared" si="430"/>
        <v>0</v>
      </c>
      <c r="IZ82" s="439">
        <f t="shared" si="431"/>
        <v>0</v>
      </c>
      <c r="JA82" s="439">
        <f t="shared" si="432"/>
        <v>0</v>
      </c>
      <c r="JB82" s="439">
        <f t="shared" si="433"/>
        <v>0</v>
      </c>
      <c r="JC82" s="439">
        <f t="shared" si="434"/>
        <v>0</v>
      </c>
      <c r="JD82" s="439">
        <f t="shared" si="435"/>
        <v>0</v>
      </c>
      <c r="JE82" s="439">
        <f t="shared" si="436"/>
        <v>0</v>
      </c>
      <c r="JF82" s="439">
        <f t="shared" si="437"/>
        <v>0</v>
      </c>
      <c r="JG82" s="439">
        <f t="shared" si="438"/>
        <v>0</v>
      </c>
      <c r="JH82" s="439">
        <f t="shared" si="439"/>
        <v>0</v>
      </c>
      <c r="JI82" s="439">
        <f t="shared" si="440"/>
        <v>0</v>
      </c>
      <c r="JJ82" s="442">
        <f t="shared" si="441"/>
        <v>0</v>
      </c>
      <c r="JK82" s="442">
        <f t="shared" si="442"/>
        <v>0</v>
      </c>
      <c r="JL82" s="439">
        <f t="shared" si="443"/>
        <v>0</v>
      </c>
      <c r="JM82" s="439">
        <f t="shared" si="444"/>
        <v>0</v>
      </c>
      <c r="JN82" s="661">
        <f t="shared" si="445"/>
        <v>0</v>
      </c>
      <c r="JO82" s="661">
        <f t="shared" si="446"/>
        <v>0</v>
      </c>
      <c r="JP82" s="439">
        <f t="shared" si="447"/>
        <v>0</v>
      </c>
      <c r="JQ82" s="439">
        <f t="shared" si="448"/>
        <v>0</v>
      </c>
      <c r="JR82" s="439">
        <f t="shared" si="449"/>
        <v>0</v>
      </c>
      <c r="JS82" s="439">
        <f t="shared" si="450"/>
        <v>0</v>
      </c>
      <c r="JT82" s="631" t="s">
        <v>92</v>
      </c>
      <c r="JU82" s="631">
        <f t="shared" si="459"/>
        <v>0.62624102451739871</v>
      </c>
      <c r="JW82" s="522"/>
      <c r="JX82" s="522"/>
      <c r="JY82" s="522"/>
      <c r="JZ82" s="522"/>
      <c r="KA82" s="522"/>
      <c r="KB82" s="522"/>
      <c r="KC82" s="522"/>
      <c r="KD82" s="522"/>
      <c r="KE82" s="522"/>
      <c r="KF82" s="522"/>
      <c r="KG82" s="522"/>
      <c r="KH82" s="522"/>
      <c r="KI82" s="522"/>
      <c r="KJ82" s="522"/>
      <c r="KK82" s="522"/>
      <c r="KL82" s="522"/>
    </row>
    <row r="83" spans="1:298">
      <c r="A83" s="334"/>
      <c r="B83" s="579">
        <v>0</v>
      </c>
      <c r="C83" s="579"/>
      <c r="D83" s="579">
        <f>IF($B83&lt;$C$77,(D$81*((D$76*$B83)^2))/(2*D$77),IF($B83&gt;($C$77+$C$78),D$80-D91,D$81*((D$77/2)+(($B83*D$76)-D$77))))</f>
        <v>0</v>
      </c>
      <c r="E83" s="579">
        <f>IF($B83&lt;$C$77,(E$81*((E$76*$B83)^2))/(2*E$77),IF($B83&gt;($C$77+$C$78),E$80-E93,E$81*((E$77/2)+(($B83*E$76)-E$77))))</f>
        <v>0</v>
      </c>
      <c r="F83" s="579" t="e">
        <f t="shared" ref="F83:O83" si="465">IF($B83&lt;$C$77,(F$81*((F$76*$B83)^2))/(2*F$77),IF($B83&gt;($C$77+$C$78),F$80-F93,F$81*((F$77/2)+(($B83*F$76)-F$77))))</f>
        <v>#DIV/0!</v>
      </c>
      <c r="G83" s="579" t="e">
        <f t="shared" si="465"/>
        <v>#DIV/0!</v>
      </c>
      <c r="H83" s="579" t="e">
        <f t="shared" si="465"/>
        <v>#DIV/0!</v>
      </c>
      <c r="I83" s="579" t="e">
        <f t="shared" si="465"/>
        <v>#DIV/0!</v>
      </c>
      <c r="J83" s="579" t="e">
        <f t="shared" si="465"/>
        <v>#DIV/0!</v>
      </c>
      <c r="K83" s="579" t="e">
        <f t="shared" si="465"/>
        <v>#DIV/0!</v>
      </c>
      <c r="L83" s="579" t="e">
        <f t="shared" si="465"/>
        <v>#DIV/0!</v>
      </c>
      <c r="M83" s="579" t="e">
        <f t="shared" si="465"/>
        <v>#DIV/0!</v>
      </c>
      <c r="N83" s="579" t="e">
        <f t="shared" si="465"/>
        <v>#DIV/0!</v>
      </c>
      <c r="O83" s="579" t="e">
        <f t="shared" si="465"/>
        <v>#DIV/0!</v>
      </c>
      <c r="P83" s="579"/>
      <c r="Q83" s="579"/>
      <c r="R83" s="579"/>
      <c r="S83" s="381"/>
      <c r="T83" s="381"/>
      <c r="U83" s="605"/>
      <c r="V83" s="605"/>
      <c r="W83" s="381"/>
      <c r="X83" s="579"/>
      <c r="Y83" s="579"/>
      <c r="Z83" s="579"/>
      <c r="AA83" s="579"/>
      <c r="AB83" s="579"/>
      <c r="AC83" s="580"/>
      <c r="AD83" s="580"/>
      <c r="AE83" s="579"/>
      <c r="AF83" s="579"/>
      <c r="AG83" s="579"/>
      <c r="AH83" s="579"/>
      <c r="AI83" s="579"/>
      <c r="AJ83" s="579"/>
      <c r="AK83" s="579"/>
      <c r="AL83" s="580"/>
      <c r="AM83" s="580"/>
      <c r="AN83" s="579"/>
      <c r="AO83" s="579"/>
      <c r="AP83" s="579"/>
      <c r="AQ83" s="579"/>
      <c r="AR83" s="579"/>
      <c r="AS83" s="579"/>
      <c r="AT83" s="580"/>
      <c r="AU83" s="580"/>
      <c r="AV83" s="581" t="e">
        <f>H83*$H$82</f>
        <v>#DIV/0!</v>
      </c>
      <c r="AW83" s="581" t="e">
        <f>IF($AY$32,'Data Sheet'!AA104,0)</f>
        <v>#DIV/0!</v>
      </c>
      <c r="AX83" s="581">
        <f>AX82</f>
        <v>40.704999999999998</v>
      </c>
      <c r="AY83" s="579"/>
      <c r="AZ83" s="579"/>
      <c r="BA83" s="579"/>
      <c r="BB83" s="579"/>
      <c r="BC83" s="579"/>
      <c r="BD83" s="579"/>
      <c r="BE83" s="579"/>
      <c r="BF83" s="579"/>
      <c r="BG83" s="379"/>
      <c r="BH83" s="379"/>
      <c r="BI83" s="379"/>
      <c r="BJ83" s="379"/>
      <c r="BK83" s="379"/>
      <c r="BL83" s="379"/>
      <c r="BM83" s="379"/>
      <c r="BN83" s="379"/>
      <c r="BO83" s="379"/>
      <c r="BP83" s="379"/>
      <c r="BQ83" s="379"/>
      <c r="BR83" s="379"/>
      <c r="BS83" s="379"/>
      <c r="BT83" s="379"/>
      <c r="BU83" s="379"/>
      <c r="BV83" s="379"/>
      <c r="BW83" s="379"/>
      <c r="BX83" s="379"/>
      <c r="BY83" s="379"/>
      <c r="BZ83" s="379"/>
      <c r="CA83" s="379"/>
      <c r="CB83" s="379"/>
      <c r="CC83" s="379"/>
      <c r="CD83" s="379"/>
      <c r="CE83" s="379"/>
      <c r="CF83" s="379"/>
      <c r="CG83" s="379"/>
      <c r="CH83" s="77"/>
      <c r="CI83" s="77"/>
      <c r="CJ83" s="380"/>
      <c r="CK83" s="380"/>
      <c r="CL83" s="381"/>
      <c r="CM83" s="381"/>
      <c r="CN83" s="445"/>
      <c r="CO83" s="694" t="str">
        <f ca="1"/>
        <v>L427D</v>
      </c>
      <c r="CP83" s="632" t="str">
        <f>IF(OR(CQ83=0,CR83="",CS83&gt;120),"",IF(HLOOKUP(CQ83,Spec_Sheet!$F$3:$ED$19,17,FALSE)&lt;$AC$46,"",CQ83))</f>
        <v>L320Q</v>
      </c>
      <c r="CQ83" s="660" t="str">
        <f>IF(Spec_Sheet!A82="","",Spec_Sheet!A82)</f>
        <v>L320Q</v>
      </c>
      <c r="CR83" s="660">
        <f>IF(CQ83="",0,HLOOKUP(CQ83,Spec_Sheet!$F$3:$ED$19,2,FALSE))</f>
        <v>109</v>
      </c>
      <c r="CS83" s="660">
        <f t="shared" si="461"/>
        <v>1.1002416320370517E-3</v>
      </c>
      <c r="CT83" s="621">
        <f t="shared" si="310"/>
        <v>1.2647823164410423E-3</v>
      </c>
      <c r="CU83" s="621">
        <f t="shared" si="316"/>
        <v>1.1002416320370517E-3</v>
      </c>
      <c r="CV83" s="621">
        <f t="shared" si="311"/>
        <v>1.1883176120183179E-3</v>
      </c>
      <c r="CW83" s="621">
        <f t="shared" si="312"/>
        <v>1.0290041975984238E-3</v>
      </c>
      <c r="CX83" s="621">
        <f t="shared" si="456"/>
        <v>6.591771605946882E-4</v>
      </c>
      <c r="CY83" s="619">
        <f>HLOOKUP(CQ83,Spec_Sheet!$F$3:$ED$19,13,FALSE)</f>
        <v>2.5712152351307269</v>
      </c>
      <c r="CZ83" s="619">
        <f>VLOOKUP(HH83,'Shaft Weight'!$A$6:$CD$102,HJ83,TRUE)</f>
        <v>2.48</v>
      </c>
      <c r="DA83" s="619">
        <f>VLOOKUP(HI83,'Shaft Weight'!$A$6:$CD$102,HJ83,0)</f>
        <v>3.89</v>
      </c>
      <c r="DB83" s="619">
        <f>HLOOKUP(CQ83,Spec_Sheet!$F$3:$ED$19,6,FALSE)</f>
        <v>87.2</v>
      </c>
      <c r="DC83" s="439">
        <f t="shared" si="317"/>
        <v>3.8061267162024612</v>
      </c>
      <c r="DD83" s="440">
        <f t="shared" si="318"/>
        <v>2.9147621456632433</v>
      </c>
      <c r="DE83" s="439">
        <f t="shared" si="319"/>
        <v>-2.0233975751240254</v>
      </c>
      <c r="DF83" s="439">
        <f t="shared" si="320"/>
        <v>0</v>
      </c>
      <c r="DG83" s="439">
        <f t="shared" si="321"/>
        <v>0</v>
      </c>
      <c r="DH83" s="439">
        <f t="shared" si="322"/>
        <v>0</v>
      </c>
      <c r="DI83" s="439">
        <f t="shared" si="323"/>
        <v>0</v>
      </c>
      <c r="DJ83" s="439">
        <f t="shared" si="324"/>
        <v>0</v>
      </c>
      <c r="DK83" s="439">
        <f t="shared" si="325"/>
        <v>0</v>
      </c>
      <c r="DL83" s="439">
        <f t="shared" si="326"/>
        <v>0</v>
      </c>
      <c r="DM83" s="439">
        <f t="shared" si="327"/>
        <v>0</v>
      </c>
      <c r="DN83" s="439">
        <f t="shared" si="328"/>
        <v>0</v>
      </c>
      <c r="DO83" s="439">
        <f t="shared" si="329"/>
        <v>0</v>
      </c>
      <c r="DP83" s="439">
        <f t="shared" si="330"/>
        <v>0</v>
      </c>
      <c r="DQ83" s="442">
        <f t="shared" si="331"/>
        <v>0</v>
      </c>
      <c r="DR83" s="442">
        <f t="shared" si="332"/>
        <v>0</v>
      </c>
      <c r="DS83" s="439">
        <f t="shared" si="333"/>
        <v>0</v>
      </c>
      <c r="DT83" s="439">
        <f t="shared" si="334"/>
        <v>0</v>
      </c>
      <c r="DU83" s="661">
        <f t="shared" si="335"/>
        <v>0</v>
      </c>
      <c r="DV83" s="661">
        <f t="shared" si="336"/>
        <v>0</v>
      </c>
      <c r="DW83" s="439">
        <f t="shared" si="337"/>
        <v>0</v>
      </c>
      <c r="DX83" s="439">
        <f t="shared" si="338"/>
        <v>0</v>
      </c>
      <c r="DY83" s="439">
        <f t="shared" si="339"/>
        <v>0</v>
      </c>
      <c r="DZ83" s="439">
        <f t="shared" si="340"/>
        <v>0</v>
      </c>
      <c r="EA83" s="631" t="s">
        <v>92</v>
      </c>
      <c r="EB83" s="631">
        <f t="shared" si="451"/>
        <v>0.38764518185624369</v>
      </c>
      <c r="ED83" s="439">
        <f t="shared" si="341"/>
        <v>6.8661600000000007</v>
      </c>
      <c r="EE83" s="440">
        <f t="shared" si="342"/>
        <v>5.2581600000000011</v>
      </c>
      <c r="EF83" s="439">
        <f t="shared" si="343"/>
        <v>-3.650160000000001</v>
      </c>
      <c r="EG83" s="441">
        <f t="shared" si="344"/>
        <v>0</v>
      </c>
      <c r="EH83" s="439">
        <f t="shared" si="345"/>
        <v>0</v>
      </c>
      <c r="EI83" s="439">
        <f t="shared" si="346"/>
        <v>0</v>
      </c>
      <c r="EJ83" s="439">
        <f t="shared" si="347"/>
        <v>0</v>
      </c>
      <c r="EK83" s="439">
        <f t="shared" si="348"/>
        <v>0</v>
      </c>
      <c r="EL83" s="439">
        <f t="shared" si="349"/>
        <v>0</v>
      </c>
      <c r="EM83" s="439">
        <f t="shared" si="350"/>
        <v>0</v>
      </c>
      <c r="EN83" s="439">
        <f t="shared" si="351"/>
        <v>0</v>
      </c>
      <c r="EO83" s="439">
        <f t="shared" si="352"/>
        <v>0</v>
      </c>
      <c r="EP83" s="439">
        <f t="shared" si="353"/>
        <v>0</v>
      </c>
      <c r="EQ83" s="439">
        <f t="shared" si="354"/>
        <v>0</v>
      </c>
      <c r="ER83" s="442">
        <f t="shared" si="355"/>
        <v>0</v>
      </c>
      <c r="ES83" s="442">
        <f t="shared" si="356"/>
        <v>0</v>
      </c>
      <c r="ET83" s="439">
        <f t="shared" si="357"/>
        <v>0</v>
      </c>
      <c r="EU83" s="439">
        <f t="shared" si="358"/>
        <v>0</v>
      </c>
      <c r="EV83" s="661">
        <f t="shared" si="359"/>
        <v>0</v>
      </c>
      <c r="EW83" s="661">
        <f t="shared" si="360"/>
        <v>0</v>
      </c>
      <c r="EX83" s="439">
        <f t="shared" si="361"/>
        <v>0</v>
      </c>
      <c r="EY83" s="439">
        <f t="shared" si="362"/>
        <v>0</v>
      </c>
      <c r="EZ83" s="439">
        <f t="shared" si="363"/>
        <v>0</v>
      </c>
      <c r="FA83" s="439">
        <f t="shared" si="364"/>
        <v>0</v>
      </c>
      <c r="FB83" s="631" t="s">
        <v>92</v>
      </c>
      <c r="FC83" s="631">
        <f t="shared" si="452"/>
        <v>0.69930247737776174</v>
      </c>
      <c r="FE83" s="439">
        <f t="shared" si="365"/>
        <v>3.6892800000000001</v>
      </c>
      <c r="FF83" s="440">
        <f t="shared" si="366"/>
        <v>2.8252800000000002</v>
      </c>
      <c r="FG83" s="439">
        <f t="shared" si="367"/>
        <v>-1.9612800000000004</v>
      </c>
      <c r="FH83" s="441">
        <f t="shared" si="368"/>
        <v>0</v>
      </c>
      <c r="FI83" s="439">
        <f t="shared" si="369"/>
        <v>0</v>
      </c>
      <c r="FJ83" s="439">
        <f t="shared" si="370"/>
        <v>0</v>
      </c>
      <c r="FK83" s="439">
        <f t="shared" si="371"/>
        <v>0</v>
      </c>
      <c r="FL83" s="439">
        <f t="shared" si="372"/>
        <v>0</v>
      </c>
      <c r="FM83" s="439">
        <f t="shared" si="373"/>
        <v>0</v>
      </c>
      <c r="FN83" s="439">
        <f t="shared" si="374"/>
        <v>0</v>
      </c>
      <c r="FO83" s="439">
        <f t="shared" si="375"/>
        <v>0</v>
      </c>
      <c r="FP83" s="439">
        <f t="shared" si="376"/>
        <v>0</v>
      </c>
      <c r="FQ83" s="439">
        <f t="shared" si="377"/>
        <v>0</v>
      </c>
      <c r="FR83" s="439">
        <f t="shared" si="378"/>
        <v>0</v>
      </c>
      <c r="FS83" s="442">
        <f t="shared" si="379"/>
        <v>0</v>
      </c>
      <c r="FT83" s="442">
        <f t="shared" si="380"/>
        <v>0</v>
      </c>
      <c r="FU83" s="439">
        <f t="shared" si="381"/>
        <v>0</v>
      </c>
      <c r="FV83" s="439">
        <f t="shared" si="382"/>
        <v>0</v>
      </c>
      <c r="FW83" s="661">
        <f t="shared" si="383"/>
        <v>0</v>
      </c>
      <c r="FX83" s="661">
        <f t="shared" si="384"/>
        <v>0</v>
      </c>
      <c r="FY83" s="439">
        <f t="shared" si="385"/>
        <v>0</v>
      </c>
      <c r="FZ83" s="439">
        <f t="shared" si="386"/>
        <v>0</v>
      </c>
      <c r="GA83" s="439">
        <f t="shared" si="387"/>
        <v>0</v>
      </c>
      <c r="GB83" s="439">
        <f t="shared" si="388"/>
        <v>0</v>
      </c>
      <c r="GC83" s="631" t="s">
        <v>92</v>
      </c>
      <c r="GD83" s="631">
        <f t="shared" si="453"/>
        <v>0.37574461471043913</v>
      </c>
      <c r="GF83" s="439">
        <f t="shared" si="389"/>
        <v>5.4954900000000002</v>
      </c>
      <c r="GG83" s="440">
        <f t="shared" si="390"/>
        <v>4.2084900000000003</v>
      </c>
      <c r="GH83" s="439">
        <f t="shared" si="391"/>
        <v>-2.9214900000000004</v>
      </c>
      <c r="GI83" s="439">
        <f t="shared" si="392"/>
        <v>0</v>
      </c>
      <c r="GJ83" s="439">
        <f t="shared" si="393"/>
        <v>0</v>
      </c>
      <c r="GK83" s="439">
        <f t="shared" si="394"/>
        <v>0</v>
      </c>
      <c r="GL83" s="439">
        <f t="shared" si="395"/>
        <v>0</v>
      </c>
      <c r="GM83" s="439">
        <f t="shared" si="396"/>
        <v>0</v>
      </c>
      <c r="GN83" s="439">
        <f t="shared" si="397"/>
        <v>0</v>
      </c>
      <c r="GO83" s="439">
        <f t="shared" si="398"/>
        <v>0</v>
      </c>
      <c r="GP83" s="439">
        <f t="shared" si="399"/>
        <v>0</v>
      </c>
      <c r="GQ83" s="439">
        <f t="shared" si="400"/>
        <v>0</v>
      </c>
      <c r="GR83" s="439">
        <f t="shared" si="401"/>
        <v>0</v>
      </c>
      <c r="GS83" s="439">
        <f t="shared" si="402"/>
        <v>0</v>
      </c>
      <c r="GT83" s="442">
        <f t="shared" si="403"/>
        <v>0</v>
      </c>
      <c r="GU83" s="442">
        <f t="shared" si="404"/>
        <v>0</v>
      </c>
      <c r="GV83" s="439">
        <f t="shared" si="405"/>
        <v>0</v>
      </c>
      <c r="GW83" s="439">
        <f t="shared" si="406"/>
        <v>0</v>
      </c>
      <c r="GX83" s="661">
        <f t="shared" si="407"/>
        <v>0</v>
      </c>
      <c r="GY83" s="661">
        <f t="shared" si="408"/>
        <v>0</v>
      </c>
      <c r="GZ83" s="439">
        <f t="shared" si="409"/>
        <v>0</v>
      </c>
      <c r="HA83" s="439">
        <f t="shared" si="410"/>
        <v>0</v>
      </c>
      <c r="HB83" s="439">
        <f t="shared" si="411"/>
        <v>0</v>
      </c>
      <c r="HC83" s="439">
        <f t="shared" si="412"/>
        <v>0</v>
      </c>
      <c r="HD83" s="631" t="s">
        <v>92</v>
      </c>
      <c r="HE83" s="631">
        <f t="shared" si="306"/>
        <v>0.55970291566242503</v>
      </c>
      <c r="HG83" s="618">
        <f>HLOOKUP(CQ83,Spec_Sheet!$F$3:$DV$19,11,FALSE)+HLOOKUP(CQ83,Spec_Sheet!$F$3:$DV$21,19,FALSE)</f>
        <v>300</v>
      </c>
      <c r="HH83" s="618">
        <f t="shared" si="454"/>
        <v>100</v>
      </c>
      <c r="HI83" s="634">
        <f t="shared" si="455"/>
        <v>350</v>
      </c>
      <c r="HJ83" s="634">
        <f>HLOOKUP(IF(LEN(CQ83)&gt;6,LEFT(CQ83,5),CQ83),'LSM List Pricing'!$B$1:$BW$2,2,0)</f>
        <v>20</v>
      </c>
      <c r="HK83" s="634">
        <f>HLOOKUP(HJ83,'LSM List Pricing'!$B$2:$BW$3,2)</f>
        <v>850</v>
      </c>
      <c r="HL83" s="634">
        <f>VLOOKUP(HH83,'LSM List Pricing'!$A$7:$BW$87,HJ83,0)</f>
        <v>960</v>
      </c>
      <c r="HM83" s="627">
        <f>VLOOKUP(HI83,'LSM List Pricing'!$A$7:$BW$87,HJ83,1)</f>
        <v>1450</v>
      </c>
      <c r="HN83" s="628">
        <f t="shared" si="307"/>
        <v>4.6410256410256414</v>
      </c>
      <c r="HO83" s="628">
        <f t="shared" si="308"/>
        <v>9.2820512820512828</v>
      </c>
      <c r="HP83" s="628">
        <f t="shared" si="309"/>
        <v>8.0769230769230766</v>
      </c>
      <c r="HR83" s="618">
        <v>0.04</v>
      </c>
      <c r="HS83" s="618">
        <f t="shared" si="457"/>
        <v>268.57142857142856</v>
      </c>
      <c r="HT83" s="618">
        <f t="shared" si="458"/>
        <v>1</v>
      </c>
      <c r="HU83" s="618">
        <f t="shared" ref="HU83:HU146" si="466">(((($AQ$45*HT83)*$AQ$34)/(Mc+ML)))*(HR83-HR82)+HU82</f>
        <v>1.0186637416817432</v>
      </c>
      <c r="HW83" s="618">
        <f t="shared" si="413"/>
        <v>34.553497486811928</v>
      </c>
      <c r="HX83" s="618">
        <f t="shared" ref="HX83:HX146" si="467">IF(HW83&lt;0,HX82,(((HW83/$AQ$44*HT83)*$AQ$34)/(Mc+ML))*(HR83-HR82)+HX82)</f>
        <v>0.99794264884237083</v>
      </c>
      <c r="HY83" s="618">
        <f t="shared" ref="HY83:HY146" si="468">HR83</f>
        <v>0.04</v>
      </c>
      <c r="IB83" s="618">
        <f t="shared" si="414"/>
        <v>25.000350341399081</v>
      </c>
      <c r="IC83" s="618">
        <f t="shared" si="415"/>
        <v>1E-3</v>
      </c>
      <c r="IE83" s="618">
        <f t="shared" si="416"/>
        <v>0</v>
      </c>
      <c r="IF83" s="618">
        <f t="shared" si="417"/>
        <v>40.704999999999998</v>
      </c>
      <c r="IH83" s="618">
        <f t="shared" si="418"/>
        <v>0</v>
      </c>
      <c r="II83" s="618">
        <f t="shared" si="419"/>
        <v>40.704999999999998</v>
      </c>
      <c r="IK83" s="618">
        <f t="shared" si="420"/>
        <v>0</v>
      </c>
      <c r="IL83" s="618">
        <f t="shared" si="421"/>
        <v>40.704999999999998</v>
      </c>
      <c r="IN83" s="618">
        <f t="shared" si="422"/>
        <v>0</v>
      </c>
      <c r="IO83" s="618">
        <f t="shared" si="423"/>
        <v>40.704999999999998</v>
      </c>
      <c r="IQ83" s="618">
        <f t="shared" si="424"/>
        <v>0</v>
      </c>
      <c r="IR83" s="618">
        <f t="shared" si="425"/>
        <v>40.704999999999998</v>
      </c>
      <c r="IT83" s="660" t="str">
        <f t="shared" si="426"/>
        <v>L320Q</v>
      </c>
      <c r="IU83" s="628"/>
      <c r="IV83" s="439">
        <f t="shared" si="427"/>
        <v>7.0998534324049238</v>
      </c>
      <c r="IW83" s="440">
        <f t="shared" si="428"/>
        <v>5.4371242913264872</v>
      </c>
      <c r="IX83" s="439">
        <f t="shared" si="429"/>
        <v>-3.7743951502480511</v>
      </c>
      <c r="IY83" s="439">
        <f t="shared" si="430"/>
        <v>0</v>
      </c>
      <c r="IZ83" s="439">
        <f t="shared" si="431"/>
        <v>0</v>
      </c>
      <c r="JA83" s="439">
        <f t="shared" si="432"/>
        <v>0</v>
      </c>
      <c r="JB83" s="439">
        <f t="shared" si="433"/>
        <v>0</v>
      </c>
      <c r="JC83" s="439">
        <f t="shared" si="434"/>
        <v>0</v>
      </c>
      <c r="JD83" s="439">
        <f t="shared" si="435"/>
        <v>0</v>
      </c>
      <c r="JE83" s="439">
        <f t="shared" si="436"/>
        <v>0</v>
      </c>
      <c r="JF83" s="439">
        <f t="shared" si="437"/>
        <v>0</v>
      </c>
      <c r="JG83" s="439">
        <f t="shared" si="438"/>
        <v>0</v>
      </c>
      <c r="JH83" s="439">
        <f t="shared" si="439"/>
        <v>0</v>
      </c>
      <c r="JI83" s="439">
        <f t="shared" si="440"/>
        <v>0</v>
      </c>
      <c r="JJ83" s="442">
        <f t="shared" si="441"/>
        <v>0</v>
      </c>
      <c r="JK83" s="442">
        <f t="shared" si="442"/>
        <v>0</v>
      </c>
      <c r="JL83" s="439">
        <f t="shared" si="443"/>
        <v>0</v>
      </c>
      <c r="JM83" s="439">
        <f t="shared" si="444"/>
        <v>0</v>
      </c>
      <c r="JN83" s="661">
        <f t="shared" si="445"/>
        <v>0</v>
      </c>
      <c r="JO83" s="661">
        <f t="shared" si="446"/>
        <v>0</v>
      </c>
      <c r="JP83" s="439">
        <f t="shared" si="447"/>
        <v>0</v>
      </c>
      <c r="JQ83" s="439">
        <f t="shared" si="448"/>
        <v>0</v>
      </c>
      <c r="JR83" s="439">
        <f t="shared" si="449"/>
        <v>0</v>
      </c>
      <c r="JS83" s="439">
        <f t="shared" si="450"/>
        <v>0</v>
      </c>
      <c r="JT83" s="631" t="s">
        <v>92</v>
      </c>
      <c r="JU83" s="631">
        <f t="shared" si="459"/>
        <v>0.72310361166937098</v>
      </c>
      <c r="JW83" s="522"/>
      <c r="JX83" s="522"/>
      <c r="JY83" s="522"/>
      <c r="JZ83" s="522"/>
      <c r="KA83" s="522"/>
      <c r="KB83" s="522"/>
      <c r="KC83" s="522"/>
      <c r="KD83" s="522"/>
      <c r="KE83" s="522"/>
      <c r="KF83" s="522"/>
      <c r="KG83" s="522"/>
      <c r="KH83" s="522"/>
      <c r="KI83" s="522"/>
      <c r="KJ83" s="522"/>
      <c r="KK83" s="522"/>
      <c r="KL83" s="522"/>
    </row>
    <row r="84" spans="1:298">
      <c r="A84" s="334"/>
      <c r="B84" s="579">
        <v>1</v>
      </c>
      <c r="C84" s="579"/>
      <c r="D84" s="579">
        <f>IF($B84&lt;$C$77,(D$81*((D$76*$B84)^2))/(2*D$77),IF($B84&gt;($C$77+$C$78),D$80-D92,D$81*((D$77/2)+(($B84*D$76)-D$77))))</f>
        <v>0.6399999999999999</v>
      </c>
      <c r="E84" s="579">
        <f t="shared" ref="E84:O84" si="469">IF($B84&lt;$C$77,(E$81*((E$76*$B84)^2))/(2*E$77),IF($B84&gt;($C$77+$C$78),E$80-E92,E$81*((E$77/2)+(($B84*E$76)-E$77))))</f>
        <v>0.6399999999999999</v>
      </c>
      <c r="F84" s="579" t="e">
        <f t="shared" si="469"/>
        <v>#DIV/0!</v>
      </c>
      <c r="G84" s="579" t="e">
        <f t="shared" si="469"/>
        <v>#DIV/0!</v>
      </c>
      <c r="H84" s="579" t="e">
        <f t="shared" si="469"/>
        <v>#DIV/0!</v>
      </c>
      <c r="I84" s="579" t="e">
        <f t="shared" si="469"/>
        <v>#DIV/0!</v>
      </c>
      <c r="J84" s="579" t="e">
        <f t="shared" si="469"/>
        <v>#DIV/0!</v>
      </c>
      <c r="K84" s="579" t="e">
        <f t="shared" si="469"/>
        <v>#DIV/0!</v>
      </c>
      <c r="L84" s="579" t="e">
        <f t="shared" si="469"/>
        <v>#DIV/0!</v>
      </c>
      <c r="M84" s="579" t="e">
        <f t="shared" si="469"/>
        <v>#DIV/0!</v>
      </c>
      <c r="N84" s="579" t="e">
        <f t="shared" si="469"/>
        <v>#DIV/0!</v>
      </c>
      <c r="O84" s="579" t="e">
        <f t="shared" si="469"/>
        <v>#DIV/0!</v>
      </c>
      <c r="P84" s="579"/>
      <c r="Q84" s="579"/>
      <c r="R84" s="579"/>
      <c r="S84" s="381"/>
      <c r="T84" s="381"/>
      <c r="U84" s="605"/>
      <c r="V84" s="605"/>
      <c r="W84" s="381"/>
      <c r="X84" s="579"/>
      <c r="Y84" s="579"/>
      <c r="Z84" s="579"/>
      <c r="AA84" s="579"/>
      <c r="AB84" s="579"/>
      <c r="AC84" s="580"/>
      <c r="AD84" s="580"/>
      <c r="AE84" s="579"/>
      <c r="AF84" s="579"/>
      <c r="AG84" s="579"/>
      <c r="AH84" s="579"/>
      <c r="AI84" s="579"/>
      <c r="AJ84" s="579"/>
      <c r="AK84" s="579"/>
      <c r="AL84" s="580"/>
      <c r="AM84" s="580"/>
      <c r="AN84" s="579"/>
      <c r="AO84" s="579"/>
      <c r="AP84" s="579"/>
      <c r="AQ84" s="579"/>
      <c r="AR84" s="579"/>
      <c r="AS84" s="579"/>
      <c r="AT84" s="580"/>
      <c r="AU84" s="580"/>
      <c r="AV84" s="581" t="e">
        <f t="shared" ref="AV84:AV93" si="470">IF($AY$30,H84*$H$82,0)</f>
        <v>#DIV/0!</v>
      </c>
      <c r="AW84" s="581" t="e">
        <f>IF($AY$32,'Data Sheet'!AA105,0)</f>
        <v>#DIV/0!</v>
      </c>
      <c r="AX84" s="581">
        <f>AX83+$H$76</f>
        <v>40.704999999999998</v>
      </c>
      <c r="AY84" s="579"/>
      <c r="AZ84" s="579"/>
      <c r="BA84" s="579"/>
      <c r="BB84" s="579"/>
      <c r="BC84" s="579"/>
      <c r="BD84" s="579"/>
      <c r="BE84" s="579"/>
      <c r="BF84" s="579"/>
      <c r="BG84" s="379"/>
      <c r="BH84" s="379"/>
      <c r="BI84" s="379"/>
      <c r="BJ84" s="379"/>
      <c r="BK84" s="379"/>
      <c r="BL84" s="379"/>
      <c r="BM84" s="379"/>
      <c r="BN84" s="379"/>
      <c r="BO84" s="379"/>
      <c r="BP84" s="379"/>
      <c r="BQ84" s="379"/>
      <c r="BR84" s="379"/>
      <c r="BS84" s="379"/>
      <c r="BT84" s="379"/>
      <c r="BU84" s="379"/>
      <c r="BV84" s="379"/>
      <c r="BW84" s="379"/>
      <c r="BX84" s="379"/>
      <c r="BY84" s="379"/>
      <c r="BZ84" s="379"/>
      <c r="CA84" s="379"/>
      <c r="CB84" s="379"/>
      <c r="CC84" s="379"/>
      <c r="CD84" s="379"/>
      <c r="CE84" s="379"/>
      <c r="CF84" s="379"/>
      <c r="CG84" s="379"/>
      <c r="CH84" s="77"/>
      <c r="CI84" s="77"/>
      <c r="CJ84" s="380"/>
      <c r="CK84" s="380"/>
      <c r="CL84" s="381"/>
      <c r="CM84" s="381"/>
      <c r="CN84" s="381"/>
      <c r="CO84" s="694" t="str">
        <f ca="1"/>
        <v>S320Q</v>
      </c>
      <c r="CP84" s="632" t="str">
        <f>IF(OR(CQ84=0,CR84="",CS84&gt;120),"",IF(HLOOKUP(CQ84,Spec_Sheet!$F$3:$ED$19,17,FALSE)&lt;$AC$46,"",CQ84))</f>
        <v>L320Q-1S</v>
      </c>
      <c r="CQ84" s="660" t="str">
        <f>IF(Spec_Sheet!A83="","",Spec_Sheet!A83)</f>
        <v>L320Q-1S</v>
      </c>
      <c r="CR84" s="660">
        <f>IF(CQ84="",0,HLOOKUP(CQ84,Spec_Sheet!$F$3:$ED$19,2,FALSE))</f>
        <v>109</v>
      </c>
      <c r="CS84" s="660">
        <f t="shared" si="461"/>
        <v>9.6848802291230605E-4</v>
      </c>
      <c r="CT84" s="621">
        <f t="shared" si="310"/>
        <v>1.1232168786438576E-3</v>
      </c>
      <c r="CU84" s="621">
        <f t="shared" si="316"/>
        <v>9.6848802291230605E-4</v>
      </c>
      <c r="CV84" s="621">
        <f t="shared" si="311"/>
        <v>1.1883176120183179E-3</v>
      </c>
      <c r="CW84" s="621">
        <f t="shared" si="312"/>
        <v>1.0290041975984238E-3</v>
      </c>
      <c r="CX84" s="621">
        <f t="shared" si="456"/>
        <v>6.591771605946882E-4</v>
      </c>
      <c r="CY84" s="619">
        <f>HLOOKUP(CQ84,Spec_Sheet!$F$3:$ED$19,13,FALSE)</f>
        <v>2.4</v>
      </c>
      <c r="CZ84" s="619">
        <f>VLOOKUP(HH84,'Shaft Weight'!$A$6:$CD$102,HJ84,TRUE)</f>
        <v>2.48</v>
      </c>
      <c r="DA84" s="619">
        <f>VLOOKUP(HI84,'Shaft Weight'!$A$6:$CD$102,HJ84,0)</f>
        <v>3.89</v>
      </c>
      <c r="DB84" s="619">
        <f>HLOOKUP(CQ84,Spec_Sheet!$F$3:$ED$19,6,FALSE)</f>
        <v>21.8</v>
      </c>
      <c r="DC84" s="439">
        <f t="shared" si="317"/>
        <v>3.5868000000000002</v>
      </c>
      <c r="DD84" s="440">
        <f t="shared" si="318"/>
        <v>2.7468000000000004</v>
      </c>
      <c r="DE84" s="439">
        <f t="shared" si="319"/>
        <v>-1.9068000000000005</v>
      </c>
      <c r="DF84" s="439">
        <f t="shared" si="320"/>
        <v>0</v>
      </c>
      <c r="DG84" s="439">
        <f t="shared" si="321"/>
        <v>0</v>
      </c>
      <c r="DH84" s="439">
        <f t="shared" si="322"/>
        <v>0</v>
      </c>
      <c r="DI84" s="439">
        <f t="shared" si="323"/>
        <v>0</v>
      </c>
      <c r="DJ84" s="439">
        <f t="shared" si="324"/>
        <v>0</v>
      </c>
      <c r="DK84" s="439">
        <f t="shared" si="325"/>
        <v>0</v>
      </c>
      <c r="DL84" s="439">
        <f t="shared" si="326"/>
        <v>0</v>
      </c>
      <c r="DM84" s="439">
        <f t="shared" si="327"/>
        <v>0</v>
      </c>
      <c r="DN84" s="439">
        <f t="shared" si="328"/>
        <v>0</v>
      </c>
      <c r="DO84" s="439">
        <f t="shared" si="329"/>
        <v>0</v>
      </c>
      <c r="DP84" s="439">
        <f t="shared" si="330"/>
        <v>0</v>
      </c>
      <c r="DQ84" s="442">
        <f t="shared" si="331"/>
        <v>0</v>
      </c>
      <c r="DR84" s="442">
        <f t="shared" si="332"/>
        <v>0</v>
      </c>
      <c r="DS84" s="439">
        <f t="shared" si="333"/>
        <v>0</v>
      </c>
      <c r="DT84" s="439">
        <f t="shared" si="334"/>
        <v>0</v>
      </c>
      <c r="DU84" s="661">
        <f t="shared" si="335"/>
        <v>0</v>
      </c>
      <c r="DV84" s="661">
        <f t="shared" si="336"/>
        <v>0</v>
      </c>
      <c r="DW84" s="439">
        <f t="shared" si="337"/>
        <v>0</v>
      </c>
      <c r="DX84" s="439">
        <f t="shared" si="338"/>
        <v>0</v>
      </c>
      <c r="DY84" s="439">
        <f t="shared" si="339"/>
        <v>0</v>
      </c>
      <c r="DZ84" s="439">
        <f t="shared" si="340"/>
        <v>0</v>
      </c>
      <c r="EA84" s="631" t="s">
        <v>92</v>
      </c>
      <c r="EB84" s="631">
        <f t="shared" si="451"/>
        <v>0.36530726430181587</v>
      </c>
      <c r="ED84" s="439">
        <f t="shared" si="341"/>
        <v>6.8661600000000007</v>
      </c>
      <c r="EE84" s="440">
        <f t="shared" si="342"/>
        <v>5.2581600000000011</v>
      </c>
      <c r="EF84" s="439">
        <f t="shared" si="343"/>
        <v>-3.650160000000001</v>
      </c>
      <c r="EG84" s="441">
        <f t="shared" si="344"/>
        <v>0</v>
      </c>
      <c r="EH84" s="439">
        <f t="shared" si="345"/>
        <v>0</v>
      </c>
      <c r="EI84" s="439">
        <f t="shared" si="346"/>
        <v>0</v>
      </c>
      <c r="EJ84" s="439">
        <f t="shared" si="347"/>
        <v>0</v>
      </c>
      <c r="EK84" s="439">
        <f t="shared" si="348"/>
        <v>0</v>
      </c>
      <c r="EL84" s="439">
        <f t="shared" si="349"/>
        <v>0</v>
      </c>
      <c r="EM84" s="439">
        <f t="shared" si="350"/>
        <v>0</v>
      </c>
      <c r="EN84" s="439">
        <f t="shared" si="351"/>
        <v>0</v>
      </c>
      <c r="EO84" s="439">
        <f t="shared" si="352"/>
        <v>0</v>
      </c>
      <c r="EP84" s="439">
        <f t="shared" si="353"/>
        <v>0</v>
      </c>
      <c r="EQ84" s="439">
        <f t="shared" si="354"/>
        <v>0</v>
      </c>
      <c r="ER84" s="442">
        <f t="shared" si="355"/>
        <v>0</v>
      </c>
      <c r="ES84" s="442">
        <f t="shared" si="356"/>
        <v>0</v>
      </c>
      <c r="ET84" s="439">
        <f t="shared" si="357"/>
        <v>0</v>
      </c>
      <c r="EU84" s="439">
        <f t="shared" si="358"/>
        <v>0</v>
      </c>
      <c r="EV84" s="661">
        <f t="shared" si="359"/>
        <v>0</v>
      </c>
      <c r="EW84" s="661">
        <f t="shared" si="360"/>
        <v>0</v>
      </c>
      <c r="EX84" s="439">
        <f t="shared" si="361"/>
        <v>0</v>
      </c>
      <c r="EY84" s="439">
        <f t="shared" si="362"/>
        <v>0</v>
      </c>
      <c r="EZ84" s="439">
        <f t="shared" si="363"/>
        <v>0</v>
      </c>
      <c r="FA84" s="439">
        <f t="shared" si="364"/>
        <v>0</v>
      </c>
      <c r="FB84" s="631" t="s">
        <v>92</v>
      </c>
      <c r="FC84" s="631">
        <f t="shared" si="452"/>
        <v>0.69930247737776174</v>
      </c>
      <c r="FE84" s="439">
        <f t="shared" si="365"/>
        <v>3.6892800000000001</v>
      </c>
      <c r="FF84" s="440">
        <f t="shared" si="366"/>
        <v>2.8252800000000002</v>
      </c>
      <c r="FG84" s="439">
        <f t="shared" si="367"/>
        <v>-1.9612800000000004</v>
      </c>
      <c r="FH84" s="441">
        <f t="shared" si="368"/>
        <v>0</v>
      </c>
      <c r="FI84" s="439">
        <f t="shared" si="369"/>
        <v>0</v>
      </c>
      <c r="FJ84" s="439">
        <f t="shared" si="370"/>
        <v>0</v>
      </c>
      <c r="FK84" s="439">
        <f t="shared" si="371"/>
        <v>0</v>
      </c>
      <c r="FL84" s="439">
        <f t="shared" si="372"/>
        <v>0</v>
      </c>
      <c r="FM84" s="439">
        <f t="shared" si="373"/>
        <v>0</v>
      </c>
      <c r="FN84" s="439">
        <f t="shared" si="374"/>
        <v>0</v>
      </c>
      <c r="FO84" s="439">
        <f t="shared" si="375"/>
        <v>0</v>
      </c>
      <c r="FP84" s="439">
        <f t="shared" si="376"/>
        <v>0</v>
      </c>
      <c r="FQ84" s="439">
        <f t="shared" si="377"/>
        <v>0</v>
      </c>
      <c r="FR84" s="439">
        <f t="shared" si="378"/>
        <v>0</v>
      </c>
      <c r="FS84" s="442">
        <f t="shared" si="379"/>
        <v>0</v>
      </c>
      <c r="FT84" s="442">
        <f t="shared" si="380"/>
        <v>0</v>
      </c>
      <c r="FU84" s="439">
        <f t="shared" si="381"/>
        <v>0</v>
      </c>
      <c r="FV84" s="439">
        <f t="shared" si="382"/>
        <v>0</v>
      </c>
      <c r="FW84" s="661">
        <f t="shared" si="383"/>
        <v>0</v>
      </c>
      <c r="FX84" s="661">
        <f t="shared" si="384"/>
        <v>0</v>
      </c>
      <c r="FY84" s="439">
        <f t="shared" si="385"/>
        <v>0</v>
      </c>
      <c r="FZ84" s="439">
        <f t="shared" si="386"/>
        <v>0</v>
      </c>
      <c r="GA84" s="439">
        <f t="shared" si="387"/>
        <v>0</v>
      </c>
      <c r="GB84" s="439">
        <f t="shared" si="388"/>
        <v>0</v>
      </c>
      <c r="GC84" s="631" t="s">
        <v>92</v>
      </c>
      <c r="GD84" s="631">
        <f t="shared" si="453"/>
        <v>0.37574461471043913</v>
      </c>
      <c r="GF84" s="439">
        <f t="shared" si="389"/>
        <v>5.4954900000000002</v>
      </c>
      <c r="GG84" s="440">
        <f t="shared" si="390"/>
        <v>4.2084900000000003</v>
      </c>
      <c r="GH84" s="439">
        <f t="shared" si="391"/>
        <v>-2.9214900000000004</v>
      </c>
      <c r="GI84" s="439">
        <f t="shared" si="392"/>
        <v>0</v>
      </c>
      <c r="GJ84" s="439">
        <f t="shared" si="393"/>
        <v>0</v>
      </c>
      <c r="GK84" s="439">
        <f t="shared" si="394"/>
        <v>0</v>
      </c>
      <c r="GL84" s="439">
        <f t="shared" si="395"/>
        <v>0</v>
      </c>
      <c r="GM84" s="439">
        <f t="shared" si="396"/>
        <v>0</v>
      </c>
      <c r="GN84" s="439">
        <f t="shared" si="397"/>
        <v>0</v>
      </c>
      <c r="GO84" s="439">
        <f t="shared" si="398"/>
        <v>0</v>
      </c>
      <c r="GP84" s="439">
        <f t="shared" si="399"/>
        <v>0</v>
      </c>
      <c r="GQ84" s="439">
        <f t="shared" si="400"/>
        <v>0</v>
      </c>
      <c r="GR84" s="439">
        <f t="shared" si="401"/>
        <v>0</v>
      </c>
      <c r="GS84" s="439">
        <f t="shared" si="402"/>
        <v>0</v>
      </c>
      <c r="GT84" s="442">
        <f t="shared" si="403"/>
        <v>0</v>
      </c>
      <c r="GU84" s="442">
        <f t="shared" si="404"/>
        <v>0</v>
      </c>
      <c r="GV84" s="439">
        <f t="shared" si="405"/>
        <v>0</v>
      </c>
      <c r="GW84" s="439">
        <f t="shared" si="406"/>
        <v>0</v>
      </c>
      <c r="GX84" s="661">
        <f t="shared" si="407"/>
        <v>0</v>
      </c>
      <c r="GY84" s="661">
        <f t="shared" si="408"/>
        <v>0</v>
      </c>
      <c r="GZ84" s="439">
        <f t="shared" si="409"/>
        <v>0</v>
      </c>
      <c r="HA84" s="439">
        <f t="shared" si="410"/>
        <v>0</v>
      </c>
      <c r="HB84" s="439">
        <f t="shared" si="411"/>
        <v>0</v>
      </c>
      <c r="HC84" s="439">
        <f t="shared" si="412"/>
        <v>0</v>
      </c>
      <c r="HD84" s="631" t="s">
        <v>92</v>
      </c>
      <c r="HE84" s="631">
        <f t="shared" si="306"/>
        <v>0.55970291566242503</v>
      </c>
      <c r="HG84" s="618">
        <f>HLOOKUP(CQ84,Spec_Sheet!$F$3:$DV$19,11,FALSE)+HLOOKUP(CQ84,Spec_Sheet!$F$3:$DV$21,19,FALSE)</f>
        <v>300</v>
      </c>
      <c r="HH84" s="618">
        <f t="shared" si="454"/>
        <v>100</v>
      </c>
      <c r="HI84" s="634">
        <f t="shared" si="455"/>
        <v>350</v>
      </c>
      <c r="HJ84" s="634">
        <f>HLOOKUP(IF(LEN(CQ84)&gt;6,LEFT(CQ84,5),CQ84),'LSM List Pricing'!$B$1:$BW$2,2,0)</f>
        <v>20</v>
      </c>
      <c r="HK84" s="634">
        <f>HLOOKUP(HJ84,'LSM List Pricing'!$B$2:$BW$3,2)</f>
        <v>850</v>
      </c>
      <c r="HL84" s="634">
        <f>VLOOKUP(HH84,'LSM List Pricing'!$A$7:$BW$87,HJ84,0)</f>
        <v>960</v>
      </c>
      <c r="HM84" s="627">
        <f>VLOOKUP(HI84,'LSM List Pricing'!$A$7:$BW$87,HJ84,1)</f>
        <v>1450</v>
      </c>
      <c r="HN84" s="628">
        <f t="shared" si="307"/>
        <v>4.6410256410256414</v>
      </c>
      <c r="HO84" s="628">
        <f t="shared" si="308"/>
        <v>9.2820512820512828</v>
      </c>
      <c r="HP84" s="628">
        <f t="shared" si="309"/>
        <v>8.0769230769230766</v>
      </c>
      <c r="HR84" s="618">
        <v>4.0500000000000001E-2</v>
      </c>
      <c r="HS84" s="618">
        <f t="shared" si="457"/>
        <v>271.92857142857144</v>
      </c>
      <c r="HT84" s="618">
        <f t="shared" si="458"/>
        <v>1</v>
      </c>
      <c r="HU84" s="618">
        <f t="shared" si="466"/>
        <v>1.031402785655368</v>
      </c>
      <c r="HW84" s="618">
        <f t="shared" si="413"/>
        <v>34.535408044369376</v>
      </c>
      <c r="HX84" s="618">
        <f t="shared" si="467"/>
        <v>1.0101634288902679</v>
      </c>
      <c r="HY84" s="618">
        <f t="shared" si="468"/>
        <v>4.0500000000000001E-2</v>
      </c>
      <c r="IB84" s="618">
        <f t="shared" si="414"/>
        <v>25.000350341399081</v>
      </c>
      <c r="IC84" s="618">
        <f t="shared" si="415"/>
        <v>1E-3</v>
      </c>
      <c r="IE84" s="618">
        <f t="shared" si="416"/>
        <v>0</v>
      </c>
      <c r="IF84" s="618">
        <f t="shared" si="417"/>
        <v>40.704999999999998</v>
      </c>
      <c r="IH84" s="618">
        <f t="shared" si="418"/>
        <v>0</v>
      </c>
      <c r="II84" s="618">
        <f t="shared" si="419"/>
        <v>40.704999999999998</v>
      </c>
      <c r="IK84" s="618">
        <f t="shared" si="420"/>
        <v>0</v>
      </c>
      <c r="IL84" s="618">
        <f t="shared" si="421"/>
        <v>40.704999999999998</v>
      </c>
      <c r="IN84" s="618">
        <f t="shared" si="422"/>
        <v>0</v>
      </c>
      <c r="IO84" s="618">
        <f t="shared" si="423"/>
        <v>40.704999999999998</v>
      </c>
      <c r="IQ84" s="618">
        <f t="shared" si="424"/>
        <v>0</v>
      </c>
      <c r="IR84" s="618">
        <f t="shared" si="425"/>
        <v>40.704999999999998</v>
      </c>
      <c r="IT84" s="660" t="str">
        <f t="shared" si="426"/>
        <v>L320Q-1S</v>
      </c>
      <c r="IU84" s="628"/>
      <c r="IV84" s="439">
        <f t="shared" si="427"/>
        <v>6.6612000000000009</v>
      </c>
      <c r="IW84" s="440">
        <f t="shared" si="428"/>
        <v>5.1012000000000013</v>
      </c>
      <c r="IX84" s="439">
        <f t="shared" si="429"/>
        <v>-3.5412000000000012</v>
      </c>
      <c r="IY84" s="439">
        <f t="shared" si="430"/>
        <v>0</v>
      </c>
      <c r="IZ84" s="439">
        <f t="shared" si="431"/>
        <v>0</v>
      </c>
      <c r="JA84" s="439">
        <f t="shared" si="432"/>
        <v>0</v>
      </c>
      <c r="JB84" s="439">
        <f t="shared" si="433"/>
        <v>0</v>
      </c>
      <c r="JC84" s="439">
        <f t="shared" si="434"/>
        <v>0</v>
      </c>
      <c r="JD84" s="439">
        <f t="shared" si="435"/>
        <v>0</v>
      </c>
      <c r="JE84" s="439">
        <f t="shared" si="436"/>
        <v>0</v>
      </c>
      <c r="JF84" s="439">
        <f t="shared" si="437"/>
        <v>0</v>
      </c>
      <c r="JG84" s="439">
        <f t="shared" si="438"/>
        <v>0</v>
      </c>
      <c r="JH84" s="439">
        <f t="shared" si="439"/>
        <v>0</v>
      </c>
      <c r="JI84" s="439">
        <f t="shared" si="440"/>
        <v>0</v>
      </c>
      <c r="JJ84" s="442">
        <f t="shared" si="441"/>
        <v>0</v>
      </c>
      <c r="JK84" s="442">
        <f t="shared" si="442"/>
        <v>0</v>
      </c>
      <c r="JL84" s="439">
        <f t="shared" si="443"/>
        <v>0</v>
      </c>
      <c r="JM84" s="439">
        <f t="shared" si="444"/>
        <v>0</v>
      </c>
      <c r="JN84" s="661">
        <f t="shared" si="445"/>
        <v>0</v>
      </c>
      <c r="JO84" s="661">
        <f t="shared" si="446"/>
        <v>0</v>
      </c>
      <c r="JP84" s="439">
        <f t="shared" si="447"/>
        <v>0</v>
      </c>
      <c r="JQ84" s="439">
        <f t="shared" si="448"/>
        <v>0</v>
      </c>
      <c r="JR84" s="439">
        <f t="shared" si="449"/>
        <v>0</v>
      </c>
      <c r="JS84" s="439">
        <f t="shared" si="450"/>
        <v>0</v>
      </c>
      <c r="JT84" s="631" t="s">
        <v>92</v>
      </c>
      <c r="JU84" s="631">
        <f t="shared" si="459"/>
        <v>0.67842777656051523</v>
      </c>
      <c r="JW84" s="522"/>
      <c r="JX84" s="522"/>
      <c r="JY84" s="522"/>
      <c r="JZ84" s="522"/>
      <c r="KA84" s="522"/>
      <c r="KB84" s="522"/>
      <c r="KC84" s="522"/>
      <c r="KD84" s="522"/>
      <c r="KE84" s="522"/>
      <c r="KF84" s="522"/>
      <c r="KG84" s="522"/>
      <c r="KH84" s="522"/>
      <c r="KI84" s="522"/>
      <c r="KJ84" s="522"/>
      <c r="KK84" s="522"/>
      <c r="KL84" s="522"/>
    </row>
    <row r="85" spans="1:298">
      <c r="A85" s="334"/>
      <c r="B85" s="579">
        <v>2</v>
      </c>
      <c r="C85" s="579"/>
      <c r="D85" s="579">
        <f>IF($B85&lt;$C$77,(D$81*((D$76*$B85)^2))/(2*D$77),IF($B85&gt;($C$77+$C$78),D$80-D91,D$81*((D$77/2)+(($B85*D$76)-D$77))))</f>
        <v>2.5599999999999996</v>
      </c>
      <c r="E85" s="579">
        <f t="shared" ref="E85:O85" si="471">IF($B85&lt;$C$77,(E$81*((E$76*$B85)^2))/(2*E$77),IF($B85&gt;($C$77+$C$78),E$80-E91,E$81*((E$77/2)+(($B85*E$76)-E$77))))</f>
        <v>2.5599999999999996</v>
      </c>
      <c r="F85" s="579" t="e">
        <f t="shared" si="471"/>
        <v>#DIV/0!</v>
      </c>
      <c r="G85" s="579" t="e">
        <f t="shared" si="471"/>
        <v>#DIV/0!</v>
      </c>
      <c r="H85" s="579" t="e">
        <f t="shared" si="471"/>
        <v>#DIV/0!</v>
      </c>
      <c r="I85" s="579" t="e">
        <f t="shared" si="471"/>
        <v>#DIV/0!</v>
      </c>
      <c r="J85" s="579" t="e">
        <f t="shared" si="471"/>
        <v>#DIV/0!</v>
      </c>
      <c r="K85" s="579" t="e">
        <f t="shared" si="471"/>
        <v>#DIV/0!</v>
      </c>
      <c r="L85" s="579" t="e">
        <f t="shared" si="471"/>
        <v>#DIV/0!</v>
      </c>
      <c r="M85" s="579" t="e">
        <f t="shared" si="471"/>
        <v>#DIV/0!</v>
      </c>
      <c r="N85" s="579" t="e">
        <f t="shared" si="471"/>
        <v>#DIV/0!</v>
      </c>
      <c r="O85" s="579" t="e">
        <f t="shared" si="471"/>
        <v>#DIV/0!</v>
      </c>
      <c r="P85" s="579"/>
      <c r="Q85" s="579"/>
      <c r="R85" s="579"/>
      <c r="S85" s="381"/>
      <c r="T85" s="381"/>
      <c r="U85" s="605"/>
      <c r="V85" s="605"/>
      <c r="W85" s="381"/>
      <c r="X85" s="579"/>
      <c r="Y85" s="579"/>
      <c r="Z85" s="579"/>
      <c r="AA85" s="579"/>
      <c r="AB85" s="579"/>
      <c r="AC85" s="580"/>
      <c r="AD85" s="580"/>
      <c r="AE85" s="579"/>
      <c r="AF85" s="579"/>
      <c r="AG85" s="579"/>
      <c r="AH85" s="579"/>
      <c r="AI85" s="579"/>
      <c r="AJ85" s="579"/>
      <c r="AK85" s="579"/>
      <c r="AL85" s="580"/>
      <c r="AM85" s="580"/>
      <c r="AN85" s="579"/>
      <c r="AO85" s="579"/>
      <c r="AP85" s="579"/>
      <c r="AQ85" s="579"/>
      <c r="AR85" s="579"/>
      <c r="AS85" s="579"/>
      <c r="AT85" s="580"/>
      <c r="AU85" s="580"/>
      <c r="AV85" s="581" t="e">
        <f t="shared" si="470"/>
        <v>#DIV/0!</v>
      </c>
      <c r="AW85" s="581" t="e">
        <f>IF($AY$32,'Data Sheet'!AA106,0)</f>
        <v>#DIV/0!</v>
      </c>
      <c r="AX85" s="581">
        <f t="shared" ref="AX85:AX93" si="472">AX84+$H$76</f>
        <v>40.704999999999998</v>
      </c>
      <c r="AY85" s="579"/>
      <c r="AZ85" s="579"/>
      <c r="BA85" s="579"/>
      <c r="BB85" s="579"/>
      <c r="BC85" s="579"/>
      <c r="BD85" s="579"/>
      <c r="BE85" s="579"/>
      <c r="BF85" s="579"/>
      <c r="BG85" s="379"/>
      <c r="BH85" s="379"/>
      <c r="BI85" s="379"/>
      <c r="BJ85" s="379"/>
      <c r="BK85" s="379"/>
      <c r="BL85" s="379"/>
      <c r="BM85" s="379"/>
      <c r="BN85" s="379"/>
      <c r="BO85" s="379"/>
      <c r="BP85" s="379"/>
      <c r="BQ85" s="379"/>
      <c r="BR85" s="379"/>
      <c r="BS85" s="379"/>
      <c r="BT85" s="379"/>
      <c r="BU85" s="379"/>
      <c r="BV85" s="379"/>
      <c r="BW85" s="379"/>
      <c r="BX85" s="379"/>
      <c r="BY85" s="379"/>
      <c r="BZ85" s="379"/>
      <c r="CA85" s="379"/>
      <c r="CB85" s="379"/>
      <c r="CC85" s="379"/>
      <c r="CD85" s="379"/>
      <c r="CE85" s="379"/>
      <c r="CF85" s="379"/>
      <c r="CG85" s="379"/>
      <c r="CH85" s="77"/>
      <c r="CI85" s="77"/>
      <c r="CJ85" s="380"/>
      <c r="CK85" s="380"/>
      <c r="CL85" s="381"/>
      <c r="CM85" s="381"/>
      <c r="CN85" s="445"/>
      <c r="CO85" s="694" t="str">
        <f ca="1"/>
        <v>S435D 1S</v>
      </c>
      <c r="CP85" s="632" t="str">
        <f>IF(OR(CQ85=0,CR85="",CS85&gt;120),"",IF(HLOOKUP(CQ85,Spec_Sheet!$F$3:$ED$19,17,FALSE)&lt;$AC$46,"",CQ85))</f>
        <v>L320Q-2S</v>
      </c>
      <c r="CQ85" s="660" t="str">
        <f>IF(Spec_Sheet!A84="","",Spec_Sheet!A84)</f>
        <v>L320Q-2S</v>
      </c>
      <c r="CR85" s="660">
        <f>IF(CQ85="",0,HLOOKUP(CQ85,Spec_Sheet!$F$3:$ED$19,2,FALSE))</f>
        <v>109</v>
      </c>
      <c r="CS85" s="660">
        <f t="shared" si="461"/>
        <v>9.6848802291230605E-4</v>
      </c>
      <c r="CT85" s="621">
        <f t="shared" si="310"/>
        <v>1.1232168786438576E-3</v>
      </c>
      <c r="CU85" s="621">
        <f t="shared" si="316"/>
        <v>9.6848802291230605E-4</v>
      </c>
      <c r="CV85" s="621">
        <f t="shared" si="311"/>
        <v>1.1883176120183179E-3</v>
      </c>
      <c r="CW85" s="621">
        <f t="shared" si="312"/>
        <v>1.0290041975984238E-3</v>
      </c>
      <c r="CX85" s="621">
        <f t="shared" si="456"/>
        <v>6.591771605946882E-4</v>
      </c>
      <c r="CY85" s="619">
        <f>HLOOKUP(CQ85,Spec_Sheet!$F$3:$ED$19,13,FALSE)</f>
        <v>2.4</v>
      </c>
      <c r="CZ85" s="619">
        <f>VLOOKUP(HH85,'Shaft Weight'!$A$6:$CD$102,HJ85,TRUE)</f>
        <v>2.48</v>
      </c>
      <c r="DA85" s="619">
        <f>VLOOKUP(HI85,'Shaft Weight'!$A$6:$CD$102,HJ85,0)</f>
        <v>3.89</v>
      </c>
      <c r="DB85" s="619">
        <f>HLOOKUP(CQ85,Spec_Sheet!$F$3:$ED$19,6,FALSE)</f>
        <v>43.6</v>
      </c>
      <c r="DC85" s="439">
        <f t="shared" si="317"/>
        <v>3.5868000000000002</v>
      </c>
      <c r="DD85" s="440">
        <f t="shared" si="318"/>
        <v>2.7468000000000004</v>
      </c>
      <c r="DE85" s="439">
        <f t="shared" si="319"/>
        <v>-1.9068000000000005</v>
      </c>
      <c r="DF85" s="439">
        <f t="shared" si="320"/>
        <v>0</v>
      </c>
      <c r="DG85" s="439">
        <f t="shared" si="321"/>
        <v>0</v>
      </c>
      <c r="DH85" s="439">
        <f t="shared" si="322"/>
        <v>0</v>
      </c>
      <c r="DI85" s="439">
        <f t="shared" si="323"/>
        <v>0</v>
      </c>
      <c r="DJ85" s="439">
        <f t="shared" si="324"/>
        <v>0</v>
      </c>
      <c r="DK85" s="439">
        <f t="shared" si="325"/>
        <v>0</v>
      </c>
      <c r="DL85" s="439">
        <f t="shared" si="326"/>
        <v>0</v>
      </c>
      <c r="DM85" s="439">
        <f t="shared" si="327"/>
        <v>0</v>
      </c>
      <c r="DN85" s="439">
        <f t="shared" si="328"/>
        <v>0</v>
      </c>
      <c r="DO85" s="439">
        <f t="shared" si="329"/>
        <v>0</v>
      </c>
      <c r="DP85" s="439">
        <f t="shared" si="330"/>
        <v>0</v>
      </c>
      <c r="DQ85" s="442">
        <f t="shared" si="331"/>
        <v>0</v>
      </c>
      <c r="DR85" s="442">
        <f t="shared" si="332"/>
        <v>0</v>
      </c>
      <c r="DS85" s="439">
        <f t="shared" si="333"/>
        <v>0</v>
      </c>
      <c r="DT85" s="439">
        <f t="shared" si="334"/>
        <v>0</v>
      </c>
      <c r="DU85" s="661">
        <f t="shared" si="335"/>
        <v>0</v>
      </c>
      <c r="DV85" s="661">
        <f t="shared" si="336"/>
        <v>0</v>
      </c>
      <c r="DW85" s="439">
        <f t="shared" si="337"/>
        <v>0</v>
      </c>
      <c r="DX85" s="439">
        <f t="shared" si="338"/>
        <v>0</v>
      </c>
      <c r="DY85" s="439">
        <f t="shared" si="339"/>
        <v>0</v>
      </c>
      <c r="DZ85" s="439">
        <f t="shared" si="340"/>
        <v>0</v>
      </c>
      <c r="EA85" s="631" t="s">
        <v>92</v>
      </c>
      <c r="EB85" s="631">
        <f t="shared" si="451"/>
        <v>0.36530726430181587</v>
      </c>
      <c r="ED85" s="439">
        <f t="shared" si="341"/>
        <v>6.8661600000000007</v>
      </c>
      <c r="EE85" s="440">
        <f t="shared" si="342"/>
        <v>5.2581600000000011</v>
      </c>
      <c r="EF85" s="439">
        <f t="shared" si="343"/>
        <v>-3.650160000000001</v>
      </c>
      <c r="EG85" s="441">
        <f t="shared" si="344"/>
        <v>0</v>
      </c>
      <c r="EH85" s="439">
        <f t="shared" si="345"/>
        <v>0</v>
      </c>
      <c r="EI85" s="439">
        <f t="shared" si="346"/>
        <v>0</v>
      </c>
      <c r="EJ85" s="439">
        <f t="shared" si="347"/>
        <v>0</v>
      </c>
      <c r="EK85" s="439">
        <f t="shared" si="348"/>
        <v>0</v>
      </c>
      <c r="EL85" s="439">
        <f t="shared" si="349"/>
        <v>0</v>
      </c>
      <c r="EM85" s="439">
        <f t="shared" si="350"/>
        <v>0</v>
      </c>
      <c r="EN85" s="439">
        <f t="shared" si="351"/>
        <v>0</v>
      </c>
      <c r="EO85" s="439">
        <f t="shared" si="352"/>
        <v>0</v>
      </c>
      <c r="EP85" s="439">
        <f t="shared" si="353"/>
        <v>0</v>
      </c>
      <c r="EQ85" s="439">
        <f t="shared" si="354"/>
        <v>0</v>
      </c>
      <c r="ER85" s="442">
        <f t="shared" si="355"/>
        <v>0</v>
      </c>
      <c r="ES85" s="442">
        <f t="shared" si="356"/>
        <v>0</v>
      </c>
      <c r="ET85" s="439">
        <f t="shared" si="357"/>
        <v>0</v>
      </c>
      <c r="EU85" s="439">
        <f t="shared" si="358"/>
        <v>0</v>
      </c>
      <c r="EV85" s="661">
        <f t="shared" si="359"/>
        <v>0</v>
      </c>
      <c r="EW85" s="661">
        <f t="shared" si="360"/>
        <v>0</v>
      </c>
      <c r="EX85" s="439">
        <f t="shared" si="361"/>
        <v>0</v>
      </c>
      <c r="EY85" s="439">
        <f t="shared" si="362"/>
        <v>0</v>
      </c>
      <c r="EZ85" s="439">
        <f t="shared" si="363"/>
        <v>0</v>
      </c>
      <c r="FA85" s="439">
        <f t="shared" si="364"/>
        <v>0</v>
      </c>
      <c r="FB85" s="631" t="s">
        <v>92</v>
      </c>
      <c r="FC85" s="631">
        <f t="shared" si="452"/>
        <v>0.69930247737776174</v>
      </c>
      <c r="FE85" s="439">
        <f t="shared" si="365"/>
        <v>3.6892800000000001</v>
      </c>
      <c r="FF85" s="440">
        <f t="shared" si="366"/>
        <v>2.8252800000000002</v>
      </c>
      <c r="FG85" s="439">
        <f t="shared" si="367"/>
        <v>-1.9612800000000004</v>
      </c>
      <c r="FH85" s="441">
        <f t="shared" si="368"/>
        <v>0</v>
      </c>
      <c r="FI85" s="439">
        <f t="shared" si="369"/>
        <v>0</v>
      </c>
      <c r="FJ85" s="439">
        <f t="shared" si="370"/>
        <v>0</v>
      </c>
      <c r="FK85" s="439">
        <f t="shared" si="371"/>
        <v>0</v>
      </c>
      <c r="FL85" s="439">
        <f t="shared" si="372"/>
        <v>0</v>
      </c>
      <c r="FM85" s="439">
        <f t="shared" si="373"/>
        <v>0</v>
      </c>
      <c r="FN85" s="439">
        <f t="shared" si="374"/>
        <v>0</v>
      </c>
      <c r="FO85" s="439">
        <f t="shared" si="375"/>
        <v>0</v>
      </c>
      <c r="FP85" s="439">
        <f t="shared" si="376"/>
        <v>0</v>
      </c>
      <c r="FQ85" s="439">
        <f t="shared" si="377"/>
        <v>0</v>
      </c>
      <c r="FR85" s="439">
        <f t="shared" si="378"/>
        <v>0</v>
      </c>
      <c r="FS85" s="442">
        <f t="shared" si="379"/>
        <v>0</v>
      </c>
      <c r="FT85" s="442">
        <f t="shared" si="380"/>
        <v>0</v>
      </c>
      <c r="FU85" s="439">
        <f t="shared" si="381"/>
        <v>0</v>
      </c>
      <c r="FV85" s="439">
        <f t="shared" si="382"/>
        <v>0</v>
      </c>
      <c r="FW85" s="661">
        <f t="shared" si="383"/>
        <v>0</v>
      </c>
      <c r="FX85" s="661">
        <f t="shared" si="384"/>
        <v>0</v>
      </c>
      <c r="FY85" s="439">
        <f t="shared" si="385"/>
        <v>0</v>
      </c>
      <c r="FZ85" s="439">
        <f t="shared" si="386"/>
        <v>0</v>
      </c>
      <c r="GA85" s="439">
        <f t="shared" si="387"/>
        <v>0</v>
      </c>
      <c r="GB85" s="439">
        <f t="shared" si="388"/>
        <v>0</v>
      </c>
      <c r="GC85" s="631" t="s">
        <v>92</v>
      </c>
      <c r="GD85" s="631">
        <f t="shared" si="453"/>
        <v>0.37574461471043913</v>
      </c>
      <c r="GF85" s="439">
        <f t="shared" si="389"/>
        <v>5.4954900000000002</v>
      </c>
      <c r="GG85" s="440">
        <f t="shared" si="390"/>
        <v>4.2084900000000003</v>
      </c>
      <c r="GH85" s="439">
        <f t="shared" si="391"/>
        <v>-2.9214900000000004</v>
      </c>
      <c r="GI85" s="439">
        <f t="shared" si="392"/>
        <v>0</v>
      </c>
      <c r="GJ85" s="439">
        <f t="shared" si="393"/>
        <v>0</v>
      </c>
      <c r="GK85" s="439">
        <f t="shared" si="394"/>
        <v>0</v>
      </c>
      <c r="GL85" s="439">
        <f t="shared" si="395"/>
        <v>0</v>
      </c>
      <c r="GM85" s="439">
        <f t="shared" si="396"/>
        <v>0</v>
      </c>
      <c r="GN85" s="439">
        <f t="shared" si="397"/>
        <v>0</v>
      </c>
      <c r="GO85" s="439">
        <f t="shared" si="398"/>
        <v>0</v>
      </c>
      <c r="GP85" s="439">
        <f t="shared" si="399"/>
        <v>0</v>
      </c>
      <c r="GQ85" s="439">
        <f t="shared" si="400"/>
        <v>0</v>
      </c>
      <c r="GR85" s="439">
        <f t="shared" si="401"/>
        <v>0</v>
      </c>
      <c r="GS85" s="439">
        <f t="shared" si="402"/>
        <v>0</v>
      </c>
      <c r="GT85" s="442">
        <f t="shared" si="403"/>
        <v>0</v>
      </c>
      <c r="GU85" s="442">
        <f t="shared" si="404"/>
        <v>0</v>
      </c>
      <c r="GV85" s="439">
        <f t="shared" si="405"/>
        <v>0</v>
      </c>
      <c r="GW85" s="439">
        <f t="shared" si="406"/>
        <v>0</v>
      </c>
      <c r="GX85" s="661">
        <f t="shared" si="407"/>
        <v>0</v>
      </c>
      <c r="GY85" s="661">
        <f t="shared" si="408"/>
        <v>0</v>
      </c>
      <c r="GZ85" s="439">
        <f t="shared" si="409"/>
        <v>0</v>
      </c>
      <c r="HA85" s="439">
        <f t="shared" si="410"/>
        <v>0</v>
      </c>
      <c r="HB85" s="439">
        <f t="shared" si="411"/>
        <v>0</v>
      </c>
      <c r="HC85" s="439">
        <f t="shared" si="412"/>
        <v>0</v>
      </c>
      <c r="HD85" s="631" t="s">
        <v>92</v>
      </c>
      <c r="HE85" s="631">
        <f t="shared" si="306"/>
        <v>0.55970291566242503</v>
      </c>
      <c r="HG85" s="618">
        <f>HLOOKUP(CQ85,Spec_Sheet!$F$3:$DV$19,11,FALSE)+HLOOKUP(CQ85,Spec_Sheet!$F$3:$DV$21,19,FALSE)</f>
        <v>300</v>
      </c>
      <c r="HH85" s="618">
        <f t="shared" si="454"/>
        <v>100</v>
      </c>
      <c r="HI85" s="634">
        <f t="shared" si="455"/>
        <v>350</v>
      </c>
      <c r="HJ85" s="634">
        <f>HLOOKUP(IF(LEN(CQ85)&gt;6,LEFT(CQ85,5),CQ85),'LSM List Pricing'!$B$1:$BW$2,2,0)</f>
        <v>20</v>
      </c>
      <c r="HK85" s="634">
        <f>HLOOKUP(HJ85,'LSM List Pricing'!$B$2:$BW$3,2)</f>
        <v>850</v>
      </c>
      <c r="HL85" s="634">
        <f>VLOOKUP(HH85,'LSM List Pricing'!$A$7:$BW$87,HJ85,0)</f>
        <v>960</v>
      </c>
      <c r="HM85" s="627">
        <f>VLOOKUP(HI85,'LSM List Pricing'!$A$7:$BW$87,HJ85,1)</f>
        <v>1450</v>
      </c>
      <c r="HN85" s="628">
        <f t="shared" si="307"/>
        <v>4.6410256410256414</v>
      </c>
      <c r="HO85" s="628">
        <f t="shared" si="308"/>
        <v>9.2820512820512828</v>
      </c>
      <c r="HP85" s="628">
        <f t="shared" si="309"/>
        <v>8.0769230769230766</v>
      </c>
      <c r="HR85" s="618">
        <v>4.1000000000000002E-2</v>
      </c>
      <c r="HS85" s="618">
        <f t="shared" si="457"/>
        <v>275.28571428571428</v>
      </c>
      <c r="HT85" s="618">
        <f t="shared" si="458"/>
        <v>1</v>
      </c>
      <c r="HU85" s="618">
        <f t="shared" si="466"/>
        <v>1.0441418296289928</v>
      </c>
      <c r="HW85" s="618">
        <f t="shared" si="413"/>
        <v>34.517318601926831</v>
      </c>
      <c r="HX85" s="618">
        <f t="shared" si="467"/>
        <v>1.022377807765867</v>
      </c>
      <c r="HY85" s="618">
        <f t="shared" si="468"/>
        <v>4.1000000000000002E-2</v>
      </c>
      <c r="IB85" s="618">
        <f t="shared" si="414"/>
        <v>25.000350341399081</v>
      </c>
      <c r="IC85" s="618">
        <f t="shared" si="415"/>
        <v>1E-3</v>
      </c>
      <c r="IE85" s="618">
        <f t="shared" si="416"/>
        <v>0</v>
      </c>
      <c r="IF85" s="618">
        <f t="shared" si="417"/>
        <v>40.704999999999998</v>
      </c>
      <c r="IH85" s="618">
        <f t="shared" si="418"/>
        <v>0</v>
      </c>
      <c r="II85" s="618">
        <f t="shared" si="419"/>
        <v>40.704999999999998</v>
      </c>
      <c r="IK85" s="618">
        <f t="shared" si="420"/>
        <v>0</v>
      </c>
      <c r="IL85" s="618">
        <f t="shared" si="421"/>
        <v>40.704999999999998</v>
      </c>
      <c r="IN85" s="618">
        <f t="shared" si="422"/>
        <v>0</v>
      </c>
      <c r="IO85" s="618">
        <f t="shared" si="423"/>
        <v>40.704999999999998</v>
      </c>
      <c r="IQ85" s="618">
        <f t="shared" si="424"/>
        <v>0</v>
      </c>
      <c r="IR85" s="618">
        <f t="shared" si="425"/>
        <v>40.704999999999998</v>
      </c>
      <c r="IT85" s="660" t="str">
        <f t="shared" si="426"/>
        <v>L320Q-2S</v>
      </c>
      <c r="IU85" s="628"/>
      <c r="IV85" s="439">
        <f t="shared" si="427"/>
        <v>6.6612000000000009</v>
      </c>
      <c r="IW85" s="440">
        <f t="shared" si="428"/>
        <v>5.1012000000000013</v>
      </c>
      <c r="IX85" s="439">
        <f t="shared" si="429"/>
        <v>-3.5412000000000012</v>
      </c>
      <c r="IY85" s="439">
        <f t="shared" si="430"/>
        <v>0</v>
      </c>
      <c r="IZ85" s="439">
        <f t="shared" si="431"/>
        <v>0</v>
      </c>
      <c r="JA85" s="439">
        <f t="shared" si="432"/>
        <v>0</v>
      </c>
      <c r="JB85" s="439">
        <f t="shared" si="433"/>
        <v>0</v>
      </c>
      <c r="JC85" s="439">
        <f t="shared" si="434"/>
        <v>0</v>
      </c>
      <c r="JD85" s="439">
        <f t="shared" si="435"/>
        <v>0</v>
      </c>
      <c r="JE85" s="439">
        <f t="shared" si="436"/>
        <v>0</v>
      </c>
      <c r="JF85" s="439">
        <f t="shared" si="437"/>
        <v>0</v>
      </c>
      <c r="JG85" s="439">
        <f t="shared" si="438"/>
        <v>0</v>
      </c>
      <c r="JH85" s="439">
        <f t="shared" si="439"/>
        <v>0</v>
      </c>
      <c r="JI85" s="439">
        <f t="shared" si="440"/>
        <v>0</v>
      </c>
      <c r="JJ85" s="442">
        <f t="shared" si="441"/>
        <v>0</v>
      </c>
      <c r="JK85" s="442">
        <f t="shared" si="442"/>
        <v>0</v>
      </c>
      <c r="JL85" s="439">
        <f t="shared" si="443"/>
        <v>0</v>
      </c>
      <c r="JM85" s="439">
        <f t="shared" si="444"/>
        <v>0</v>
      </c>
      <c r="JN85" s="661">
        <f t="shared" si="445"/>
        <v>0</v>
      </c>
      <c r="JO85" s="661">
        <f t="shared" si="446"/>
        <v>0</v>
      </c>
      <c r="JP85" s="439">
        <f t="shared" si="447"/>
        <v>0</v>
      </c>
      <c r="JQ85" s="439">
        <f t="shared" si="448"/>
        <v>0</v>
      </c>
      <c r="JR85" s="439">
        <f t="shared" si="449"/>
        <v>0</v>
      </c>
      <c r="JS85" s="439">
        <f t="shared" si="450"/>
        <v>0</v>
      </c>
      <c r="JT85" s="631" t="s">
        <v>92</v>
      </c>
      <c r="JU85" s="631">
        <f t="shared" si="459"/>
        <v>0.67842777656051523</v>
      </c>
      <c r="JW85" s="522"/>
      <c r="JX85" s="522"/>
      <c r="JY85" s="522"/>
      <c r="JZ85" s="522"/>
      <c r="KA85" s="522"/>
      <c r="KB85" s="522"/>
      <c r="KC85" s="522"/>
      <c r="KD85" s="522"/>
      <c r="KE85" s="522"/>
      <c r="KF85" s="522"/>
      <c r="KG85" s="522"/>
      <c r="KH85" s="522"/>
      <c r="KI85" s="522"/>
      <c r="KJ85" s="522"/>
      <c r="KK85" s="522"/>
      <c r="KL85" s="522"/>
    </row>
    <row r="86" spans="1:298">
      <c r="A86" s="334"/>
      <c r="B86" s="579">
        <v>3</v>
      </c>
      <c r="C86" s="579"/>
      <c r="D86" s="579">
        <f>IF($B86&lt;$C$77,(D$81*((D$76*$B86)^2))/(2*D$77),IF($B86&gt;($C$77+$C$78),D$80-D90,D$81*((D$77/2)+(($B86*D$76)-D$77))))</f>
        <v>5.6000000000000005</v>
      </c>
      <c r="E86" s="579">
        <f t="shared" ref="E86:O86" si="473">IF($B86&lt;$C$77,(E$81*((E$76*$B86)^2))/(2*E$77),IF($B86&gt;($C$77+$C$78),E$80-E90,E$81*((E$77/2)+(($B86*E$76)-E$77))))</f>
        <v>5.6000000000000005</v>
      </c>
      <c r="F86" s="579">
        <f t="shared" si="473"/>
        <v>0</v>
      </c>
      <c r="G86" s="579">
        <f t="shared" si="473"/>
        <v>0</v>
      </c>
      <c r="H86" s="579">
        <f t="shared" si="473"/>
        <v>0</v>
      </c>
      <c r="I86" s="579">
        <f t="shared" si="473"/>
        <v>0</v>
      </c>
      <c r="J86" s="579">
        <f t="shared" si="473"/>
        <v>0</v>
      </c>
      <c r="K86" s="579">
        <f t="shared" si="473"/>
        <v>0</v>
      </c>
      <c r="L86" s="579">
        <f t="shared" si="473"/>
        <v>0</v>
      </c>
      <c r="M86" s="579">
        <f t="shared" si="473"/>
        <v>0</v>
      </c>
      <c r="N86" s="579">
        <f t="shared" si="473"/>
        <v>0</v>
      </c>
      <c r="O86" s="579">
        <f t="shared" si="473"/>
        <v>0</v>
      </c>
      <c r="P86" s="579"/>
      <c r="Q86" s="579"/>
      <c r="R86" s="579"/>
      <c r="S86" s="381"/>
      <c r="T86" s="381"/>
      <c r="U86" s="605"/>
      <c r="V86" s="605"/>
      <c r="W86" s="381"/>
      <c r="X86" s="579"/>
      <c r="Y86" s="579"/>
      <c r="Z86" s="579"/>
      <c r="AA86" s="579"/>
      <c r="AB86" s="579"/>
      <c r="AC86" s="580"/>
      <c r="AD86" s="580"/>
      <c r="AE86" s="579"/>
      <c r="AF86" s="579"/>
      <c r="AG86" s="579"/>
      <c r="AH86" s="579"/>
      <c r="AI86" s="579"/>
      <c r="AJ86" s="579"/>
      <c r="AK86" s="579"/>
      <c r="AL86" s="580"/>
      <c r="AM86" s="580"/>
      <c r="AN86" s="579"/>
      <c r="AO86" s="579"/>
      <c r="AP86" s="579"/>
      <c r="AQ86" s="579"/>
      <c r="AR86" s="579"/>
      <c r="AS86" s="579"/>
      <c r="AT86" s="580"/>
      <c r="AU86" s="580"/>
      <c r="AV86" s="581">
        <f t="shared" si="470"/>
        <v>0</v>
      </c>
      <c r="AW86" s="581">
        <f>IF($AY$32,'Data Sheet'!AA107,0)</f>
        <v>0</v>
      </c>
      <c r="AX86" s="581">
        <f t="shared" si="472"/>
        <v>40.704999999999998</v>
      </c>
      <c r="AY86" s="579"/>
      <c r="AZ86" s="579"/>
      <c r="BA86" s="579"/>
      <c r="BB86" s="579"/>
      <c r="BC86" s="579"/>
      <c r="BD86" s="579"/>
      <c r="BE86" s="579"/>
      <c r="BF86" s="579"/>
      <c r="BG86" s="379"/>
      <c r="BH86" s="379"/>
      <c r="BI86" s="379"/>
      <c r="BJ86" s="379"/>
      <c r="BK86" s="379"/>
      <c r="BL86" s="379"/>
      <c r="BM86" s="379"/>
      <c r="BN86" s="379"/>
      <c r="BO86" s="379"/>
      <c r="BP86" s="379"/>
      <c r="BQ86" s="379"/>
      <c r="BR86" s="379"/>
      <c r="BS86" s="379"/>
      <c r="BT86" s="379"/>
      <c r="BU86" s="379"/>
      <c r="BV86" s="379"/>
      <c r="BW86" s="379"/>
      <c r="BX86" s="379"/>
      <c r="BY86" s="379"/>
      <c r="BZ86" s="379"/>
      <c r="CA86" s="379"/>
      <c r="CB86" s="379"/>
      <c r="CC86" s="379"/>
      <c r="CD86" s="379"/>
      <c r="CE86" s="379"/>
      <c r="CF86" s="379"/>
      <c r="CG86" s="379"/>
      <c r="CH86" s="77"/>
      <c r="CI86" s="77"/>
      <c r="CJ86" s="380"/>
      <c r="CK86" s="380"/>
      <c r="CL86" s="381"/>
      <c r="CM86" s="381"/>
      <c r="CN86" s="381"/>
      <c r="CO86" s="694" t="str">
        <f ca="1"/>
        <v>S435D</v>
      </c>
      <c r="CP86" s="632" t="str">
        <f>IF(OR(CQ86=0,CR86="",CS86&gt;120),"",IF(HLOOKUP(CQ86,Spec_Sheet!$F$3:$ED$19,17,FALSE)&lt;$AC$46,"",CQ86))</f>
        <v>L427D</v>
      </c>
      <c r="CQ86" s="660" t="str">
        <f>IF(Spec_Sheet!A85="","",Spec_Sheet!A85)</f>
        <v>L427D</v>
      </c>
      <c r="CR86" s="660">
        <f>IF(CQ86="",0,HLOOKUP(CQ86,Spec_Sheet!$F$3:$ED$19,2,FALSE))</f>
        <v>110</v>
      </c>
      <c r="CS86" s="660">
        <f t="shared" si="461"/>
        <v>1.4405062287919234E-3</v>
      </c>
      <c r="CT86" s="621">
        <f t="shared" si="310"/>
        <v>1.6261964848471313E-3</v>
      </c>
      <c r="CU86" s="621">
        <f t="shared" si="316"/>
        <v>1.4405062287919234E-3</v>
      </c>
      <c r="CV86" s="621">
        <f t="shared" si="311"/>
        <v>2.6131823981114899E-3</v>
      </c>
      <c r="CW86" s="621">
        <f t="shared" si="312"/>
        <v>2.3762866472046926E-3</v>
      </c>
      <c r="CX86" s="621">
        <f t="shared" si="456"/>
        <v>1.4002768568408713E-3</v>
      </c>
      <c r="CY86" s="619">
        <f>HLOOKUP(CQ86,Spec_Sheet!$F$3:$ED$19,13,FALSE)</f>
        <v>3</v>
      </c>
      <c r="CZ86" s="619">
        <f>VLOOKUP(HH86,'Shaft Weight'!$A$6:$CD$102,HJ86,TRUE)</f>
        <v>3.91</v>
      </c>
      <c r="DA86" s="619">
        <f>VLOOKUP(HI86,'Shaft Weight'!$A$6:$CD$102,HJ86,0)</f>
        <v>5.91</v>
      </c>
      <c r="DB86" s="619">
        <f>HLOOKUP(CQ86,Spec_Sheet!$F$3:$ED$19,6,FALSE)</f>
        <v>31</v>
      </c>
      <c r="DC86" s="439">
        <f t="shared" si="317"/>
        <v>4.3553999999999995</v>
      </c>
      <c r="DD86" s="440">
        <f t="shared" si="318"/>
        <v>3.3353999999999999</v>
      </c>
      <c r="DE86" s="439">
        <f t="shared" si="319"/>
        <v>-2.3153999999999999</v>
      </c>
      <c r="DF86" s="439">
        <f t="shared" si="320"/>
        <v>0</v>
      </c>
      <c r="DG86" s="439">
        <f t="shared" si="321"/>
        <v>0</v>
      </c>
      <c r="DH86" s="439">
        <f t="shared" si="322"/>
        <v>0</v>
      </c>
      <c r="DI86" s="439">
        <f t="shared" si="323"/>
        <v>0</v>
      </c>
      <c r="DJ86" s="439">
        <f t="shared" si="324"/>
        <v>0</v>
      </c>
      <c r="DK86" s="439">
        <f t="shared" si="325"/>
        <v>0</v>
      </c>
      <c r="DL86" s="439">
        <f t="shared" si="326"/>
        <v>0</v>
      </c>
      <c r="DM86" s="439">
        <f t="shared" si="327"/>
        <v>0</v>
      </c>
      <c r="DN86" s="439">
        <f t="shared" si="328"/>
        <v>0</v>
      </c>
      <c r="DO86" s="439">
        <f t="shared" si="329"/>
        <v>0</v>
      </c>
      <c r="DP86" s="439">
        <f t="shared" si="330"/>
        <v>0</v>
      </c>
      <c r="DQ86" s="442">
        <f t="shared" si="331"/>
        <v>0</v>
      </c>
      <c r="DR86" s="442">
        <f t="shared" si="332"/>
        <v>0</v>
      </c>
      <c r="DS86" s="439">
        <f t="shared" si="333"/>
        <v>0</v>
      </c>
      <c r="DT86" s="439">
        <f t="shared" si="334"/>
        <v>0</v>
      </c>
      <c r="DU86" s="661">
        <f t="shared" si="335"/>
        <v>0</v>
      </c>
      <c r="DV86" s="661">
        <f t="shared" si="336"/>
        <v>0</v>
      </c>
      <c r="DW86" s="439">
        <f t="shared" si="337"/>
        <v>0</v>
      </c>
      <c r="DX86" s="439">
        <f t="shared" si="338"/>
        <v>0</v>
      </c>
      <c r="DY86" s="439">
        <f t="shared" si="339"/>
        <v>0</v>
      </c>
      <c r="DZ86" s="439">
        <f t="shared" si="340"/>
        <v>0</v>
      </c>
      <c r="EA86" s="631" t="s">
        <v>92</v>
      </c>
      <c r="EB86" s="631">
        <f t="shared" si="451"/>
        <v>0.44358739236649058</v>
      </c>
      <c r="ED86" s="439">
        <f t="shared" si="341"/>
        <v>10.529820000000001</v>
      </c>
      <c r="EE86" s="440">
        <f t="shared" si="342"/>
        <v>8.0638200000000015</v>
      </c>
      <c r="EF86" s="439">
        <f t="shared" si="343"/>
        <v>-5.5978200000000014</v>
      </c>
      <c r="EG86" s="441">
        <f t="shared" si="344"/>
        <v>0</v>
      </c>
      <c r="EH86" s="439">
        <f t="shared" si="345"/>
        <v>0</v>
      </c>
      <c r="EI86" s="439">
        <f t="shared" si="346"/>
        <v>0</v>
      </c>
      <c r="EJ86" s="439">
        <f t="shared" si="347"/>
        <v>0</v>
      </c>
      <c r="EK86" s="439">
        <f t="shared" si="348"/>
        <v>0</v>
      </c>
      <c r="EL86" s="439">
        <f t="shared" si="349"/>
        <v>0</v>
      </c>
      <c r="EM86" s="439">
        <f t="shared" si="350"/>
        <v>0</v>
      </c>
      <c r="EN86" s="439">
        <f t="shared" si="351"/>
        <v>0</v>
      </c>
      <c r="EO86" s="439">
        <f t="shared" si="352"/>
        <v>0</v>
      </c>
      <c r="EP86" s="439">
        <f t="shared" si="353"/>
        <v>0</v>
      </c>
      <c r="EQ86" s="439">
        <f t="shared" si="354"/>
        <v>0</v>
      </c>
      <c r="ER86" s="442">
        <f t="shared" si="355"/>
        <v>0</v>
      </c>
      <c r="ES86" s="442">
        <f t="shared" si="356"/>
        <v>0</v>
      </c>
      <c r="ET86" s="439">
        <f t="shared" si="357"/>
        <v>0</v>
      </c>
      <c r="EU86" s="439">
        <f t="shared" si="358"/>
        <v>0</v>
      </c>
      <c r="EV86" s="661">
        <f t="shared" si="359"/>
        <v>0</v>
      </c>
      <c r="EW86" s="661">
        <f t="shared" si="360"/>
        <v>0</v>
      </c>
      <c r="EX86" s="439">
        <f t="shared" si="361"/>
        <v>0</v>
      </c>
      <c r="EY86" s="439">
        <f t="shared" si="362"/>
        <v>0</v>
      </c>
      <c r="EZ86" s="439">
        <f t="shared" si="363"/>
        <v>0</v>
      </c>
      <c r="FA86" s="439">
        <f t="shared" si="364"/>
        <v>0</v>
      </c>
      <c r="FB86" s="631" t="s">
        <v>92</v>
      </c>
      <c r="FC86" s="631">
        <f t="shared" si="452"/>
        <v>1.0724377544860453</v>
      </c>
      <c r="FE86" s="439">
        <f t="shared" si="365"/>
        <v>5.5211100000000011</v>
      </c>
      <c r="FF86" s="440">
        <f t="shared" si="366"/>
        <v>4.2281100000000009</v>
      </c>
      <c r="FG86" s="439">
        <f t="shared" si="367"/>
        <v>-2.9351100000000008</v>
      </c>
      <c r="FH86" s="441">
        <f t="shared" si="368"/>
        <v>0</v>
      </c>
      <c r="FI86" s="439">
        <f t="shared" si="369"/>
        <v>0</v>
      </c>
      <c r="FJ86" s="439">
        <f t="shared" si="370"/>
        <v>0</v>
      </c>
      <c r="FK86" s="439">
        <f t="shared" si="371"/>
        <v>0</v>
      </c>
      <c r="FL86" s="439">
        <f t="shared" si="372"/>
        <v>0</v>
      </c>
      <c r="FM86" s="439">
        <f t="shared" si="373"/>
        <v>0</v>
      </c>
      <c r="FN86" s="439">
        <f t="shared" si="374"/>
        <v>0</v>
      </c>
      <c r="FO86" s="439">
        <f t="shared" si="375"/>
        <v>0</v>
      </c>
      <c r="FP86" s="439">
        <f t="shared" si="376"/>
        <v>0</v>
      </c>
      <c r="FQ86" s="439">
        <f t="shared" si="377"/>
        <v>0</v>
      </c>
      <c r="FR86" s="439">
        <f t="shared" si="378"/>
        <v>0</v>
      </c>
      <c r="FS86" s="442">
        <f t="shared" si="379"/>
        <v>0</v>
      </c>
      <c r="FT86" s="442">
        <f t="shared" si="380"/>
        <v>0</v>
      </c>
      <c r="FU86" s="439">
        <f t="shared" si="381"/>
        <v>0</v>
      </c>
      <c r="FV86" s="439">
        <f t="shared" si="382"/>
        <v>0</v>
      </c>
      <c r="FW86" s="661">
        <f t="shared" si="383"/>
        <v>0</v>
      </c>
      <c r="FX86" s="661">
        <f t="shared" si="384"/>
        <v>0</v>
      </c>
      <c r="FY86" s="439">
        <f t="shared" si="385"/>
        <v>0</v>
      </c>
      <c r="FZ86" s="439">
        <f t="shared" si="386"/>
        <v>0</v>
      </c>
      <c r="GA86" s="439">
        <f t="shared" si="387"/>
        <v>0</v>
      </c>
      <c r="GB86" s="439">
        <f t="shared" si="388"/>
        <v>0</v>
      </c>
      <c r="GC86" s="631" t="s">
        <v>92</v>
      </c>
      <c r="GD86" s="631">
        <f t="shared" si="453"/>
        <v>0.56231225326458101</v>
      </c>
      <c r="GF86" s="439">
        <f t="shared" si="389"/>
        <v>8.0831100000000013</v>
      </c>
      <c r="GG86" s="440">
        <f t="shared" si="390"/>
        <v>6.1901100000000007</v>
      </c>
      <c r="GH86" s="439">
        <f t="shared" si="391"/>
        <v>-4.2971100000000009</v>
      </c>
      <c r="GI86" s="439">
        <f t="shared" si="392"/>
        <v>0</v>
      </c>
      <c r="GJ86" s="439">
        <f t="shared" si="393"/>
        <v>0</v>
      </c>
      <c r="GK86" s="439">
        <f t="shared" si="394"/>
        <v>0</v>
      </c>
      <c r="GL86" s="439">
        <f t="shared" si="395"/>
        <v>0</v>
      </c>
      <c r="GM86" s="439">
        <f t="shared" si="396"/>
        <v>0</v>
      </c>
      <c r="GN86" s="439">
        <f t="shared" si="397"/>
        <v>0</v>
      </c>
      <c r="GO86" s="439">
        <f t="shared" si="398"/>
        <v>0</v>
      </c>
      <c r="GP86" s="439">
        <f t="shared" si="399"/>
        <v>0</v>
      </c>
      <c r="GQ86" s="439">
        <f t="shared" si="400"/>
        <v>0</v>
      </c>
      <c r="GR86" s="439">
        <f t="shared" si="401"/>
        <v>0</v>
      </c>
      <c r="GS86" s="439">
        <f t="shared" si="402"/>
        <v>0</v>
      </c>
      <c r="GT86" s="442">
        <f t="shared" si="403"/>
        <v>0</v>
      </c>
      <c r="GU86" s="442">
        <f t="shared" si="404"/>
        <v>0</v>
      </c>
      <c r="GV86" s="439">
        <f t="shared" si="405"/>
        <v>0</v>
      </c>
      <c r="GW86" s="439">
        <f t="shared" si="406"/>
        <v>0</v>
      </c>
      <c r="GX86" s="661">
        <f t="shared" si="407"/>
        <v>0</v>
      </c>
      <c r="GY86" s="661">
        <f t="shared" si="408"/>
        <v>0</v>
      </c>
      <c r="GZ86" s="439">
        <f t="shared" si="409"/>
        <v>0</v>
      </c>
      <c r="HA86" s="439">
        <f t="shared" si="410"/>
        <v>0</v>
      </c>
      <c r="HB86" s="439">
        <f t="shared" si="411"/>
        <v>0</v>
      </c>
      <c r="HC86" s="439">
        <f t="shared" si="412"/>
        <v>0</v>
      </c>
      <c r="HD86" s="631" t="s">
        <v>92</v>
      </c>
      <c r="HE86" s="631">
        <f t="shared" si="306"/>
        <v>0.82324601348016357</v>
      </c>
      <c r="HG86" s="618">
        <f>HLOOKUP(CQ86,Spec_Sheet!$F$3:$DV$19,11,FALSE)+HLOOKUP(CQ86,Spec_Sheet!$F$3:$DV$21,19,FALSE)</f>
        <v>270</v>
      </c>
      <c r="HH86" s="618">
        <f t="shared" si="454"/>
        <v>100</v>
      </c>
      <c r="HI86" s="634">
        <f t="shared" si="455"/>
        <v>300</v>
      </c>
      <c r="HJ86" s="634">
        <f>HLOOKUP(IF(LEN(CQ86)&gt;6,LEFT(CQ86,5),CQ86),'LSM List Pricing'!$B$1:$BW$2,2,0)</f>
        <v>27</v>
      </c>
      <c r="HK86" s="634">
        <f>HLOOKUP(HJ86,'LSM List Pricing'!$B$2:$BW$3,2)</f>
        <v>780</v>
      </c>
      <c r="HL86" s="634">
        <f>VLOOKUP(HH86,'LSM List Pricing'!$A$7:$BW$87,HJ86,0)</f>
        <v>1560</v>
      </c>
      <c r="HM86" s="627">
        <f>VLOOKUP(HI86,'LSM List Pricing'!$A$7:$BW$87,HJ86,1)</f>
        <v>2270</v>
      </c>
      <c r="HN86" s="628">
        <f t="shared" si="307"/>
        <v>6</v>
      </c>
      <c r="HO86" s="628">
        <f t="shared" si="308"/>
        <v>12</v>
      </c>
      <c r="HP86" s="628">
        <f t="shared" si="309"/>
        <v>9.8205128205128212</v>
      </c>
      <c r="HR86" s="618">
        <v>4.1500000000000002E-2</v>
      </c>
      <c r="HS86" s="618">
        <f t="shared" si="457"/>
        <v>278.64285714285717</v>
      </c>
      <c r="HT86" s="618">
        <f t="shared" si="458"/>
        <v>1</v>
      </c>
      <c r="HU86" s="618">
        <f t="shared" si="466"/>
        <v>1.0568808736026176</v>
      </c>
      <c r="HW86" s="618">
        <f t="shared" si="413"/>
        <v>34.49922915948428</v>
      </c>
      <c r="HX86" s="618">
        <f t="shared" si="467"/>
        <v>1.0345857854691678</v>
      </c>
      <c r="HY86" s="618">
        <f t="shared" si="468"/>
        <v>4.1500000000000002E-2</v>
      </c>
      <c r="IB86" s="618">
        <f t="shared" si="414"/>
        <v>25.000350341399081</v>
      </c>
      <c r="IC86" s="618">
        <f t="shared" si="415"/>
        <v>1E-3</v>
      </c>
      <c r="IE86" s="618">
        <f t="shared" si="416"/>
        <v>0</v>
      </c>
      <c r="IF86" s="618">
        <f t="shared" si="417"/>
        <v>40.704999999999998</v>
      </c>
      <c r="IH86" s="618">
        <f t="shared" si="418"/>
        <v>0</v>
      </c>
      <c r="II86" s="618">
        <f t="shared" si="419"/>
        <v>40.704999999999998</v>
      </c>
      <c r="IK86" s="618">
        <f t="shared" si="420"/>
        <v>0</v>
      </c>
      <c r="IL86" s="618">
        <f t="shared" si="421"/>
        <v>40.704999999999998</v>
      </c>
      <c r="IN86" s="618">
        <f t="shared" si="422"/>
        <v>0</v>
      </c>
      <c r="IO86" s="618">
        <f t="shared" si="423"/>
        <v>40.704999999999998</v>
      </c>
      <c r="IQ86" s="618">
        <f t="shared" si="424"/>
        <v>0</v>
      </c>
      <c r="IR86" s="618">
        <f t="shared" si="425"/>
        <v>40.704999999999998</v>
      </c>
      <c r="IT86" s="660" t="str">
        <f t="shared" si="426"/>
        <v>L427D</v>
      </c>
      <c r="IU86" s="628"/>
      <c r="IV86" s="439">
        <f t="shared" si="427"/>
        <v>8.1984000000000012</v>
      </c>
      <c r="IW86" s="440">
        <f t="shared" si="428"/>
        <v>6.2784000000000013</v>
      </c>
      <c r="IX86" s="439">
        <f t="shared" si="429"/>
        <v>-4.3584000000000014</v>
      </c>
      <c r="IY86" s="439">
        <f t="shared" si="430"/>
        <v>0</v>
      </c>
      <c r="IZ86" s="439">
        <f t="shared" si="431"/>
        <v>0</v>
      </c>
      <c r="JA86" s="439">
        <f t="shared" si="432"/>
        <v>0</v>
      </c>
      <c r="JB86" s="439">
        <f t="shared" si="433"/>
        <v>0</v>
      </c>
      <c r="JC86" s="439">
        <f t="shared" si="434"/>
        <v>0</v>
      </c>
      <c r="JD86" s="439">
        <f t="shared" si="435"/>
        <v>0</v>
      </c>
      <c r="JE86" s="439">
        <f t="shared" si="436"/>
        <v>0</v>
      </c>
      <c r="JF86" s="439">
        <f t="shared" si="437"/>
        <v>0</v>
      </c>
      <c r="JG86" s="439">
        <f t="shared" si="438"/>
        <v>0</v>
      </c>
      <c r="JH86" s="439">
        <f t="shared" si="439"/>
        <v>0</v>
      </c>
      <c r="JI86" s="439">
        <f t="shared" si="440"/>
        <v>0</v>
      </c>
      <c r="JJ86" s="442">
        <f t="shared" si="441"/>
        <v>0</v>
      </c>
      <c r="JK86" s="442">
        <f t="shared" si="442"/>
        <v>0</v>
      </c>
      <c r="JL86" s="439">
        <f t="shared" si="443"/>
        <v>0</v>
      </c>
      <c r="JM86" s="439">
        <f t="shared" si="444"/>
        <v>0</v>
      </c>
      <c r="JN86" s="661">
        <f t="shared" si="445"/>
        <v>0</v>
      </c>
      <c r="JO86" s="661">
        <f t="shared" si="446"/>
        <v>0</v>
      </c>
      <c r="JP86" s="439">
        <f t="shared" si="447"/>
        <v>0</v>
      </c>
      <c r="JQ86" s="439">
        <f t="shared" si="448"/>
        <v>0</v>
      </c>
      <c r="JR86" s="439">
        <f t="shared" si="449"/>
        <v>0</v>
      </c>
      <c r="JS86" s="439">
        <f t="shared" si="450"/>
        <v>0</v>
      </c>
      <c r="JT86" s="631" t="s">
        <v>92</v>
      </c>
      <c r="JU86" s="631">
        <f t="shared" si="459"/>
        <v>0.83498803268986488</v>
      </c>
      <c r="JW86" s="522"/>
      <c r="JX86" s="522"/>
      <c r="JY86" s="522"/>
      <c r="JZ86" s="522"/>
      <c r="KA86" s="522"/>
      <c r="KB86" s="522"/>
      <c r="KC86" s="522"/>
      <c r="KD86" s="522"/>
      <c r="KE86" s="522"/>
      <c r="KF86" s="522"/>
      <c r="KG86" s="522"/>
      <c r="KH86" s="522"/>
      <c r="KI86" s="522"/>
      <c r="KJ86" s="522"/>
      <c r="KK86" s="522"/>
      <c r="KL86" s="522"/>
    </row>
    <row r="87" spans="1:298">
      <c r="A87" s="334"/>
      <c r="B87" s="579">
        <v>4</v>
      </c>
      <c r="C87" s="579"/>
      <c r="D87" s="579">
        <f>IF($B87&lt;$C$77,(D$81*((D$76*$B87)^2))/(2*D$77),IF($B87&gt;($C$77+$C$78),D$80-D89,D$81*((D$77/2)+(($B87*D$76)-D$77))))</f>
        <v>8.7999999999999989</v>
      </c>
      <c r="E87" s="579">
        <f t="shared" ref="E87:O87" si="474">IF($B87&lt;$C$77,(E$81*((E$76*$B87)^2))/(2*E$77),IF($B87&gt;($C$77+$C$78),E$80-E89,E$81*((E$77/2)+(($B87*E$76)-E$77))))</f>
        <v>8.7999999999999989</v>
      </c>
      <c r="F87" s="579">
        <f t="shared" si="474"/>
        <v>0</v>
      </c>
      <c r="G87" s="579">
        <f t="shared" si="474"/>
        <v>0</v>
      </c>
      <c r="H87" s="579">
        <f t="shared" si="474"/>
        <v>0</v>
      </c>
      <c r="I87" s="579">
        <f t="shared" si="474"/>
        <v>0</v>
      </c>
      <c r="J87" s="579">
        <f t="shared" si="474"/>
        <v>0</v>
      </c>
      <c r="K87" s="579">
        <f t="shared" si="474"/>
        <v>0</v>
      </c>
      <c r="L87" s="579">
        <f t="shared" si="474"/>
        <v>0</v>
      </c>
      <c r="M87" s="579">
        <f t="shared" si="474"/>
        <v>0</v>
      </c>
      <c r="N87" s="579">
        <f t="shared" si="474"/>
        <v>0</v>
      </c>
      <c r="O87" s="579">
        <f t="shared" si="474"/>
        <v>0</v>
      </c>
      <c r="P87" s="579"/>
      <c r="Q87" s="579"/>
      <c r="R87" s="579"/>
      <c r="S87" s="381"/>
      <c r="T87" s="381"/>
      <c r="U87" s="605"/>
      <c r="V87" s="605"/>
      <c r="W87" s="381"/>
      <c r="X87" s="579"/>
      <c r="Y87" s="579"/>
      <c r="Z87" s="579"/>
      <c r="AA87" s="579"/>
      <c r="AB87" s="579"/>
      <c r="AC87" s="580"/>
      <c r="AD87" s="580"/>
      <c r="AE87" s="579"/>
      <c r="AF87" s="579"/>
      <c r="AG87" s="579"/>
      <c r="AH87" s="579"/>
      <c r="AI87" s="579"/>
      <c r="AJ87" s="579"/>
      <c r="AK87" s="579"/>
      <c r="AL87" s="580"/>
      <c r="AM87" s="580"/>
      <c r="AN87" s="579"/>
      <c r="AO87" s="579"/>
      <c r="AP87" s="579"/>
      <c r="AQ87" s="579"/>
      <c r="AR87" s="579"/>
      <c r="AS87" s="579"/>
      <c r="AT87" s="580"/>
      <c r="AU87" s="580"/>
      <c r="AV87" s="581">
        <f t="shared" si="470"/>
        <v>0</v>
      </c>
      <c r="AW87" s="581">
        <f>IF($AY$32,'Data Sheet'!AA108,0)</f>
        <v>0</v>
      </c>
      <c r="AX87" s="581">
        <f t="shared" si="472"/>
        <v>40.704999999999998</v>
      </c>
      <c r="AY87" s="579"/>
      <c r="AZ87" s="579"/>
      <c r="BA87" s="579"/>
      <c r="BB87" s="579"/>
      <c r="BC87" s="579"/>
      <c r="BD87" s="579"/>
      <c r="BE87" s="579"/>
      <c r="BF87" s="579"/>
      <c r="BG87" s="379"/>
      <c r="BH87" s="379"/>
      <c r="BI87" s="379"/>
      <c r="BJ87" s="379"/>
      <c r="BK87" s="379"/>
      <c r="BL87" s="379"/>
      <c r="BM87" s="379"/>
      <c r="BN87" s="379"/>
      <c r="BO87" s="379"/>
      <c r="BP87" s="379"/>
      <c r="BQ87" s="379"/>
      <c r="BR87" s="379"/>
      <c r="BS87" s="379"/>
      <c r="BT87" s="379"/>
      <c r="BU87" s="379"/>
      <c r="BV87" s="379"/>
      <c r="BW87" s="379"/>
      <c r="BX87" s="379"/>
      <c r="BY87" s="379"/>
      <c r="BZ87" s="379"/>
      <c r="CA87" s="379"/>
      <c r="CB87" s="379"/>
      <c r="CC87" s="379"/>
      <c r="CD87" s="379"/>
      <c r="CE87" s="379"/>
      <c r="CF87" s="379"/>
      <c r="CG87" s="379"/>
      <c r="CH87" s="77"/>
      <c r="CI87" s="77"/>
      <c r="CJ87" s="380"/>
      <c r="CK87" s="380"/>
      <c r="CL87" s="381"/>
      <c r="CM87" s="381"/>
      <c r="CN87" s="445"/>
      <c r="CO87" s="694" t="str">
        <f ca="1"/>
        <v>L320Q-HV</v>
      </c>
      <c r="CP87" s="632" t="str">
        <f>IF(OR(CQ87=0,CR87="",CS87&gt;120),"",IF(HLOOKUP(CQ87,Spec_Sheet!$F$3:$ED$19,17,FALSE)&lt;$AC$46,"",CQ87))</f>
        <v>S320Q</v>
      </c>
      <c r="CQ87" s="660" t="str">
        <f>IF(Spec_Sheet!A86="","",Spec_Sheet!A86)</f>
        <v>S320Q</v>
      </c>
      <c r="CR87" s="660">
        <f>IF(CQ87="",0,HLOOKUP(CQ87,Spec_Sheet!$F$3:$ED$19,2,FALSE))</f>
        <v>113</v>
      </c>
      <c r="CS87" s="660">
        <f t="shared" si="461"/>
        <v>7.678318991083897E-4</v>
      </c>
      <c r="CT87" s="621">
        <f t="shared" si="310"/>
        <v>9.0113604825915186E-4</v>
      </c>
      <c r="CU87" s="621">
        <f t="shared" si="316"/>
        <v>7.678318991083897E-4</v>
      </c>
      <c r="CV87" s="621">
        <f t="shared" si="311"/>
        <v>1.1056779347160808E-3</v>
      </c>
      <c r="CW87" s="621">
        <f t="shared" si="312"/>
        <v>9.574437208604334E-4</v>
      </c>
      <c r="CX87" s="621">
        <f t="shared" si="456"/>
        <v>6.1333572284638508E-4</v>
      </c>
      <c r="CY87" s="619">
        <f>HLOOKUP(CQ87,Spec_Sheet!$F$3:$ED$19,13,FALSE)</f>
        <v>2.2000000000000002</v>
      </c>
      <c r="CZ87" s="619">
        <f>VLOOKUP(HH87,'Shaft Weight'!$A$6:$CD$102,HJ87,TRUE)</f>
        <v>2.48</v>
      </c>
      <c r="DA87" s="619">
        <f>VLOOKUP(HI87,'Shaft Weight'!$A$6:$CD$102,HJ87,0)</f>
        <v>3.89</v>
      </c>
      <c r="DB87" s="619">
        <f>HLOOKUP(CQ87,Spec_Sheet!$F$3:$ED$19,6,FALSE)</f>
        <v>90.6</v>
      </c>
      <c r="DC87" s="439">
        <f t="shared" si="317"/>
        <v>3.3306000000000004</v>
      </c>
      <c r="DD87" s="440">
        <f t="shared" si="318"/>
        <v>2.5506000000000006</v>
      </c>
      <c r="DE87" s="439">
        <f t="shared" si="319"/>
        <v>-1.7706000000000006</v>
      </c>
      <c r="DF87" s="439">
        <f t="shared" si="320"/>
        <v>0</v>
      </c>
      <c r="DG87" s="439">
        <f t="shared" si="321"/>
        <v>0</v>
      </c>
      <c r="DH87" s="439">
        <f t="shared" si="322"/>
        <v>0</v>
      </c>
      <c r="DI87" s="439">
        <f t="shared" si="323"/>
        <v>0</v>
      </c>
      <c r="DJ87" s="439">
        <f t="shared" si="324"/>
        <v>0</v>
      </c>
      <c r="DK87" s="439">
        <f t="shared" si="325"/>
        <v>0</v>
      </c>
      <c r="DL87" s="439">
        <f t="shared" si="326"/>
        <v>0</v>
      </c>
      <c r="DM87" s="439">
        <f t="shared" si="327"/>
        <v>0</v>
      </c>
      <c r="DN87" s="439">
        <f t="shared" si="328"/>
        <v>0</v>
      </c>
      <c r="DO87" s="439">
        <f t="shared" si="329"/>
        <v>0</v>
      </c>
      <c r="DP87" s="439">
        <f t="shared" si="330"/>
        <v>0</v>
      </c>
      <c r="DQ87" s="442">
        <f t="shared" si="331"/>
        <v>0</v>
      </c>
      <c r="DR87" s="442">
        <f t="shared" si="332"/>
        <v>0</v>
      </c>
      <c r="DS87" s="439">
        <f t="shared" si="333"/>
        <v>0</v>
      </c>
      <c r="DT87" s="439">
        <f t="shared" si="334"/>
        <v>0</v>
      </c>
      <c r="DU87" s="661">
        <f t="shared" si="335"/>
        <v>0</v>
      </c>
      <c r="DV87" s="661">
        <f t="shared" si="336"/>
        <v>0</v>
      </c>
      <c r="DW87" s="439">
        <f t="shared" si="337"/>
        <v>0</v>
      </c>
      <c r="DX87" s="439">
        <f t="shared" si="338"/>
        <v>0</v>
      </c>
      <c r="DY87" s="439">
        <f t="shared" si="339"/>
        <v>0</v>
      </c>
      <c r="DZ87" s="439">
        <f t="shared" si="340"/>
        <v>0</v>
      </c>
      <c r="EA87" s="631" t="s">
        <v>92</v>
      </c>
      <c r="EB87" s="631">
        <f t="shared" si="451"/>
        <v>0.33921388828025761</v>
      </c>
      <c r="ED87" s="439">
        <f t="shared" si="341"/>
        <v>6.8661600000000007</v>
      </c>
      <c r="EE87" s="440">
        <f t="shared" si="342"/>
        <v>5.2581600000000011</v>
      </c>
      <c r="EF87" s="439">
        <f t="shared" si="343"/>
        <v>-3.650160000000001</v>
      </c>
      <c r="EG87" s="441">
        <f t="shared" si="344"/>
        <v>0</v>
      </c>
      <c r="EH87" s="439">
        <f t="shared" si="345"/>
        <v>0</v>
      </c>
      <c r="EI87" s="439">
        <f t="shared" si="346"/>
        <v>0</v>
      </c>
      <c r="EJ87" s="439">
        <f t="shared" si="347"/>
        <v>0</v>
      </c>
      <c r="EK87" s="439">
        <f t="shared" si="348"/>
        <v>0</v>
      </c>
      <c r="EL87" s="439">
        <f t="shared" si="349"/>
        <v>0</v>
      </c>
      <c r="EM87" s="439">
        <f t="shared" si="350"/>
        <v>0</v>
      </c>
      <c r="EN87" s="439">
        <f t="shared" si="351"/>
        <v>0</v>
      </c>
      <c r="EO87" s="439">
        <f t="shared" si="352"/>
        <v>0</v>
      </c>
      <c r="EP87" s="439">
        <f t="shared" si="353"/>
        <v>0</v>
      </c>
      <c r="EQ87" s="439">
        <f t="shared" si="354"/>
        <v>0</v>
      </c>
      <c r="ER87" s="442">
        <f t="shared" si="355"/>
        <v>0</v>
      </c>
      <c r="ES87" s="442">
        <f t="shared" si="356"/>
        <v>0</v>
      </c>
      <c r="ET87" s="439">
        <f t="shared" si="357"/>
        <v>0</v>
      </c>
      <c r="EU87" s="439">
        <f t="shared" si="358"/>
        <v>0</v>
      </c>
      <c r="EV87" s="661">
        <f t="shared" si="359"/>
        <v>0</v>
      </c>
      <c r="EW87" s="661">
        <f t="shared" si="360"/>
        <v>0</v>
      </c>
      <c r="EX87" s="439">
        <f t="shared" si="361"/>
        <v>0</v>
      </c>
      <c r="EY87" s="439">
        <f t="shared" si="362"/>
        <v>0</v>
      </c>
      <c r="EZ87" s="439">
        <f t="shared" si="363"/>
        <v>0</v>
      </c>
      <c r="FA87" s="439">
        <f t="shared" si="364"/>
        <v>0</v>
      </c>
      <c r="FB87" s="631" t="s">
        <v>92</v>
      </c>
      <c r="FC87" s="631">
        <f t="shared" si="452"/>
        <v>0.69930247737776174</v>
      </c>
      <c r="FE87" s="439">
        <f t="shared" si="365"/>
        <v>3.6892800000000001</v>
      </c>
      <c r="FF87" s="440">
        <f t="shared" si="366"/>
        <v>2.8252800000000002</v>
      </c>
      <c r="FG87" s="439">
        <f t="shared" si="367"/>
        <v>-1.9612800000000004</v>
      </c>
      <c r="FH87" s="441">
        <f t="shared" si="368"/>
        <v>0</v>
      </c>
      <c r="FI87" s="439">
        <f t="shared" si="369"/>
        <v>0</v>
      </c>
      <c r="FJ87" s="439">
        <f t="shared" si="370"/>
        <v>0</v>
      </c>
      <c r="FK87" s="439">
        <f t="shared" si="371"/>
        <v>0</v>
      </c>
      <c r="FL87" s="439">
        <f t="shared" si="372"/>
        <v>0</v>
      </c>
      <c r="FM87" s="439">
        <f t="shared" si="373"/>
        <v>0</v>
      </c>
      <c r="FN87" s="439">
        <f t="shared" si="374"/>
        <v>0</v>
      </c>
      <c r="FO87" s="439">
        <f t="shared" si="375"/>
        <v>0</v>
      </c>
      <c r="FP87" s="439">
        <f t="shared" si="376"/>
        <v>0</v>
      </c>
      <c r="FQ87" s="439">
        <f t="shared" si="377"/>
        <v>0</v>
      </c>
      <c r="FR87" s="439">
        <f t="shared" si="378"/>
        <v>0</v>
      </c>
      <c r="FS87" s="442">
        <f t="shared" si="379"/>
        <v>0</v>
      </c>
      <c r="FT87" s="442">
        <f t="shared" si="380"/>
        <v>0</v>
      </c>
      <c r="FU87" s="439">
        <f t="shared" si="381"/>
        <v>0</v>
      </c>
      <c r="FV87" s="439">
        <f t="shared" si="382"/>
        <v>0</v>
      </c>
      <c r="FW87" s="661">
        <f t="shared" si="383"/>
        <v>0</v>
      </c>
      <c r="FX87" s="661">
        <f t="shared" si="384"/>
        <v>0</v>
      </c>
      <c r="FY87" s="439">
        <f t="shared" si="385"/>
        <v>0</v>
      </c>
      <c r="FZ87" s="439">
        <f t="shared" si="386"/>
        <v>0</v>
      </c>
      <c r="GA87" s="439">
        <f t="shared" si="387"/>
        <v>0</v>
      </c>
      <c r="GB87" s="439">
        <f t="shared" si="388"/>
        <v>0</v>
      </c>
      <c r="GC87" s="631" t="s">
        <v>92</v>
      </c>
      <c r="GD87" s="631">
        <f t="shared" si="453"/>
        <v>0.37574461471043913</v>
      </c>
      <c r="GF87" s="439">
        <f t="shared" si="389"/>
        <v>5.4954900000000002</v>
      </c>
      <c r="GG87" s="440">
        <f t="shared" si="390"/>
        <v>4.2084900000000003</v>
      </c>
      <c r="GH87" s="439">
        <f t="shared" si="391"/>
        <v>-2.9214900000000004</v>
      </c>
      <c r="GI87" s="439">
        <f t="shared" si="392"/>
        <v>0</v>
      </c>
      <c r="GJ87" s="439">
        <f t="shared" si="393"/>
        <v>0</v>
      </c>
      <c r="GK87" s="439">
        <f t="shared" si="394"/>
        <v>0</v>
      </c>
      <c r="GL87" s="439">
        <f t="shared" si="395"/>
        <v>0</v>
      </c>
      <c r="GM87" s="439">
        <f t="shared" si="396"/>
        <v>0</v>
      </c>
      <c r="GN87" s="439">
        <f t="shared" si="397"/>
        <v>0</v>
      </c>
      <c r="GO87" s="439">
        <f t="shared" si="398"/>
        <v>0</v>
      </c>
      <c r="GP87" s="439">
        <f t="shared" si="399"/>
        <v>0</v>
      </c>
      <c r="GQ87" s="439">
        <f t="shared" si="400"/>
        <v>0</v>
      </c>
      <c r="GR87" s="439">
        <f t="shared" si="401"/>
        <v>0</v>
      </c>
      <c r="GS87" s="439">
        <f t="shared" si="402"/>
        <v>0</v>
      </c>
      <c r="GT87" s="442">
        <f t="shared" si="403"/>
        <v>0</v>
      </c>
      <c r="GU87" s="442">
        <f t="shared" si="404"/>
        <v>0</v>
      </c>
      <c r="GV87" s="439">
        <f t="shared" si="405"/>
        <v>0</v>
      </c>
      <c r="GW87" s="439">
        <f t="shared" si="406"/>
        <v>0</v>
      </c>
      <c r="GX87" s="661">
        <f t="shared" si="407"/>
        <v>0</v>
      </c>
      <c r="GY87" s="661">
        <f t="shared" si="408"/>
        <v>0</v>
      </c>
      <c r="GZ87" s="439">
        <f t="shared" si="409"/>
        <v>0</v>
      </c>
      <c r="HA87" s="439">
        <f t="shared" si="410"/>
        <v>0</v>
      </c>
      <c r="HB87" s="439">
        <f t="shared" si="411"/>
        <v>0</v>
      </c>
      <c r="HC87" s="439">
        <f t="shared" si="412"/>
        <v>0</v>
      </c>
      <c r="HD87" s="631" t="s">
        <v>92</v>
      </c>
      <c r="HE87" s="631">
        <f t="shared" si="306"/>
        <v>0.55970291566242503</v>
      </c>
      <c r="HG87" s="618">
        <f>HLOOKUP(CQ87,Spec_Sheet!$F$3:$DV$19,11,FALSE)+HLOOKUP(CQ87,Spec_Sheet!$F$3:$DV$21,19,FALSE)</f>
        <v>300</v>
      </c>
      <c r="HH87" s="618">
        <f t="shared" si="454"/>
        <v>100</v>
      </c>
      <c r="HI87" s="634">
        <f t="shared" si="455"/>
        <v>350</v>
      </c>
      <c r="HJ87" s="634">
        <f>HLOOKUP(IF(LEN(CQ87)&gt;6,LEFT(CQ87,5),CQ87),'LSM List Pricing'!$B$1:$BW$2,2,0)</f>
        <v>54</v>
      </c>
      <c r="HK87" s="634">
        <f>HLOOKUP(HJ87,'LSM List Pricing'!$B$2:$BW$3,2)</f>
        <v>850</v>
      </c>
      <c r="HL87" s="634">
        <f>VLOOKUP(HH87,'LSM List Pricing'!$A$7:$BW$87,HJ87,0)</f>
        <v>960</v>
      </c>
      <c r="HM87" s="627">
        <f>VLOOKUP(HI87,'LSM List Pricing'!$A$7:$BW$87,HJ87,1)</f>
        <v>1450</v>
      </c>
      <c r="HN87" s="628">
        <f t="shared" si="307"/>
        <v>4.6410256410256414</v>
      </c>
      <c r="HO87" s="628">
        <f t="shared" si="308"/>
        <v>9.2820512820512828</v>
      </c>
      <c r="HP87" s="628">
        <f t="shared" si="309"/>
        <v>8.0769230769230766</v>
      </c>
      <c r="HR87" s="618">
        <v>4.2000000000000003E-2</v>
      </c>
      <c r="HS87" s="618">
        <f t="shared" si="457"/>
        <v>282</v>
      </c>
      <c r="HT87" s="618">
        <f t="shared" si="458"/>
        <v>1</v>
      </c>
      <c r="HU87" s="618">
        <f t="shared" si="466"/>
        <v>1.0696199175762424</v>
      </c>
      <c r="HW87" s="618">
        <f t="shared" si="413"/>
        <v>34.481139717041735</v>
      </c>
      <c r="HX87" s="618">
        <f t="shared" si="467"/>
        <v>1.0467873620001704</v>
      </c>
      <c r="HY87" s="618">
        <f t="shared" si="468"/>
        <v>4.2000000000000003E-2</v>
      </c>
      <c r="IB87" s="618">
        <f t="shared" si="414"/>
        <v>25.000350341399081</v>
      </c>
      <c r="IC87" s="618">
        <f t="shared" si="415"/>
        <v>1E-3</v>
      </c>
      <c r="IE87" s="618">
        <f t="shared" si="416"/>
        <v>0</v>
      </c>
      <c r="IF87" s="618">
        <f t="shared" si="417"/>
        <v>40.704999999999998</v>
      </c>
      <c r="IH87" s="618">
        <f t="shared" si="418"/>
        <v>0</v>
      </c>
      <c r="II87" s="618">
        <f t="shared" si="419"/>
        <v>40.704999999999998</v>
      </c>
      <c r="IK87" s="618">
        <f t="shared" si="420"/>
        <v>0</v>
      </c>
      <c r="IL87" s="618">
        <f t="shared" si="421"/>
        <v>40.704999999999998</v>
      </c>
      <c r="IN87" s="618">
        <f t="shared" si="422"/>
        <v>0</v>
      </c>
      <c r="IO87" s="618">
        <f t="shared" si="423"/>
        <v>40.704999999999998</v>
      </c>
      <c r="IQ87" s="618">
        <f t="shared" si="424"/>
        <v>0</v>
      </c>
      <c r="IR87" s="618">
        <f t="shared" si="425"/>
        <v>40.704999999999998</v>
      </c>
      <c r="IT87" s="660" t="str">
        <f t="shared" si="426"/>
        <v>S320Q</v>
      </c>
      <c r="IU87" s="628"/>
      <c r="IV87" s="439">
        <f t="shared" si="427"/>
        <v>6.1488000000000014</v>
      </c>
      <c r="IW87" s="440">
        <f t="shared" si="428"/>
        <v>4.708800000000001</v>
      </c>
      <c r="IX87" s="439">
        <f t="shared" si="429"/>
        <v>-3.2688000000000006</v>
      </c>
      <c r="IY87" s="439">
        <f t="shared" si="430"/>
        <v>0</v>
      </c>
      <c r="IZ87" s="439">
        <f t="shared" si="431"/>
        <v>0</v>
      </c>
      <c r="JA87" s="439">
        <f t="shared" si="432"/>
        <v>0</v>
      </c>
      <c r="JB87" s="439">
        <f t="shared" si="433"/>
        <v>0</v>
      </c>
      <c r="JC87" s="439">
        <f t="shared" si="434"/>
        <v>0</v>
      </c>
      <c r="JD87" s="439">
        <f t="shared" si="435"/>
        <v>0</v>
      </c>
      <c r="JE87" s="439">
        <f t="shared" si="436"/>
        <v>0</v>
      </c>
      <c r="JF87" s="439">
        <f t="shared" si="437"/>
        <v>0</v>
      </c>
      <c r="JG87" s="439">
        <f t="shared" si="438"/>
        <v>0</v>
      </c>
      <c r="JH87" s="439">
        <f t="shared" si="439"/>
        <v>0</v>
      </c>
      <c r="JI87" s="439">
        <f t="shared" si="440"/>
        <v>0</v>
      </c>
      <c r="JJ87" s="442">
        <f t="shared" si="441"/>
        <v>0</v>
      </c>
      <c r="JK87" s="442">
        <f t="shared" si="442"/>
        <v>0</v>
      </c>
      <c r="JL87" s="439">
        <f t="shared" si="443"/>
        <v>0</v>
      </c>
      <c r="JM87" s="439">
        <f t="shared" si="444"/>
        <v>0</v>
      </c>
      <c r="JN87" s="661">
        <f t="shared" si="445"/>
        <v>0</v>
      </c>
      <c r="JO87" s="661">
        <f t="shared" si="446"/>
        <v>0</v>
      </c>
      <c r="JP87" s="439">
        <f t="shared" si="447"/>
        <v>0</v>
      </c>
      <c r="JQ87" s="439">
        <f t="shared" si="448"/>
        <v>0</v>
      </c>
      <c r="JR87" s="439">
        <f t="shared" si="449"/>
        <v>0</v>
      </c>
      <c r="JS87" s="439">
        <f t="shared" si="450"/>
        <v>0</v>
      </c>
      <c r="JT87" s="631" t="s">
        <v>92</v>
      </c>
      <c r="JU87" s="631">
        <f t="shared" si="459"/>
        <v>0.62624102451739871</v>
      </c>
      <c r="JW87" s="522"/>
      <c r="JX87" s="522"/>
      <c r="JY87" s="522"/>
      <c r="JZ87" s="522"/>
      <c r="KA87" s="522"/>
      <c r="KB87" s="522"/>
      <c r="KC87" s="522"/>
      <c r="KD87" s="522"/>
      <c r="KE87" s="522"/>
      <c r="KF87" s="522"/>
      <c r="KG87" s="522"/>
      <c r="KH87" s="522"/>
      <c r="KI87" s="522"/>
      <c r="KJ87" s="522"/>
      <c r="KK87" s="522"/>
      <c r="KL87" s="522"/>
    </row>
    <row r="88" spans="1:298">
      <c r="A88" s="334"/>
      <c r="B88" s="579">
        <v>5</v>
      </c>
      <c r="C88" s="579"/>
      <c r="D88" s="579">
        <f>IF($B88&lt;$C$77,(D$81*((D$76*$B88)^2))/(2*D$77),IF($B88&gt;($C$77+$C$78),D$80-D88,D$81*((D$77/2)+(($B88*D$76)-D$77))))</f>
        <v>12</v>
      </c>
      <c r="E88" s="579">
        <f t="shared" ref="E88:O88" si="475">IF($B88&lt;$C$77,(E$81*((E$76*$B88)^2))/(2*E$77),IF($B88&gt;($C$77+$C$78),E$80-E88,E$81*((E$77/2)+(($B88*E$76)-E$77))))</f>
        <v>12</v>
      </c>
      <c r="F88" s="579">
        <f t="shared" si="475"/>
        <v>0</v>
      </c>
      <c r="G88" s="579">
        <f t="shared" si="475"/>
        <v>0</v>
      </c>
      <c r="H88" s="579">
        <f t="shared" si="475"/>
        <v>0</v>
      </c>
      <c r="I88" s="579">
        <f t="shared" si="475"/>
        <v>0</v>
      </c>
      <c r="J88" s="579">
        <f t="shared" si="475"/>
        <v>0</v>
      </c>
      <c r="K88" s="579">
        <f t="shared" si="475"/>
        <v>0</v>
      </c>
      <c r="L88" s="579">
        <f t="shared" si="475"/>
        <v>0</v>
      </c>
      <c r="M88" s="579">
        <f t="shared" si="475"/>
        <v>0</v>
      </c>
      <c r="N88" s="579">
        <f t="shared" si="475"/>
        <v>0</v>
      </c>
      <c r="O88" s="579">
        <f t="shared" si="475"/>
        <v>0</v>
      </c>
      <c r="P88" s="579"/>
      <c r="Q88" s="579"/>
      <c r="R88" s="579"/>
      <c r="S88" s="381"/>
      <c r="T88" s="381"/>
      <c r="U88" s="605"/>
      <c r="V88" s="605"/>
      <c r="W88" s="381"/>
      <c r="X88" s="579"/>
      <c r="Y88" s="579"/>
      <c r="Z88" s="579"/>
      <c r="AA88" s="579"/>
      <c r="AB88" s="579"/>
      <c r="AC88" s="580"/>
      <c r="AD88" s="580"/>
      <c r="AE88" s="579"/>
      <c r="AF88" s="579"/>
      <c r="AG88" s="579"/>
      <c r="AH88" s="579"/>
      <c r="AI88" s="579"/>
      <c r="AJ88" s="579"/>
      <c r="AK88" s="579"/>
      <c r="AL88" s="580"/>
      <c r="AM88" s="580"/>
      <c r="AN88" s="579"/>
      <c r="AO88" s="579"/>
      <c r="AP88" s="579"/>
      <c r="AQ88" s="579"/>
      <c r="AR88" s="579"/>
      <c r="AS88" s="579"/>
      <c r="AT88" s="580"/>
      <c r="AU88" s="580"/>
      <c r="AV88" s="581">
        <f t="shared" si="470"/>
        <v>0</v>
      </c>
      <c r="AW88" s="581">
        <f>IF($AY$32,'Data Sheet'!AA109,0)</f>
        <v>0</v>
      </c>
      <c r="AX88" s="581">
        <f t="shared" si="472"/>
        <v>40.704999999999998</v>
      </c>
      <c r="AY88" s="579"/>
      <c r="AZ88" s="579"/>
      <c r="BA88" s="579"/>
      <c r="BB88" s="579"/>
      <c r="BC88" s="579"/>
      <c r="BD88" s="579"/>
      <c r="BE88" s="579"/>
      <c r="BF88" s="579"/>
      <c r="BG88" s="379"/>
      <c r="BH88" s="379"/>
      <c r="BI88" s="379"/>
      <c r="BJ88" s="379"/>
      <c r="BK88" s="379"/>
      <c r="BL88" s="379"/>
      <c r="BM88" s="379"/>
      <c r="BN88" s="379"/>
      <c r="BO88" s="379"/>
      <c r="BP88" s="379"/>
      <c r="BQ88" s="379"/>
      <c r="BR88" s="379"/>
      <c r="BS88" s="379"/>
      <c r="BT88" s="379"/>
      <c r="BU88" s="379"/>
      <c r="BV88" s="379"/>
      <c r="BW88" s="379"/>
      <c r="BX88" s="379"/>
      <c r="BY88" s="379"/>
      <c r="BZ88" s="379"/>
      <c r="CA88" s="379"/>
      <c r="CB88" s="379"/>
      <c r="CC88" s="379"/>
      <c r="CD88" s="379"/>
      <c r="CE88" s="379"/>
      <c r="CF88" s="379"/>
      <c r="CG88" s="379"/>
      <c r="CH88" s="77"/>
      <c r="CI88" s="77"/>
      <c r="CJ88" s="380"/>
      <c r="CK88" s="380"/>
      <c r="CL88" s="381"/>
      <c r="CM88" s="381"/>
      <c r="CN88" s="381"/>
      <c r="CO88" s="694" t="str">
        <f ca="1"/>
        <v>S250X</v>
      </c>
      <c r="CP88" s="632" t="str">
        <f>IF(OR(CQ88=0,CR88="",CS88&gt;120),"",IF(HLOOKUP(CQ88,Spec_Sheet!$F$3:$ED$19,17,FALSE)&lt;$AC$46,"",CQ88))</f>
        <v>S435D 1S</v>
      </c>
      <c r="CQ88" s="660" t="str">
        <f>IF(Spec_Sheet!A87="","",Spec_Sheet!A87)</f>
        <v>S435D 1S</v>
      </c>
      <c r="CR88" s="660">
        <f>IF(CQ88="",0,HLOOKUP(CQ88,Spec_Sheet!$F$3:$ED$19,2,FALSE))</f>
        <v>114.74382189605053</v>
      </c>
      <c r="CS88" s="660">
        <f t="shared" si="461"/>
        <v>1.3238594755039627E-3</v>
      </c>
      <c r="CT88" s="621">
        <f t="shared" si="310"/>
        <v>1.4945132360181445E-3</v>
      </c>
      <c r="CU88" s="621">
        <f t="shared" si="316"/>
        <v>1.3238594755039627E-3</v>
      </c>
      <c r="CV88" s="621">
        <f t="shared" si="311"/>
        <v>2.617983826069847E-3</v>
      </c>
      <c r="CW88" s="621">
        <f t="shared" si="312"/>
        <v>2.390445478717603E-3</v>
      </c>
      <c r="CX88" s="621">
        <f t="shared" si="456"/>
        <v>1.4078935242420076E-3</v>
      </c>
      <c r="CY88" s="619">
        <f>HLOOKUP(CQ88,Spec_Sheet!$F$3:$ED$19,13,FALSE)</f>
        <v>3</v>
      </c>
      <c r="CZ88" s="619">
        <f>VLOOKUP(HH88,'Shaft Weight'!$A$6:$CD$102,HJ88,TRUE)</f>
        <v>4.0999999999999996</v>
      </c>
      <c r="DA88" s="619">
        <f>VLOOKUP(HI88,'Shaft Weight'!$A$6:$CD$102,HJ88,0)</f>
        <v>6.2</v>
      </c>
      <c r="DB88" s="619">
        <f>HLOOKUP(CQ88,Spec_Sheet!$F$3:$ED$19,6,FALSE)</f>
        <v>19.329999999999998</v>
      </c>
      <c r="DC88" s="439">
        <f t="shared" si="317"/>
        <v>4.3553999999999995</v>
      </c>
      <c r="DD88" s="440">
        <f t="shared" si="318"/>
        <v>3.3353999999999999</v>
      </c>
      <c r="DE88" s="439">
        <f t="shared" si="319"/>
        <v>-2.3153999999999999</v>
      </c>
      <c r="DF88" s="439">
        <f t="shared" si="320"/>
        <v>0</v>
      </c>
      <c r="DG88" s="439">
        <f t="shared" si="321"/>
        <v>0</v>
      </c>
      <c r="DH88" s="439">
        <f t="shared" si="322"/>
        <v>0</v>
      </c>
      <c r="DI88" s="439">
        <f t="shared" si="323"/>
        <v>0</v>
      </c>
      <c r="DJ88" s="439">
        <f t="shared" si="324"/>
        <v>0</v>
      </c>
      <c r="DK88" s="439">
        <f t="shared" si="325"/>
        <v>0</v>
      </c>
      <c r="DL88" s="439">
        <f t="shared" si="326"/>
        <v>0</v>
      </c>
      <c r="DM88" s="439">
        <f t="shared" si="327"/>
        <v>0</v>
      </c>
      <c r="DN88" s="439">
        <f t="shared" si="328"/>
        <v>0</v>
      </c>
      <c r="DO88" s="439">
        <f t="shared" si="329"/>
        <v>0</v>
      </c>
      <c r="DP88" s="439">
        <f t="shared" si="330"/>
        <v>0</v>
      </c>
      <c r="DQ88" s="442">
        <f t="shared" si="331"/>
        <v>0</v>
      </c>
      <c r="DR88" s="442">
        <f t="shared" si="332"/>
        <v>0</v>
      </c>
      <c r="DS88" s="439">
        <f t="shared" si="333"/>
        <v>0</v>
      </c>
      <c r="DT88" s="439">
        <f t="shared" si="334"/>
        <v>0</v>
      </c>
      <c r="DU88" s="661">
        <f t="shared" si="335"/>
        <v>0</v>
      </c>
      <c r="DV88" s="661">
        <f t="shared" si="336"/>
        <v>0</v>
      </c>
      <c r="DW88" s="439">
        <f t="shared" si="337"/>
        <v>0</v>
      </c>
      <c r="DX88" s="439">
        <f t="shared" si="338"/>
        <v>0</v>
      </c>
      <c r="DY88" s="439">
        <f t="shared" si="339"/>
        <v>0</v>
      </c>
      <c r="DZ88" s="439">
        <f t="shared" si="340"/>
        <v>0</v>
      </c>
      <c r="EA88" s="631" t="s">
        <v>92</v>
      </c>
      <c r="EB88" s="631">
        <f t="shared" si="451"/>
        <v>0.44358739236649058</v>
      </c>
      <c r="ED88" s="439">
        <f t="shared" si="341"/>
        <v>11.0166</v>
      </c>
      <c r="EE88" s="440">
        <f t="shared" si="342"/>
        <v>8.4366000000000003</v>
      </c>
      <c r="EF88" s="439">
        <f t="shared" si="343"/>
        <v>-5.8566000000000003</v>
      </c>
      <c r="EG88" s="441">
        <f t="shared" si="344"/>
        <v>0</v>
      </c>
      <c r="EH88" s="439">
        <f t="shared" si="345"/>
        <v>0</v>
      </c>
      <c r="EI88" s="439">
        <f t="shared" si="346"/>
        <v>0</v>
      </c>
      <c r="EJ88" s="439">
        <f t="shared" si="347"/>
        <v>0</v>
      </c>
      <c r="EK88" s="439">
        <f t="shared" si="348"/>
        <v>0</v>
      </c>
      <c r="EL88" s="439">
        <f t="shared" si="349"/>
        <v>0</v>
      </c>
      <c r="EM88" s="439">
        <f t="shared" si="350"/>
        <v>0</v>
      </c>
      <c r="EN88" s="439">
        <f t="shared" si="351"/>
        <v>0</v>
      </c>
      <c r="EO88" s="439">
        <f t="shared" si="352"/>
        <v>0</v>
      </c>
      <c r="EP88" s="439">
        <f t="shared" si="353"/>
        <v>0</v>
      </c>
      <c r="EQ88" s="439">
        <f t="shared" si="354"/>
        <v>0</v>
      </c>
      <c r="ER88" s="442">
        <f t="shared" si="355"/>
        <v>0</v>
      </c>
      <c r="ES88" s="442">
        <f t="shared" si="356"/>
        <v>0</v>
      </c>
      <c r="ET88" s="439">
        <f t="shared" si="357"/>
        <v>0</v>
      </c>
      <c r="EU88" s="439">
        <f t="shared" si="358"/>
        <v>0</v>
      </c>
      <c r="EV88" s="661">
        <f t="shared" si="359"/>
        <v>0</v>
      </c>
      <c r="EW88" s="661">
        <f t="shared" si="360"/>
        <v>0</v>
      </c>
      <c r="EX88" s="439">
        <f t="shared" si="361"/>
        <v>0</v>
      </c>
      <c r="EY88" s="439">
        <f t="shared" si="362"/>
        <v>0</v>
      </c>
      <c r="EZ88" s="439">
        <f t="shared" si="363"/>
        <v>0</v>
      </c>
      <c r="FA88" s="439">
        <f t="shared" si="364"/>
        <v>0</v>
      </c>
      <c r="FB88" s="631" t="s">
        <v>92</v>
      </c>
      <c r="FC88" s="631">
        <f t="shared" si="452"/>
        <v>1.1220151689270057</v>
      </c>
      <c r="FE88" s="439">
        <f t="shared" si="365"/>
        <v>5.7645</v>
      </c>
      <c r="FF88" s="440">
        <f t="shared" si="366"/>
        <v>4.4145000000000003</v>
      </c>
      <c r="FG88" s="439">
        <f t="shared" si="367"/>
        <v>-3.0645000000000007</v>
      </c>
      <c r="FH88" s="441">
        <f t="shared" si="368"/>
        <v>0</v>
      </c>
      <c r="FI88" s="439">
        <f t="shared" si="369"/>
        <v>0</v>
      </c>
      <c r="FJ88" s="439">
        <f t="shared" si="370"/>
        <v>0</v>
      </c>
      <c r="FK88" s="439">
        <f t="shared" si="371"/>
        <v>0</v>
      </c>
      <c r="FL88" s="439">
        <f t="shared" si="372"/>
        <v>0</v>
      </c>
      <c r="FM88" s="439">
        <f t="shared" si="373"/>
        <v>0</v>
      </c>
      <c r="FN88" s="439">
        <f t="shared" si="374"/>
        <v>0</v>
      </c>
      <c r="FO88" s="439">
        <f t="shared" si="375"/>
        <v>0</v>
      </c>
      <c r="FP88" s="439">
        <f t="shared" si="376"/>
        <v>0</v>
      </c>
      <c r="FQ88" s="439">
        <f t="shared" si="377"/>
        <v>0</v>
      </c>
      <c r="FR88" s="439">
        <f t="shared" si="378"/>
        <v>0</v>
      </c>
      <c r="FS88" s="442">
        <f t="shared" si="379"/>
        <v>0</v>
      </c>
      <c r="FT88" s="442">
        <f t="shared" si="380"/>
        <v>0</v>
      </c>
      <c r="FU88" s="439">
        <f t="shared" si="381"/>
        <v>0</v>
      </c>
      <c r="FV88" s="439">
        <f t="shared" si="382"/>
        <v>0</v>
      </c>
      <c r="FW88" s="661">
        <f t="shared" si="383"/>
        <v>0</v>
      </c>
      <c r="FX88" s="661">
        <f t="shared" si="384"/>
        <v>0</v>
      </c>
      <c r="FY88" s="439">
        <f t="shared" si="385"/>
        <v>0</v>
      </c>
      <c r="FZ88" s="439">
        <f t="shared" si="386"/>
        <v>0</v>
      </c>
      <c r="GA88" s="439">
        <f t="shared" si="387"/>
        <v>0</v>
      </c>
      <c r="GB88" s="439">
        <f t="shared" si="388"/>
        <v>0</v>
      </c>
      <c r="GC88" s="631" t="s">
        <v>92</v>
      </c>
      <c r="GD88" s="631">
        <f t="shared" si="453"/>
        <v>0.58710096048506111</v>
      </c>
      <c r="GF88" s="439">
        <f t="shared" si="389"/>
        <v>8.454600000000001</v>
      </c>
      <c r="GG88" s="440">
        <f t="shared" si="390"/>
        <v>6.4746000000000015</v>
      </c>
      <c r="GH88" s="439">
        <f t="shared" si="391"/>
        <v>-4.4946000000000019</v>
      </c>
      <c r="GI88" s="439">
        <f t="shared" si="392"/>
        <v>0</v>
      </c>
      <c r="GJ88" s="439">
        <f t="shared" si="393"/>
        <v>0</v>
      </c>
      <c r="GK88" s="439">
        <f t="shared" si="394"/>
        <v>0</v>
      </c>
      <c r="GL88" s="439">
        <f t="shared" si="395"/>
        <v>0</v>
      </c>
      <c r="GM88" s="439">
        <f t="shared" si="396"/>
        <v>0</v>
      </c>
      <c r="GN88" s="439">
        <f t="shared" si="397"/>
        <v>0</v>
      </c>
      <c r="GO88" s="439">
        <f t="shared" si="398"/>
        <v>0</v>
      </c>
      <c r="GP88" s="439">
        <f t="shared" si="399"/>
        <v>0</v>
      </c>
      <c r="GQ88" s="439">
        <f t="shared" si="400"/>
        <v>0</v>
      </c>
      <c r="GR88" s="439">
        <f t="shared" si="401"/>
        <v>0</v>
      </c>
      <c r="GS88" s="439">
        <f t="shared" si="402"/>
        <v>0</v>
      </c>
      <c r="GT88" s="442">
        <f t="shared" si="403"/>
        <v>0</v>
      </c>
      <c r="GU88" s="442">
        <f t="shared" si="404"/>
        <v>0</v>
      </c>
      <c r="GV88" s="439">
        <f t="shared" si="405"/>
        <v>0</v>
      </c>
      <c r="GW88" s="439">
        <f t="shared" si="406"/>
        <v>0</v>
      </c>
      <c r="GX88" s="661">
        <f t="shared" si="407"/>
        <v>0</v>
      </c>
      <c r="GY88" s="661">
        <f t="shared" si="408"/>
        <v>0</v>
      </c>
      <c r="GZ88" s="439">
        <f t="shared" si="409"/>
        <v>0</v>
      </c>
      <c r="HA88" s="439">
        <f t="shared" si="410"/>
        <v>0</v>
      </c>
      <c r="HB88" s="439">
        <f t="shared" si="411"/>
        <v>0</v>
      </c>
      <c r="HC88" s="439">
        <f t="shared" si="412"/>
        <v>0</v>
      </c>
      <c r="HD88" s="631" t="s">
        <v>92</v>
      </c>
      <c r="HE88" s="631">
        <f t="shared" si="306"/>
        <v>0.86108140871142325</v>
      </c>
      <c r="HG88" s="618">
        <f>HLOOKUP(CQ88,Spec_Sheet!$F$3:$DV$19,11,FALSE)+HLOOKUP(CQ88,Spec_Sheet!$F$3:$DV$21,19,FALSE)</f>
        <v>270</v>
      </c>
      <c r="HH88" s="618">
        <f t="shared" si="454"/>
        <v>100</v>
      </c>
      <c r="HI88" s="634">
        <f t="shared" si="455"/>
        <v>300</v>
      </c>
      <c r="HJ88" s="634">
        <f>HLOOKUP(IF(LEN(CQ88)&gt;6,LEFT(CQ88,5),CQ88),'LSM List Pricing'!$B$1:$BW$2,2,0)</f>
        <v>64</v>
      </c>
      <c r="HK88" s="634">
        <f>HLOOKUP(HJ88,'LSM List Pricing'!$B$2:$BW$3,2)</f>
        <v>780</v>
      </c>
      <c r="HL88" s="634">
        <f>VLOOKUP(HH88,'LSM List Pricing'!$A$7:$BW$87,HJ88,0)</f>
        <v>2100</v>
      </c>
      <c r="HM88" s="627">
        <f>VLOOKUP(HI88,'LSM List Pricing'!$A$7:$BW$87,HJ88,1)</f>
        <v>3060</v>
      </c>
      <c r="HN88" s="628">
        <f t="shared" si="307"/>
        <v>7.384615384615385</v>
      </c>
      <c r="HO88" s="628">
        <f t="shared" si="308"/>
        <v>14.76923076923077</v>
      </c>
      <c r="HP88" s="628">
        <f t="shared" si="309"/>
        <v>11.846153846153847</v>
      </c>
      <c r="HR88" s="618">
        <v>4.2500000000000003E-2</v>
      </c>
      <c r="HS88" s="618">
        <f t="shared" si="457"/>
        <v>285.35714285714289</v>
      </c>
      <c r="HT88" s="618">
        <f t="shared" si="458"/>
        <v>1</v>
      </c>
      <c r="HU88" s="618">
        <f t="shared" si="466"/>
        <v>1.0823589615498672</v>
      </c>
      <c r="HW88" s="618">
        <f t="shared" si="413"/>
        <v>34.46305027459919</v>
      </c>
      <c r="HX88" s="618">
        <f t="shared" si="467"/>
        <v>1.0589825373588748</v>
      </c>
      <c r="HY88" s="618">
        <f t="shared" si="468"/>
        <v>4.2500000000000003E-2</v>
      </c>
      <c r="IB88" s="618">
        <f t="shared" si="414"/>
        <v>25.000350341399081</v>
      </c>
      <c r="IC88" s="618">
        <f t="shared" si="415"/>
        <v>1E-3</v>
      </c>
      <c r="IE88" s="618">
        <f t="shared" si="416"/>
        <v>0</v>
      </c>
      <c r="IF88" s="618">
        <f t="shared" si="417"/>
        <v>40.704999999999998</v>
      </c>
      <c r="IH88" s="618">
        <f t="shared" si="418"/>
        <v>0</v>
      </c>
      <c r="II88" s="618">
        <f t="shared" si="419"/>
        <v>40.704999999999998</v>
      </c>
      <c r="IK88" s="618">
        <f t="shared" si="420"/>
        <v>0</v>
      </c>
      <c r="IL88" s="618">
        <f t="shared" si="421"/>
        <v>40.704999999999998</v>
      </c>
      <c r="IN88" s="618">
        <f t="shared" si="422"/>
        <v>0</v>
      </c>
      <c r="IO88" s="618">
        <f t="shared" si="423"/>
        <v>40.704999999999998</v>
      </c>
      <c r="IQ88" s="618">
        <f t="shared" si="424"/>
        <v>0</v>
      </c>
      <c r="IR88" s="618">
        <f t="shared" si="425"/>
        <v>40.704999999999998</v>
      </c>
      <c r="IT88" s="660" t="str">
        <f t="shared" si="426"/>
        <v>S435D 1S</v>
      </c>
      <c r="IU88" s="628"/>
      <c r="IV88" s="439">
        <f t="shared" si="427"/>
        <v>8.1984000000000012</v>
      </c>
      <c r="IW88" s="440">
        <f t="shared" si="428"/>
        <v>6.2784000000000013</v>
      </c>
      <c r="IX88" s="439">
        <f t="shared" si="429"/>
        <v>-4.3584000000000014</v>
      </c>
      <c r="IY88" s="439">
        <f t="shared" si="430"/>
        <v>0</v>
      </c>
      <c r="IZ88" s="439">
        <f t="shared" si="431"/>
        <v>0</v>
      </c>
      <c r="JA88" s="439">
        <f t="shared" si="432"/>
        <v>0</v>
      </c>
      <c r="JB88" s="439">
        <f t="shared" si="433"/>
        <v>0</v>
      </c>
      <c r="JC88" s="439">
        <f t="shared" si="434"/>
        <v>0</v>
      </c>
      <c r="JD88" s="439">
        <f t="shared" si="435"/>
        <v>0</v>
      </c>
      <c r="JE88" s="439">
        <f t="shared" si="436"/>
        <v>0</v>
      </c>
      <c r="JF88" s="439">
        <f t="shared" si="437"/>
        <v>0</v>
      </c>
      <c r="JG88" s="439">
        <f t="shared" si="438"/>
        <v>0</v>
      </c>
      <c r="JH88" s="439">
        <f t="shared" si="439"/>
        <v>0</v>
      </c>
      <c r="JI88" s="439">
        <f t="shared" si="440"/>
        <v>0</v>
      </c>
      <c r="JJ88" s="442">
        <f t="shared" si="441"/>
        <v>0</v>
      </c>
      <c r="JK88" s="442">
        <f t="shared" si="442"/>
        <v>0</v>
      </c>
      <c r="JL88" s="439">
        <f t="shared" si="443"/>
        <v>0</v>
      </c>
      <c r="JM88" s="439">
        <f t="shared" si="444"/>
        <v>0</v>
      </c>
      <c r="JN88" s="661">
        <f t="shared" si="445"/>
        <v>0</v>
      </c>
      <c r="JO88" s="661">
        <f t="shared" si="446"/>
        <v>0</v>
      </c>
      <c r="JP88" s="439">
        <f t="shared" si="447"/>
        <v>0</v>
      </c>
      <c r="JQ88" s="439">
        <f t="shared" si="448"/>
        <v>0</v>
      </c>
      <c r="JR88" s="439">
        <f t="shared" si="449"/>
        <v>0</v>
      </c>
      <c r="JS88" s="439">
        <f t="shared" si="450"/>
        <v>0</v>
      </c>
      <c r="JT88" s="631" t="s">
        <v>92</v>
      </c>
      <c r="JU88" s="631">
        <f t="shared" si="459"/>
        <v>0.83498803268986488</v>
      </c>
      <c r="JW88" s="522"/>
      <c r="JX88" s="522"/>
      <c r="JY88" s="522"/>
      <c r="JZ88" s="522"/>
      <c r="KA88" s="522"/>
      <c r="KB88" s="522"/>
      <c r="KC88" s="522"/>
      <c r="KD88" s="522"/>
      <c r="KE88" s="522"/>
      <c r="KF88" s="522"/>
      <c r="KG88" s="522"/>
      <c r="KH88" s="522"/>
      <c r="KI88" s="522"/>
      <c r="KJ88" s="522"/>
      <c r="KK88" s="522"/>
      <c r="KL88" s="522"/>
    </row>
    <row r="89" spans="1:298">
      <c r="A89" s="334"/>
      <c r="B89" s="579">
        <v>6</v>
      </c>
      <c r="C89" s="579"/>
      <c r="D89" s="579">
        <f>IF($B89&lt;$C$77,(D$81*((D$76*$B89)^2))/(2*D$77),IF($B89&gt;($C$77+$C$78),D$80-D87,D$81*((D$77/2)+(($B89*D$76)-D$77))))</f>
        <v>15.2</v>
      </c>
      <c r="E89" s="579">
        <f t="shared" ref="E89:O89" si="476">IF($B89&lt;$C$77,(E$81*((E$76*$B89)^2))/(2*E$77),IF($B89&gt;($C$77+$C$78),E$80-E87,E$81*((E$77/2)+(($B89*E$76)-E$77))))</f>
        <v>15.2</v>
      </c>
      <c r="F89" s="579">
        <f t="shared" si="476"/>
        <v>0</v>
      </c>
      <c r="G89" s="579">
        <f t="shared" si="476"/>
        <v>0</v>
      </c>
      <c r="H89" s="579">
        <f t="shared" si="476"/>
        <v>0</v>
      </c>
      <c r="I89" s="579">
        <f t="shared" si="476"/>
        <v>0</v>
      </c>
      <c r="J89" s="579">
        <f t="shared" si="476"/>
        <v>0</v>
      </c>
      <c r="K89" s="579">
        <f t="shared" si="476"/>
        <v>0</v>
      </c>
      <c r="L89" s="579">
        <f t="shared" si="476"/>
        <v>0</v>
      </c>
      <c r="M89" s="579">
        <f t="shared" si="476"/>
        <v>0</v>
      </c>
      <c r="N89" s="579">
        <f t="shared" si="476"/>
        <v>0</v>
      </c>
      <c r="O89" s="579">
        <f t="shared" si="476"/>
        <v>0</v>
      </c>
      <c r="P89" s="579"/>
      <c r="Q89" s="579"/>
      <c r="R89" s="579"/>
      <c r="S89" s="579"/>
      <c r="T89" s="579"/>
      <c r="U89" s="580"/>
      <c r="V89" s="580"/>
      <c r="W89" s="579"/>
      <c r="X89" s="579"/>
      <c r="Y89" s="579"/>
      <c r="Z89" s="579"/>
      <c r="AA89" s="579"/>
      <c r="AB89" s="579"/>
      <c r="AC89" s="580"/>
      <c r="AD89" s="580"/>
      <c r="AE89" s="579"/>
      <c r="AF89" s="579"/>
      <c r="AG89" s="579"/>
      <c r="AH89" s="579"/>
      <c r="AI89" s="579"/>
      <c r="AJ89" s="579"/>
      <c r="AK89" s="579"/>
      <c r="AL89" s="580"/>
      <c r="AM89" s="580"/>
      <c r="AN89" s="579"/>
      <c r="AO89" s="579"/>
      <c r="AP89" s="579"/>
      <c r="AQ89" s="579"/>
      <c r="AR89" s="579"/>
      <c r="AS89" s="579"/>
      <c r="AT89" s="580"/>
      <c r="AU89" s="580"/>
      <c r="AV89" s="581">
        <f t="shared" si="470"/>
        <v>0</v>
      </c>
      <c r="AW89" s="581">
        <f>IF($AY$32,'Data Sheet'!AA110,0)</f>
        <v>0</v>
      </c>
      <c r="AX89" s="581">
        <f t="shared" si="472"/>
        <v>40.704999999999998</v>
      </c>
      <c r="AY89" s="579"/>
      <c r="AZ89" s="579"/>
      <c r="BA89" s="579"/>
      <c r="BB89" s="579"/>
      <c r="BC89" s="579"/>
      <c r="BD89" s="579"/>
      <c r="BE89" s="579"/>
      <c r="BF89" s="579"/>
      <c r="BG89" s="379"/>
      <c r="BH89" s="379"/>
      <c r="BI89" s="379"/>
      <c r="BJ89" s="379"/>
      <c r="BK89" s="379"/>
      <c r="BL89" s="379"/>
      <c r="BM89" s="379"/>
      <c r="BN89" s="379"/>
      <c r="BO89" s="379"/>
      <c r="BP89" s="379"/>
      <c r="BQ89" s="379"/>
      <c r="BR89" s="379"/>
      <c r="BS89" s="379"/>
      <c r="BT89" s="379"/>
      <c r="BU89" s="379"/>
      <c r="BV89" s="379"/>
      <c r="BW89" s="379"/>
      <c r="BX89" s="379"/>
      <c r="BY89" s="379"/>
      <c r="BZ89" s="379"/>
      <c r="CA89" s="379"/>
      <c r="CB89" s="379"/>
      <c r="CC89" s="379"/>
      <c r="CD89" s="379"/>
      <c r="CE89" s="379"/>
      <c r="CF89" s="379"/>
      <c r="CG89" s="379"/>
      <c r="CH89" s="77"/>
      <c r="CI89" s="77"/>
      <c r="CJ89" s="380"/>
      <c r="CK89" s="380"/>
      <c r="CL89" s="381"/>
      <c r="CM89" s="381"/>
      <c r="CN89" s="445"/>
      <c r="CO89" s="694" t="str">
        <f ca="1"/>
        <v>S350T</v>
      </c>
      <c r="CP89" s="632" t="str">
        <f>IF(OR(CQ89=0,CR89="",CS89&gt;120),"",IF(HLOOKUP(CQ89,Spec_Sheet!$F$3:$ED$19,17,FALSE)&lt;$AC$46,"",CQ89))</f>
        <v>S435D</v>
      </c>
      <c r="CQ89" s="660" t="str">
        <f>IF(Spec_Sheet!A88="","",Spec_Sheet!A88)</f>
        <v>S435D</v>
      </c>
      <c r="CR89" s="660">
        <f>IF(CQ89="",0,HLOOKUP(CQ89,Spec_Sheet!$F$3:$ED$19,2,FALSE))</f>
        <v>116</v>
      </c>
      <c r="CS89" s="660">
        <f t="shared" si="461"/>
        <v>1.2953422538928563E-3</v>
      </c>
      <c r="CT89" s="621">
        <f t="shared" si="310"/>
        <v>1.4623199663087311E-3</v>
      </c>
      <c r="CU89" s="621">
        <f t="shared" si="316"/>
        <v>1.2953422538928563E-3</v>
      </c>
      <c r="CV89" s="621">
        <f t="shared" si="311"/>
        <v>2.5615899063799147E-3</v>
      </c>
      <c r="CW89" s="621">
        <f t="shared" si="312"/>
        <v>2.3389529564920805E-3</v>
      </c>
      <c r="CX89" s="621">
        <f t="shared" si="456"/>
        <v>1.3775661274309772E-3</v>
      </c>
      <c r="CY89" s="619">
        <f>HLOOKUP(CQ89,Spec_Sheet!$F$3:$ED$19,13,FALSE)</f>
        <v>3</v>
      </c>
      <c r="CZ89" s="619">
        <f>VLOOKUP(HH89,'Shaft Weight'!$A$6:$CD$102,HJ89,TRUE)</f>
        <v>4.0999999999999996</v>
      </c>
      <c r="DA89" s="619">
        <f>VLOOKUP(HI89,'Shaft Weight'!$A$6:$CD$102,HJ89,0)</f>
        <v>6.2</v>
      </c>
      <c r="DB89" s="619">
        <f>HLOOKUP(CQ89,Spec_Sheet!$F$3:$ED$19,6,FALSE)</f>
        <v>38.659999999999997</v>
      </c>
      <c r="DC89" s="439">
        <f t="shared" si="317"/>
        <v>4.3553999999999995</v>
      </c>
      <c r="DD89" s="440">
        <f t="shared" si="318"/>
        <v>3.3353999999999999</v>
      </c>
      <c r="DE89" s="439">
        <f t="shared" si="319"/>
        <v>-2.3153999999999999</v>
      </c>
      <c r="DF89" s="439">
        <f t="shared" si="320"/>
        <v>0</v>
      </c>
      <c r="DG89" s="439">
        <f t="shared" si="321"/>
        <v>0</v>
      </c>
      <c r="DH89" s="439">
        <f t="shared" si="322"/>
        <v>0</v>
      </c>
      <c r="DI89" s="439">
        <f t="shared" si="323"/>
        <v>0</v>
      </c>
      <c r="DJ89" s="439">
        <f t="shared" si="324"/>
        <v>0</v>
      </c>
      <c r="DK89" s="439">
        <f t="shared" si="325"/>
        <v>0</v>
      </c>
      <c r="DL89" s="439">
        <f t="shared" si="326"/>
        <v>0</v>
      </c>
      <c r="DM89" s="439">
        <f t="shared" si="327"/>
        <v>0</v>
      </c>
      <c r="DN89" s="439">
        <f t="shared" si="328"/>
        <v>0</v>
      </c>
      <c r="DO89" s="439">
        <f t="shared" si="329"/>
        <v>0</v>
      </c>
      <c r="DP89" s="439">
        <f t="shared" si="330"/>
        <v>0</v>
      </c>
      <c r="DQ89" s="442">
        <f t="shared" si="331"/>
        <v>0</v>
      </c>
      <c r="DR89" s="442">
        <f t="shared" si="332"/>
        <v>0</v>
      </c>
      <c r="DS89" s="439">
        <f t="shared" si="333"/>
        <v>0</v>
      </c>
      <c r="DT89" s="439">
        <f t="shared" si="334"/>
        <v>0</v>
      </c>
      <c r="DU89" s="661">
        <f t="shared" si="335"/>
        <v>0</v>
      </c>
      <c r="DV89" s="661">
        <f t="shared" si="336"/>
        <v>0</v>
      </c>
      <c r="DW89" s="439">
        <f t="shared" si="337"/>
        <v>0</v>
      </c>
      <c r="DX89" s="439">
        <f t="shared" si="338"/>
        <v>0</v>
      </c>
      <c r="DY89" s="439">
        <f t="shared" si="339"/>
        <v>0</v>
      </c>
      <c r="DZ89" s="439">
        <f t="shared" si="340"/>
        <v>0</v>
      </c>
      <c r="EA89" s="631" t="s">
        <v>92</v>
      </c>
      <c r="EB89" s="631">
        <f t="shared" si="451"/>
        <v>0.44358739236649058</v>
      </c>
      <c r="ED89" s="439">
        <f t="shared" si="341"/>
        <v>11.0166</v>
      </c>
      <c r="EE89" s="440">
        <f t="shared" si="342"/>
        <v>8.4366000000000003</v>
      </c>
      <c r="EF89" s="439">
        <f t="shared" si="343"/>
        <v>-5.8566000000000003</v>
      </c>
      <c r="EG89" s="441">
        <f t="shared" si="344"/>
        <v>0</v>
      </c>
      <c r="EH89" s="439">
        <f t="shared" si="345"/>
        <v>0</v>
      </c>
      <c r="EI89" s="439">
        <f t="shared" si="346"/>
        <v>0</v>
      </c>
      <c r="EJ89" s="439">
        <f t="shared" si="347"/>
        <v>0</v>
      </c>
      <c r="EK89" s="439">
        <f t="shared" si="348"/>
        <v>0</v>
      </c>
      <c r="EL89" s="439">
        <f t="shared" si="349"/>
        <v>0</v>
      </c>
      <c r="EM89" s="439">
        <f t="shared" si="350"/>
        <v>0</v>
      </c>
      <c r="EN89" s="439">
        <f t="shared" si="351"/>
        <v>0</v>
      </c>
      <c r="EO89" s="439">
        <f t="shared" si="352"/>
        <v>0</v>
      </c>
      <c r="EP89" s="439">
        <f t="shared" si="353"/>
        <v>0</v>
      </c>
      <c r="EQ89" s="439">
        <f t="shared" si="354"/>
        <v>0</v>
      </c>
      <c r="ER89" s="442">
        <f t="shared" si="355"/>
        <v>0</v>
      </c>
      <c r="ES89" s="442">
        <f t="shared" si="356"/>
        <v>0</v>
      </c>
      <c r="ET89" s="439">
        <f t="shared" si="357"/>
        <v>0</v>
      </c>
      <c r="EU89" s="439">
        <f t="shared" si="358"/>
        <v>0</v>
      </c>
      <c r="EV89" s="661">
        <f t="shared" si="359"/>
        <v>0</v>
      </c>
      <c r="EW89" s="661">
        <f t="shared" si="360"/>
        <v>0</v>
      </c>
      <c r="EX89" s="439">
        <f t="shared" si="361"/>
        <v>0</v>
      </c>
      <c r="EY89" s="439">
        <f t="shared" si="362"/>
        <v>0</v>
      </c>
      <c r="EZ89" s="439">
        <f t="shared" si="363"/>
        <v>0</v>
      </c>
      <c r="FA89" s="439">
        <f t="shared" si="364"/>
        <v>0</v>
      </c>
      <c r="FB89" s="631" t="s">
        <v>92</v>
      </c>
      <c r="FC89" s="631">
        <f t="shared" si="452"/>
        <v>1.1220151689270057</v>
      </c>
      <c r="FE89" s="439">
        <f t="shared" si="365"/>
        <v>5.7645</v>
      </c>
      <c r="FF89" s="440">
        <f t="shared" si="366"/>
        <v>4.4145000000000003</v>
      </c>
      <c r="FG89" s="439">
        <f t="shared" si="367"/>
        <v>-3.0645000000000007</v>
      </c>
      <c r="FH89" s="441">
        <f t="shared" si="368"/>
        <v>0</v>
      </c>
      <c r="FI89" s="439">
        <f t="shared" si="369"/>
        <v>0</v>
      </c>
      <c r="FJ89" s="439">
        <f t="shared" si="370"/>
        <v>0</v>
      </c>
      <c r="FK89" s="439">
        <f t="shared" si="371"/>
        <v>0</v>
      </c>
      <c r="FL89" s="439">
        <f t="shared" si="372"/>
        <v>0</v>
      </c>
      <c r="FM89" s="439">
        <f t="shared" si="373"/>
        <v>0</v>
      </c>
      <c r="FN89" s="439">
        <f t="shared" si="374"/>
        <v>0</v>
      </c>
      <c r="FO89" s="439">
        <f t="shared" si="375"/>
        <v>0</v>
      </c>
      <c r="FP89" s="439">
        <f t="shared" si="376"/>
        <v>0</v>
      </c>
      <c r="FQ89" s="439">
        <f t="shared" si="377"/>
        <v>0</v>
      </c>
      <c r="FR89" s="439">
        <f t="shared" si="378"/>
        <v>0</v>
      </c>
      <c r="FS89" s="442">
        <f t="shared" si="379"/>
        <v>0</v>
      </c>
      <c r="FT89" s="442">
        <f t="shared" si="380"/>
        <v>0</v>
      </c>
      <c r="FU89" s="439">
        <f t="shared" si="381"/>
        <v>0</v>
      </c>
      <c r="FV89" s="439">
        <f t="shared" si="382"/>
        <v>0</v>
      </c>
      <c r="FW89" s="661">
        <f t="shared" si="383"/>
        <v>0</v>
      </c>
      <c r="FX89" s="661">
        <f t="shared" si="384"/>
        <v>0</v>
      </c>
      <c r="FY89" s="439">
        <f t="shared" si="385"/>
        <v>0</v>
      </c>
      <c r="FZ89" s="439">
        <f t="shared" si="386"/>
        <v>0</v>
      </c>
      <c r="GA89" s="439">
        <f t="shared" si="387"/>
        <v>0</v>
      </c>
      <c r="GB89" s="439">
        <f t="shared" si="388"/>
        <v>0</v>
      </c>
      <c r="GC89" s="631" t="s">
        <v>92</v>
      </c>
      <c r="GD89" s="631">
        <f t="shared" si="453"/>
        <v>0.58710096048506111</v>
      </c>
      <c r="GF89" s="439">
        <f t="shared" si="389"/>
        <v>8.454600000000001</v>
      </c>
      <c r="GG89" s="440">
        <f t="shared" si="390"/>
        <v>6.4746000000000015</v>
      </c>
      <c r="GH89" s="439">
        <f t="shared" si="391"/>
        <v>-4.4946000000000019</v>
      </c>
      <c r="GI89" s="439">
        <f t="shared" si="392"/>
        <v>0</v>
      </c>
      <c r="GJ89" s="439">
        <f t="shared" si="393"/>
        <v>0</v>
      </c>
      <c r="GK89" s="439">
        <f t="shared" si="394"/>
        <v>0</v>
      </c>
      <c r="GL89" s="439">
        <f t="shared" si="395"/>
        <v>0</v>
      </c>
      <c r="GM89" s="439">
        <f t="shared" si="396"/>
        <v>0</v>
      </c>
      <c r="GN89" s="439">
        <f t="shared" si="397"/>
        <v>0</v>
      </c>
      <c r="GO89" s="439">
        <f t="shared" si="398"/>
        <v>0</v>
      </c>
      <c r="GP89" s="439">
        <f t="shared" si="399"/>
        <v>0</v>
      </c>
      <c r="GQ89" s="439">
        <f t="shared" si="400"/>
        <v>0</v>
      </c>
      <c r="GR89" s="439">
        <f t="shared" si="401"/>
        <v>0</v>
      </c>
      <c r="GS89" s="439">
        <f t="shared" si="402"/>
        <v>0</v>
      </c>
      <c r="GT89" s="442">
        <f t="shared" si="403"/>
        <v>0</v>
      </c>
      <c r="GU89" s="442">
        <f t="shared" si="404"/>
        <v>0</v>
      </c>
      <c r="GV89" s="439">
        <f t="shared" si="405"/>
        <v>0</v>
      </c>
      <c r="GW89" s="439">
        <f t="shared" si="406"/>
        <v>0</v>
      </c>
      <c r="GX89" s="661">
        <f t="shared" si="407"/>
        <v>0</v>
      </c>
      <c r="GY89" s="661">
        <f t="shared" si="408"/>
        <v>0</v>
      </c>
      <c r="GZ89" s="439">
        <f t="shared" si="409"/>
        <v>0</v>
      </c>
      <c r="HA89" s="439">
        <f t="shared" si="410"/>
        <v>0</v>
      </c>
      <c r="HB89" s="439">
        <f t="shared" si="411"/>
        <v>0</v>
      </c>
      <c r="HC89" s="439">
        <f t="shared" si="412"/>
        <v>0</v>
      </c>
      <c r="HD89" s="631" t="s">
        <v>92</v>
      </c>
      <c r="HE89" s="631">
        <f t="shared" si="306"/>
        <v>0.86108140871142325</v>
      </c>
      <c r="HG89" s="618">
        <f>HLOOKUP(CQ89,Spec_Sheet!$F$3:$DV$19,11,FALSE)+HLOOKUP(CQ89,Spec_Sheet!$F$3:$DV$21,19,FALSE)</f>
        <v>270</v>
      </c>
      <c r="HH89" s="618">
        <f t="shared" si="454"/>
        <v>100</v>
      </c>
      <c r="HI89" s="634">
        <f t="shared" si="455"/>
        <v>300</v>
      </c>
      <c r="HJ89" s="634">
        <f>HLOOKUP(IF(LEN(CQ89)&gt;6,LEFT(CQ89,5),CQ89),'LSM List Pricing'!$B$1:$BW$2,2,0)</f>
        <v>64</v>
      </c>
      <c r="HK89" s="634">
        <f>HLOOKUP(HJ89,'LSM List Pricing'!$B$2:$BW$3,2)</f>
        <v>780</v>
      </c>
      <c r="HL89" s="634">
        <f>VLOOKUP(HH89,'LSM List Pricing'!$A$7:$BW$87,HJ89,0)</f>
        <v>2100</v>
      </c>
      <c r="HM89" s="627">
        <f>VLOOKUP(HI89,'LSM List Pricing'!$A$7:$BW$87,HJ89,1)</f>
        <v>3060</v>
      </c>
      <c r="HN89" s="628">
        <f t="shared" si="307"/>
        <v>7.384615384615385</v>
      </c>
      <c r="HO89" s="628">
        <f t="shared" si="308"/>
        <v>14.76923076923077</v>
      </c>
      <c r="HP89" s="628">
        <f t="shared" si="309"/>
        <v>11.846153846153847</v>
      </c>
      <c r="HR89" s="618">
        <v>4.2999999999999997E-2</v>
      </c>
      <c r="HS89" s="618">
        <f t="shared" si="457"/>
        <v>288.71428571428567</v>
      </c>
      <c r="HT89" s="618">
        <f t="shared" si="458"/>
        <v>1</v>
      </c>
      <c r="HU89" s="618">
        <f t="shared" si="466"/>
        <v>1.0950980055234918</v>
      </c>
      <c r="HW89" s="618">
        <f t="shared" si="413"/>
        <v>34.444960832156639</v>
      </c>
      <c r="HX89" s="618">
        <f t="shared" si="467"/>
        <v>1.071171311545281</v>
      </c>
      <c r="HY89" s="618">
        <f t="shared" si="468"/>
        <v>4.2999999999999997E-2</v>
      </c>
      <c r="IB89" s="618">
        <f t="shared" si="414"/>
        <v>25.000350341399081</v>
      </c>
      <c r="IC89" s="618">
        <f t="shared" si="415"/>
        <v>1E-3</v>
      </c>
      <c r="IE89" s="618">
        <f t="shared" si="416"/>
        <v>0</v>
      </c>
      <c r="IF89" s="618">
        <f t="shared" si="417"/>
        <v>40.704999999999998</v>
      </c>
      <c r="IH89" s="618">
        <f t="shared" si="418"/>
        <v>0</v>
      </c>
      <c r="II89" s="618">
        <f t="shared" si="419"/>
        <v>40.704999999999998</v>
      </c>
      <c r="IK89" s="618">
        <f t="shared" si="420"/>
        <v>0</v>
      </c>
      <c r="IL89" s="618">
        <f t="shared" si="421"/>
        <v>40.704999999999998</v>
      </c>
      <c r="IN89" s="618">
        <f t="shared" si="422"/>
        <v>0</v>
      </c>
      <c r="IO89" s="618">
        <f t="shared" si="423"/>
        <v>40.704999999999998</v>
      </c>
      <c r="IQ89" s="618">
        <f t="shared" si="424"/>
        <v>0</v>
      </c>
      <c r="IR89" s="618">
        <f t="shared" si="425"/>
        <v>40.704999999999998</v>
      </c>
      <c r="IT89" s="660" t="str">
        <f t="shared" si="426"/>
        <v>S435D</v>
      </c>
      <c r="IU89" s="628"/>
      <c r="IV89" s="439">
        <f t="shared" si="427"/>
        <v>8.1984000000000012</v>
      </c>
      <c r="IW89" s="440">
        <f t="shared" si="428"/>
        <v>6.2784000000000013</v>
      </c>
      <c r="IX89" s="439">
        <f t="shared" si="429"/>
        <v>-4.3584000000000014</v>
      </c>
      <c r="IY89" s="439">
        <f t="shared" si="430"/>
        <v>0</v>
      </c>
      <c r="IZ89" s="439">
        <f t="shared" si="431"/>
        <v>0</v>
      </c>
      <c r="JA89" s="439">
        <f t="shared" si="432"/>
        <v>0</v>
      </c>
      <c r="JB89" s="439">
        <f t="shared" si="433"/>
        <v>0</v>
      </c>
      <c r="JC89" s="439">
        <f t="shared" si="434"/>
        <v>0</v>
      </c>
      <c r="JD89" s="439">
        <f t="shared" si="435"/>
        <v>0</v>
      </c>
      <c r="JE89" s="439">
        <f t="shared" si="436"/>
        <v>0</v>
      </c>
      <c r="JF89" s="439">
        <f t="shared" si="437"/>
        <v>0</v>
      </c>
      <c r="JG89" s="439">
        <f t="shared" si="438"/>
        <v>0</v>
      </c>
      <c r="JH89" s="439">
        <f t="shared" si="439"/>
        <v>0</v>
      </c>
      <c r="JI89" s="439">
        <f t="shared" si="440"/>
        <v>0</v>
      </c>
      <c r="JJ89" s="442">
        <f t="shared" si="441"/>
        <v>0</v>
      </c>
      <c r="JK89" s="442">
        <f t="shared" si="442"/>
        <v>0</v>
      </c>
      <c r="JL89" s="439">
        <f t="shared" si="443"/>
        <v>0</v>
      </c>
      <c r="JM89" s="439">
        <f t="shared" si="444"/>
        <v>0</v>
      </c>
      <c r="JN89" s="661">
        <f t="shared" si="445"/>
        <v>0</v>
      </c>
      <c r="JO89" s="661">
        <f t="shared" si="446"/>
        <v>0</v>
      </c>
      <c r="JP89" s="439">
        <f t="shared" si="447"/>
        <v>0</v>
      </c>
      <c r="JQ89" s="439">
        <f t="shared" si="448"/>
        <v>0</v>
      </c>
      <c r="JR89" s="439">
        <f t="shared" si="449"/>
        <v>0</v>
      </c>
      <c r="JS89" s="439">
        <f t="shared" si="450"/>
        <v>0</v>
      </c>
      <c r="JT89" s="631" t="s">
        <v>92</v>
      </c>
      <c r="JU89" s="631">
        <f t="shared" si="459"/>
        <v>0.83498803268986488</v>
      </c>
      <c r="JW89" s="522"/>
      <c r="JX89" s="522"/>
      <c r="JY89" s="522"/>
      <c r="JZ89" s="522"/>
      <c r="KA89" s="522"/>
      <c r="KB89" s="522"/>
      <c r="KC89" s="522"/>
      <c r="KD89" s="522"/>
      <c r="KE89" s="522"/>
      <c r="KF89" s="522"/>
      <c r="KG89" s="522"/>
      <c r="KH89" s="522"/>
      <c r="KI89" s="522"/>
      <c r="KJ89" s="522"/>
      <c r="KK89" s="522"/>
      <c r="KL89" s="522"/>
    </row>
    <row r="90" spans="1:298">
      <c r="A90" s="77"/>
      <c r="B90" s="579">
        <v>7</v>
      </c>
      <c r="C90" s="579"/>
      <c r="D90" s="579">
        <f>IF($B90&lt;$C$77,(D$81*((D$76*$B90)^2))/(2*D$77),IF($B90&gt;($C$77+$C$78),D$80-D86,D$81*((D$77/2)+(($B90*D$76)-D$77))))</f>
        <v>18.400000000000002</v>
      </c>
      <c r="E90" s="579">
        <f t="shared" ref="E90:O90" si="477">IF($B90&lt;$C$77,(E$81*((E$76*$B90)^2))/(2*E$77),IF($B90&gt;($C$77+$C$78),E$80-E86,E$81*((E$77/2)+(($B90*E$76)-E$77))))</f>
        <v>18.400000000000002</v>
      </c>
      <c r="F90" s="579">
        <f t="shared" si="477"/>
        <v>0</v>
      </c>
      <c r="G90" s="579">
        <f t="shared" si="477"/>
        <v>0</v>
      </c>
      <c r="H90" s="579">
        <f t="shared" si="477"/>
        <v>0</v>
      </c>
      <c r="I90" s="579">
        <f t="shared" si="477"/>
        <v>0</v>
      </c>
      <c r="J90" s="579">
        <f t="shared" si="477"/>
        <v>0</v>
      </c>
      <c r="K90" s="579">
        <f t="shared" si="477"/>
        <v>0</v>
      </c>
      <c r="L90" s="579">
        <f t="shared" si="477"/>
        <v>0</v>
      </c>
      <c r="M90" s="579">
        <f t="shared" si="477"/>
        <v>0</v>
      </c>
      <c r="N90" s="579">
        <f t="shared" si="477"/>
        <v>0</v>
      </c>
      <c r="O90" s="579">
        <f t="shared" si="477"/>
        <v>0</v>
      </c>
      <c r="P90" s="579"/>
      <c r="Q90" s="579"/>
      <c r="R90" s="579"/>
      <c r="S90" s="579"/>
      <c r="T90" s="579"/>
      <c r="U90" s="580"/>
      <c r="V90" s="580"/>
      <c r="W90" s="579"/>
      <c r="X90" s="579"/>
      <c r="Y90" s="579"/>
      <c r="Z90" s="579"/>
      <c r="AA90" s="579"/>
      <c r="AB90" s="579"/>
      <c r="AC90" s="580"/>
      <c r="AD90" s="580"/>
      <c r="AE90" s="579"/>
      <c r="AF90" s="579"/>
      <c r="AG90" s="579"/>
      <c r="AH90" s="579"/>
      <c r="AI90" s="579"/>
      <c r="AJ90" s="579"/>
      <c r="AK90" s="579"/>
      <c r="AL90" s="580"/>
      <c r="AM90" s="580"/>
      <c r="AN90" s="579"/>
      <c r="AO90" s="579"/>
      <c r="AP90" s="579"/>
      <c r="AQ90" s="579"/>
      <c r="AR90" s="579"/>
      <c r="AS90" s="579"/>
      <c r="AT90" s="580"/>
      <c r="AU90" s="580"/>
      <c r="AV90" s="581">
        <f t="shared" si="470"/>
        <v>0</v>
      </c>
      <c r="AW90" s="581">
        <f>IF($AY$32,'Data Sheet'!AA111,0)</f>
        <v>0</v>
      </c>
      <c r="AX90" s="581">
        <f t="shared" si="472"/>
        <v>40.704999999999998</v>
      </c>
      <c r="AY90" s="579"/>
      <c r="AZ90" s="579"/>
      <c r="BA90" s="579"/>
      <c r="BB90" s="579"/>
      <c r="BC90" s="579"/>
      <c r="BD90" s="579"/>
      <c r="BE90" s="579"/>
      <c r="BF90" s="579"/>
      <c r="BG90" s="379"/>
      <c r="BH90" s="379"/>
      <c r="BI90" s="379"/>
      <c r="BJ90" s="379"/>
      <c r="BK90" s="379"/>
      <c r="BL90" s="379"/>
      <c r="BM90" s="379"/>
      <c r="BN90" s="379"/>
      <c r="BO90" s="379"/>
      <c r="BP90" s="379"/>
      <c r="BQ90" s="379"/>
      <c r="BR90" s="379"/>
      <c r="BS90" s="379"/>
      <c r="BT90" s="379"/>
      <c r="BU90" s="379"/>
      <c r="BV90" s="379"/>
      <c r="BW90" s="379"/>
      <c r="BX90" s="379"/>
      <c r="BY90" s="379"/>
      <c r="BZ90" s="379"/>
      <c r="CA90" s="379"/>
      <c r="CB90" s="379"/>
      <c r="CC90" s="379"/>
      <c r="CD90" s="379"/>
      <c r="CE90" s="379"/>
      <c r="CF90" s="379"/>
      <c r="CG90" s="379"/>
      <c r="CH90" s="77"/>
      <c r="CI90" s="77"/>
      <c r="CJ90" s="380"/>
      <c r="CK90" s="380"/>
      <c r="CL90" s="381"/>
      <c r="CM90" s="381"/>
      <c r="CN90" s="381"/>
      <c r="CO90" s="694" t="str">
        <f ca="1"/>
        <v>S350T 1S</v>
      </c>
      <c r="CP90" s="632" t="str">
        <f>IF(OR(CQ90=0,CR90="",CS90&gt;120),"",IF(HLOOKUP(CQ90,Spec_Sheet!$F$3:$ED$19,17,FALSE)&lt;$AC$46,"",CQ90))</f>
        <v>L320Q-HV</v>
      </c>
      <c r="CQ90" s="660" t="str">
        <f>IF(Spec_Sheet!A89="","",Spec_Sheet!A89)</f>
        <v>L320Q-HV</v>
      </c>
      <c r="CR90" s="660">
        <f>IF(CQ90="",0,HLOOKUP(CQ90,Spec_Sheet!$F$3:$ED$19,2,FALSE))</f>
        <v>130.59144943762382</v>
      </c>
      <c r="CS90" s="660">
        <f t="shared" si="461"/>
        <v>1.4412464916889523E-3</v>
      </c>
      <c r="CT90" s="621">
        <f t="shared" si="310"/>
        <v>1.5969490212619964E-3</v>
      </c>
      <c r="CU90" s="621">
        <f t="shared" si="316"/>
        <v>1.4412464916889523E-3</v>
      </c>
      <c r="CV90" s="621">
        <f t="shared" si="311"/>
        <v>8.2785837262221911E-4</v>
      </c>
      <c r="CW90" s="621">
        <f t="shared" si="312"/>
        <v>7.1687041564451055E-4</v>
      </c>
      <c r="CX90" s="621">
        <f t="shared" si="456"/>
        <v>4.5922514815949889E-4</v>
      </c>
      <c r="CY90" s="619">
        <f>HLOOKUP(CQ90,Spec_Sheet!$F$3:$ED$19,13,FALSE)</f>
        <v>3.5999999999999996</v>
      </c>
      <c r="CZ90" s="619">
        <f>VLOOKUP(HH90,'Shaft Weight'!$A$6:$CD$102,HJ90,TRUE)</f>
        <v>2.48</v>
      </c>
      <c r="DA90" s="619">
        <f>VLOOKUP(HI90,'Shaft Weight'!$A$6:$CD$102,HJ90,0)</f>
        <v>3.89</v>
      </c>
      <c r="DB90" s="619">
        <f>HLOOKUP(CQ90,Spec_Sheet!$F$3:$ED$19,6,FALSE)</f>
        <v>54.807157667769133</v>
      </c>
      <c r="DC90" s="439">
        <f t="shared" si="317"/>
        <v>5.1239999999999988</v>
      </c>
      <c r="DD90" s="440">
        <f t="shared" si="318"/>
        <v>3.9239999999999995</v>
      </c>
      <c r="DE90" s="439">
        <f t="shared" si="319"/>
        <v>-2.7239999999999998</v>
      </c>
      <c r="DF90" s="439">
        <f t="shared" si="320"/>
        <v>0</v>
      </c>
      <c r="DG90" s="439">
        <f t="shared" si="321"/>
        <v>0</v>
      </c>
      <c r="DH90" s="439">
        <f t="shared" si="322"/>
        <v>0</v>
      </c>
      <c r="DI90" s="439">
        <f t="shared" si="323"/>
        <v>0</v>
      </c>
      <c r="DJ90" s="439">
        <f t="shared" si="324"/>
        <v>0</v>
      </c>
      <c r="DK90" s="439">
        <f t="shared" si="325"/>
        <v>0</v>
      </c>
      <c r="DL90" s="439">
        <f t="shared" si="326"/>
        <v>0</v>
      </c>
      <c r="DM90" s="439">
        <f t="shared" si="327"/>
        <v>0</v>
      </c>
      <c r="DN90" s="439">
        <f t="shared" si="328"/>
        <v>0</v>
      </c>
      <c r="DO90" s="439">
        <f t="shared" si="329"/>
        <v>0</v>
      </c>
      <c r="DP90" s="439">
        <f t="shared" si="330"/>
        <v>0</v>
      </c>
      <c r="DQ90" s="442">
        <f t="shared" si="331"/>
        <v>0</v>
      </c>
      <c r="DR90" s="442">
        <f t="shared" si="332"/>
        <v>0</v>
      </c>
      <c r="DS90" s="439">
        <f t="shared" si="333"/>
        <v>0</v>
      </c>
      <c r="DT90" s="439">
        <f t="shared" si="334"/>
        <v>0</v>
      </c>
      <c r="DU90" s="661">
        <f t="shared" si="335"/>
        <v>0</v>
      </c>
      <c r="DV90" s="661">
        <f t="shared" si="336"/>
        <v>0</v>
      </c>
      <c r="DW90" s="439">
        <f t="shared" si="337"/>
        <v>0</v>
      </c>
      <c r="DX90" s="439">
        <f t="shared" si="338"/>
        <v>0</v>
      </c>
      <c r="DY90" s="439">
        <f t="shared" si="339"/>
        <v>0</v>
      </c>
      <c r="DZ90" s="439">
        <f t="shared" si="340"/>
        <v>0</v>
      </c>
      <c r="EA90" s="631" t="s">
        <v>92</v>
      </c>
      <c r="EB90" s="631">
        <f t="shared" si="451"/>
        <v>0.52186752043116535</v>
      </c>
      <c r="ED90" s="439">
        <f t="shared" si="341"/>
        <v>6.8661600000000007</v>
      </c>
      <c r="EE90" s="440">
        <f t="shared" si="342"/>
        <v>5.2581600000000011</v>
      </c>
      <c r="EF90" s="439">
        <f t="shared" si="343"/>
        <v>-3.650160000000001</v>
      </c>
      <c r="EG90" s="441">
        <f t="shared" si="344"/>
        <v>0</v>
      </c>
      <c r="EH90" s="439">
        <f t="shared" si="345"/>
        <v>0</v>
      </c>
      <c r="EI90" s="439">
        <f t="shared" si="346"/>
        <v>0</v>
      </c>
      <c r="EJ90" s="439">
        <f t="shared" si="347"/>
        <v>0</v>
      </c>
      <c r="EK90" s="439">
        <f t="shared" si="348"/>
        <v>0</v>
      </c>
      <c r="EL90" s="439">
        <f t="shared" si="349"/>
        <v>0</v>
      </c>
      <c r="EM90" s="439">
        <f t="shared" si="350"/>
        <v>0</v>
      </c>
      <c r="EN90" s="439">
        <f t="shared" si="351"/>
        <v>0</v>
      </c>
      <c r="EO90" s="439">
        <f t="shared" si="352"/>
        <v>0</v>
      </c>
      <c r="EP90" s="439">
        <f t="shared" si="353"/>
        <v>0</v>
      </c>
      <c r="EQ90" s="439">
        <f t="shared" si="354"/>
        <v>0</v>
      </c>
      <c r="ER90" s="442">
        <f t="shared" si="355"/>
        <v>0</v>
      </c>
      <c r="ES90" s="442">
        <f t="shared" si="356"/>
        <v>0</v>
      </c>
      <c r="ET90" s="439">
        <f t="shared" si="357"/>
        <v>0</v>
      </c>
      <c r="EU90" s="439">
        <f t="shared" si="358"/>
        <v>0</v>
      </c>
      <c r="EV90" s="661">
        <f t="shared" si="359"/>
        <v>0</v>
      </c>
      <c r="EW90" s="661">
        <f t="shared" si="360"/>
        <v>0</v>
      </c>
      <c r="EX90" s="439">
        <f t="shared" si="361"/>
        <v>0</v>
      </c>
      <c r="EY90" s="439">
        <f t="shared" si="362"/>
        <v>0</v>
      </c>
      <c r="EZ90" s="439">
        <f t="shared" si="363"/>
        <v>0</v>
      </c>
      <c r="FA90" s="439">
        <f t="shared" si="364"/>
        <v>0</v>
      </c>
      <c r="FB90" s="631" t="s">
        <v>92</v>
      </c>
      <c r="FC90" s="631">
        <f t="shared" si="452"/>
        <v>0.69930247737776174</v>
      </c>
      <c r="FE90" s="439">
        <f t="shared" si="365"/>
        <v>3.6892800000000001</v>
      </c>
      <c r="FF90" s="440">
        <f t="shared" si="366"/>
        <v>2.8252800000000002</v>
      </c>
      <c r="FG90" s="439">
        <f t="shared" si="367"/>
        <v>-1.9612800000000004</v>
      </c>
      <c r="FH90" s="441">
        <f t="shared" si="368"/>
        <v>0</v>
      </c>
      <c r="FI90" s="439">
        <f t="shared" si="369"/>
        <v>0</v>
      </c>
      <c r="FJ90" s="439">
        <f t="shared" si="370"/>
        <v>0</v>
      </c>
      <c r="FK90" s="439">
        <f t="shared" si="371"/>
        <v>0</v>
      </c>
      <c r="FL90" s="439">
        <f t="shared" si="372"/>
        <v>0</v>
      </c>
      <c r="FM90" s="439">
        <f t="shared" si="373"/>
        <v>0</v>
      </c>
      <c r="FN90" s="439">
        <f t="shared" si="374"/>
        <v>0</v>
      </c>
      <c r="FO90" s="439">
        <f t="shared" si="375"/>
        <v>0</v>
      </c>
      <c r="FP90" s="439">
        <f t="shared" si="376"/>
        <v>0</v>
      </c>
      <c r="FQ90" s="439">
        <f t="shared" si="377"/>
        <v>0</v>
      </c>
      <c r="FR90" s="439">
        <f t="shared" si="378"/>
        <v>0</v>
      </c>
      <c r="FS90" s="442">
        <f t="shared" si="379"/>
        <v>0</v>
      </c>
      <c r="FT90" s="442">
        <f t="shared" si="380"/>
        <v>0</v>
      </c>
      <c r="FU90" s="439">
        <f t="shared" si="381"/>
        <v>0</v>
      </c>
      <c r="FV90" s="439">
        <f t="shared" si="382"/>
        <v>0</v>
      </c>
      <c r="FW90" s="661">
        <f t="shared" si="383"/>
        <v>0</v>
      </c>
      <c r="FX90" s="661">
        <f t="shared" si="384"/>
        <v>0</v>
      </c>
      <c r="FY90" s="439">
        <f t="shared" si="385"/>
        <v>0</v>
      </c>
      <c r="FZ90" s="439">
        <f t="shared" si="386"/>
        <v>0</v>
      </c>
      <c r="GA90" s="439">
        <f t="shared" si="387"/>
        <v>0</v>
      </c>
      <c r="GB90" s="439">
        <f t="shared" si="388"/>
        <v>0</v>
      </c>
      <c r="GC90" s="631" t="s">
        <v>92</v>
      </c>
      <c r="GD90" s="631">
        <f t="shared" si="453"/>
        <v>0.37574461471043913</v>
      </c>
      <c r="GF90" s="439">
        <f t="shared" si="389"/>
        <v>5.4954900000000002</v>
      </c>
      <c r="GG90" s="440">
        <f t="shared" si="390"/>
        <v>4.2084900000000003</v>
      </c>
      <c r="GH90" s="439">
        <f t="shared" si="391"/>
        <v>-2.9214900000000004</v>
      </c>
      <c r="GI90" s="439">
        <f t="shared" si="392"/>
        <v>0</v>
      </c>
      <c r="GJ90" s="439">
        <f t="shared" si="393"/>
        <v>0</v>
      </c>
      <c r="GK90" s="439">
        <f t="shared" si="394"/>
        <v>0</v>
      </c>
      <c r="GL90" s="439">
        <f t="shared" si="395"/>
        <v>0</v>
      </c>
      <c r="GM90" s="439">
        <f t="shared" si="396"/>
        <v>0</v>
      </c>
      <c r="GN90" s="439">
        <f t="shared" si="397"/>
        <v>0</v>
      </c>
      <c r="GO90" s="439">
        <f t="shared" si="398"/>
        <v>0</v>
      </c>
      <c r="GP90" s="439">
        <f t="shared" si="399"/>
        <v>0</v>
      </c>
      <c r="GQ90" s="439">
        <f t="shared" si="400"/>
        <v>0</v>
      </c>
      <c r="GR90" s="439">
        <f t="shared" si="401"/>
        <v>0</v>
      </c>
      <c r="GS90" s="439">
        <f t="shared" si="402"/>
        <v>0</v>
      </c>
      <c r="GT90" s="442">
        <f t="shared" si="403"/>
        <v>0</v>
      </c>
      <c r="GU90" s="442">
        <f t="shared" si="404"/>
        <v>0</v>
      </c>
      <c r="GV90" s="439">
        <f t="shared" si="405"/>
        <v>0</v>
      </c>
      <c r="GW90" s="439">
        <f t="shared" si="406"/>
        <v>0</v>
      </c>
      <c r="GX90" s="661">
        <f t="shared" si="407"/>
        <v>0</v>
      </c>
      <c r="GY90" s="661">
        <f t="shared" si="408"/>
        <v>0</v>
      </c>
      <c r="GZ90" s="439">
        <f t="shared" si="409"/>
        <v>0</v>
      </c>
      <c r="HA90" s="439">
        <f t="shared" si="410"/>
        <v>0</v>
      </c>
      <c r="HB90" s="439">
        <f t="shared" si="411"/>
        <v>0</v>
      </c>
      <c r="HC90" s="439">
        <f t="shared" si="412"/>
        <v>0</v>
      </c>
      <c r="HD90" s="631" t="s">
        <v>92</v>
      </c>
      <c r="HE90" s="631">
        <f t="shared" si="306"/>
        <v>0.55970291566242503</v>
      </c>
      <c r="HG90" s="618">
        <f>HLOOKUP(CQ90,Spec_Sheet!$F$3:$DV$19,11,FALSE)+HLOOKUP(CQ90,Spec_Sheet!$F$3:$DV$21,19,FALSE)</f>
        <v>300</v>
      </c>
      <c r="HH90" s="618">
        <f t="shared" si="454"/>
        <v>100</v>
      </c>
      <c r="HI90" s="634">
        <f t="shared" si="455"/>
        <v>350</v>
      </c>
      <c r="HJ90" s="634">
        <f>HLOOKUP(IF(LEN(CQ90)&gt;6,LEFT(CQ90,5),CQ90),'LSM List Pricing'!$B$1:$BW$2,2,0)</f>
        <v>20</v>
      </c>
      <c r="HK90" s="634">
        <f>HLOOKUP(HJ90,'LSM List Pricing'!$B$2:$BW$3,2)</f>
        <v>850</v>
      </c>
      <c r="HL90" s="634">
        <f>VLOOKUP(HH90,'LSM List Pricing'!$A$7:$BW$87,HJ90,0)</f>
        <v>960</v>
      </c>
      <c r="HM90" s="627">
        <f>VLOOKUP(HI90,'LSM List Pricing'!$A$7:$BW$87,HJ90,1)</f>
        <v>1450</v>
      </c>
      <c r="HN90" s="628">
        <f t="shared" si="307"/>
        <v>4.6410256410256414</v>
      </c>
      <c r="HO90" s="628">
        <f t="shared" si="308"/>
        <v>9.2820512820512828</v>
      </c>
      <c r="HP90" s="628">
        <f t="shared" si="309"/>
        <v>8.0769230769230766</v>
      </c>
      <c r="HR90" s="618">
        <v>4.3499999999999997E-2</v>
      </c>
      <c r="HS90" s="618">
        <f t="shared" si="457"/>
        <v>292.07142857142856</v>
      </c>
      <c r="HT90" s="618">
        <f t="shared" si="458"/>
        <v>1</v>
      </c>
      <c r="HU90" s="618">
        <f t="shared" si="466"/>
        <v>1.1078370494971166</v>
      </c>
      <c r="HW90" s="618">
        <f t="shared" si="413"/>
        <v>34.426871389714094</v>
      </c>
      <c r="HX90" s="618">
        <f t="shared" si="467"/>
        <v>1.0833536845593892</v>
      </c>
      <c r="HY90" s="618">
        <f t="shared" si="468"/>
        <v>4.3499999999999997E-2</v>
      </c>
      <c r="IB90" s="618">
        <f t="shared" si="414"/>
        <v>25.000350341399081</v>
      </c>
      <c r="IC90" s="618">
        <f t="shared" si="415"/>
        <v>1E-3</v>
      </c>
      <c r="IE90" s="618">
        <f t="shared" si="416"/>
        <v>0</v>
      </c>
      <c r="IF90" s="618">
        <f t="shared" si="417"/>
        <v>40.704999999999998</v>
      </c>
      <c r="IH90" s="618">
        <f t="shared" si="418"/>
        <v>0</v>
      </c>
      <c r="II90" s="618">
        <f t="shared" si="419"/>
        <v>40.704999999999998</v>
      </c>
      <c r="IK90" s="618">
        <f t="shared" si="420"/>
        <v>0</v>
      </c>
      <c r="IL90" s="618">
        <f t="shared" si="421"/>
        <v>40.704999999999998</v>
      </c>
      <c r="IN90" s="618">
        <f t="shared" si="422"/>
        <v>0</v>
      </c>
      <c r="IO90" s="618">
        <f t="shared" si="423"/>
        <v>40.704999999999998</v>
      </c>
      <c r="IQ90" s="618">
        <f t="shared" si="424"/>
        <v>0</v>
      </c>
      <c r="IR90" s="618">
        <f t="shared" si="425"/>
        <v>40.704999999999998</v>
      </c>
      <c r="IT90" s="660" t="str">
        <f t="shared" si="426"/>
        <v>L320Q-HV</v>
      </c>
      <c r="IU90" s="628"/>
      <c r="IV90" s="439">
        <f t="shared" si="427"/>
        <v>9.7355999999999998</v>
      </c>
      <c r="IW90" s="440">
        <f t="shared" si="428"/>
        <v>7.4556000000000004</v>
      </c>
      <c r="IX90" s="439">
        <f t="shared" si="429"/>
        <v>-5.1756000000000011</v>
      </c>
      <c r="IY90" s="439">
        <f t="shared" si="430"/>
        <v>0</v>
      </c>
      <c r="IZ90" s="439">
        <f t="shared" si="431"/>
        <v>0</v>
      </c>
      <c r="JA90" s="439">
        <f t="shared" si="432"/>
        <v>0</v>
      </c>
      <c r="JB90" s="439">
        <f t="shared" si="433"/>
        <v>0</v>
      </c>
      <c r="JC90" s="439">
        <f t="shared" si="434"/>
        <v>0</v>
      </c>
      <c r="JD90" s="439">
        <f t="shared" si="435"/>
        <v>0</v>
      </c>
      <c r="JE90" s="439">
        <f t="shared" si="436"/>
        <v>0</v>
      </c>
      <c r="JF90" s="439">
        <f t="shared" si="437"/>
        <v>0</v>
      </c>
      <c r="JG90" s="439">
        <f t="shared" si="438"/>
        <v>0</v>
      </c>
      <c r="JH90" s="439">
        <f t="shared" si="439"/>
        <v>0</v>
      </c>
      <c r="JI90" s="439">
        <f t="shared" si="440"/>
        <v>0</v>
      </c>
      <c r="JJ90" s="442">
        <f t="shared" si="441"/>
        <v>0</v>
      </c>
      <c r="JK90" s="442">
        <f t="shared" si="442"/>
        <v>0</v>
      </c>
      <c r="JL90" s="439">
        <f t="shared" si="443"/>
        <v>0</v>
      </c>
      <c r="JM90" s="439">
        <f t="shared" si="444"/>
        <v>0</v>
      </c>
      <c r="JN90" s="661">
        <f t="shared" si="445"/>
        <v>0</v>
      </c>
      <c r="JO90" s="661">
        <f t="shared" si="446"/>
        <v>0</v>
      </c>
      <c r="JP90" s="439">
        <f t="shared" si="447"/>
        <v>0</v>
      </c>
      <c r="JQ90" s="439">
        <f t="shared" si="448"/>
        <v>0</v>
      </c>
      <c r="JR90" s="439">
        <f t="shared" si="449"/>
        <v>0</v>
      </c>
      <c r="JS90" s="439">
        <f t="shared" si="450"/>
        <v>0</v>
      </c>
      <c r="JT90" s="631" t="s">
        <v>92</v>
      </c>
      <c r="JU90" s="631">
        <f t="shared" si="459"/>
        <v>0.99154828881921442</v>
      </c>
      <c r="JW90" s="522"/>
      <c r="JX90" s="522"/>
      <c r="JY90" s="522"/>
      <c r="JZ90" s="522"/>
      <c r="KA90" s="522"/>
      <c r="KB90" s="522"/>
      <c r="KC90" s="522"/>
      <c r="KD90" s="522"/>
      <c r="KE90" s="522"/>
      <c r="KF90" s="522"/>
      <c r="KG90" s="522"/>
      <c r="KH90" s="522"/>
      <c r="KI90" s="522"/>
      <c r="KJ90" s="522"/>
      <c r="KK90" s="522"/>
      <c r="KL90" s="522"/>
    </row>
    <row r="91" spans="1:298">
      <c r="A91" s="77"/>
      <c r="B91" s="579">
        <v>8</v>
      </c>
      <c r="C91" s="579"/>
      <c r="D91" s="579">
        <f>IF($B91&lt;$C$77,(D$81*((D$76*$B91)^2))/(2*D$77),IF($B91&gt;($C$77+$C$78),D$80-D85,D$81*((D$77/2)+(($B91*D$76)-D$77))))</f>
        <v>21.44</v>
      </c>
      <c r="E91" s="579">
        <f t="shared" ref="E91:O91" si="478">IF($B91&lt;$C$77,(E$81*((E$76*$B91)^2))/(2*E$77),IF($B91&gt;($C$77+$C$78),E$80-E85,E$81*((E$77/2)+(($B91*E$76)-E$77))))</f>
        <v>21.44</v>
      </c>
      <c r="F91" s="579" t="e">
        <f t="shared" si="478"/>
        <v>#DIV/0!</v>
      </c>
      <c r="G91" s="579" t="e">
        <f t="shared" si="478"/>
        <v>#DIV/0!</v>
      </c>
      <c r="H91" s="579" t="e">
        <f t="shared" si="478"/>
        <v>#DIV/0!</v>
      </c>
      <c r="I91" s="579" t="e">
        <f t="shared" si="478"/>
        <v>#DIV/0!</v>
      </c>
      <c r="J91" s="579" t="e">
        <f t="shared" si="478"/>
        <v>#DIV/0!</v>
      </c>
      <c r="K91" s="579" t="e">
        <f t="shared" si="478"/>
        <v>#DIV/0!</v>
      </c>
      <c r="L91" s="579" t="e">
        <f t="shared" si="478"/>
        <v>#DIV/0!</v>
      </c>
      <c r="M91" s="579" t="e">
        <f t="shared" si="478"/>
        <v>#DIV/0!</v>
      </c>
      <c r="N91" s="579" t="e">
        <f t="shared" si="478"/>
        <v>#DIV/0!</v>
      </c>
      <c r="O91" s="579" t="e">
        <f t="shared" si="478"/>
        <v>#DIV/0!</v>
      </c>
      <c r="P91" s="579"/>
      <c r="Q91" s="579"/>
      <c r="R91" s="579"/>
      <c r="S91" s="579"/>
      <c r="T91" s="579"/>
      <c r="U91" s="580"/>
      <c r="V91" s="580"/>
      <c r="W91" s="579"/>
      <c r="X91" s="579"/>
      <c r="Y91" s="579"/>
      <c r="Z91" s="579"/>
      <c r="AA91" s="579"/>
      <c r="AB91" s="579"/>
      <c r="AC91" s="580"/>
      <c r="AD91" s="580"/>
      <c r="AE91" s="579"/>
      <c r="AF91" s="579"/>
      <c r="AG91" s="579"/>
      <c r="AH91" s="579"/>
      <c r="AI91" s="579"/>
      <c r="AJ91" s="579"/>
      <c r="AK91" s="579"/>
      <c r="AL91" s="580"/>
      <c r="AM91" s="580"/>
      <c r="AN91" s="579"/>
      <c r="AO91" s="579"/>
      <c r="AP91" s="579"/>
      <c r="AQ91" s="579"/>
      <c r="AR91" s="579"/>
      <c r="AS91" s="579"/>
      <c r="AT91" s="580"/>
      <c r="AU91" s="580"/>
      <c r="AV91" s="581" t="e">
        <f t="shared" si="470"/>
        <v>#DIV/0!</v>
      </c>
      <c r="AW91" s="581" t="e">
        <f>IF($AY$32,'Data Sheet'!AA112,0)</f>
        <v>#DIV/0!</v>
      </c>
      <c r="AX91" s="581">
        <f t="shared" si="472"/>
        <v>40.704999999999998</v>
      </c>
      <c r="AY91" s="579"/>
      <c r="AZ91" s="579"/>
      <c r="BA91" s="579"/>
      <c r="BB91" s="579"/>
      <c r="BC91" s="579"/>
      <c r="BD91" s="579"/>
      <c r="BE91" s="579"/>
      <c r="BF91" s="579"/>
      <c r="BG91" s="379"/>
      <c r="BH91" s="379"/>
      <c r="BI91" s="379"/>
      <c r="BJ91" s="379"/>
      <c r="BK91" s="379"/>
      <c r="BL91" s="379"/>
      <c r="BM91" s="379"/>
      <c r="BN91" s="379"/>
      <c r="BO91" s="379"/>
      <c r="BP91" s="379"/>
      <c r="BQ91" s="379"/>
      <c r="BR91" s="379"/>
      <c r="BS91" s="379"/>
      <c r="BT91" s="379"/>
      <c r="BU91" s="379"/>
      <c r="BV91" s="379"/>
      <c r="BW91" s="379"/>
      <c r="BX91" s="379"/>
      <c r="BY91" s="379"/>
      <c r="BZ91" s="379"/>
      <c r="CA91" s="379"/>
      <c r="CB91" s="379"/>
      <c r="CC91" s="379"/>
      <c r="CD91" s="379"/>
      <c r="CE91" s="379"/>
      <c r="CF91" s="379"/>
      <c r="CG91" s="379"/>
      <c r="CH91" s="77"/>
      <c r="CI91" s="77"/>
      <c r="CJ91" s="380"/>
      <c r="CK91" s="380"/>
      <c r="CL91" s="381"/>
      <c r="CM91" s="381"/>
      <c r="CN91" s="445"/>
      <c r="CO91" s="694" t="str">
        <f ca="1"/>
        <v>S427T</v>
      </c>
      <c r="CP91" s="632" t="str">
        <f>IF(OR(CQ91=0,CR91="",CS91&gt;120),"",IF(HLOOKUP(CQ91,Spec_Sheet!$F$3:$ED$19,17,FALSE)&lt;$AC$46,"",CQ91))</f>
        <v>S250X</v>
      </c>
      <c r="CQ91" s="660" t="str">
        <f>IF(Spec_Sheet!A90="","",Spec_Sheet!A90)</f>
        <v>S250X</v>
      </c>
      <c r="CR91" s="660">
        <f>IF(CQ91="",0,HLOOKUP(CQ91,Spec_Sheet!$F$3:$ED$19,2,FALSE))</f>
        <v>140</v>
      </c>
      <c r="CS91" s="660">
        <f t="shared" si="461"/>
        <v>8.3457980304405281E-4</v>
      </c>
      <c r="CT91" s="621">
        <f t="shared" si="310"/>
        <v>9.4574131687302093E-4</v>
      </c>
      <c r="CU91" s="621">
        <f t="shared" si="316"/>
        <v>8.3457980304405281E-4</v>
      </c>
      <c r="CV91" s="621">
        <f t="shared" si="311"/>
        <v>4.3187116571881076E-4</v>
      </c>
      <c r="CW91" s="621">
        <f t="shared" si="312"/>
        <v>3.5787928307640359E-4</v>
      </c>
      <c r="CX91" s="621">
        <f t="shared" si="456"/>
        <v>2.5543048711844374E-4</v>
      </c>
      <c r="CY91" s="619">
        <f>HLOOKUP(CQ91,Spec_Sheet!$F$3:$ED$19,13,FALSE)</f>
        <v>2.9</v>
      </c>
      <c r="CZ91" s="619">
        <f>VLOOKUP(HH91,'Shaft Weight'!$A$6:$CD$102,HJ91,TRUE)</f>
        <v>1.83</v>
      </c>
      <c r="DA91" s="619">
        <f>VLOOKUP(HI91,'Shaft Weight'!$A$6:$CD$102,HJ91,0)</f>
        <v>3.03</v>
      </c>
      <c r="DB91" s="619">
        <f>HLOOKUP(CQ91,Spec_Sheet!$F$3:$ED$19,6,FALSE)</f>
        <v>58.33</v>
      </c>
      <c r="DC91" s="439">
        <f t="shared" si="317"/>
        <v>4.2272999999999996</v>
      </c>
      <c r="DD91" s="440">
        <f t="shared" si="318"/>
        <v>3.2372999999999998</v>
      </c>
      <c r="DE91" s="439">
        <f t="shared" si="319"/>
        <v>-2.2473000000000001</v>
      </c>
      <c r="DF91" s="439">
        <f t="shared" si="320"/>
        <v>0</v>
      </c>
      <c r="DG91" s="439">
        <f t="shared" si="321"/>
        <v>0</v>
      </c>
      <c r="DH91" s="439">
        <f t="shared" si="322"/>
        <v>0</v>
      </c>
      <c r="DI91" s="439">
        <f t="shared" si="323"/>
        <v>0</v>
      </c>
      <c r="DJ91" s="439">
        <f t="shared" si="324"/>
        <v>0</v>
      </c>
      <c r="DK91" s="439">
        <f t="shared" si="325"/>
        <v>0</v>
      </c>
      <c r="DL91" s="439">
        <f t="shared" si="326"/>
        <v>0</v>
      </c>
      <c r="DM91" s="439">
        <f t="shared" si="327"/>
        <v>0</v>
      </c>
      <c r="DN91" s="439">
        <f t="shared" si="328"/>
        <v>0</v>
      </c>
      <c r="DO91" s="439">
        <f t="shared" si="329"/>
        <v>0</v>
      </c>
      <c r="DP91" s="439">
        <f t="shared" si="330"/>
        <v>0</v>
      </c>
      <c r="DQ91" s="442">
        <f t="shared" si="331"/>
        <v>0</v>
      </c>
      <c r="DR91" s="442">
        <f t="shared" si="332"/>
        <v>0</v>
      </c>
      <c r="DS91" s="439">
        <f t="shared" si="333"/>
        <v>0</v>
      </c>
      <c r="DT91" s="439">
        <f t="shared" si="334"/>
        <v>0</v>
      </c>
      <c r="DU91" s="661">
        <f t="shared" si="335"/>
        <v>0</v>
      </c>
      <c r="DV91" s="661">
        <f t="shared" si="336"/>
        <v>0</v>
      </c>
      <c r="DW91" s="439">
        <f t="shared" si="337"/>
        <v>0</v>
      </c>
      <c r="DX91" s="439">
        <f t="shared" si="338"/>
        <v>0</v>
      </c>
      <c r="DY91" s="439">
        <f t="shared" si="339"/>
        <v>0</v>
      </c>
      <c r="DZ91" s="439">
        <f t="shared" si="340"/>
        <v>0</v>
      </c>
      <c r="EA91" s="631" t="s">
        <v>92</v>
      </c>
      <c r="EB91" s="631">
        <f t="shared" si="451"/>
        <v>0.4305407043557114</v>
      </c>
      <c r="ED91" s="439">
        <f t="shared" si="341"/>
        <v>5.2008600000000014</v>
      </c>
      <c r="EE91" s="440">
        <f t="shared" si="342"/>
        <v>3.982860000000001</v>
      </c>
      <c r="EF91" s="439">
        <f t="shared" si="343"/>
        <v>-2.7648600000000005</v>
      </c>
      <c r="EG91" s="441">
        <f t="shared" si="344"/>
        <v>0</v>
      </c>
      <c r="EH91" s="439">
        <f t="shared" si="345"/>
        <v>0</v>
      </c>
      <c r="EI91" s="439">
        <f t="shared" si="346"/>
        <v>0</v>
      </c>
      <c r="EJ91" s="439">
        <f t="shared" si="347"/>
        <v>0</v>
      </c>
      <c r="EK91" s="439">
        <f t="shared" si="348"/>
        <v>0</v>
      </c>
      <c r="EL91" s="439">
        <f t="shared" si="349"/>
        <v>0</v>
      </c>
      <c r="EM91" s="439">
        <f t="shared" si="350"/>
        <v>0</v>
      </c>
      <c r="EN91" s="439">
        <f t="shared" si="351"/>
        <v>0</v>
      </c>
      <c r="EO91" s="439">
        <f t="shared" si="352"/>
        <v>0</v>
      </c>
      <c r="EP91" s="439">
        <f t="shared" si="353"/>
        <v>0</v>
      </c>
      <c r="EQ91" s="439">
        <f t="shared" si="354"/>
        <v>0</v>
      </c>
      <c r="ER91" s="442">
        <f t="shared" si="355"/>
        <v>0</v>
      </c>
      <c r="ES91" s="442">
        <f t="shared" si="356"/>
        <v>0</v>
      </c>
      <c r="ET91" s="439">
        <f t="shared" si="357"/>
        <v>0</v>
      </c>
      <c r="EU91" s="439">
        <f t="shared" si="358"/>
        <v>0</v>
      </c>
      <c r="EV91" s="661">
        <f t="shared" si="359"/>
        <v>0</v>
      </c>
      <c r="EW91" s="661">
        <f t="shared" si="360"/>
        <v>0</v>
      </c>
      <c r="EX91" s="439">
        <f t="shared" si="361"/>
        <v>0</v>
      </c>
      <c r="EY91" s="439">
        <f t="shared" si="362"/>
        <v>0</v>
      </c>
      <c r="EZ91" s="439">
        <f t="shared" si="363"/>
        <v>0</v>
      </c>
      <c r="FA91" s="439">
        <f t="shared" si="364"/>
        <v>0</v>
      </c>
      <c r="FB91" s="631" t="s">
        <v>92</v>
      </c>
      <c r="FC91" s="631">
        <f t="shared" si="452"/>
        <v>0.52969553323763308</v>
      </c>
      <c r="FE91" s="439">
        <f t="shared" si="365"/>
        <v>2.85663</v>
      </c>
      <c r="FF91" s="440">
        <f t="shared" si="366"/>
        <v>2.18763</v>
      </c>
      <c r="FG91" s="439">
        <f t="shared" si="367"/>
        <v>-1.5186299999999999</v>
      </c>
      <c r="FH91" s="441">
        <f t="shared" si="368"/>
        <v>0</v>
      </c>
      <c r="FI91" s="439">
        <f t="shared" si="369"/>
        <v>0</v>
      </c>
      <c r="FJ91" s="439">
        <f t="shared" si="370"/>
        <v>0</v>
      </c>
      <c r="FK91" s="439">
        <f t="shared" si="371"/>
        <v>0</v>
      </c>
      <c r="FL91" s="439">
        <f t="shared" si="372"/>
        <v>0</v>
      </c>
      <c r="FM91" s="439">
        <f t="shared" si="373"/>
        <v>0</v>
      </c>
      <c r="FN91" s="439">
        <f t="shared" si="374"/>
        <v>0</v>
      </c>
      <c r="FO91" s="439">
        <f t="shared" si="375"/>
        <v>0</v>
      </c>
      <c r="FP91" s="439">
        <f t="shared" si="376"/>
        <v>0</v>
      </c>
      <c r="FQ91" s="439">
        <f t="shared" si="377"/>
        <v>0</v>
      </c>
      <c r="FR91" s="439">
        <f t="shared" si="378"/>
        <v>0</v>
      </c>
      <c r="FS91" s="442">
        <f t="shared" si="379"/>
        <v>0</v>
      </c>
      <c r="FT91" s="442">
        <f t="shared" si="380"/>
        <v>0</v>
      </c>
      <c r="FU91" s="439">
        <f t="shared" si="381"/>
        <v>0</v>
      </c>
      <c r="FV91" s="439">
        <f t="shared" si="382"/>
        <v>0</v>
      </c>
      <c r="FW91" s="661">
        <f t="shared" si="383"/>
        <v>0</v>
      </c>
      <c r="FX91" s="661">
        <f t="shared" si="384"/>
        <v>0</v>
      </c>
      <c r="FY91" s="439">
        <f t="shared" si="385"/>
        <v>0</v>
      </c>
      <c r="FZ91" s="439">
        <f t="shared" si="386"/>
        <v>0</v>
      </c>
      <c r="GA91" s="439">
        <f t="shared" si="387"/>
        <v>0</v>
      </c>
      <c r="GB91" s="439">
        <f t="shared" si="388"/>
        <v>0</v>
      </c>
      <c r="GC91" s="631" t="s">
        <v>92</v>
      </c>
      <c r="GD91" s="631">
        <f t="shared" si="453"/>
        <v>0.29094114264037474</v>
      </c>
      <c r="GF91" s="439">
        <f t="shared" si="389"/>
        <v>4.3938299999999995</v>
      </c>
      <c r="GG91" s="440">
        <f t="shared" si="390"/>
        <v>3.36483</v>
      </c>
      <c r="GH91" s="439">
        <f t="shared" si="391"/>
        <v>-2.3358300000000001</v>
      </c>
      <c r="GI91" s="439">
        <f t="shared" si="392"/>
        <v>0</v>
      </c>
      <c r="GJ91" s="439">
        <f t="shared" si="393"/>
        <v>0</v>
      </c>
      <c r="GK91" s="439">
        <f t="shared" si="394"/>
        <v>0</v>
      </c>
      <c r="GL91" s="439">
        <f t="shared" si="395"/>
        <v>0</v>
      </c>
      <c r="GM91" s="439">
        <f t="shared" si="396"/>
        <v>0</v>
      </c>
      <c r="GN91" s="439">
        <f t="shared" si="397"/>
        <v>0</v>
      </c>
      <c r="GO91" s="439">
        <f t="shared" si="398"/>
        <v>0</v>
      </c>
      <c r="GP91" s="439">
        <f t="shared" si="399"/>
        <v>0</v>
      </c>
      <c r="GQ91" s="439">
        <f t="shared" si="400"/>
        <v>0</v>
      </c>
      <c r="GR91" s="439">
        <f t="shared" si="401"/>
        <v>0</v>
      </c>
      <c r="GS91" s="439">
        <f t="shared" si="402"/>
        <v>0</v>
      </c>
      <c r="GT91" s="442">
        <f t="shared" si="403"/>
        <v>0</v>
      </c>
      <c r="GU91" s="442">
        <f t="shared" si="404"/>
        <v>0</v>
      </c>
      <c r="GV91" s="439">
        <f t="shared" si="405"/>
        <v>0</v>
      </c>
      <c r="GW91" s="439">
        <f t="shared" si="406"/>
        <v>0</v>
      </c>
      <c r="GX91" s="661">
        <f t="shared" si="407"/>
        <v>0</v>
      </c>
      <c r="GY91" s="661">
        <f t="shared" si="408"/>
        <v>0</v>
      </c>
      <c r="GZ91" s="439">
        <f t="shared" si="409"/>
        <v>0</v>
      </c>
      <c r="HA91" s="439">
        <f t="shared" si="410"/>
        <v>0</v>
      </c>
      <c r="HB91" s="439">
        <f t="shared" si="411"/>
        <v>0</v>
      </c>
      <c r="HC91" s="439">
        <f t="shared" si="412"/>
        <v>0</v>
      </c>
      <c r="HD91" s="631" t="s">
        <v>92</v>
      </c>
      <c r="HE91" s="631">
        <f t="shared" si="306"/>
        <v>0.44750139876972439</v>
      </c>
      <c r="HG91" s="618">
        <f>HLOOKUP(CQ91,Spec_Sheet!$F$3:$DV$19,11,FALSE)+HLOOKUP(CQ91,Spec_Sheet!$F$3:$DV$21,19,FALSE)</f>
        <v>405</v>
      </c>
      <c r="HH91" s="618">
        <f t="shared" si="454"/>
        <v>100</v>
      </c>
      <c r="HI91" s="634">
        <f t="shared" si="455"/>
        <v>450</v>
      </c>
      <c r="HJ91" s="634">
        <f>HLOOKUP(IF(LEN(CQ91)&gt;6,LEFT(CQ91,5),CQ91),'LSM List Pricing'!$B$1:$BW$2,2,0)</f>
        <v>51</v>
      </c>
      <c r="HK91" s="634">
        <f>HLOOKUP(HJ91,'LSM List Pricing'!$B$2:$BW$3,2)</f>
        <v>910</v>
      </c>
      <c r="HL91" s="634">
        <f>VLOOKUP(HH91,'LSM List Pricing'!$A$7:$BW$87,HJ91,0)</f>
        <v>860</v>
      </c>
      <c r="HM91" s="627">
        <f>VLOOKUP(HI91,'LSM List Pricing'!$A$7:$BW$87,HJ91,1)</f>
        <v>1370</v>
      </c>
      <c r="HN91" s="628">
        <f t="shared" si="307"/>
        <v>4.5384615384615383</v>
      </c>
      <c r="HO91" s="628">
        <f t="shared" si="308"/>
        <v>9.0769230769230766</v>
      </c>
      <c r="HP91" s="628">
        <f t="shared" si="309"/>
        <v>8.1794871794871788</v>
      </c>
      <c r="HR91" s="618">
        <v>4.3999999999999997E-2</v>
      </c>
      <c r="HS91" s="618">
        <f t="shared" si="457"/>
        <v>295.42857142857139</v>
      </c>
      <c r="HT91" s="618">
        <f t="shared" si="458"/>
        <v>1</v>
      </c>
      <c r="HU91" s="618">
        <f t="shared" si="466"/>
        <v>1.1205760934707414</v>
      </c>
      <c r="HW91" s="618">
        <f t="shared" si="413"/>
        <v>34.408781947271549</v>
      </c>
      <c r="HX91" s="618">
        <f t="shared" si="467"/>
        <v>1.0955296564011991</v>
      </c>
      <c r="HY91" s="618">
        <f t="shared" si="468"/>
        <v>4.3999999999999997E-2</v>
      </c>
      <c r="IB91" s="618">
        <f t="shared" si="414"/>
        <v>25.000350341399081</v>
      </c>
      <c r="IC91" s="618">
        <f t="shared" si="415"/>
        <v>1E-3</v>
      </c>
      <c r="IE91" s="618">
        <f t="shared" si="416"/>
        <v>0</v>
      </c>
      <c r="IF91" s="618">
        <f t="shared" si="417"/>
        <v>40.704999999999998</v>
      </c>
      <c r="IH91" s="618">
        <f t="shared" si="418"/>
        <v>0</v>
      </c>
      <c r="II91" s="618">
        <f t="shared" si="419"/>
        <v>40.704999999999998</v>
      </c>
      <c r="IK91" s="618">
        <f t="shared" si="420"/>
        <v>0</v>
      </c>
      <c r="IL91" s="618">
        <f t="shared" si="421"/>
        <v>40.704999999999998</v>
      </c>
      <c r="IN91" s="618">
        <f t="shared" si="422"/>
        <v>0</v>
      </c>
      <c r="IO91" s="618">
        <f t="shared" si="423"/>
        <v>40.704999999999998</v>
      </c>
      <c r="IQ91" s="618">
        <f t="shared" si="424"/>
        <v>0</v>
      </c>
      <c r="IR91" s="618">
        <f t="shared" si="425"/>
        <v>40.704999999999998</v>
      </c>
      <c r="IT91" s="660" t="str">
        <f t="shared" si="426"/>
        <v>S250X</v>
      </c>
      <c r="IU91" s="628"/>
      <c r="IV91" s="439">
        <f t="shared" si="427"/>
        <v>7.9421999999999997</v>
      </c>
      <c r="IW91" s="440">
        <f t="shared" si="428"/>
        <v>6.0822000000000003</v>
      </c>
      <c r="IX91" s="439">
        <f t="shared" si="429"/>
        <v>-4.2222000000000008</v>
      </c>
      <c r="IY91" s="439">
        <f t="shared" si="430"/>
        <v>0</v>
      </c>
      <c r="IZ91" s="439">
        <f t="shared" si="431"/>
        <v>0</v>
      </c>
      <c r="JA91" s="439">
        <f t="shared" si="432"/>
        <v>0</v>
      </c>
      <c r="JB91" s="439">
        <f t="shared" si="433"/>
        <v>0</v>
      </c>
      <c r="JC91" s="439">
        <f t="shared" si="434"/>
        <v>0</v>
      </c>
      <c r="JD91" s="439">
        <f t="shared" si="435"/>
        <v>0</v>
      </c>
      <c r="JE91" s="439">
        <f t="shared" si="436"/>
        <v>0</v>
      </c>
      <c r="JF91" s="439">
        <f t="shared" si="437"/>
        <v>0</v>
      </c>
      <c r="JG91" s="439">
        <f t="shared" si="438"/>
        <v>0</v>
      </c>
      <c r="JH91" s="439">
        <f t="shared" si="439"/>
        <v>0</v>
      </c>
      <c r="JI91" s="439">
        <f t="shared" si="440"/>
        <v>0</v>
      </c>
      <c r="JJ91" s="442">
        <f t="shared" si="441"/>
        <v>0</v>
      </c>
      <c r="JK91" s="442">
        <f t="shared" si="442"/>
        <v>0</v>
      </c>
      <c r="JL91" s="439">
        <f t="shared" si="443"/>
        <v>0</v>
      </c>
      <c r="JM91" s="439">
        <f t="shared" si="444"/>
        <v>0</v>
      </c>
      <c r="JN91" s="661">
        <f t="shared" si="445"/>
        <v>0</v>
      </c>
      <c r="JO91" s="661">
        <f t="shared" si="446"/>
        <v>0</v>
      </c>
      <c r="JP91" s="439">
        <f t="shared" si="447"/>
        <v>0</v>
      </c>
      <c r="JQ91" s="439">
        <f t="shared" si="448"/>
        <v>0</v>
      </c>
      <c r="JR91" s="439">
        <f t="shared" si="449"/>
        <v>0</v>
      </c>
      <c r="JS91" s="439">
        <f t="shared" si="450"/>
        <v>0</v>
      </c>
      <c r="JT91" s="631" t="s">
        <v>92</v>
      </c>
      <c r="JU91" s="631">
        <f t="shared" si="459"/>
        <v>0.8088946566683064</v>
      </c>
      <c r="JW91" s="522"/>
      <c r="JX91" s="522"/>
      <c r="JY91" s="522"/>
      <c r="JZ91" s="522"/>
      <c r="KA91" s="522"/>
      <c r="KB91" s="522"/>
      <c r="KC91" s="522"/>
      <c r="KD91" s="522"/>
      <c r="KE91" s="522"/>
      <c r="KF91" s="522"/>
      <c r="KG91" s="522"/>
      <c r="KH91" s="522"/>
      <c r="KI91" s="522"/>
      <c r="KJ91" s="522"/>
      <c r="KK91" s="522"/>
      <c r="KL91" s="522"/>
    </row>
    <row r="92" spans="1:298">
      <c r="A92" s="77"/>
      <c r="B92" s="579">
        <v>9</v>
      </c>
      <c r="C92" s="579"/>
      <c r="D92" s="579">
        <f>IF($B92&lt;$C$77,(D$81*((D$76*$B92)^2))/(2*D$77),IF($B92&gt;($C$77+$C$78),D$80-D84,D$81*((D$77/2)+(($B92*D$76)-D$77))))</f>
        <v>23.36</v>
      </c>
      <c r="E92" s="579">
        <f t="shared" ref="E92:O92" si="479">IF($B92&lt;$C$77,(E$81*((E$76*$B92)^2))/(2*E$77),IF($B92&gt;($C$77+$C$78),E$80-E84,E$81*((E$77/2)+(($B92*E$76)-E$77))))</f>
        <v>23.36</v>
      </c>
      <c r="F92" s="579" t="e">
        <f t="shared" si="479"/>
        <v>#DIV/0!</v>
      </c>
      <c r="G92" s="579" t="e">
        <f t="shared" si="479"/>
        <v>#DIV/0!</v>
      </c>
      <c r="H92" s="579" t="e">
        <f t="shared" si="479"/>
        <v>#DIV/0!</v>
      </c>
      <c r="I92" s="579" t="e">
        <f t="shared" si="479"/>
        <v>#DIV/0!</v>
      </c>
      <c r="J92" s="579" t="e">
        <f t="shared" si="479"/>
        <v>#DIV/0!</v>
      </c>
      <c r="K92" s="579" t="e">
        <f t="shared" si="479"/>
        <v>#DIV/0!</v>
      </c>
      <c r="L92" s="579" t="e">
        <f t="shared" si="479"/>
        <v>#DIV/0!</v>
      </c>
      <c r="M92" s="579" t="e">
        <f t="shared" si="479"/>
        <v>#DIV/0!</v>
      </c>
      <c r="N92" s="579" t="e">
        <f t="shared" si="479"/>
        <v>#DIV/0!</v>
      </c>
      <c r="O92" s="579" t="e">
        <f t="shared" si="479"/>
        <v>#DIV/0!</v>
      </c>
      <c r="P92" s="579"/>
      <c r="Q92" s="579"/>
      <c r="R92" s="579"/>
      <c r="S92" s="579"/>
      <c r="T92" s="579"/>
      <c r="U92" s="580"/>
      <c r="V92" s="580"/>
      <c r="W92" s="579"/>
      <c r="X92" s="579"/>
      <c r="Y92" s="579"/>
      <c r="Z92" s="579"/>
      <c r="AA92" s="579"/>
      <c r="AB92" s="579"/>
      <c r="AC92" s="580"/>
      <c r="AD92" s="580"/>
      <c r="AE92" s="579"/>
      <c r="AF92" s="579"/>
      <c r="AG92" s="579"/>
      <c r="AH92" s="579"/>
      <c r="AI92" s="579"/>
      <c r="AJ92" s="579"/>
      <c r="AK92" s="579"/>
      <c r="AL92" s="580"/>
      <c r="AM92" s="580"/>
      <c r="AN92" s="579"/>
      <c r="AO92" s="579"/>
      <c r="AP92" s="579"/>
      <c r="AQ92" s="579"/>
      <c r="AR92" s="579"/>
      <c r="AS92" s="579"/>
      <c r="AT92" s="580"/>
      <c r="AU92" s="580"/>
      <c r="AV92" s="581" t="e">
        <f t="shared" si="470"/>
        <v>#DIV/0!</v>
      </c>
      <c r="AW92" s="581" t="e">
        <f>IF($AY$32,'Data Sheet'!AA113,0)</f>
        <v>#DIV/0!</v>
      </c>
      <c r="AX92" s="581">
        <f t="shared" si="472"/>
        <v>40.704999999999998</v>
      </c>
      <c r="AY92" s="579"/>
      <c r="AZ92" s="579"/>
      <c r="BA92" s="579"/>
      <c r="BB92" s="579"/>
      <c r="BC92" s="579"/>
      <c r="BD92" s="579"/>
      <c r="BE92" s="579"/>
      <c r="BF92" s="579"/>
      <c r="BG92" s="379"/>
      <c r="BH92" s="379"/>
      <c r="BI92" s="379"/>
      <c r="BJ92" s="379"/>
      <c r="BK92" s="379"/>
      <c r="BL92" s="379"/>
      <c r="BM92" s="379"/>
      <c r="BN92" s="379"/>
      <c r="BO92" s="379"/>
      <c r="BP92" s="379"/>
      <c r="BQ92" s="379"/>
      <c r="BR92" s="379"/>
      <c r="BS92" s="379"/>
      <c r="BT92" s="379"/>
      <c r="BU92" s="379"/>
      <c r="BV92" s="379"/>
      <c r="BW92" s="379"/>
      <c r="BX92" s="379"/>
      <c r="BY92" s="379"/>
      <c r="BZ92" s="379"/>
      <c r="CA92" s="379"/>
      <c r="CB92" s="379"/>
      <c r="CC92" s="379"/>
      <c r="CD92" s="379"/>
      <c r="CE92" s="379"/>
      <c r="CF92" s="379"/>
      <c r="CG92" s="379"/>
      <c r="CH92" s="77"/>
      <c r="CI92" s="77"/>
      <c r="CJ92" s="380"/>
      <c r="CK92" s="380"/>
      <c r="CL92" s="381"/>
      <c r="CM92" s="381"/>
      <c r="CN92" s="381"/>
      <c r="CO92" s="694" t="str">
        <f ca="1"/>
        <v>S427T 1S</v>
      </c>
      <c r="CP92" s="632" t="str">
        <f>IF(OR(CQ92=0,CR92="",CS92&gt;120),"",IF(HLOOKUP(CQ92,Spec_Sheet!$F$3:$ED$19,17,FALSE)&lt;$AC$46,"",CQ92))</f>
        <v>S350T</v>
      </c>
      <c r="CQ92" s="660" t="str">
        <f>IF(Spec_Sheet!A91="","",Spec_Sheet!A91)</f>
        <v>S350T</v>
      </c>
      <c r="CR92" s="660">
        <f>IF(CQ92="",0,HLOOKUP(CQ92,Spec_Sheet!$F$3:$ED$19,2,FALSE))</f>
        <v>148</v>
      </c>
      <c r="CS92" s="660">
        <f t="shared" si="461"/>
        <v>3.4270126922168628E-4</v>
      </c>
      <c r="CT92" s="621">
        <f t="shared" si="310"/>
        <v>4.1108610298927879E-4</v>
      </c>
      <c r="CU92" s="621">
        <f t="shared" si="316"/>
        <v>3.4270126922168628E-4</v>
      </c>
      <c r="CV92" s="621">
        <f t="shared" si="311"/>
        <v>7.4679346875746106E-4</v>
      </c>
      <c r="CW92" s="621">
        <f t="shared" si="312"/>
        <v>6.5354142271074423E-4</v>
      </c>
      <c r="CX92" s="621">
        <f t="shared" si="456"/>
        <v>3.934070692595887E-4</v>
      </c>
      <c r="CY92" s="619">
        <f>HLOOKUP(CQ92,Spec_Sheet!$F$3:$ED$19,13,FALSE)</f>
        <v>1.9</v>
      </c>
      <c r="CZ92" s="619">
        <f>VLOOKUP(HH92,'Shaft Weight'!$A$6:$CD$102,HJ92,TRUE)</f>
        <v>2.7</v>
      </c>
      <c r="DA92" s="619">
        <f>VLOOKUP(HI92,'Shaft Weight'!$A$6:$CD$102,HJ92,0)</f>
        <v>4.0999999999999996</v>
      </c>
      <c r="DB92" s="619">
        <f>HLOOKUP(CQ92,Spec_Sheet!$F$3:$ED$19,6,FALSE)</f>
        <v>98.67</v>
      </c>
      <c r="DC92" s="439">
        <f t="shared" si="317"/>
        <v>2.9462999999999999</v>
      </c>
      <c r="DD92" s="440">
        <f t="shared" si="318"/>
        <v>2.2563</v>
      </c>
      <c r="DE92" s="439">
        <f t="shared" si="319"/>
        <v>-1.5663</v>
      </c>
      <c r="DF92" s="439">
        <f t="shared" si="320"/>
        <v>0</v>
      </c>
      <c r="DG92" s="439">
        <f t="shared" si="321"/>
        <v>0</v>
      </c>
      <c r="DH92" s="439">
        <f t="shared" si="322"/>
        <v>0</v>
      </c>
      <c r="DI92" s="439">
        <f t="shared" si="323"/>
        <v>0</v>
      </c>
      <c r="DJ92" s="439">
        <f t="shared" si="324"/>
        <v>0</v>
      </c>
      <c r="DK92" s="439">
        <f t="shared" si="325"/>
        <v>0</v>
      </c>
      <c r="DL92" s="439">
        <f t="shared" si="326"/>
        <v>0</v>
      </c>
      <c r="DM92" s="439">
        <f t="shared" si="327"/>
        <v>0</v>
      </c>
      <c r="DN92" s="439">
        <f t="shared" si="328"/>
        <v>0</v>
      </c>
      <c r="DO92" s="439">
        <f t="shared" si="329"/>
        <v>0</v>
      </c>
      <c r="DP92" s="439">
        <f t="shared" si="330"/>
        <v>0</v>
      </c>
      <c r="DQ92" s="442">
        <f t="shared" si="331"/>
        <v>0</v>
      </c>
      <c r="DR92" s="442">
        <f t="shared" si="332"/>
        <v>0</v>
      </c>
      <c r="DS92" s="439">
        <f t="shared" si="333"/>
        <v>0</v>
      </c>
      <c r="DT92" s="439">
        <f t="shared" si="334"/>
        <v>0</v>
      </c>
      <c r="DU92" s="661">
        <f t="shared" si="335"/>
        <v>0</v>
      </c>
      <c r="DV92" s="661">
        <f t="shared" si="336"/>
        <v>0</v>
      </c>
      <c r="DW92" s="439">
        <f t="shared" si="337"/>
        <v>0</v>
      </c>
      <c r="DX92" s="439">
        <f t="shared" si="338"/>
        <v>0</v>
      </c>
      <c r="DY92" s="439">
        <f t="shared" si="339"/>
        <v>0</v>
      </c>
      <c r="DZ92" s="439">
        <f t="shared" si="340"/>
        <v>0</v>
      </c>
      <c r="EA92" s="631" t="s">
        <v>92</v>
      </c>
      <c r="EB92" s="631">
        <f t="shared" si="451"/>
        <v>0.30007382424792012</v>
      </c>
      <c r="ED92" s="439">
        <f t="shared" si="341"/>
        <v>7.429800000000002</v>
      </c>
      <c r="EE92" s="440">
        <f t="shared" si="342"/>
        <v>5.6898000000000017</v>
      </c>
      <c r="EF92" s="439">
        <f t="shared" si="343"/>
        <v>-3.9498000000000015</v>
      </c>
      <c r="EG92" s="441">
        <f t="shared" si="344"/>
        <v>0</v>
      </c>
      <c r="EH92" s="439">
        <f t="shared" si="345"/>
        <v>0</v>
      </c>
      <c r="EI92" s="439">
        <f t="shared" si="346"/>
        <v>0</v>
      </c>
      <c r="EJ92" s="439">
        <f t="shared" si="347"/>
        <v>0</v>
      </c>
      <c r="EK92" s="439">
        <f t="shared" si="348"/>
        <v>0</v>
      </c>
      <c r="EL92" s="439">
        <f t="shared" si="349"/>
        <v>0</v>
      </c>
      <c r="EM92" s="439">
        <f t="shared" si="350"/>
        <v>0</v>
      </c>
      <c r="EN92" s="439">
        <f t="shared" si="351"/>
        <v>0</v>
      </c>
      <c r="EO92" s="439">
        <f t="shared" si="352"/>
        <v>0</v>
      </c>
      <c r="EP92" s="439">
        <f t="shared" si="353"/>
        <v>0</v>
      </c>
      <c r="EQ92" s="439">
        <f t="shared" si="354"/>
        <v>0</v>
      </c>
      <c r="ER92" s="442">
        <f t="shared" si="355"/>
        <v>0</v>
      </c>
      <c r="ES92" s="442">
        <f t="shared" si="356"/>
        <v>0</v>
      </c>
      <c r="ET92" s="439">
        <f t="shared" si="357"/>
        <v>0</v>
      </c>
      <c r="EU92" s="439">
        <f t="shared" si="358"/>
        <v>0</v>
      </c>
      <c r="EV92" s="661">
        <f t="shared" si="359"/>
        <v>0</v>
      </c>
      <c r="EW92" s="661">
        <f t="shared" si="360"/>
        <v>0</v>
      </c>
      <c r="EX92" s="439">
        <f t="shared" si="361"/>
        <v>0</v>
      </c>
      <c r="EY92" s="439">
        <f t="shared" si="362"/>
        <v>0</v>
      </c>
      <c r="EZ92" s="439">
        <f t="shared" si="363"/>
        <v>0</v>
      </c>
      <c r="FA92" s="439">
        <f t="shared" si="364"/>
        <v>0</v>
      </c>
      <c r="FB92" s="631" t="s">
        <v>92</v>
      </c>
      <c r="FC92" s="631">
        <f t="shared" si="452"/>
        <v>0.75670790462519011</v>
      </c>
      <c r="FE92" s="439">
        <f t="shared" si="365"/>
        <v>3.9710999999999999</v>
      </c>
      <c r="FF92" s="440">
        <f t="shared" si="366"/>
        <v>3.0411000000000001</v>
      </c>
      <c r="FG92" s="439">
        <f t="shared" si="367"/>
        <v>-2.1111000000000004</v>
      </c>
      <c r="FH92" s="441">
        <f t="shared" si="368"/>
        <v>0</v>
      </c>
      <c r="FI92" s="439">
        <f t="shared" si="369"/>
        <v>0</v>
      </c>
      <c r="FJ92" s="439">
        <f t="shared" si="370"/>
        <v>0</v>
      </c>
      <c r="FK92" s="439">
        <f t="shared" si="371"/>
        <v>0</v>
      </c>
      <c r="FL92" s="439">
        <f t="shared" si="372"/>
        <v>0</v>
      </c>
      <c r="FM92" s="439">
        <f t="shared" si="373"/>
        <v>0</v>
      </c>
      <c r="FN92" s="439">
        <f t="shared" si="374"/>
        <v>0</v>
      </c>
      <c r="FO92" s="439">
        <f t="shared" si="375"/>
        <v>0</v>
      </c>
      <c r="FP92" s="439">
        <f t="shared" si="376"/>
        <v>0</v>
      </c>
      <c r="FQ92" s="439">
        <f t="shared" si="377"/>
        <v>0</v>
      </c>
      <c r="FR92" s="439">
        <f t="shared" si="378"/>
        <v>0</v>
      </c>
      <c r="FS92" s="442">
        <f t="shared" si="379"/>
        <v>0</v>
      </c>
      <c r="FT92" s="442">
        <f t="shared" si="380"/>
        <v>0</v>
      </c>
      <c r="FU92" s="439">
        <f t="shared" si="381"/>
        <v>0</v>
      </c>
      <c r="FV92" s="439">
        <f t="shared" si="382"/>
        <v>0</v>
      </c>
      <c r="FW92" s="661">
        <f t="shared" si="383"/>
        <v>0</v>
      </c>
      <c r="FX92" s="661">
        <f t="shared" si="384"/>
        <v>0</v>
      </c>
      <c r="FY92" s="439">
        <f t="shared" si="385"/>
        <v>0</v>
      </c>
      <c r="FZ92" s="439">
        <f t="shared" si="386"/>
        <v>0</v>
      </c>
      <c r="GA92" s="439">
        <f t="shared" si="387"/>
        <v>0</v>
      </c>
      <c r="GB92" s="439">
        <f t="shared" si="388"/>
        <v>0</v>
      </c>
      <c r="GC92" s="631" t="s">
        <v>92</v>
      </c>
      <c r="GD92" s="631">
        <f t="shared" si="453"/>
        <v>0.4044473283341532</v>
      </c>
      <c r="GF92" s="439">
        <f t="shared" si="389"/>
        <v>5.7645</v>
      </c>
      <c r="GG92" s="440">
        <f t="shared" si="390"/>
        <v>4.4145000000000003</v>
      </c>
      <c r="GH92" s="439">
        <f t="shared" si="391"/>
        <v>-3.0645000000000007</v>
      </c>
      <c r="GI92" s="439">
        <f t="shared" si="392"/>
        <v>0</v>
      </c>
      <c r="GJ92" s="439">
        <f t="shared" si="393"/>
        <v>0</v>
      </c>
      <c r="GK92" s="439">
        <f t="shared" si="394"/>
        <v>0</v>
      </c>
      <c r="GL92" s="439">
        <f t="shared" si="395"/>
        <v>0</v>
      </c>
      <c r="GM92" s="439">
        <f t="shared" si="396"/>
        <v>0</v>
      </c>
      <c r="GN92" s="439">
        <f t="shared" si="397"/>
        <v>0</v>
      </c>
      <c r="GO92" s="439">
        <f t="shared" si="398"/>
        <v>0</v>
      </c>
      <c r="GP92" s="439">
        <f t="shared" si="399"/>
        <v>0</v>
      </c>
      <c r="GQ92" s="439">
        <f t="shared" si="400"/>
        <v>0</v>
      </c>
      <c r="GR92" s="439">
        <f t="shared" si="401"/>
        <v>0</v>
      </c>
      <c r="GS92" s="439">
        <f t="shared" si="402"/>
        <v>0</v>
      </c>
      <c r="GT92" s="442">
        <f t="shared" si="403"/>
        <v>0</v>
      </c>
      <c r="GU92" s="442">
        <f t="shared" si="404"/>
        <v>0</v>
      </c>
      <c r="GV92" s="439">
        <f t="shared" si="405"/>
        <v>0</v>
      </c>
      <c r="GW92" s="439">
        <f t="shared" si="406"/>
        <v>0</v>
      </c>
      <c r="GX92" s="661">
        <f t="shared" si="407"/>
        <v>0</v>
      </c>
      <c r="GY92" s="661">
        <f t="shared" si="408"/>
        <v>0</v>
      </c>
      <c r="GZ92" s="439">
        <f t="shared" si="409"/>
        <v>0</v>
      </c>
      <c r="HA92" s="439">
        <f t="shared" si="410"/>
        <v>0</v>
      </c>
      <c r="HB92" s="439">
        <f t="shared" si="411"/>
        <v>0</v>
      </c>
      <c r="HC92" s="439">
        <f t="shared" si="412"/>
        <v>0</v>
      </c>
      <c r="HD92" s="631" t="s">
        <v>92</v>
      </c>
      <c r="HE92" s="631">
        <f t="shared" si="306"/>
        <v>0.58710096048506111</v>
      </c>
      <c r="HG92" s="618">
        <f>HLOOKUP(CQ92,Spec_Sheet!$F$3:$DV$19,11,FALSE)+HLOOKUP(CQ92,Spec_Sheet!$F$3:$DV$21,19,FALSE)</f>
        <v>240</v>
      </c>
      <c r="HH92" s="618">
        <f t="shared" si="454"/>
        <v>100</v>
      </c>
      <c r="HI92" s="634">
        <f t="shared" si="455"/>
        <v>300</v>
      </c>
      <c r="HJ92" s="634">
        <f>HLOOKUP(IF(LEN(CQ92)&gt;6,LEFT(CQ92,5),CQ92),'LSM List Pricing'!$B$1:$BW$2,2,0)</f>
        <v>56</v>
      </c>
      <c r="HK92" s="634">
        <f>HLOOKUP(HJ92,'LSM List Pricing'!$B$2:$BW$3,2)</f>
        <v>610</v>
      </c>
      <c r="HL92" s="634">
        <f>VLOOKUP(HH92,'LSM List Pricing'!$A$7:$BW$87,HJ92,0)</f>
        <v>1130</v>
      </c>
      <c r="HM92" s="627">
        <f>VLOOKUP(HI92,'LSM List Pricing'!$A$7:$BW$87,HJ92,1)</f>
        <v>1570</v>
      </c>
      <c r="HN92" s="628">
        <f t="shared" si="307"/>
        <v>4.4615384615384617</v>
      </c>
      <c r="HO92" s="628">
        <f t="shared" si="308"/>
        <v>8.9230769230769234</v>
      </c>
      <c r="HP92" s="628">
        <f t="shared" si="309"/>
        <v>7.1538461538461542</v>
      </c>
      <c r="HR92" s="618">
        <v>4.4499999999999998E-2</v>
      </c>
      <c r="HS92" s="618">
        <f t="shared" si="457"/>
        <v>298.78571428571428</v>
      </c>
      <c r="HT92" s="618">
        <f t="shared" si="458"/>
        <v>1</v>
      </c>
      <c r="HU92" s="618">
        <f t="shared" si="466"/>
        <v>1.1333151374443662</v>
      </c>
      <c r="HW92" s="618">
        <f t="shared" si="413"/>
        <v>34.390692504828998</v>
      </c>
      <c r="HX92" s="618">
        <f t="shared" si="467"/>
        <v>1.1076992270707109</v>
      </c>
      <c r="HY92" s="618">
        <f t="shared" si="468"/>
        <v>4.4499999999999998E-2</v>
      </c>
      <c r="IB92" s="618">
        <f t="shared" si="414"/>
        <v>25.000350341399081</v>
      </c>
      <c r="IC92" s="618">
        <f t="shared" si="415"/>
        <v>1E-3</v>
      </c>
      <c r="IE92" s="618">
        <f t="shared" si="416"/>
        <v>0</v>
      </c>
      <c r="IF92" s="618">
        <f t="shared" si="417"/>
        <v>40.704999999999998</v>
      </c>
      <c r="IH92" s="618">
        <f t="shared" si="418"/>
        <v>0</v>
      </c>
      <c r="II92" s="618">
        <f t="shared" si="419"/>
        <v>40.704999999999998</v>
      </c>
      <c r="IK92" s="618">
        <f t="shared" si="420"/>
        <v>0</v>
      </c>
      <c r="IL92" s="618">
        <f t="shared" si="421"/>
        <v>40.704999999999998</v>
      </c>
      <c r="IN92" s="618">
        <f t="shared" si="422"/>
        <v>0</v>
      </c>
      <c r="IO92" s="618">
        <f t="shared" si="423"/>
        <v>40.704999999999998</v>
      </c>
      <c r="IQ92" s="618">
        <f t="shared" si="424"/>
        <v>0</v>
      </c>
      <c r="IR92" s="618">
        <f t="shared" si="425"/>
        <v>40.704999999999998</v>
      </c>
      <c r="IT92" s="660" t="str">
        <f t="shared" si="426"/>
        <v>S350T</v>
      </c>
      <c r="IU92" s="628"/>
      <c r="IV92" s="439">
        <f t="shared" si="427"/>
        <v>5.3802000000000003</v>
      </c>
      <c r="IW92" s="440">
        <f t="shared" si="428"/>
        <v>4.1202000000000005</v>
      </c>
      <c r="IX92" s="439">
        <f t="shared" si="429"/>
        <v>-2.8602000000000007</v>
      </c>
      <c r="IY92" s="439">
        <f t="shared" si="430"/>
        <v>0</v>
      </c>
      <c r="IZ92" s="439">
        <f t="shared" si="431"/>
        <v>0</v>
      </c>
      <c r="JA92" s="439">
        <f t="shared" si="432"/>
        <v>0</v>
      </c>
      <c r="JB92" s="439">
        <f t="shared" si="433"/>
        <v>0</v>
      </c>
      <c r="JC92" s="439">
        <f t="shared" si="434"/>
        <v>0</v>
      </c>
      <c r="JD92" s="439">
        <f t="shared" si="435"/>
        <v>0</v>
      </c>
      <c r="JE92" s="439">
        <f t="shared" si="436"/>
        <v>0</v>
      </c>
      <c r="JF92" s="439">
        <f t="shared" si="437"/>
        <v>0</v>
      </c>
      <c r="JG92" s="439">
        <f t="shared" si="438"/>
        <v>0</v>
      </c>
      <c r="JH92" s="439">
        <f t="shared" si="439"/>
        <v>0</v>
      </c>
      <c r="JI92" s="439">
        <f t="shared" si="440"/>
        <v>0</v>
      </c>
      <c r="JJ92" s="442">
        <f t="shared" si="441"/>
        <v>0</v>
      </c>
      <c r="JK92" s="442">
        <f t="shared" si="442"/>
        <v>0</v>
      </c>
      <c r="JL92" s="439">
        <f t="shared" si="443"/>
        <v>0</v>
      </c>
      <c r="JM92" s="439">
        <f t="shared" si="444"/>
        <v>0</v>
      </c>
      <c r="JN92" s="661">
        <f t="shared" si="445"/>
        <v>0</v>
      </c>
      <c r="JO92" s="661">
        <f t="shared" si="446"/>
        <v>0</v>
      </c>
      <c r="JP92" s="439">
        <f t="shared" si="447"/>
        <v>0</v>
      </c>
      <c r="JQ92" s="439">
        <f t="shared" si="448"/>
        <v>0</v>
      </c>
      <c r="JR92" s="439">
        <f t="shared" si="449"/>
        <v>0</v>
      </c>
      <c r="JS92" s="439">
        <f t="shared" si="450"/>
        <v>0</v>
      </c>
      <c r="JT92" s="631" t="s">
        <v>92</v>
      </c>
      <c r="JU92" s="631">
        <f t="shared" si="459"/>
        <v>0.54796089645272383</v>
      </c>
      <c r="JW92" s="522"/>
      <c r="JX92" s="522"/>
      <c r="JY92" s="522"/>
      <c r="JZ92" s="522"/>
      <c r="KA92" s="522"/>
      <c r="KB92" s="522"/>
      <c r="KC92" s="522"/>
      <c r="KD92" s="522"/>
      <c r="KE92" s="522"/>
      <c r="KF92" s="522"/>
      <c r="KG92" s="522"/>
      <c r="KH92" s="522"/>
      <c r="KI92" s="522"/>
      <c r="KJ92" s="522"/>
      <c r="KK92" s="522"/>
      <c r="KL92" s="522"/>
    </row>
    <row r="93" spans="1:298">
      <c r="A93" s="77"/>
      <c r="B93" s="579">
        <v>10</v>
      </c>
      <c r="C93" s="579"/>
      <c r="D93" s="579">
        <f>IF($B93&lt;$C$77,(D$81*((D$76*$B93)^2))/(2*D$77),IF($B93&gt;($C$77+$C$78),D$80-D83,D$81*((D$77/2)+(($B93*D$76)-D$77))))</f>
        <v>24</v>
      </c>
      <c r="E93" s="579">
        <f t="shared" ref="E93:O93" si="480">IF($B93&lt;$C$77,(E$81*((E$76*$B93)^2))/(2*E$77),IF($B93&gt;($C$77+$C$78),E$80-E83,E$81*((E$77/2)+(($B93*E$76)-E$77))))</f>
        <v>24</v>
      </c>
      <c r="F93" s="579" t="e">
        <f t="shared" si="480"/>
        <v>#DIV/0!</v>
      </c>
      <c r="G93" s="579" t="e">
        <f t="shared" si="480"/>
        <v>#DIV/0!</v>
      </c>
      <c r="H93" s="579" t="e">
        <f t="shared" si="480"/>
        <v>#DIV/0!</v>
      </c>
      <c r="I93" s="579" t="e">
        <f t="shared" si="480"/>
        <v>#DIV/0!</v>
      </c>
      <c r="J93" s="579" t="e">
        <f t="shared" si="480"/>
        <v>#DIV/0!</v>
      </c>
      <c r="K93" s="579" t="e">
        <f t="shared" si="480"/>
        <v>#DIV/0!</v>
      </c>
      <c r="L93" s="579" t="e">
        <f t="shared" si="480"/>
        <v>#DIV/0!</v>
      </c>
      <c r="M93" s="579" t="e">
        <f t="shared" si="480"/>
        <v>#DIV/0!</v>
      </c>
      <c r="N93" s="579" t="e">
        <f t="shared" si="480"/>
        <v>#DIV/0!</v>
      </c>
      <c r="O93" s="579" t="e">
        <f t="shared" si="480"/>
        <v>#DIV/0!</v>
      </c>
      <c r="P93" s="579"/>
      <c r="Q93" s="579"/>
      <c r="R93" s="579"/>
      <c r="S93" s="579"/>
      <c r="T93" s="579"/>
      <c r="U93" s="580"/>
      <c r="V93" s="580"/>
      <c r="W93" s="579"/>
      <c r="X93" s="579"/>
      <c r="Y93" s="579"/>
      <c r="Z93" s="579"/>
      <c r="AA93" s="579"/>
      <c r="AB93" s="579"/>
      <c r="AC93" s="580"/>
      <c r="AD93" s="580"/>
      <c r="AE93" s="579"/>
      <c r="AF93" s="579"/>
      <c r="AG93" s="579"/>
      <c r="AH93" s="579"/>
      <c r="AI93" s="579"/>
      <c r="AJ93" s="579"/>
      <c r="AK93" s="579"/>
      <c r="AL93" s="580"/>
      <c r="AM93" s="580"/>
      <c r="AN93" s="579"/>
      <c r="AO93" s="579"/>
      <c r="AP93" s="579"/>
      <c r="AQ93" s="579"/>
      <c r="AR93" s="579"/>
      <c r="AS93" s="579"/>
      <c r="AT93" s="580"/>
      <c r="AU93" s="580"/>
      <c r="AV93" s="581" t="e">
        <f t="shared" si="470"/>
        <v>#DIV/0!</v>
      </c>
      <c r="AW93" s="581" t="e">
        <f>IF($AY$32,'Data Sheet'!AA114,0)</f>
        <v>#DIV/0!</v>
      </c>
      <c r="AX93" s="581">
        <f t="shared" si="472"/>
        <v>40.704999999999998</v>
      </c>
      <c r="AY93" s="579"/>
      <c r="AZ93" s="579"/>
      <c r="BA93" s="579"/>
      <c r="BB93" s="579"/>
      <c r="BC93" s="579"/>
      <c r="BD93" s="579"/>
      <c r="BE93" s="579"/>
      <c r="BF93" s="579"/>
      <c r="BG93" s="379"/>
      <c r="BH93" s="379"/>
      <c r="BI93" s="379"/>
      <c r="BJ93" s="379"/>
      <c r="BK93" s="379"/>
      <c r="BL93" s="379"/>
      <c r="BM93" s="379"/>
      <c r="BN93" s="379"/>
      <c r="BO93" s="379"/>
      <c r="BP93" s="379"/>
      <c r="BQ93" s="379"/>
      <c r="BR93" s="379"/>
      <c r="BS93" s="379"/>
      <c r="BT93" s="379"/>
      <c r="BU93" s="379"/>
      <c r="BV93" s="379"/>
      <c r="BW93" s="379"/>
      <c r="BX93" s="379"/>
      <c r="BY93" s="379"/>
      <c r="BZ93" s="379"/>
      <c r="CA93" s="379"/>
      <c r="CB93" s="379"/>
      <c r="CC93" s="379"/>
      <c r="CD93" s="379"/>
      <c r="CE93" s="379"/>
      <c r="CF93" s="379"/>
      <c r="CG93" s="379"/>
      <c r="CH93" s="77"/>
      <c r="CI93" s="77"/>
      <c r="CJ93" s="380"/>
      <c r="CK93" s="380"/>
      <c r="CL93" s="381"/>
      <c r="CM93" s="381"/>
      <c r="CN93" s="445"/>
      <c r="CO93" s="694" t="str">
        <f ca="1"/>
        <v>L320H</v>
      </c>
      <c r="CP93" s="632" t="str">
        <f>IF(OR(CQ93=0,CR93="",CS93&gt;120),"",IF(HLOOKUP(CQ93,Spec_Sheet!$F$3:$ED$19,17,FALSE)&lt;$AC$46,"",CQ93))</f>
        <v>S350T 1S</v>
      </c>
      <c r="CQ93" s="660" t="str">
        <f>IF(Spec_Sheet!A92="","",Spec_Sheet!A92)</f>
        <v>S350T 1S</v>
      </c>
      <c r="CR93" s="660">
        <f>IF(CQ93="",0,HLOOKUP(CQ93,Spec_Sheet!$F$3:$ED$19,2,FALSE))</f>
        <v>148.005</v>
      </c>
      <c r="CS93" s="660">
        <f t="shared" si="461"/>
        <v>3.4267811490389007E-4</v>
      </c>
      <c r="CT93" s="621">
        <f t="shared" si="310"/>
        <v>4.110583283087476E-4</v>
      </c>
      <c r="CU93" s="621">
        <f t="shared" si="316"/>
        <v>3.4267811490389007E-4</v>
      </c>
      <c r="CV93" s="621">
        <f t="shared" si="311"/>
        <v>7.4674301229623154E-4</v>
      </c>
      <c r="CW93" s="621">
        <f t="shared" si="312"/>
        <v>6.5349726674415309E-4</v>
      </c>
      <c r="CX93" s="621">
        <f t="shared" si="456"/>
        <v>3.933804890478327E-4</v>
      </c>
      <c r="CY93" s="619">
        <f>HLOOKUP(CQ93,Spec_Sheet!$F$3:$ED$19,13,FALSE)</f>
        <v>1.9</v>
      </c>
      <c r="CZ93" s="619">
        <f>VLOOKUP(HH93,'Shaft Weight'!$A$6:$CD$102,HJ93,TRUE)</f>
        <v>2.7</v>
      </c>
      <c r="DA93" s="619">
        <f>VLOOKUP(HI93,'Shaft Weight'!$A$6:$CD$102,HJ93,0)</f>
        <v>4.0999999999999996</v>
      </c>
      <c r="DB93" s="619">
        <f>HLOOKUP(CQ93,Spec_Sheet!$F$3:$ED$19,6,FALSE)</f>
        <v>32.89</v>
      </c>
      <c r="DC93" s="439">
        <f t="shared" si="317"/>
        <v>2.9462999999999999</v>
      </c>
      <c r="DD93" s="440">
        <f t="shared" si="318"/>
        <v>2.2563</v>
      </c>
      <c r="DE93" s="439">
        <f t="shared" si="319"/>
        <v>-1.5663</v>
      </c>
      <c r="DF93" s="439">
        <f t="shared" si="320"/>
        <v>0</v>
      </c>
      <c r="DG93" s="439">
        <f t="shared" si="321"/>
        <v>0</v>
      </c>
      <c r="DH93" s="439">
        <f t="shared" si="322"/>
        <v>0</v>
      </c>
      <c r="DI93" s="439">
        <f t="shared" si="323"/>
        <v>0</v>
      </c>
      <c r="DJ93" s="439">
        <f t="shared" si="324"/>
        <v>0</v>
      </c>
      <c r="DK93" s="439">
        <f t="shared" si="325"/>
        <v>0</v>
      </c>
      <c r="DL93" s="439">
        <f t="shared" si="326"/>
        <v>0</v>
      </c>
      <c r="DM93" s="439">
        <f t="shared" si="327"/>
        <v>0</v>
      </c>
      <c r="DN93" s="439">
        <f t="shared" si="328"/>
        <v>0</v>
      </c>
      <c r="DO93" s="439">
        <f t="shared" si="329"/>
        <v>0</v>
      </c>
      <c r="DP93" s="439">
        <f t="shared" si="330"/>
        <v>0</v>
      </c>
      <c r="DQ93" s="442">
        <f t="shared" si="331"/>
        <v>0</v>
      </c>
      <c r="DR93" s="442">
        <f t="shared" si="332"/>
        <v>0</v>
      </c>
      <c r="DS93" s="439">
        <f t="shared" si="333"/>
        <v>0</v>
      </c>
      <c r="DT93" s="439">
        <f t="shared" si="334"/>
        <v>0</v>
      </c>
      <c r="DU93" s="661">
        <f t="shared" si="335"/>
        <v>0</v>
      </c>
      <c r="DV93" s="661">
        <f t="shared" si="336"/>
        <v>0</v>
      </c>
      <c r="DW93" s="439">
        <f t="shared" si="337"/>
        <v>0</v>
      </c>
      <c r="DX93" s="439">
        <f t="shared" si="338"/>
        <v>0</v>
      </c>
      <c r="DY93" s="439">
        <f t="shared" si="339"/>
        <v>0</v>
      </c>
      <c r="DZ93" s="439">
        <f t="shared" si="340"/>
        <v>0</v>
      </c>
      <c r="EA93" s="631" t="s">
        <v>92</v>
      </c>
      <c r="EB93" s="631">
        <f t="shared" si="451"/>
        <v>0.30007382424792012</v>
      </c>
      <c r="ED93" s="439">
        <f t="shared" si="341"/>
        <v>7.429800000000002</v>
      </c>
      <c r="EE93" s="440">
        <f t="shared" si="342"/>
        <v>5.6898000000000017</v>
      </c>
      <c r="EF93" s="439">
        <f t="shared" si="343"/>
        <v>-3.9498000000000015</v>
      </c>
      <c r="EG93" s="441">
        <f t="shared" si="344"/>
        <v>0</v>
      </c>
      <c r="EH93" s="439">
        <f t="shared" si="345"/>
        <v>0</v>
      </c>
      <c r="EI93" s="439">
        <f t="shared" si="346"/>
        <v>0</v>
      </c>
      <c r="EJ93" s="439">
        <f t="shared" si="347"/>
        <v>0</v>
      </c>
      <c r="EK93" s="439">
        <f t="shared" si="348"/>
        <v>0</v>
      </c>
      <c r="EL93" s="439">
        <f t="shared" si="349"/>
        <v>0</v>
      </c>
      <c r="EM93" s="439">
        <f t="shared" si="350"/>
        <v>0</v>
      </c>
      <c r="EN93" s="439">
        <f t="shared" si="351"/>
        <v>0</v>
      </c>
      <c r="EO93" s="439">
        <f t="shared" si="352"/>
        <v>0</v>
      </c>
      <c r="EP93" s="439">
        <f t="shared" si="353"/>
        <v>0</v>
      </c>
      <c r="EQ93" s="439">
        <f t="shared" si="354"/>
        <v>0</v>
      </c>
      <c r="ER93" s="442">
        <f t="shared" si="355"/>
        <v>0</v>
      </c>
      <c r="ES93" s="442">
        <f t="shared" si="356"/>
        <v>0</v>
      </c>
      <c r="ET93" s="439">
        <f t="shared" si="357"/>
        <v>0</v>
      </c>
      <c r="EU93" s="439">
        <f t="shared" si="358"/>
        <v>0</v>
      </c>
      <c r="EV93" s="661">
        <f t="shared" si="359"/>
        <v>0</v>
      </c>
      <c r="EW93" s="661">
        <f t="shared" si="360"/>
        <v>0</v>
      </c>
      <c r="EX93" s="439">
        <f t="shared" si="361"/>
        <v>0</v>
      </c>
      <c r="EY93" s="439">
        <f t="shared" si="362"/>
        <v>0</v>
      </c>
      <c r="EZ93" s="439">
        <f t="shared" si="363"/>
        <v>0</v>
      </c>
      <c r="FA93" s="439">
        <f t="shared" si="364"/>
        <v>0</v>
      </c>
      <c r="FB93" s="631" t="s">
        <v>92</v>
      </c>
      <c r="FC93" s="631">
        <f t="shared" si="452"/>
        <v>0.75670790462519011</v>
      </c>
      <c r="FE93" s="439">
        <f t="shared" si="365"/>
        <v>3.9710999999999999</v>
      </c>
      <c r="FF93" s="440">
        <f t="shared" si="366"/>
        <v>3.0411000000000001</v>
      </c>
      <c r="FG93" s="439">
        <f t="shared" si="367"/>
        <v>-2.1111000000000004</v>
      </c>
      <c r="FH93" s="441">
        <f t="shared" si="368"/>
        <v>0</v>
      </c>
      <c r="FI93" s="439">
        <f t="shared" si="369"/>
        <v>0</v>
      </c>
      <c r="FJ93" s="439">
        <f t="shared" si="370"/>
        <v>0</v>
      </c>
      <c r="FK93" s="439">
        <f t="shared" si="371"/>
        <v>0</v>
      </c>
      <c r="FL93" s="439">
        <f t="shared" si="372"/>
        <v>0</v>
      </c>
      <c r="FM93" s="439">
        <f t="shared" si="373"/>
        <v>0</v>
      </c>
      <c r="FN93" s="439">
        <f t="shared" si="374"/>
        <v>0</v>
      </c>
      <c r="FO93" s="439">
        <f t="shared" si="375"/>
        <v>0</v>
      </c>
      <c r="FP93" s="439">
        <f t="shared" si="376"/>
        <v>0</v>
      </c>
      <c r="FQ93" s="439">
        <f t="shared" si="377"/>
        <v>0</v>
      </c>
      <c r="FR93" s="439">
        <f t="shared" si="378"/>
        <v>0</v>
      </c>
      <c r="FS93" s="442">
        <f t="shared" si="379"/>
        <v>0</v>
      </c>
      <c r="FT93" s="442">
        <f t="shared" si="380"/>
        <v>0</v>
      </c>
      <c r="FU93" s="439">
        <f t="shared" si="381"/>
        <v>0</v>
      </c>
      <c r="FV93" s="439">
        <f t="shared" si="382"/>
        <v>0</v>
      </c>
      <c r="FW93" s="661">
        <f t="shared" si="383"/>
        <v>0</v>
      </c>
      <c r="FX93" s="661">
        <f t="shared" si="384"/>
        <v>0</v>
      </c>
      <c r="FY93" s="439">
        <f t="shared" si="385"/>
        <v>0</v>
      </c>
      <c r="FZ93" s="439">
        <f t="shared" si="386"/>
        <v>0</v>
      </c>
      <c r="GA93" s="439">
        <f t="shared" si="387"/>
        <v>0</v>
      </c>
      <c r="GB93" s="439">
        <f t="shared" si="388"/>
        <v>0</v>
      </c>
      <c r="GC93" s="631" t="s">
        <v>92</v>
      </c>
      <c r="GD93" s="631">
        <f t="shared" si="453"/>
        <v>0.4044473283341532</v>
      </c>
      <c r="GF93" s="439">
        <f t="shared" si="389"/>
        <v>5.7645</v>
      </c>
      <c r="GG93" s="440">
        <f t="shared" si="390"/>
        <v>4.4145000000000003</v>
      </c>
      <c r="GH93" s="439">
        <f t="shared" si="391"/>
        <v>-3.0645000000000007</v>
      </c>
      <c r="GI93" s="439">
        <f t="shared" si="392"/>
        <v>0</v>
      </c>
      <c r="GJ93" s="439">
        <f t="shared" si="393"/>
        <v>0</v>
      </c>
      <c r="GK93" s="439">
        <f t="shared" si="394"/>
        <v>0</v>
      </c>
      <c r="GL93" s="439">
        <f t="shared" si="395"/>
        <v>0</v>
      </c>
      <c r="GM93" s="439">
        <f t="shared" si="396"/>
        <v>0</v>
      </c>
      <c r="GN93" s="439">
        <f t="shared" si="397"/>
        <v>0</v>
      </c>
      <c r="GO93" s="439">
        <f t="shared" si="398"/>
        <v>0</v>
      </c>
      <c r="GP93" s="439">
        <f t="shared" si="399"/>
        <v>0</v>
      </c>
      <c r="GQ93" s="439">
        <f t="shared" si="400"/>
        <v>0</v>
      </c>
      <c r="GR93" s="439">
        <f t="shared" si="401"/>
        <v>0</v>
      </c>
      <c r="GS93" s="439">
        <f t="shared" si="402"/>
        <v>0</v>
      </c>
      <c r="GT93" s="442">
        <f t="shared" si="403"/>
        <v>0</v>
      </c>
      <c r="GU93" s="442">
        <f t="shared" si="404"/>
        <v>0</v>
      </c>
      <c r="GV93" s="439">
        <f t="shared" si="405"/>
        <v>0</v>
      </c>
      <c r="GW93" s="439">
        <f t="shared" si="406"/>
        <v>0</v>
      </c>
      <c r="GX93" s="661">
        <f t="shared" si="407"/>
        <v>0</v>
      </c>
      <c r="GY93" s="661">
        <f t="shared" si="408"/>
        <v>0</v>
      </c>
      <c r="GZ93" s="439">
        <f t="shared" si="409"/>
        <v>0</v>
      </c>
      <c r="HA93" s="439">
        <f t="shared" si="410"/>
        <v>0</v>
      </c>
      <c r="HB93" s="439">
        <f t="shared" si="411"/>
        <v>0</v>
      </c>
      <c r="HC93" s="439">
        <f t="shared" si="412"/>
        <v>0</v>
      </c>
      <c r="HD93" s="631" t="s">
        <v>92</v>
      </c>
      <c r="HE93" s="631">
        <f t="shared" si="306"/>
        <v>0.58710096048506111</v>
      </c>
      <c r="HG93" s="618">
        <f>HLOOKUP(CQ93,Spec_Sheet!$F$3:$DV$19,11,FALSE)+HLOOKUP(CQ93,Spec_Sheet!$F$3:$DV$21,19,FALSE)</f>
        <v>240</v>
      </c>
      <c r="HH93" s="618">
        <f t="shared" si="454"/>
        <v>100</v>
      </c>
      <c r="HI93" s="634">
        <f t="shared" si="455"/>
        <v>300</v>
      </c>
      <c r="HJ93" s="634">
        <f>HLOOKUP(IF(LEN(CQ93)&gt;6,LEFT(CQ93,5),CQ93),'LSM List Pricing'!$B$1:$BW$2,2,0)</f>
        <v>56</v>
      </c>
      <c r="HK93" s="634">
        <f>HLOOKUP(HJ93,'LSM List Pricing'!$B$2:$BW$3,2)</f>
        <v>610</v>
      </c>
      <c r="HL93" s="634">
        <f>VLOOKUP(HH93,'LSM List Pricing'!$A$7:$BW$87,HJ93,0)</f>
        <v>1130</v>
      </c>
      <c r="HM93" s="627">
        <f>VLOOKUP(HI93,'LSM List Pricing'!$A$7:$BW$87,HJ93,1)</f>
        <v>1570</v>
      </c>
      <c r="HN93" s="628">
        <f t="shared" si="307"/>
        <v>4.4615384615384617</v>
      </c>
      <c r="HO93" s="628">
        <f t="shared" si="308"/>
        <v>8.9230769230769234</v>
      </c>
      <c r="HP93" s="628">
        <f t="shared" si="309"/>
        <v>7.1538461538461542</v>
      </c>
      <c r="HR93" s="618">
        <v>4.4999999999999998E-2</v>
      </c>
      <c r="HS93" s="618">
        <f t="shared" si="457"/>
        <v>302.14285714285711</v>
      </c>
      <c r="HT93" s="618">
        <f t="shared" si="458"/>
        <v>1</v>
      </c>
      <c r="HU93" s="618">
        <f t="shared" si="466"/>
        <v>1.146054181417991</v>
      </c>
      <c r="HW93" s="618">
        <f t="shared" si="413"/>
        <v>34.372603062386453</v>
      </c>
      <c r="HX93" s="618">
        <f t="shared" si="467"/>
        <v>1.1198623965679246</v>
      </c>
      <c r="HY93" s="618">
        <f t="shared" si="468"/>
        <v>4.4999999999999998E-2</v>
      </c>
      <c r="IB93" s="618">
        <f t="shared" si="414"/>
        <v>25.000350341399081</v>
      </c>
      <c r="IC93" s="618">
        <f t="shared" si="415"/>
        <v>1E-3</v>
      </c>
      <c r="IE93" s="618">
        <f t="shared" si="416"/>
        <v>0</v>
      </c>
      <c r="IF93" s="618">
        <f t="shared" si="417"/>
        <v>40.704999999999998</v>
      </c>
      <c r="IH93" s="618">
        <f t="shared" si="418"/>
        <v>0</v>
      </c>
      <c r="II93" s="618">
        <f t="shared" si="419"/>
        <v>40.704999999999998</v>
      </c>
      <c r="IK93" s="618">
        <f t="shared" si="420"/>
        <v>0</v>
      </c>
      <c r="IL93" s="618">
        <f t="shared" si="421"/>
        <v>40.704999999999998</v>
      </c>
      <c r="IN93" s="618">
        <f t="shared" si="422"/>
        <v>0</v>
      </c>
      <c r="IO93" s="618">
        <f t="shared" si="423"/>
        <v>40.704999999999998</v>
      </c>
      <c r="IQ93" s="618">
        <f t="shared" si="424"/>
        <v>0</v>
      </c>
      <c r="IR93" s="618">
        <f t="shared" si="425"/>
        <v>40.704999999999998</v>
      </c>
      <c r="IT93" s="660" t="str">
        <f t="shared" si="426"/>
        <v>S350T 1S</v>
      </c>
      <c r="IU93" s="628"/>
      <c r="IV93" s="439">
        <f t="shared" si="427"/>
        <v>5.3802000000000003</v>
      </c>
      <c r="IW93" s="440">
        <f t="shared" si="428"/>
        <v>4.1202000000000005</v>
      </c>
      <c r="IX93" s="439">
        <f t="shared" si="429"/>
        <v>-2.8602000000000007</v>
      </c>
      <c r="IY93" s="439">
        <f t="shared" si="430"/>
        <v>0</v>
      </c>
      <c r="IZ93" s="439">
        <f t="shared" si="431"/>
        <v>0</v>
      </c>
      <c r="JA93" s="439">
        <f t="shared" si="432"/>
        <v>0</v>
      </c>
      <c r="JB93" s="439">
        <f t="shared" si="433"/>
        <v>0</v>
      </c>
      <c r="JC93" s="439">
        <f t="shared" si="434"/>
        <v>0</v>
      </c>
      <c r="JD93" s="439">
        <f t="shared" si="435"/>
        <v>0</v>
      </c>
      <c r="JE93" s="439">
        <f t="shared" si="436"/>
        <v>0</v>
      </c>
      <c r="JF93" s="439">
        <f t="shared" si="437"/>
        <v>0</v>
      </c>
      <c r="JG93" s="439">
        <f t="shared" si="438"/>
        <v>0</v>
      </c>
      <c r="JH93" s="439">
        <f t="shared" si="439"/>
        <v>0</v>
      </c>
      <c r="JI93" s="439">
        <f t="shared" si="440"/>
        <v>0</v>
      </c>
      <c r="JJ93" s="442">
        <f t="shared" si="441"/>
        <v>0</v>
      </c>
      <c r="JK93" s="442">
        <f t="shared" si="442"/>
        <v>0</v>
      </c>
      <c r="JL93" s="439">
        <f t="shared" si="443"/>
        <v>0</v>
      </c>
      <c r="JM93" s="439">
        <f t="shared" si="444"/>
        <v>0</v>
      </c>
      <c r="JN93" s="661">
        <f t="shared" si="445"/>
        <v>0</v>
      </c>
      <c r="JO93" s="661">
        <f t="shared" si="446"/>
        <v>0</v>
      </c>
      <c r="JP93" s="439">
        <f t="shared" si="447"/>
        <v>0</v>
      </c>
      <c r="JQ93" s="439">
        <f t="shared" si="448"/>
        <v>0</v>
      </c>
      <c r="JR93" s="439">
        <f t="shared" si="449"/>
        <v>0</v>
      </c>
      <c r="JS93" s="439">
        <f t="shared" si="450"/>
        <v>0</v>
      </c>
      <c r="JT93" s="631" t="s">
        <v>92</v>
      </c>
      <c r="JU93" s="631">
        <f t="shared" si="459"/>
        <v>0.54796089645272383</v>
      </c>
      <c r="JW93" s="522"/>
      <c r="JX93" s="522"/>
      <c r="JY93" s="522"/>
      <c r="JZ93" s="522"/>
      <c r="KA93" s="522"/>
      <c r="KB93" s="522"/>
      <c r="KC93" s="522"/>
      <c r="KD93" s="522"/>
      <c r="KE93" s="522"/>
      <c r="KF93" s="522"/>
      <c r="KG93" s="522"/>
      <c r="KH93" s="522"/>
      <c r="KI93" s="522"/>
      <c r="KJ93" s="522"/>
      <c r="KK93" s="522"/>
      <c r="KL93" s="522"/>
    </row>
    <row r="94" spans="1:298">
      <c r="A94" s="77"/>
      <c r="B94" s="579"/>
      <c r="C94" s="579"/>
      <c r="D94" s="579"/>
      <c r="E94" s="579"/>
      <c r="F94" s="579"/>
      <c r="G94" s="579"/>
      <c r="H94" s="579"/>
      <c r="I94" s="579"/>
      <c r="J94" s="579"/>
      <c r="K94" s="579"/>
      <c r="L94" s="579"/>
      <c r="M94" s="579"/>
      <c r="N94" s="579"/>
      <c r="O94" s="579"/>
      <c r="P94" s="579"/>
      <c r="Q94" s="579"/>
      <c r="R94" s="579"/>
      <c r="S94" s="579"/>
      <c r="T94" s="579"/>
      <c r="U94" s="580"/>
      <c r="V94" s="580"/>
      <c r="W94" s="579"/>
      <c r="X94" s="579"/>
      <c r="Y94" s="579"/>
      <c r="Z94" s="579"/>
      <c r="AA94" s="579"/>
      <c r="AB94" s="579"/>
      <c r="AC94" s="580"/>
      <c r="AD94" s="580"/>
      <c r="AE94" s="579"/>
      <c r="AF94" s="579"/>
      <c r="AG94" s="579"/>
      <c r="AH94" s="579"/>
      <c r="AI94" s="579"/>
      <c r="AJ94" s="579"/>
      <c r="AK94" s="579"/>
      <c r="AL94" s="580"/>
      <c r="AM94" s="580"/>
      <c r="AN94" s="579"/>
      <c r="AO94" s="579"/>
      <c r="AP94" s="579"/>
      <c r="AQ94" s="579"/>
      <c r="AR94" s="579"/>
      <c r="AS94" s="579"/>
      <c r="AT94" s="580"/>
      <c r="AU94" s="580"/>
      <c r="AV94" s="581" t="str">
        <f>IF($AY$30,L32,0)</f>
        <v/>
      </c>
      <c r="AW94" s="581">
        <f>IF($AY$32,'Data Sheet'!AA115,0)</f>
        <v>0</v>
      </c>
      <c r="AX94" s="581">
        <f>L31-AY38</f>
        <v>40.704999999999998</v>
      </c>
      <c r="AY94" s="579"/>
      <c r="AZ94" s="579"/>
      <c r="BA94" s="579"/>
      <c r="BB94" s="579"/>
      <c r="BC94" s="579"/>
      <c r="BD94" s="579"/>
      <c r="BE94" s="579"/>
      <c r="BF94" s="579"/>
      <c r="BG94" s="379"/>
      <c r="BH94" s="379"/>
      <c r="BI94" s="379"/>
      <c r="BJ94" s="379"/>
      <c r="BK94" s="379"/>
      <c r="BL94" s="379"/>
      <c r="BM94" s="379"/>
      <c r="BN94" s="379"/>
      <c r="BO94" s="379"/>
      <c r="BP94" s="379"/>
      <c r="BQ94" s="379"/>
      <c r="BR94" s="379"/>
      <c r="BS94" s="379"/>
      <c r="BT94" s="379"/>
      <c r="BU94" s="379"/>
      <c r="BV94" s="379"/>
      <c r="BW94" s="379"/>
      <c r="BX94" s="379"/>
      <c r="BY94" s="379"/>
      <c r="BZ94" s="379"/>
      <c r="CA94" s="379"/>
      <c r="CB94" s="379"/>
      <c r="CC94" s="379"/>
      <c r="CD94" s="379"/>
      <c r="CE94" s="379"/>
      <c r="CF94" s="379"/>
      <c r="CG94" s="379"/>
      <c r="CH94" s="77"/>
      <c r="CI94" s="77"/>
      <c r="CJ94" s="380"/>
      <c r="CK94" s="380"/>
      <c r="CL94" s="381"/>
      <c r="CM94" s="381"/>
      <c r="CN94" s="381"/>
      <c r="CO94" s="694" t="str">
        <f ca="1"/>
        <v>L427T</v>
      </c>
      <c r="CP94" s="632" t="str">
        <f>IF(OR(CQ94=0,CR94="",CS94&gt;120),"",IF(HLOOKUP(CQ94,Spec_Sheet!$F$3:$ED$19,17,FALSE)&lt;$AC$46,"",CQ94))</f>
        <v>S427T</v>
      </c>
      <c r="CQ94" s="660" t="str">
        <f>IF(Spec_Sheet!A93="","",Spec_Sheet!A93)</f>
        <v>S427T</v>
      </c>
      <c r="CR94" s="660">
        <f>IF(CQ94="",0,HLOOKUP(CQ94,Spec_Sheet!$F$3:$ED$19,2,FALSE))</f>
        <v>149.58840329666012</v>
      </c>
      <c r="CS94" s="660">
        <f t="shared" si="461"/>
        <v>1.47268564672792E-3</v>
      </c>
      <c r="CT94" s="621">
        <f t="shared" si="310"/>
        <v>1.6096088990063418E-3</v>
      </c>
      <c r="CU94" s="621">
        <f t="shared" si="316"/>
        <v>1.47268564672792E-3</v>
      </c>
      <c r="CV94" s="621">
        <f t="shared" si="311"/>
        <v>2.0648102512059569E-3</v>
      </c>
      <c r="CW94" s="621">
        <f t="shared" si="312"/>
        <v>1.9093262913964595E-3</v>
      </c>
      <c r="CX94" s="621">
        <f t="shared" si="456"/>
        <v>1.2849562610068544E-3</v>
      </c>
      <c r="CY94" s="619">
        <f>HLOOKUP(CQ94,Spec_Sheet!$F$3:$ED$19,13,FALSE)</f>
        <v>4.2</v>
      </c>
      <c r="CZ94" s="619">
        <f>VLOOKUP(HH94,'Shaft Weight'!$A$6:$CD$102,HJ94,TRUE)</f>
        <v>4.8099999999999996</v>
      </c>
      <c r="DA94" s="619">
        <f>VLOOKUP(HI94,'Shaft Weight'!$A$6:$CD$102,HJ94,0)</f>
        <v>7.82</v>
      </c>
      <c r="DB94" s="619">
        <f>HLOOKUP(CQ94,Spec_Sheet!$F$3:$ED$19,6,FALSE)</f>
        <v>50.4</v>
      </c>
      <c r="DC94" s="439">
        <f t="shared" si="317"/>
        <v>5.8926000000000007</v>
      </c>
      <c r="DD94" s="440">
        <f t="shared" si="318"/>
        <v>4.5126000000000008</v>
      </c>
      <c r="DE94" s="439">
        <f t="shared" si="319"/>
        <v>-3.1326000000000009</v>
      </c>
      <c r="DF94" s="439">
        <f t="shared" si="320"/>
        <v>0</v>
      </c>
      <c r="DG94" s="439">
        <f t="shared" si="321"/>
        <v>0</v>
      </c>
      <c r="DH94" s="439">
        <f t="shared" si="322"/>
        <v>0</v>
      </c>
      <c r="DI94" s="439">
        <f t="shared" si="323"/>
        <v>0</v>
      </c>
      <c r="DJ94" s="439">
        <f t="shared" si="324"/>
        <v>0</v>
      </c>
      <c r="DK94" s="439">
        <f t="shared" si="325"/>
        <v>0</v>
      </c>
      <c r="DL94" s="439">
        <f t="shared" si="326"/>
        <v>0</v>
      </c>
      <c r="DM94" s="439">
        <f t="shared" si="327"/>
        <v>0</v>
      </c>
      <c r="DN94" s="439">
        <f t="shared" si="328"/>
        <v>0</v>
      </c>
      <c r="DO94" s="439">
        <f t="shared" si="329"/>
        <v>0</v>
      </c>
      <c r="DP94" s="439">
        <f t="shared" si="330"/>
        <v>0</v>
      </c>
      <c r="DQ94" s="442">
        <f t="shared" si="331"/>
        <v>0</v>
      </c>
      <c r="DR94" s="442">
        <f t="shared" si="332"/>
        <v>0</v>
      </c>
      <c r="DS94" s="439">
        <f t="shared" si="333"/>
        <v>0</v>
      </c>
      <c r="DT94" s="439">
        <f t="shared" si="334"/>
        <v>0</v>
      </c>
      <c r="DU94" s="661">
        <f t="shared" si="335"/>
        <v>0</v>
      </c>
      <c r="DV94" s="661">
        <f t="shared" si="336"/>
        <v>0</v>
      </c>
      <c r="DW94" s="439">
        <f t="shared" si="337"/>
        <v>0</v>
      </c>
      <c r="DX94" s="439">
        <f t="shared" si="338"/>
        <v>0</v>
      </c>
      <c r="DY94" s="439">
        <f t="shared" si="339"/>
        <v>0</v>
      </c>
      <c r="DZ94" s="439">
        <f t="shared" si="340"/>
        <v>0</v>
      </c>
      <c r="EA94" s="631" t="s">
        <v>92</v>
      </c>
      <c r="EB94" s="631">
        <f t="shared" si="451"/>
        <v>0.60014764849584035</v>
      </c>
      <c r="ED94" s="439">
        <f t="shared" si="341"/>
        <v>12.83562</v>
      </c>
      <c r="EE94" s="440">
        <f t="shared" si="342"/>
        <v>9.8296200000000002</v>
      </c>
      <c r="EF94" s="439">
        <f t="shared" si="343"/>
        <v>-6.82362</v>
      </c>
      <c r="EG94" s="441">
        <f t="shared" si="344"/>
        <v>0</v>
      </c>
      <c r="EH94" s="439">
        <f t="shared" si="345"/>
        <v>0</v>
      </c>
      <c r="EI94" s="439">
        <f t="shared" si="346"/>
        <v>0</v>
      </c>
      <c r="EJ94" s="439">
        <f t="shared" si="347"/>
        <v>0</v>
      </c>
      <c r="EK94" s="439">
        <f t="shared" si="348"/>
        <v>0</v>
      </c>
      <c r="EL94" s="439">
        <f t="shared" si="349"/>
        <v>0</v>
      </c>
      <c r="EM94" s="439">
        <f t="shared" si="350"/>
        <v>0</v>
      </c>
      <c r="EN94" s="439">
        <f t="shared" si="351"/>
        <v>0</v>
      </c>
      <c r="EO94" s="439">
        <f t="shared" si="352"/>
        <v>0</v>
      </c>
      <c r="EP94" s="439">
        <f t="shared" si="353"/>
        <v>0</v>
      </c>
      <c r="EQ94" s="439">
        <f t="shared" si="354"/>
        <v>0</v>
      </c>
      <c r="ER94" s="442">
        <f t="shared" si="355"/>
        <v>0</v>
      </c>
      <c r="ES94" s="442">
        <f t="shared" si="356"/>
        <v>0</v>
      </c>
      <c r="ET94" s="439">
        <f t="shared" si="357"/>
        <v>0</v>
      </c>
      <c r="EU94" s="439">
        <f t="shared" si="358"/>
        <v>0</v>
      </c>
      <c r="EV94" s="661">
        <f t="shared" si="359"/>
        <v>0</v>
      </c>
      <c r="EW94" s="661">
        <f t="shared" si="360"/>
        <v>0</v>
      </c>
      <c r="EX94" s="439">
        <f t="shared" si="361"/>
        <v>0</v>
      </c>
      <c r="EY94" s="439">
        <f t="shared" si="362"/>
        <v>0</v>
      </c>
      <c r="EZ94" s="439">
        <f t="shared" si="363"/>
        <v>0</v>
      </c>
      <c r="FA94" s="439">
        <f t="shared" si="364"/>
        <v>0</v>
      </c>
      <c r="FB94" s="631" t="s">
        <v>92</v>
      </c>
      <c r="FC94" s="631">
        <f t="shared" si="452"/>
        <v>1.3072781386800696</v>
      </c>
      <c r="FE94" s="439">
        <f t="shared" si="365"/>
        <v>6.67401</v>
      </c>
      <c r="FF94" s="440">
        <f t="shared" si="366"/>
        <v>5.1110100000000003</v>
      </c>
      <c r="FG94" s="439">
        <f t="shared" si="367"/>
        <v>-3.5480100000000006</v>
      </c>
      <c r="FH94" s="441">
        <f t="shared" si="368"/>
        <v>0</v>
      </c>
      <c r="FI94" s="439">
        <f t="shared" si="369"/>
        <v>0</v>
      </c>
      <c r="FJ94" s="439">
        <f t="shared" si="370"/>
        <v>0</v>
      </c>
      <c r="FK94" s="439">
        <f t="shared" si="371"/>
        <v>0</v>
      </c>
      <c r="FL94" s="439">
        <f t="shared" si="372"/>
        <v>0</v>
      </c>
      <c r="FM94" s="439">
        <f t="shared" si="373"/>
        <v>0</v>
      </c>
      <c r="FN94" s="439">
        <f t="shared" si="374"/>
        <v>0</v>
      </c>
      <c r="FO94" s="439">
        <f t="shared" si="375"/>
        <v>0</v>
      </c>
      <c r="FP94" s="439">
        <f t="shared" si="376"/>
        <v>0</v>
      </c>
      <c r="FQ94" s="439">
        <f t="shared" si="377"/>
        <v>0</v>
      </c>
      <c r="FR94" s="439">
        <f t="shared" si="378"/>
        <v>0</v>
      </c>
      <c r="FS94" s="442">
        <f t="shared" si="379"/>
        <v>0</v>
      </c>
      <c r="FT94" s="442">
        <f t="shared" si="380"/>
        <v>0</v>
      </c>
      <c r="FU94" s="439">
        <f t="shared" si="381"/>
        <v>0</v>
      </c>
      <c r="FV94" s="439">
        <f t="shared" si="382"/>
        <v>0</v>
      </c>
      <c r="FW94" s="661">
        <f t="shared" si="383"/>
        <v>0</v>
      </c>
      <c r="FX94" s="661">
        <f t="shared" si="384"/>
        <v>0</v>
      </c>
      <c r="FY94" s="439">
        <f t="shared" si="385"/>
        <v>0</v>
      </c>
      <c r="FZ94" s="439">
        <f t="shared" si="386"/>
        <v>0</v>
      </c>
      <c r="GA94" s="439">
        <f t="shared" si="387"/>
        <v>0</v>
      </c>
      <c r="GB94" s="439">
        <f t="shared" si="388"/>
        <v>0</v>
      </c>
      <c r="GC94" s="631" t="s">
        <v>92</v>
      </c>
      <c r="GD94" s="631">
        <f t="shared" si="453"/>
        <v>0.67973244536159305</v>
      </c>
      <c r="GF94" s="439">
        <f t="shared" si="389"/>
        <v>10.529820000000001</v>
      </c>
      <c r="GG94" s="440">
        <f t="shared" si="390"/>
        <v>8.0638200000000015</v>
      </c>
      <c r="GH94" s="439">
        <f t="shared" si="391"/>
        <v>-5.5978200000000014</v>
      </c>
      <c r="GI94" s="439">
        <f t="shared" si="392"/>
        <v>0</v>
      </c>
      <c r="GJ94" s="439">
        <f t="shared" si="393"/>
        <v>0</v>
      </c>
      <c r="GK94" s="439">
        <f t="shared" si="394"/>
        <v>0</v>
      </c>
      <c r="GL94" s="439">
        <f t="shared" si="395"/>
        <v>0</v>
      </c>
      <c r="GM94" s="439">
        <f t="shared" si="396"/>
        <v>0</v>
      </c>
      <c r="GN94" s="439">
        <f t="shared" si="397"/>
        <v>0</v>
      </c>
      <c r="GO94" s="439">
        <f t="shared" si="398"/>
        <v>0</v>
      </c>
      <c r="GP94" s="439">
        <f t="shared" si="399"/>
        <v>0</v>
      </c>
      <c r="GQ94" s="439">
        <f t="shared" si="400"/>
        <v>0</v>
      </c>
      <c r="GR94" s="439">
        <f t="shared" si="401"/>
        <v>0</v>
      </c>
      <c r="GS94" s="439">
        <f t="shared" si="402"/>
        <v>0</v>
      </c>
      <c r="GT94" s="442">
        <f t="shared" si="403"/>
        <v>0</v>
      </c>
      <c r="GU94" s="442">
        <f t="shared" si="404"/>
        <v>0</v>
      </c>
      <c r="GV94" s="439">
        <f t="shared" si="405"/>
        <v>0</v>
      </c>
      <c r="GW94" s="439">
        <f t="shared" si="406"/>
        <v>0</v>
      </c>
      <c r="GX94" s="661">
        <f t="shared" si="407"/>
        <v>0</v>
      </c>
      <c r="GY94" s="661">
        <f t="shared" si="408"/>
        <v>0</v>
      </c>
      <c r="GZ94" s="439">
        <f t="shared" si="409"/>
        <v>0</v>
      </c>
      <c r="HA94" s="439">
        <f t="shared" si="410"/>
        <v>0</v>
      </c>
      <c r="HB94" s="439">
        <f t="shared" si="411"/>
        <v>0</v>
      </c>
      <c r="HC94" s="439">
        <f t="shared" si="412"/>
        <v>0</v>
      </c>
      <c r="HD94" s="631" t="s">
        <v>92</v>
      </c>
      <c r="HE94" s="631">
        <f t="shared" si="306"/>
        <v>1.0724377544860453</v>
      </c>
      <c r="HG94" s="618">
        <f>HLOOKUP(CQ94,Spec_Sheet!$F$3:$DV$19,11,FALSE)+HLOOKUP(CQ94,Spec_Sheet!$F$3:$DV$21,19,FALSE)</f>
        <v>360</v>
      </c>
      <c r="HH94" s="618">
        <f t="shared" si="454"/>
        <v>100</v>
      </c>
      <c r="HI94" s="634">
        <f t="shared" si="455"/>
        <v>400</v>
      </c>
      <c r="HJ94" s="634">
        <f>HLOOKUP(IF(LEN(CQ94)&gt;6,LEFT(CQ94,5),CQ94),'LSM List Pricing'!$B$1:$BW$2,2,0)</f>
        <v>62</v>
      </c>
      <c r="HK94" s="634">
        <f>HLOOKUP(HJ94,'LSM List Pricing'!$B$2:$BW$3,2)</f>
        <v>840</v>
      </c>
      <c r="HL94" s="634">
        <f>VLOOKUP(HH94,'LSM List Pricing'!$A$7:$BW$87,HJ94,0)</f>
        <v>1890</v>
      </c>
      <c r="HM94" s="627">
        <f>VLOOKUP(HI94,'LSM List Pricing'!$A$7:$BW$87,HJ94,1)</f>
        <v>2950</v>
      </c>
      <c r="HN94" s="628">
        <f t="shared" si="307"/>
        <v>7</v>
      </c>
      <c r="HO94" s="628">
        <f t="shared" si="308"/>
        <v>14</v>
      </c>
      <c r="HP94" s="628">
        <f t="shared" si="309"/>
        <v>11.871794871794872</v>
      </c>
      <c r="HR94" s="618">
        <v>4.5499999999999999E-2</v>
      </c>
      <c r="HS94" s="618">
        <f t="shared" si="457"/>
        <v>305.5</v>
      </c>
      <c r="HT94" s="618">
        <f t="shared" si="458"/>
        <v>1</v>
      </c>
      <c r="HU94" s="618">
        <f t="shared" si="466"/>
        <v>1.1587932253916158</v>
      </c>
      <c r="HW94" s="618">
        <f t="shared" si="413"/>
        <v>34.354513619943909</v>
      </c>
      <c r="HX94" s="618">
        <f t="shared" si="467"/>
        <v>1.1320191648928402</v>
      </c>
      <c r="HY94" s="618">
        <f t="shared" si="468"/>
        <v>4.5499999999999999E-2</v>
      </c>
      <c r="IB94" s="618">
        <f t="shared" si="414"/>
        <v>25.000350341399081</v>
      </c>
      <c r="IC94" s="618">
        <f t="shared" si="415"/>
        <v>1E-3</v>
      </c>
      <c r="IE94" s="618">
        <f t="shared" si="416"/>
        <v>0</v>
      </c>
      <c r="IF94" s="618">
        <f t="shared" si="417"/>
        <v>40.704999999999998</v>
      </c>
      <c r="IH94" s="618">
        <f t="shared" si="418"/>
        <v>0</v>
      </c>
      <c r="II94" s="618">
        <f t="shared" si="419"/>
        <v>40.704999999999998</v>
      </c>
      <c r="IK94" s="618">
        <f t="shared" si="420"/>
        <v>0</v>
      </c>
      <c r="IL94" s="618">
        <f t="shared" si="421"/>
        <v>40.704999999999998</v>
      </c>
      <c r="IN94" s="618">
        <f t="shared" si="422"/>
        <v>0</v>
      </c>
      <c r="IO94" s="618">
        <f t="shared" si="423"/>
        <v>40.704999999999998</v>
      </c>
      <c r="IQ94" s="618">
        <f t="shared" si="424"/>
        <v>0</v>
      </c>
      <c r="IR94" s="618">
        <f t="shared" si="425"/>
        <v>40.704999999999998</v>
      </c>
      <c r="IT94" s="660" t="str">
        <f t="shared" si="426"/>
        <v>S427T</v>
      </c>
      <c r="IU94" s="628"/>
      <c r="IV94" s="439">
        <f t="shared" si="427"/>
        <v>11.272800000000002</v>
      </c>
      <c r="IW94" s="440">
        <f t="shared" si="428"/>
        <v>8.6328000000000014</v>
      </c>
      <c r="IX94" s="439">
        <f t="shared" si="429"/>
        <v>-5.9928000000000008</v>
      </c>
      <c r="IY94" s="439">
        <f t="shared" si="430"/>
        <v>0</v>
      </c>
      <c r="IZ94" s="439">
        <f t="shared" si="431"/>
        <v>0</v>
      </c>
      <c r="JA94" s="439">
        <f t="shared" si="432"/>
        <v>0</v>
      </c>
      <c r="JB94" s="439">
        <f t="shared" si="433"/>
        <v>0</v>
      </c>
      <c r="JC94" s="439">
        <f t="shared" si="434"/>
        <v>0</v>
      </c>
      <c r="JD94" s="439">
        <f t="shared" si="435"/>
        <v>0</v>
      </c>
      <c r="JE94" s="439">
        <f t="shared" si="436"/>
        <v>0</v>
      </c>
      <c r="JF94" s="439">
        <f t="shared" si="437"/>
        <v>0</v>
      </c>
      <c r="JG94" s="439">
        <f t="shared" si="438"/>
        <v>0</v>
      </c>
      <c r="JH94" s="439">
        <f t="shared" si="439"/>
        <v>0</v>
      </c>
      <c r="JI94" s="439">
        <f t="shared" si="440"/>
        <v>0</v>
      </c>
      <c r="JJ94" s="442">
        <f t="shared" si="441"/>
        <v>0</v>
      </c>
      <c r="JK94" s="442">
        <f t="shared" si="442"/>
        <v>0</v>
      </c>
      <c r="JL94" s="439">
        <f t="shared" si="443"/>
        <v>0</v>
      </c>
      <c r="JM94" s="439">
        <f t="shared" si="444"/>
        <v>0</v>
      </c>
      <c r="JN94" s="661">
        <f t="shared" si="445"/>
        <v>0</v>
      </c>
      <c r="JO94" s="661">
        <f t="shared" si="446"/>
        <v>0</v>
      </c>
      <c r="JP94" s="439">
        <f t="shared" si="447"/>
        <v>0</v>
      </c>
      <c r="JQ94" s="439">
        <f t="shared" si="448"/>
        <v>0</v>
      </c>
      <c r="JR94" s="439">
        <f t="shared" si="449"/>
        <v>0</v>
      </c>
      <c r="JS94" s="439">
        <f t="shared" si="450"/>
        <v>0</v>
      </c>
      <c r="JT94" s="631" t="s">
        <v>92</v>
      </c>
      <c r="JU94" s="631">
        <f t="shared" si="459"/>
        <v>1.1481085449485642</v>
      </c>
      <c r="JW94" s="522"/>
      <c r="JX94" s="522"/>
      <c r="JY94" s="522"/>
      <c r="JZ94" s="522"/>
      <c r="KA94" s="522"/>
      <c r="KB94" s="522"/>
      <c r="KC94" s="522"/>
      <c r="KD94" s="522"/>
      <c r="KE94" s="522"/>
      <c r="KF94" s="522"/>
      <c r="KG94" s="522"/>
      <c r="KH94" s="522"/>
      <c r="KI94" s="522"/>
      <c r="KJ94" s="522"/>
      <c r="KK94" s="522"/>
      <c r="KL94" s="522"/>
    </row>
    <row r="95" spans="1:298">
      <c r="A95" s="77"/>
      <c r="B95" s="579" t="s">
        <v>16</v>
      </c>
      <c r="C95" s="579"/>
      <c r="D95" s="579"/>
      <c r="E95" s="579"/>
      <c r="F95" s="579"/>
      <c r="G95" s="579"/>
      <c r="H95" s="579"/>
      <c r="I95" s="579"/>
      <c r="J95" s="579"/>
      <c r="K95" s="579"/>
      <c r="L95" s="579"/>
      <c r="M95" s="579"/>
      <c r="N95" s="579"/>
      <c r="O95" s="579"/>
      <c r="P95" s="579"/>
      <c r="Q95" s="579"/>
      <c r="R95" s="579"/>
      <c r="S95" s="579"/>
      <c r="T95" s="579"/>
      <c r="U95" s="580"/>
      <c r="V95" s="580"/>
      <c r="W95" s="579"/>
      <c r="X95" s="579"/>
      <c r="Y95" s="579"/>
      <c r="Z95" s="579"/>
      <c r="AA95" s="579"/>
      <c r="AB95" s="579"/>
      <c r="AC95" s="580"/>
      <c r="AD95" s="580"/>
      <c r="AE95" s="579"/>
      <c r="AF95" s="579"/>
      <c r="AG95" s="579"/>
      <c r="AH95" s="579"/>
      <c r="AI95" s="579"/>
      <c r="AJ95" s="579"/>
      <c r="AK95" s="579"/>
      <c r="AL95" s="580"/>
      <c r="AM95" s="580"/>
      <c r="AN95" s="579"/>
      <c r="AO95" s="579"/>
      <c r="AP95" s="579"/>
      <c r="AQ95" s="579"/>
      <c r="AR95" s="579"/>
      <c r="AS95" s="579"/>
      <c r="AT95" s="580"/>
      <c r="AU95" s="580"/>
      <c r="AV95" s="581" t="str">
        <f>IF($AY$30,M32,0)</f>
        <v/>
      </c>
      <c r="AW95" s="581">
        <f>IF($AY$32,'Data Sheet'!AA116,0)</f>
        <v>0</v>
      </c>
      <c r="AX95" s="581">
        <f>M31-AY38</f>
        <v>40.704999999999998</v>
      </c>
      <c r="AY95" s="579"/>
      <c r="AZ95" s="579"/>
      <c r="BA95" s="579"/>
      <c r="BB95" s="579"/>
      <c r="BC95" s="579"/>
      <c r="BD95" s="579"/>
      <c r="BE95" s="579"/>
      <c r="BF95" s="579"/>
      <c r="BG95" s="379"/>
      <c r="BH95" s="379"/>
      <c r="BI95" s="379"/>
      <c r="BJ95" s="379"/>
      <c r="BK95" s="379"/>
      <c r="BL95" s="379"/>
      <c r="BM95" s="379"/>
      <c r="BN95" s="379"/>
      <c r="BO95" s="379"/>
      <c r="BP95" s="379"/>
      <c r="BQ95" s="379"/>
      <c r="BR95" s="379"/>
      <c r="BS95" s="379"/>
      <c r="BT95" s="379"/>
      <c r="BU95" s="379"/>
      <c r="BV95" s="379"/>
      <c r="BW95" s="379"/>
      <c r="BX95" s="379"/>
      <c r="BY95" s="379"/>
      <c r="BZ95" s="379"/>
      <c r="CA95" s="379"/>
      <c r="CB95" s="379"/>
      <c r="CC95" s="379"/>
      <c r="CD95" s="379"/>
      <c r="CE95" s="379"/>
      <c r="CF95" s="379"/>
      <c r="CG95" s="379"/>
      <c r="CH95" s="77"/>
      <c r="CI95" s="77"/>
      <c r="CJ95" s="380"/>
      <c r="CK95" s="380"/>
      <c r="CL95" s="381"/>
      <c r="CM95" s="381"/>
      <c r="CN95" s="445"/>
      <c r="CO95" s="694" t="str">
        <f ca="1"/>
        <v>S435T 1S</v>
      </c>
      <c r="CP95" s="632" t="str">
        <f>IF(OR(CQ95=0,CR95="",CS95&gt;120),"",IF(HLOOKUP(CQ95,Spec_Sheet!$F$3:$ED$19,17,FALSE)&lt;$AC$46,"",CQ95))</f>
        <v>S427T 1S</v>
      </c>
      <c r="CQ95" s="660" t="str">
        <f>IF(Spec_Sheet!A94="","",Spec_Sheet!A94)</f>
        <v>S427T 1S</v>
      </c>
      <c r="CR95" s="660">
        <f>IF(CQ95="",0,HLOOKUP(CQ95,Spec_Sheet!$F$3:$ED$19,2,FALSE))</f>
        <v>149.58840329666012</v>
      </c>
      <c r="CS95" s="660">
        <f t="shared" si="461"/>
        <v>1.4726856467279195E-3</v>
      </c>
      <c r="CT95" s="621">
        <f t="shared" si="310"/>
        <v>1.6096088990063427E-3</v>
      </c>
      <c r="CU95" s="621">
        <f t="shared" si="316"/>
        <v>1.4726856467279195E-3</v>
      </c>
      <c r="CV95" s="621">
        <f t="shared" si="311"/>
        <v>2.0648102512059569E-3</v>
      </c>
      <c r="CW95" s="621">
        <f t="shared" si="312"/>
        <v>1.9093262913964595E-3</v>
      </c>
      <c r="CX95" s="621">
        <f t="shared" si="456"/>
        <v>1.284956261006854E-3</v>
      </c>
      <c r="CY95" s="619">
        <f>HLOOKUP(CQ95,Spec_Sheet!$F$3:$ED$19,13,FALSE)</f>
        <v>4.2</v>
      </c>
      <c r="CZ95" s="619">
        <f>VLOOKUP(HH95,'Shaft Weight'!$A$6:$CD$102,HJ95,TRUE)</f>
        <v>4.8099999999999996</v>
      </c>
      <c r="DA95" s="619">
        <f>VLOOKUP(HI95,'Shaft Weight'!$A$6:$CD$102,HJ95,0)</f>
        <v>7.82</v>
      </c>
      <c r="DB95" s="619">
        <f>HLOOKUP(CQ95,Spec_Sheet!$F$3:$ED$19,6,FALSE)</f>
        <v>16.8</v>
      </c>
      <c r="DC95" s="439">
        <f t="shared" si="317"/>
        <v>5.8926000000000007</v>
      </c>
      <c r="DD95" s="440">
        <f t="shared" si="318"/>
        <v>4.5126000000000008</v>
      </c>
      <c r="DE95" s="439">
        <f t="shared" si="319"/>
        <v>-3.1326000000000009</v>
      </c>
      <c r="DF95" s="439">
        <f t="shared" si="320"/>
        <v>0</v>
      </c>
      <c r="DG95" s="439">
        <f t="shared" si="321"/>
        <v>0</v>
      </c>
      <c r="DH95" s="439">
        <f t="shared" si="322"/>
        <v>0</v>
      </c>
      <c r="DI95" s="439">
        <f t="shared" si="323"/>
        <v>0</v>
      </c>
      <c r="DJ95" s="439">
        <f t="shared" si="324"/>
        <v>0</v>
      </c>
      <c r="DK95" s="439">
        <f t="shared" si="325"/>
        <v>0</v>
      </c>
      <c r="DL95" s="439">
        <f t="shared" si="326"/>
        <v>0</v>
      </c>
      <c r="DM95" s="439">
        <f t="shared" si="327"/>
        <v>0</v>
      </c>
      <c r="DN95" s="439">
        <f t="shared" si="328"/>
        <v>0</v>
      </c>
      <c r="DO95" s="439">
        <f t="shared" si="329"/>
        <v>0</v>
      </c>
      <c r="DP95" s="439">
        <f t="shared" si="330"/>
        <v>0</v>
      </c>
      <c r="DQ95" s="442">
        <f t="shared" si="331"/>
        <v>0</v>
      </c>
      <c r="DR95" s="442">
        <f t="shared" si="332"/>
        <v>0</v>
      </c>
      <c r="DS95" s="439">
        <f t="shared" si="333"/>
        <v>0</v>
      </c>
      <c r="DT95" s="439">
        <f t="shared" si="334"/>
        <v>0</v>
      </c>
      <c r="DU95" s="661">
        <f t="shared" si="335"/>
        <v>0</v>
      </c>
      <c r="DV95" s="661">
        <f t="shared" si="336"/>
        <v>0</v>
      </c>
      <c r="DW95" s="439">
        <f t="shared" si="337"/>
        <v>0</v>
      </c>
      <c r="DX95" s="439">
        <f t="shared" si="338"/>
        <v>0</v>
      </c>
      <c r="DY95" s="439">
        <f t="shared" si="339"/>
        <v>0</v>
      </c>
      <c r="DZ95" s="439">
        <f t="shared" si="340"/>
        <v>0</v>
      </c>
      <c r="EA95" s="631" t="s">
        <v>92</v>
      </c>
      <c r="EB95" s="631">
        <f t="shared" si="451"/>
        <v>0.60014764849584035</v>
      </c>
      <c r="ED95" s="439">
        <f t="shared" si="341"/>
        <v>12.83562</v>
      </c>
      <c r="EE95" s="440">
        <f t="shared" si="342"/>
        <v>9.8296200000000002</v>
      </c>
      <c r="EF95" s="439">
        <f t="shared" si="343"/>
        <v>-6.82362</v>
      </c>
      <c r="EG95" s="441">
        <f t="shared" si="344"/>
        <v>0</v>
      </c>
      <c r="EH95" s="439">
        <f t="shared" si="345"/>
        <v>0</v>
      </c>
      <c r="EI95" s="439">
        <f t="shared" si="346"/>
        <v>0</v>
      </c>
      <c r="EJ95" s="439">
        <f t="shared" si="347"/>
        <v>0</v>
      </c>
      <c r="EK95" s="439">
        <f t="shared" si="348"/>
        <v>0</v>
      </c>
      <c r="EL95" s="439">
        <f t="shared" si="349"/>
        <v>0</v>
      </c>
      <c r="EM95" s="439">
        <f t="shared" si="350"/>
        <v>0</v>
      </c>
      <c r="EN95" s="439">
        <f t="shared" si="351"/>
        <v>0</v>
      </c>
      <c r="EO95" s="439">
        <f t="shared" si="352"/>
        <v>0</v>
      </c>
      <c r="EP95" s="439">
        <f t="shared" si="353"/>
        <v>0</v>
      </c>
      <c r="EQ95" s="439">
        <f t="shared" si="354"/>
        <v>0</v>
      </c>
      <c r="ER95" s="442">
        <f t="shared" si="355"/>
        <v>0</v>
      </c>
      <c r="ES95" s="442">
        <f t="shared" si="356"/>
        <v>0</v>
      </c>
      <c r="ET95" s="439">
        <f t="shared" si="357"/>
        <v>0</v>
      </c>
      <c r="EU95" s="439">
        <f t="shared" si="358"/>
        <v>0</v>
      </c>
      <c r="EV95" s="661">
        <f t="shared" si="359"/>
        <v>0</v>
      </c>
      <c r="EW95" s="661">
        <f t="shared" si="360"/>
        <v>0</v>
      </c>
      <c r="EX95" s="439">
        <f t="shared" si="361"/>
        <v>0</v>
      </c>
      <c r="EY95" s="439">
        <f t="shared" si="362"/>
        <v>0</v>
      </c>
      <c r="EZ95" s="439">
        <f t="shared" si="363"/>
        <v>0</v>
      </c>
      <c r="FA95" s="439">
        <f t="shared" si="364"/>
        <v>0</v>
      </c>
      <c r="FB95" s="631" t="s">
        <v>92</v>
      </c>
      <c r="FC95" s="631">
        <f t="shared" si="452"/>
        <v>1.3072781386800696</v>
      </c>
      <c r="FE95" s="439">
        <f t="shared" si="365"/>
        <v>6.67401</v>
      </c>
      <c r="FF95" s="440">
        <f t="shared" si="366"/>
        <v>5.1110100000000003</v>
      </c>
      <c r="FG95" s="439">
        <f t="shared" si="367"/>
        <v>-3.5480100000000006</v>
      </c>
      <c r="FH95" s="441">
        <f t="shared" si="368"/>
        <v>0</v>
      </c>
      <c r="FI95" s="439">
        <f t="shared" si="369"/>
        <v>0</v>
      </c>
      <c r="FJ95" s="439">
        <f t="shared" si="370"/>
        <v>0</v>
      </c>
      <c r="FK95" s="439">
        <f t="shared" si="371"/>
        <v>0</v>
      </c>
      <c r="FL95" s="439">
        <f t="shared" si="372"/>
        <v>0</v>
      </c>
      <c r="FM95" s="439">
        <f t="shared" si="373"/>
        <v>0</v>
      </c>
      <c r="FN95" s="439">
        <f t="shared" si="374"/>
        <v>0</v>
      </c>
      <c r="FO95" s="439">
        <f t="shared" si="375"/>
        <v>0</v>
      </c>
      <c r="FP95" s="439">
        <f t="shared" si="376"/>
        <v>0</v>
      </c>
      <c r="FQ95" s="439">
        <f t="shared" si="377"/>
        <v>0</v>
      </c>
      <c r="FR95" s="439">
        <f t="shared" si="378"/>
        <v>0</v>
      </c>
      <c r="FS95" s="442">
        <f t="shared" si="379"/>
        <v>0</v>
      </c>
      <c r="FT95" s="442">
        <f t="shared" si="380"/>
        <v>0</v>
      </c>
      <c r="FU95" s="439">
        <f t="shared" si="381"/>
        <v>0</v>
      </c>
      <c r="FV95" s="439">
        <f t="shared" si="382"/>
        <v>0</v>
      </c>
      <c r="FW95" s="661">
        <f t="shared" si="383"/>
        <v>0</v>
      </c>
      <c r="FX95" s="661">
        <f t="shared" si="384"/>
        <v>0</v>
      </c>
      <c r="FY95" s="439">
        <f t="shared" si="385"/>
        <v>0</v>
      </c>
      <c r="FZ95" s="439">
        <f t="shared" si="386"/>
        <v>0</v>
      </c>
      <c r="GA95" s="439">
        <f t="shared" si="387"/>
        <v>0</v>
      </c>
      <c r="GB95" s="439">
        <f t="shared" si="388"/>
        <v>0</v>
      </c>
      <c r="GC95" s="631" t="s">
        <v>92</v>
      </c>
      <c r="GD95" s="631">
        <f t="shared" si="453"/>
        <v>0.67973244536159305</v>
      </c>
      <c r="GF95" s="439">
        <f t="shared" si="389"/>
        <v>10.529820000000001</v>
      </c>
      <c r="GG95" s="440">
        <f t="shared" si="390"/>
        <v>8.0638200000000015</v>
      </c>
      <c r="GH95" s="439">
        <f t="shared" si="391"/>
        <v>-5.5978200000000014</v>
      </c>
      <c r="GI95" s="439">
        <f t="shared" si="392"/>
        <v>0</v>
      </c>
      <c r="GJ95" s="439">
        <f t="shared" si="393"/>
        <v>0</v>
      </c>
      <c r="GK95" s="439">
        <f t="shared" si="394"/>
        <v>0</v>
      </c>
      <c r="GL95" s="439">
        <f t="shared" si="395"/>
        <v>0</v>
      </c>
      <c r="GM95" s="439">
        <f t="shared" si="396"/>
        <v>0</v>
      </c>
      <c r="GN95" s="439">
        <f t="shared" si="397"/>
        <v>0</v>
      </c>
      <c r="GO95" s="439">
        <f t="shared" si="398"/>
        <v>0</v>
      </c>
      <c r="GP95" s="439">
        <f t="shared" si="399"/>
        <v>0</v>
      </c>
      <c r="GQ95" s="439">
        <f t="shared" si="400"/>
        <v>0</v>
      </c>
      <c r="GR95" s="439">
        <f t="shared" si="401"/>
        <v>0</v>
      </c>
      <c r="GS95" s="439">
        <f t="shared" si="402"/>
        <v>0</v>
      </c>
      <c r="GT95" s="442">
        <f t="shared" si="403"/>
        <v>0</v>
      </c>
      <c r="GU95" s="442">
        <f t="shared" si="404"/>
        <v>0</v>
      </c>
      <c r="GV95" s="439">
        <f t="shared" si="405"/>
        <v>0</v>
      </c>
      <c r="GW95" s="439">
        <f t="shared" si="406"/>
        <v>0</v>
      </c>
      <c r="GX95" s="661">
        <f t="shared" si="407"/>
        <v>0</v>
      </c>
      <c r="GY95" s="661">
        <f t="shared" si="408"/>
        <v>0</v>
      </c>
      <c r="GZ95" s="439">
        <f t="shared" si="409"/>
        <v>0</v>
      </c>
      <c r="HA95" s="439">
        <f t="shared" si="410"/>
        <v>0</v>
      </c>
      <c r="HB95" s="439">
        <f t="shared" si="411"/>
        <v>0</v>
      </c>
      <c r="HC95" s="439">
        <f t="shared" si="412"/>
        <v>0</v>
      </c>
      <c r="HD95" s="631" t="s">
        <v>92</v>
      </c>
      <c r="HE95" s="631">
        <f t="shared" si="306"/>
        <v>1.0724377544860453</v>
      </c>
      <c r="HG95" s="618">
        <f>HLOOKUP(CQ95,Spec_Sheet!$F$3:$DV$19,11,FALSE)+HLOOKUP(CQ95,Spec_Sheet!$F$3:$DV$21,19,FALSE)</f>
        <v>360</v>
      </c>
      <c r="HH95" s="618">
        <f t="shared" si="454"/>
        <v>100</v>
      </c>
      <c r="HI95" s="634">
        <f t="shared" si="455"/>
        <v>400</v>
      </c>
      <c r="HJ95" s="634">
        <f>HLOOKUP(IF(LEN(CQ95)&gt;6,LEFT(CQ95,5),CQ95),'LSM List Pricing'!$B$1:$BW$2,2,0)</f>
        <v>62</v>
      </c>
      <c r="HK95" s="634">
        <f>HLOOKUP(HJ95,'LSM List Pricing'!$B$2:$BW$3,2)</f>
        <v>840</v>
      </c>
      <c r="HL95" s="634">
        <f>VLOOKUP(HH95,'LSM List Pricing'!$A$7:$BW$87,HJ95,0)</f>
        <v>1890</v>
      </c>
      <c r="HM95" s="627">
        <f>VLOOKUP(HI95,'LSM List Pricing'!$A$7:$BW$87,HJ95,1)</f>
        <v>2950</v>
      </c>
      <c r="HN95" s="628">
        <f t="shared" si="307"/>
        <v>7</v>
      </c>
      <c r="HO95" s="628">
        <f t="shared" si="308"/>
        <v>14</v>
      </c>
      <c r="HP95" s="628">
        <f t="shared" si="309"/>
        <v>11.871794871794872</v>
      </c>
      <c r="HR95" s="618">
        <v>4.5999999999999999E-2</v>
      </c>
      <c r="HS95" s="618">
        <f t="shared" si="457"/>
        <v>308.85714285714283</v>
      </c>
      <c r="HT95" s="618">
        <f t="shared" si="458"/>
        <v>1</v>
      </c>
      <c r="HU95" s="618">
        <f t="shared" si="466"/>
        <v>1.1715322693652406</v>
      </c>
      <c r="HW95" s="618">
        <f t="shared" si="413"/>
        <v>34.336424177501357</v>
      </c>
      <c r="HX95" s="618">
        <f t="shared" si="467"/>
        <v>1.1441695320454575</v>
      </c>
      <c r="HY95" s="618">
        <f t="shared" si="468"/>
        <v>4.5999999999999999E-2</v>
      </c>
      <c r="IB95" s="618">
        <f t="shared" si="414"/>
        <v>25.000350341399081</v>
      </c>
      <c r="IC95" s="618">
        <f t="shared" si="415"/>
        <v>1E-3</v>
      </c>
      <c r="IE95" s="618">
        <f t="shared" si="416"/>
        <v>0</v>
      </c>
      <c r="IF95" s="618">
        <f t="shared" si="417"/>
        <v>40.704999999999998</v>
      </c>
      <c r="IH95" s="618">
        <f t="shared" si="418"/>
        <v>0</v>
      </c>
      <c r="II95" s="618">
        <f t="shared" si="419"/>
        <v>40.704999999999998</v>
      </c>
      <c r="IK95" s="618">
        <f t="shared" si="420"/>
        <v>0</v>
      </c>
      <c r="IL95" s="618">
        <f t="shared" si="421"/>
        <v>40.704999999999998</v>
      </c>
      <c r="IN95" s="618">
        <f t="shared" si="422"/>
        <v>0</v>
      </c>
      <c r="IO95" s="618">
        <f t="shared" si="423"/>
        <v>40.704999999999998</v>
      </c>
      <c r="IQ95" s="618">
        <f t="shared" si="424"/>
        <v>0</v>
      </c>
      <c r="IR95" s="618">
        <f t="shared" si="425"/>
        <v>40.704999999999998</v>
      </c>
      <c r="IT95" s="660" t="str">
        <f t="shared" si="426"/>
        <v>S427T 1S</v>
      </c>
      <c r="IU95" s="628"/>
      <c r="IV95" s="439">
        <f t="shared" si="427"/>
        <v>11.272800000000002</v>
      </c>
      <c r="IW95" s="440">
        <f t="shared" si="428"/>
        <v>8.6328000000000014</v>
      </c>
      <c r="IX95" s="439">
        <f t="shared" si="429"/>
        <v>-5.9928000000000008</v>
      </c>
      <c r="IY95" s="439">
        <f t="shared" si="430"/>
        <v>0</v>
      </c>
      <c r="IZ95" s="439">
        <f t="shared" si="431"/>
        <v>0</v>
      </c>
      <c r="JA95" s="439">
        <f t="shared" si="432"/>
        <v>0</v>
      </c>
      <c r="JB95" s="439">
        <f t="shared" si="433"/>
        <v>0</v>
      </c>
      <c r="JC95" s="439">
        <f t="shared" si="434"/>
        <v>0</v>
      </c>
      <c r="JD95" s="439">
        <f t="shared" si="435"/>
        <v>0</v>
      </c>
      <c r="JE95" s="439">
        <f t="shared" si="436"/>
        <v>0</v>
      </c>
      <c r="JF95" s="439">
        <f t="shared" si="437"/>
        <v>0</v>
      </c>
      <c r="JG95" s="439">
        <f t="shared" si="438"/>
        <v>0</v>
      </c>
      <c r="JH95" s="439">
        <f t="shared" si="439"/>
        <v>0</v>
      </c>
      <c r="JI95" s="439">
        <f t="shared" si="440"/>
        <v>0</v>
      </c>
      <c r="JJ95" s="442">
        <f t="shared" si="441"/>
        <v>0</v>
      </c>
      <c r="JK95" s="442">
        <f t="shared" si="442"/>
        <v>0</v>
      </c>
      <c r="JL95" s="439">
        <f t="shared" si="443"/>
        <v>0</v>
      </c>
      <c r="JM95" s="439">
        <f t="shared" si="444"/>
        <v>0</v>
      </c>
      <c r="JN95" s="661">
        <f t="shared" si="445"/>
        <v>0</v>
      </c>
      <c r="JO95" s="661">
        <f t="shared" si="446"/>
        <v>0</v>
      </c>
      <c r="JP95" s="439">
        <f t="shared" si="447"/>
        <v>0</v>
      </c>
      <c r="JQ95" s="439">
        <f t="shared" si="448"/>
        <v>0</v>
      </c>
      <c r="JR95" s="439">
        <f t="shared" si="449"/>
        <v>0</v>
      </c>
      <c r="JS95" s="439">
        <f t="shared" si="450"/>
        <v>0</v>
      </c>
      <c r="JT95" s="631" t="s">
        <v>92</v>
      </c>
      <c r="JU95" s="631">
        <f t="shared" si="459"/>
        <v>1.1481085449485642</v>
      </c>
      <c r="JW95" s="522"/>
      <c r="JX95" s="522"/>
      <c r="JY95" s="522"/>
      <c r="JZ95" s="522"/>
      <c r="KA95" s="522"/>
      <c r="KB95" s="522"/>
      <c r="KC95" s="522"/>
      <c r="KD95" s="522"/>
      <c r="KE95" s="522"/>
      <c r="KF95" s="522"/>
      <c r="KG95" s="522"/>
      <c r="KH95" s="522"/>
      <c r="KI95" s="522"/>
      <c r="KJ95" s="522"/>
      <c r="KK95" s="522"/>
      <c r="KL95" s="522"/>
    </row>
    <row r="96" spans="1:298">
      <c r="A96" s="77"/>
      <c r="B96" s="579">
        <v>0</v>
      </c>
      <c r="C96" s="579"/>
      <c r="D96" s="579">
        <f t="shared" ref="D96:O106" si="481">(ML+Mc)*IF($B96&lt;$C$77,(D$81/1000)*((D$76*$B96)/D$77),IF($B96&gt;($C$77+$C$78),(D$81/1000)*(1-(((D$76*$B96)-(D$77+D$78))/D$79)),D$81/1000))</f>
        <v>0</v>
      </c>
      <c r="E96" s="579">
        <f t="shared" si="481"/>
        <v>0</v>
      </c>
      <c r="F96" s="579" t="e">
        <f t="shared" si="481"/>
        <v>#DIV/0!</v>
      </c>
      <c r="G96" s="579" t="e">
        <f t="shared" si="481"/>
        <v>#DIV/0!</v>
      </c>
      <c r="H96" s="579" t="e">
        <f t="shared" si="481"/>
        <v>#DIV/0!</v>
      </c>
      <c r="I96" s="579" t="e">
        <f t="shared" si="481"/>
        <v>#DIV/0!</v>
      </c>
      <c r="J96" s="579" t="e">
        <f t="shared" si="481"/>
        <v>#DIV/0!</v>
      </c>
      <c r="K96" s="579" t="e">
        <f t="shared" si="481"/>
        <v>#DIV/0!</v>
      </c>
      <c r="L96" s="579" t="e">
        <f t="shared" si="481"/>
        <v>#DIV/0!</v>
      </c>
      <c r="M96" s="579" t="e">
        <f t="shared" si="481"/>
        <v>#DIV/0!</v>
      </c>
      <c r="N96" s="579" t="e">
        <f t="shared" si="481"/>
        <v>#DIV/0!</v>
      </c>
      <c r="O96" s="579" t="e">
        <f t="shared" si="481"/>
        <v>#DIV/0!</v>
      </c>
      <c r="P96" s="579"/>
      <c r="Q96" s="579"/>
      <c r="R96" s="579"/>
      <c r="S96" s="579"/>
      <c r="T96" s="579"/>
      <c r="U96" s="580"/>
      <c r="V96" s="580"/>
      <c r="W96" s="579"/>
      <c r="X96" s="579"/>
      <c r="Y96" s="579"/>
      <c r="Z96" s="579"/>
      <c r="AA96" s="579"/>
      <c r="AB96" s="579"/>
      <c r="AC96" s="580"/>
      <c r="AD96" s="580"/>
      <c r="AE96" s="579"/>
      <c r="AF96" s="579"/>
      <c r="AG96" s="579"/>
      <c r="AH96" s="579"/>
      <c r="AI96" s="579"/>
      <c r="AJ96" s="579"/>
      <c r="AK96" s="579"/>
      <c r="AL96" s="580"/>
      <c r="AM96" s="580"/>
      <c r="AN96" s="579"/>
      <c r="AO96" s="579"/>
      <c r="AP96" s="579"/>
      <c r="AQ96" s="579"/>
      <c r="AR96" s="579"/>
      <c r="AS96" s="579"/>
      <c r="AT96" s="580"/>
      <c r="AU96" s="580"/>
      <c r="AV96" s="581" t="e">
        <f>IF($AY$30,I93*$I$82,0)</f>
        <v>#DIV/0!</v>
      </c>
      <c r="AW96" s="581" t="e">
        <f>IF($AY$32,'Data Sheet'!AA117,0)</f>
        <v>#DIV/0!</v>
      </c>
      <c r="AX96" s="581">
        <f>AX95</f>
        <v>40.704999999999998</v>
      </c>
      <c r="AY96" s="579"/>
      <c r="AZ96" s="579"/>
      <c r="BA96" s="579"/>
      <c r="BB96" s="579"/>
      <c r="BC96" s="579"/>
      <c r="BD96" s="579"/>
      <c r="BE96" s="579"/>
      <c r="BF96" s="579"/>
      <c r="BG96" s="379"/>
      <c r="BH96" s="379"/>
      <c r="BI96" s="379"/>
      <c r="BJ96" s="379"/>
      <c r="BK96" s="379"/>
      <c r="BL96" s="379"/>
      <c r="BM96" s="379"/>
      <c r="BN96" s="379"/>
      <c r="BO96" s="379"/>
      <c r="BP96" s="379"/>
      <c r="BQ96" s="379"/>
      <c r="BR96" s="379"/>
      <c r="BS96" s="379"/>
      <c r="BT96" s="379"/>
      <c r="BU96" s="379"/>
      <c r="BV96" s="379"/>
      <c r="BW96" s="379"/>
      <c r="BX96" s="379"/>
      <c r="BY96" s="379"/>
      <c r="BZ96" s="379"/>
      <c r="CA96" s="379"/>
      <c r="CB96" s="379"/>
      <c r="CC96" s="379"/>
      <c r="CD96" s="379"/>
      <c r="CE96" s="379"/>
      <c r="CF96" s="379"/>
      <c r="CG96" s="379"/>
      <c r="CH96" s="77"/>
      <c r="CI96" s="77"/>
      <c r="CJ96" s="380"/>
      <c r="CK96" s="380"/>
      <c r="CL96" s="381"/>
      <c r="CM96" s="381"/>
      <c r="CN96" s="381"/>
      <c r="CO96" s="694" t="str">
        <f ca="1"/>
        <v>S435T</v>
      </c>
      <c r="CP96" s="632" t="str">
        <f>IF(OR(CQ96=0,CR96="",CS96&gt;120),"",IF(HLOOKUP(CQ96,Spec_Sheet!$F$3:$ED$19,17,FALSE)&lt;$AC$46,"",CQ96))</f>
        <v>L320H</v>
      </c>
      <c r="CQ96" s="660" t="str">
        <f>IF(Spec_Sheet!A95="","",Spec_Sheet!A95)</f>
        <v>L320H</v>
      </c>
      <c r="CR96" s="660">
        <f>IF(CQ96="",0,HLOOKUP(CQ96,Spec_Sheet!$F$3:$ED$19,2,FALSE))</f>
        <v>150.0660644897647</v>
      </c>
      <c r="CS96" s="660">
        <f t="shared" si="461"/>
        <v>1.0236021869020747E-3</v>
      </c>
      <c r="CT96" s="621">
        <f t="shared" si="310"/>
        <v>1.1378866938281688E-3</v>
      </c>
      <c r="CU96" s="621">
        <f t="shared" si="316"/>
        <v>1.0236021869020747E-3</v>
      </c>
      <c r="CV96" s="621" t="e">
        <f t="shared" si="311"/>
        <v>#REF!</v>
      </c>
      <c r="CW96" s="621" t="e">
        <f t="shared" si="312"/>
        <v>#REF!</v>
      </c>
      <c r="CX96" s="621" t="e">
        <f t="shared" si="456"/>
        <v>#REF!</v>
      </c>
      <c r="CY96" s="619">
        <f>HLOOKUP(CQ96,Spec_Sheet!$F$3:$ED$19,13,FALSE)</f>
        <v>3.4799999999999995</v>
      </c>
      <c r="CZ96" s="619" t="e">
        <f>VLOOKUP(HH96,'Shaft Weight'!$A$6:$CD$102,HJ96,TRUE)</f>
        <v>#REF!</v>
      </c>
      <c r="DA96" s="619" t="e">
        <f>VLOOKUP(HI96,'Shaft Weight'!$A$6:$CD$102,HJ96,0)</f>
        <v>#REF!</v>
      </c>
      <c r="DB96" s="619">
        <f>HLOOKUP(CQ96,Spec_Sheet!$F$3:$ED$19,6,FALSE)</f>
        <v>64.949999999999989</v>
      </c>
      <c r="DC96" s="439">
        <f t="shared" si="317"/>
        <v>4.9702799999999989</v>
      </c>
      <c r="DD96" s="440">
        <f t="shared" si="318"/>
        <v>3.8062799999999997</v>
      </c>
      <c r="DE96" s="439">
        <f t="shared" si="319"/>
        <v>-2.64228</v>
      </c>
      <c r="DF96" s="439">
        <f t="shared" si="320"/>
        <v>0</v>
      </c>
      <c r="DG96" s="439">
        <f t="shared" si="321"/>
        <v>0</v>
      </c>
      <c r="DH96" s="439">
        <f t="shared" si="322"/>
        <v>0</v>
      </c>
      <c r="DI96" s="439">
        <f t="shared" si="323"/>
        <v>0</v>
      </c>
      <c r="DJ96" s="439">
        <f t="shared" si="324"/>
        <v>0</v>
      </c>
      <c r="DK96" s="439">
        <f t="shared" si="325"/>
        <v>0</v>
      </c>
      <c r="DL96" s="439">
        <f t="shared" si="326"/>
        <v>0</v>
      </c>
      <c r="DM96" s="439">
        <f t="shared" si="327"/>
        <v>0</v>
      </c>
      <c r="DN96" s="439">
        <f t="shared" si="328"/>
        <v>0</v>
      </c>
      <c r="DO96" s="439">
        <f t="shared" si="329"/>
        <v>0</v>
      </c>
      <c r="DP96" s="439">
        <f t="shared" si="330"/>
        <v>0</v>
      </c>
      <c r="DQ96" s="442">
        <f t="shared" si="331"/>
        <v>0</v>
      </c>
      <c r="DR96" s="442">
        <f t="shared" si="332"/>
        <v>0</v>
      </c>
      <c r="DS96" s="439">
        <f t="shared" si="333"/>
        <v>0</v>
      </c>
      <c r="DT96" s="439">
        <f t="shared" si="334"/>
        <v>0</v>
      </c>
      <c r="DU96" s="661">
        <f t="shared" si="335"/>
        <v>0</v>
      </c>
      <c r="DV96" s="661">
        <f t="shared" si="336"/>
        <v>0</v>
      </c>
      <c r="DW96" s="439">
        <f t="shared" si="337"/>
        <v>0</v>
      </c>
      <c r="DX96" s="439">
        <f t="shared" si="338"/>
        <v>0</v>
      </c>
      <c r="DY96" s="439">
        <f t="shared" si="339"/>
        <v>0</v>
      </c>
      <c r="DZ96" s="439">
        <f t="shared" si="340"/>
        <v>0</v>
      </c>
      <c r="EA96" s="631" t="s">
        <v>92</v>
      </c>
      <c r="EB96" s="631">
        <f t="shared" si="451"/>
        <v>0.50621149481823047</v>
      </c>
      <c r="ED96" s="439" t="e">
        <f t="shared" si="341"/>
        <v>#REF!</v>
      </c>
      <c r="EE96" s="440" t="e">
        <f t="shared" si="342"/>
        <v>#REF!</v>
      </c>
      <c r="EF96" s="439" t="e">
        <f t="shared" si="343"/>
        <v>#REF!</v>
      </c>
      <c r="EG96" s="441" t="e">
        <f t="shared" si="344"/>
        <v>#REF!</v>
      </c>
      <c r="EH96" s="439">
        <f t="shared" si="345"/>
        <v>0</v>
      </c>
      <c r="EI96" s="439">
        <f t="shared" si="346"/>
        <v>0</v>
      </c>
      <c r="EJ96" s="439">
        <f t="shared" si="347"/>
        <v>0</v>
      </c>
      <c r="EK96" s="439">
        <f t="shared" si="348"/>
        <v>0</v>
      </c>
      <c r="EL96" s="439">
        <f t="shared" si="349"/>
        <v>0</v>
      </c>
      <c r="EM96" s="439">
        <f t="shared" si="350"/>
        <v>0</v>
      </c>
      <c r="EN96" s="439">
        <f t="shared" si="351"/>
        <v>0</v>
      </c>
      <c r="EO96" s="439">
        <f t="shared" si="352"/>
        <v>0</v>
      </c>
      <c r="EP96" s="439">
        <f t="shared" si="353"/>
        <v>0</v>
      </c>
      <c r="EQ96" s="439">
        <f t="shared" si="354"/>
        <v>0</v>
      </c>
      <c r="ER96" s="442">
        <f t="shared" si="355"/>
        <v>0</v>
      </c>
      <c r="ES96" s="442">
        <f t="shared" si="356"/>
        <v>0</v>
      </c>
      <c r="ET96" s="439">
        <f t="shared" si="357"/>
        <v>0</v>
      </c>
      <c r="EU96" s="439">
        <f t="shared" si="358"/>
        <v>0</v>
      </c>
      <c r="EV96" s="661">
        <f t="shared" si="359"/>
        <v>0</v>
      </c>
      <c r="EW96" s="661">
        <f t="shared" si="360"/>
        <v>0</v>
      </c>
      <c r="EX96" s="439">
        <f t="shared" si="361"/>
        <v>0</v>
      </c>
      <c r="EY96" s="439">
        <f t="shared" si="362"/>
        <v>0</v>
      </c>
      <c r="EZ96" s="439">
        <f t="shared" si="363"/>
        <v>0</v>
      </c>
      <c r="FA96" s="439">
        <f t="shared" si="364"/>
        <v>0</v>
      </c>
      <c r="FB96" s="631" t="s">
        <v>92</v>
      </c>
      <c r="FC96" s="631" t="e">
        <f t="shared" si="452"/>
        <v>#REF!</v>
      </c>
      <c r="FE96" s="439" t="e">
        <f t="shared" si="365"/>
        <v>#REF!</v>
      </c>
      <c r="FF96" s="440" t="e">
        <f t="shared" si="366"/>
        <v>#REF!</v>
      </c>
      <c r="FG96" s="439" t="e">
        <f t="shared" si="367"/>
        <v>#REF!</v>
      </c>
      <c r="FH96" s="441" t="e">
        <f t="shared" si="368"/>
        <v>#REF!</v>
      </c>
      <c r="FI96" s="439">
        <f t="shared" si="369"/>
        <v>0</v>
      </c>
      <c r="FJ96" s="439">
        <f t="shared" si="370"/>
        <v>0</v>
      </c>
      <c r="FK96" s="439">
        <f t="shared" si="371"/>
        <v>0</v>
      </c>
      <c r="FL96" s="439">
        <f t="shared" si="372"/>
        <v>0</v>
      </c>
      <c r="FM96" s="439">
        <f t="shared" si="373"/>
        <v>0</v>
      </c>
      <c r="FN96" s="439">
        <f t="shared" si="374"/>
        <v>0</v>
      </c>
      <c r="FO96" s="439">
        <f t="shared" si="375"/>
        <v>0</v>
      </c>
      <c r="FP96" s="439">
        <f t="shared" si="376"/>
        <v>0</v>
      </c>
      <c r="FQ96" s="439">
        <f t="shared" si="377"/>
        <v>0</v>
      </c>
      <c r="FR96" s="439">
        <f t="shared" si="378"/>
        <v>0</v>
      </c>
      <c r="FS96" s="442">
        <f t="shared" si="379"/>
        <v>0</v>
      </c>
      <c r="FT96" s="442">
        <f t="shared" si="380"/>
        <v>0</v>
      </c>
      <c r="FU96" s="439">
        <f t="shared" si="381"/>
        <v>0</v>
      </c>
      <c r="FV96" s="439">
        <f t="shared" si="382"/>
        <v>0</v>
      </c>
      <c r="FW96" s="661">
        <f t="shared" si="383"/>
        <v>0</v>
      </c>
      <c r="FX96" s="661">
        <f t="shared" si="384"/>
        <v>0</v>
      </c>
      <c r="FY96" s="439">
        <f t="shared" si="385"/>
        <v>0</v>
      </c>
      <c r="FZ96" s="439">
        <f t="shared" si="386"/>
        <v>0</v>
      </c>
      <c r="GA96" s="439">
        <f t="shared" si="387"/>
        <v>0</v>
      </c>
      <c r="GB96" s="439">
        <f t="shared" si="388"/>
        <v>0</v>
      </c>
      <c r="GC96" s="631" t="s">
        <v>92</v>
      </c>
      <c r="GD96" s="631" t="e">
        <f t="shared" si="453"/>
        <v>#REF!</v>
      </c>
      <c r="GF96" s="439" t="e">
        <f t="shared" si="389"/>
        <v>#REF!</v>
      </c>
      <c r="GG96" s="440" t="e">
        <f t="shared" si="390"/>
        <v>#REF!</v>
      </c>
      <c r="GH96" s="439" t="e">
        <f t="shared" si="391"/>
        <v>#REF!</v>
      </c>
      <c r="GI96" s="439" t="e">
        <f t="shared" si="392"/>
        <v>#REF!</v>
      </c>
      <c r="GJ96" s="439">
        <f t="shared" si="393"/>
        <v>0</v>
      </c>
      <c r="GK96" s="439">
        <f t="shared" si="394"/>
        <v>0</v>
      </c>
      <c r="GL96" s="439">
        <f t="shared" si="395"/>
        <v>0</v>
      </c>
      <c r="GM96" s="439">
        <f t="shared" si="396"/>
        <v>0</v>
      </c>
      <c r="GN96" s="439">
        <f t="shared" si="397"/>
        <v>0</v>
      </c>
      <c r="GO96" s="439">
        <f t="shared" si="398"/>
        <v>0</v>
      </c>
      <c r="GP96" s="439">
        <f t="shared" si="399"/>
        <v>0</v>
      </c>
      <c r="GQ96" s="439">
        <f t="shared" si="400"/>
        <v>0</v>
      </c>
      <c r="GR96" s="439">
        <f t="shared" si="401"/>
        <v>0</v>
      </c>
      <c r="GS96" s="439">
        <f t="shared" si="402"/>
        <v>0</v>
      </c>
      <c r="GT96" s="442">
        <f t="shared" si="403"/>
        <v>0</v>
      </c>
      <c r="GU96" s="442">
        <f t="shared" si="404"/>
        <v>0</v>
      </c>
      <c r="GV96" s="439">
        <f t="shared" si="405"/>
        <v>0</v>
      </c>
      <c r="GW96" s="439">
        <f t="shared" si="406"/>
        <v>0</v>
      </c>
      <c r="GX96" s="661">
        <f t="shared" si="407"/>
        <v>0</v>
      </c>
      <c r="GY96" s="661">
        <f t="shared" si="408"/>
        <v>0</v>
      </c>
      <c r="GZ96" s="439">
        <f t="shared" si="409"/>
        <v>0</v>
      </c>
      <c r="HA96" s="439">
        <f t="shared" si="410"/>
        <v>0</v>
      </c>
      <c r="HB96" s="439">
        <f t="shared" si="411"/>
        <v>0</v>
      </c>
      <c r="HC96" s="439">
        <f t="shared" si="412"/>
        <v>0</v>
      </c>
      <c r="HD96" s="631" t="s">
        <v>92</v>
      </c>
      <c r="HE96" s="631" t="e">
        <f t="shared" si="306"/>
        <v>#REF!</v>
      </c>
      <c r="HG96" s="618">
        <f>HLOOKUP(CQ96,Spec_Sheet!$F$3:$DV$19,11,FALSE)+HLOOKUP(CQ96,Spec_Sheet!$F$3:$DV$21,19,FALSE)</f>
        <v>420</v>
      </c>
      <c r="HH96" s="618">
        <f t="shared" si="454"/>
        <v>100</v>
      </c>
      <c r="HI96" s="634">
        <f t="shared" si="455"/>
        <v>450</v>
      </c>
      <c r="HJ96" s="634" t="e">
        <f>HLOOKUP(IF(LEN(CQ96)&gt;6,LEFT(CQ96,5),CQ96),'LSM List Pricing'!$B$1:$BW$2,2,0)</f>
        <v>#N/A</v>
      </c>
      <c r="HK96" s="634" t="e">
        <f>HLOOKUP(HJ96,'LSM List Pricing'!$B$2:$BW$3,2)</f>
        <v>#N/A</v>
      </c>
      <c r="HL96" s="634" t="e">
        <f>VLOOKUP(HH96,'LSM List Pricing'!$A$7:$BW$87,HJ96,0)</f>
        <v>#REF!</v>
      </c>
      <c r="HM96" s="627" t="e">
        <f>VLOOKUP(HI96,'LSM List Pricing'!$A$7:$BW$87,HJ96,1)</f>
        <v>#REF!</v>
      </c>
      <c r="HN96" s="628" t="e">
        <f t="shared" si="307"/>
        <v>#N/A</v>
      </c>
      <c r="HO96" s="628" t="e">
        <f t="shared" si="308"/>
        <v>#N/A</v>
      </c>
      <c r="HP96" s="628" t="e">
        <f t="shared" si="309"/>
        <v>#N/A</v>
      </c>
      <c r="HR96" s="618">
        <v>4.65E-2</v>
      </c>
      <c r="HS96" s="618">
        <f t="shared" si="457"/>
        <v>312.21428571428572</v>
      </c>
      <c r="HT96" s="618">
        <f t="shared" si="458"/>
        <v>1</v>
      </c>
      <c r="HU96" s="618">
        <f t="shared" si="466"/>
        <v>1.1842713133388654</v>
      </c>
      <c r="HW96" s="618">
        <f t="shared" si="413"/>
        <v>34.318334735058812</v>
      </c>
      <c r="HX96" s="618">
        <f t="shared" si="467"/>
        <v>1.1563134980257765</v>
      </c>
      <c r="HY96" s="618">
        <f t="shared" si="468"/>
        <v>4.65E-2</v>
      </c>
      <c r="IB96" s="618">
        <f t="shared" si="414"/>
        <v>25.000350341399081</v>
      </c>
      <c r="IC96" s="618">
        <f t="shared" si="415"/>
        <v>1E-3</v>
      </c>
      <c r="IE96" s="618">
        <f t="shared" si="416"/>
        <v>0</v>
      </c>
      <c r="IF96" s="618">
        <f t="shared" si="417"/>
        <v>40.704999999999998</v>
      </c>
      <c r="IH96" s="618">
        <f t="shared" si="418"/>
        <v>0</v>
      </c>
      <c r="II96" s="618">
        <f t="shared" si="419"/>
        <v>40.704999999999998</v>
      </c>
      <c r="IK96" s="618">
        <f t="shared" si="420"/>
        <v>0</v>
      </c>
      <c r="IL96" s="618">
        <f t="shared" si="421"/>
        <v>40.704999999999998</v>
      </c>
      <c r="IN96" s="618">
        <f t="shared" si="422"/>
        <v>0</v>
      </c>
      <c r="IO96" s="618">
        <f t="shared" si="423"/>
        <v>40.704999999999998</v>
      </c>
      <c r="IQ96" s="618">
        <f t="shared" si="424"/>
        <v>0</v>
      </c>
      <c r="IR96" s="618">
        <f t="shared" si="425"/>
        <v>40.704999999999998</v>
      </c>
      <c r="IT96" s="660" t="str">
        <f t="shared" si="426"/>
        <v>L320H</v>
      </c>
      <c r="IU96" s="628"/>
      <c r="IV96" s="439">
        <f t="shared" si="427"/>
        <v>9.4281600000000001</v>
      </c>
      <c r="IW96" s="440">
        <f t="shared" si="428"/>
        <v>7.2201599999999999</v>
      </c>
      <c r="IX96" s="439">
        <f t="shared" si="429"/>
        <v>-5.0121599999999997</v>
      </c>
      <c r="IY96" s="439">
        <f t="shared" si="430"/>
        <v>0</v>
      </c>
      <c r="IZ96" s="439">
        <f t="shared" si="431"/>
        <v>0</v>
      </c>
      <c r="JA96" s="439">
        <f t="shared" si="432"/>
        <v>0</v>
      </c>
      <c r="JB96" s="439">
        <f t="shared" si="433"/>
        <v>0</v>
      </c>
      <c r="JC96" s="439">
        <f t="shared" si="434"/>
        <v>0</v>
      </c>
      <c r="JD96" s="439">
        <f t="shared" si="435"/>
        <v>0</v>
      </c>
      <c r="JE96" s="439">
        <f t="shared" si="436"/>
        <v>0</v>
      </c>
      <c r="JF96" s="439">
        <f t="shared" si="437"/>
        <v>0</v>
      </c>
      <c r="JG96" s="439">
        <f t="shared" si="438"/>
        <v>0</v>
      </c>
      <c r="JH96" s="439">
        <f t="shared" si="439"/>
        <v>0</v>
      </c>
      <c r="JI96" s="439">
        <f t="shared" si="440"/>
        <v>0</v>
      </c>
      <c r="JJ96" s="442">
        <f t="shared" si="441"/>
        <v>0</v>
      </c>
      <c r="JK96" s="442">
        <f t="shared" si="442"/>
        <v>0</v>
      </c>
      <c r="JL96" s="439">
        <f t="shared" si="443"/>
        <v>0</v>
      </c>
      <c r="JM96" s="439">
        <f t="shared" si="444"/>
        <v>0</v>
      </c>
      <c r="JN96" s="661">
        <f t="shared" si="445"/>
        <v>0</v>
      </c>
      <c r="JO96" s="661">
        <f t="shared" si="446"/>
        <v>0</v>
      </c>
      <c r="JP96" s="439">
        <f t="shared" si="447"/>
        <v>0</v>
      </c>
      <c r="JQ96" s="439">
        <f t="shared" si="448"/>
        <v>0</v>
      </c>
      <c r="JR96" s="439">
        <f t="shared" si="449"/>
        <v>0</v>
      </c>
      <c r="JS96" s="439">
        <f t="shared" si="450"/>
        <v>0</v>
      </c>
      <c r="JT96" s="631" t="s">
        <v>92</v>
      </c>
      <c r="JU96" s="631">
        <f t="shared" si="459"/>
        <v>0.96023623759334442</v>
      </c>
      <c r="JW96" s="522"/>
      <c r="JX96" s="522"/>
      <c r="JY96" s="522"/>
      <c r="JZ96" s="522"/>
      <c r="KA96" s="522"/>
      <c r="KB96" s="522"/>
      <c r="KC96" s="522"/>
      <c r="KD96" s="522"/>
      <c r="KE96" s="522"/>
      <c r="KF96" s="522"/>
      <c r="KG96" s="522"/>
      <c r="KH96" s="522"/>
      <c r="KI96" s="522"/>
      <c r="KJ96" s="522"/>
      <c r="KK96" s="522"/>
      <c r="KL96" s="522"/>
    </row>
    <row r="97" spans="1:298">
      <c r="A97" s="77"/>
      <c r="B97" s="579">
        <v>1</v>
      </c>
      <c r="C97" s="579"/>
      <c r="D97" s="579">
        <f t="shared" si="481"/>
        <v>7.2000000000000022E-2</v>
      </c>
      <c r="E97" s="579">
        <f t="shared" si="481"/>
        <v>7.2000000000000022E-2</v>
      </c>
      <c r="F97" s="579" t="e">
        <f t="shared" si="481"/>
        <v>#DIV/0!</v>
      </c>
      <c r="G97" s="579" t="e">
        <f t="shared" si="481"/>
        <v>#DIV/0!</v>
      </c>
      <c r="H97" s="579" t="e">
        <f t="shared" si="481"/>
        <v>#DIV/0!</v>
      </c>
      <c r="I97" s="579" t="e">
        <f t="shared" si="481"/>
        <v>#DIV/0!</v>
      </c>
      <c r="J97" s="579" t="e">
        <f t="shared" si="481"/>
        <v>#DIV/0!</v>
      </c>
      <c r="K97" s="579" t="e">
        <f t="shared" si="481"/>
        <v>#DIV/0!</v>
      </c>
      <c r="L97" s="579" t="e">
        <f t="shared" si="481"/>
        <v>#DIV/0!</v>
      </c>
      <c r="M97" s="579" t="e">
        <f t="shared" si="481"/>
        <v>#DIV/0!</v>
      </c>
      <c r="N97" s="579" t="e">
        <f t="shared" si="481"/>
        <v>#DIV/0!</v>
      </c>
      <c r="O97" s="579" t="e">
        <f t="shared" si="481"/>
        <v>#DIV/0!</v>
      </c>
      <c r="P97" s="579"/>
      <c r="Q97" s="579"/>
      <c r="R97" s="579"/>
      <c r="S97" s="579"/>
      <c r="T97" s="579"/>
      <c r="U97" s="580"/>
      <c r="V97" s="580"/>
      <c r="W97" s="579"/>
      <c r="X97" s="579"/>
      <c r="Y97" s="579"/>
      <c r="Z97" s="579"/>
      <c r="AA97" s="579"/>
      <c r="AB97" s="579"/>
      <c r="AC97" s="580"/>
      <c r="AD97" s="580"/>
      <c r="AE97" s="579"/>
      <c r="AF97" s="579"/>
      <c r="AG97" s="579"/>
      <c r="AH97" s="579"/>
      <c r="AI97" s="579"/>
      <c r="AJ97" s="579"/>
      <c r="AK97" s="579"/>
      <c r="AL97" s="580"/>
      <c r="AM97" s="580"/>
      <c r="AN97" s="579"/>
      <c r="AO97" s="579"/>
      <c r="AP97" s="579"/>
      <c r="AQ97" s="579"/>
      <c r="AR97" s="579"/>
      <c r="AS97" s="579"/>
      <c r="AT97" s="580"/>
      <c r="AU97" s="579"/>
      <c r="AV97" s="581" t="e">
        <f>IF($AY$30,I92*$I$82,0)</f>
        <v>#DIV/0!</v>
      </c>
      <c r="AW97" s="581" t="e">
        <f>IF($AY$32,'Data Sheet'!AA118,0)</f>
        <v>#DIV/0!</v>
      </c>
      <c r="AX97" s="581">
        <f>AX96+$I$76</f>
        <v>40.704999999999998</v>
      </c>
      <c r="AY97" s="579"/>
      <c r="AZ97" s="579"/>
      <c r="BA97" s="579"/>
      <c r="BB97" s="579"/>
      <c r="BC97" s="579"/>
      <c r="BD97" s="579"/>
      <c r="BE97" s="579"/>
      <c r="BF97" s="579"/>
      <c r="BG97" s="379"/>
      <c r="BH97" s="379"/>
      <c r="BI97" s="379"/>
      <c r="BJ97" s="379"/>
      <c r="BK97" s="379"/>
      <c r="BL97" s="379"/>
      <c r="BM97" s="379"/>
      <c r="BN97" s="379"/>
      <c r="BO97" s="379"/>
      <c r="BP97" s="379"/>
      <c r="BQ97" s="379"/>
      <c r="BR97" s="379"/>
      <c r="BS97" s="379"/>
      <c r="BT97" s="379"/>
      <c r="BU97" s="379"/>
      <c r="BV97" s="379"/>
      <c r="BW97" s="379"/>
      <c r="BX97" s="379"/>
      <c r="BY97" s="379"/>
      <c r="BZ97" s="379"/>
      <c r="CA97" s="379"/>
      <c r="CB97" s="379"/>
      <c r="CC97" s="379"/>
      <c r="CD97" s="379"/>
      <c r="CE97" s="379"/>
      <c r="CF97" s="379"/>
      <c r="CG97" s="379"/>
      <c r="CH97" s="77"/>
      <c r="CI97" s="77"/>
      <c r="CJ97" s="380"/>
      <c r="CK97" s="380"/>
      <c r="CL97" s="381"/>
      <c r="CM97" s="381"/>
      <c r="CN97" s="445"/>
      <c r="CO97" s="694" t="str">
        <f ca="1"/>
        <v>S350Q 1S</v>
      </c>
      <c r="CP97" s="632" t="str">
        <f>IF(OR(CQ97=0,CR97="",CS97&gt;120),"",IF(HLOOKUP(CQ97,Spec_Sheet!$F$3:$ED$19,17,FALSE)&lt;$AC$46,"",CQ97))</f>
        <v>L427T</v>
      </c>
      <c r="CQ97" s="660" t="str">
        <f>IF(Spec_Sheet!A96="","",Spec_Sheet!A96)</f>
        <v>L427T</v>
      </c>
      <c r="CR97" s="660">
        <f>IF(CQ97="",0,HLOOKUP(CQ97,Spec_Sheet!$F$3:$ED$19,2,FALSE))</f>
        <v>170</v>
      </c>
      <c r="CS97" s="660">
        <f t="shared" si="461"/>
        <v>1.2462878892563554E-3</v>
      </c>
      <c r="CT97" s="621">
        <f t="shared" si="310"/>
        <v>1.3570166809294157E-3</v>
      </c>
      <c r="CU97" s="621">
        <f t="shared" si="316"/>
        <v>1.2462878892563554E-3</v>
      </c>
      <c r="CV97" s="621">
        <f t="shared" si="311"/>
        <v>1.598741167049312E-3</v>
      </c>
      <c r="CW97" s="621">
        <f t="shared" si="312"/>
        <v>1.4783530552515804E-3</v>
      </c>
      <c r="CX97" s="621">
        <f t="shared" si="456"/>
        <v>9.9491586267047658E-4</v>
      </c>
      <c r="CY97" s="619">
        <f>HLOOKUP(CQ97,Spec_Sheet!$F$3:$ED$19,13,FALSE)</f>
        <v>4.4000000000000004</v>
      </c>
      <c r="CZ97" s="619">
        <f>VLOOKUP(HH97,'Shaft Weight'!$A$6:$CD$102,HJ97,TRUE)</f>
        <v>4.8099999999999996</v>
      </c>
      <c r="DA97" s="619">
        <f>VLOOKUP(HI97,'Shaft Weight'!$A$6:$CD$102,HJ97,0)</f>
        <v>7.82</v>
      </c>
      <c r="DB97" s="619">
        <f>HLOOKUP(CQ97,Spec_Sheet!$F$3:$ED$19,6,FALSE)</f>
        <v>47</v>
      </c>
      <c r="DC97" s="439">
        <f t="shared" si="317"/>
        <v>6.1488000000000014</v>
      </c>
      <c r="DD97" s="440">
        <f t="shared" si="318"/>
        <v>4.708800000000001</v>
      </c>
      <c r="DE97" s="439">
        <f t="shared" si="319"/>
        <v>-3.2688000000000006</v>
      </c>
      <c r="DF97" s="439">
        <f t="shared" si="320"/>
        <v>0</v>
      </c>
      <c r="DG97" s="439">
        <f t="shared" si="321"/>
        <v>0</v>
      </c>
      <c r="DH97" s="439">
        <f t="shared" si="322"/>
        <v>0</v>
      </c>
      <c r="DI97" s="439">
        <f t="shared" si="323"/>
        <v>0</v>
      </c>
      <c r="DJ97" s="439">
        <f t="shared" si="324"/>
        <v>0</v>
      </c>
      <c r="DK97" s="439">
        <f t="shared" si="325"/>
        <v>0</v>
      </c>
      <c r="DL97" s="439">
        <f t="shared" si="326"/>
        <v>0</v>
      </c>
      <c r="DM97" s="439">
        <f t="shared" si="327"/>
        <v>0</v>
      </c>
      <c r="DN97" s="439">
        <f t="shared" si="328"/>
        <v>0</v>
      </c>
      <c r="DO97" s="439">
        <f t="shared" si="329"/>
        <v>0</v>
      </c>
      <c r="DP97" s="439">
        <f t="shared" si="330"/>
        <v>0</v>
      </c>
      <c r="DQ97" s="442">
        <f t="shared" si="331"/>
        <v>0</v>
      </c>
      <c r="DR97" s="442">
        <f t="shared" si="332"/>
        <v>0</v>
      </c>
      <c r="DS97" s="439">
        <f t="shared" si="333"/>
        <v>0</v>
      </c>
      <c r="DT97" s="439">
        <f t="shared" si="334"/>
        <v>0</v>
      </c>
      <c r="DU97" s="661">
        <f t="shared" si="335"/>
        <v>0</v>
      </c>
      <c r="DV97" s="661">
        <f t="shared" si="336"/>
        <v>0</v>
      </c>
      <c r="DW97" s="439">
        <f t="shared" si="337"/>
        <v>0</v>
      </c>
      <c r="DX97" s="439">
        <f t="shared" si="338"/>
        <v>0</v>
      </c>
      <c r="DY97" s="439">
        <f t="shared" si="339"/>
        <v>0</v>
      </c>
      <c r="DZ97" s="439">
        <f t="shared" si="340"/>
        <v>0</v>
      </c>
      <c r="EA97" s="631" t="s">
        <v>92</v>
      </c>
      <c r="EB97" s="631">
        <f t="shared" si="451"/>
        <v>0.62624102451739871</v>
      </c>
      <c r="ED97" s="439">
        <f t="shared" si="341"/>
        <v>12.83562</v>
      </c>
      <c r="EE97" s="440">
        <f t="shared" si="342"/>
        <v>9.8296200000000002</v>
      </c>
      <c r="EF97" s="439">
        <f t="shared" si="343"/>
        <v>-6.82362</v>
      </c>
      <c r="EG97" s="441">
        <f t="shared" si="344"/>
        <v>0</v>
      </c>
      <c r="EH97" s="439">
        <f t="shared" si="345"/>
        <v>0</v>
      </c>
      <c r="EI97" s="439">
        <f t="shared" si="346"/>
        <v>0</v>
      </c>
      <c r="EJ97" s="439">
        <f t="shared" si="347"/>
        <v>0</v>
      </c>
      <c r="EK97" s="439">
        <f t="shared" si="348"/>
        <v>0</v>
      </c>
      <c r="EL97" s="439">
        <f t="shared" si="349"/>
        <v>0</v>
      </c>
      <c r="EM97" s="439">
        <f t="shared" si="350"/>
        <v>0</v>
      </c>
      <c r="EN97" s="439">
        <f t="shared" si="351"/>
        <v>0</v>
      </c>
      <c r="EO97" s="439">
        <f t="shared" si="352"/>
        <v>0</v>
      </c>
      <c r="EP97" s="439">
        <f t="shared" si="353"/>
        <v>0</v>
      </c>
      <c r="EQ97" s="439">
        <f t="shared" si="354"/>
        <v>0</v>
      </c>
      <c r="ER97" s="442">
        <f t="shared" si="355"/>
        <v>0</v>
      </c>
      <c r="ES97" s="442">
        <f t="shared" si="356"/>
        <v>0</v>
      </c>
      <c r="ET97" s="439">
        <f t="shared" si="357"/>
        <v>0</v>
      </c>
      <c r="EU97" s="439">
        <f t="shared" si="358"/>
        <v>0</v>
      </c>
      <c r="EV97" s="661">
        <f t="shared" si="359"/>
        <v>0</v>
      </c>
      <c r="EW97" s="661">
        <f t="shared" si="360"/>
        <v>0</v>
      </c>
      <c r="EX97" s="439">
        <f t="shared" si="361"/>
        <v>0</v>
      </c>
      <c r="EY97" s="439">
        <f t="shared" si="362"/>
        <v>0</v>
      </c>
      <c r="EZ97" s="439">
        <f t="shared" si="363"/>
        <v>0</v>
      </c>
      <c r="FA97" s="439">
        <f t="shared" si="364"/>
        <v>0</v>
      </c>
      <c r="FB97" s="631" t="s">
        <v>92</v>
      </c>
      <c r="FC97" s="631">
        <f t="shared" si="452"/>
        <v>1.3072781386800696</v>
      </c>
      <c r="FE97" s="439">
        <f t="shared" si="365"/>
        <v>6.67401</v>
      </c>
      <c r="FF97" s="440">
        <f t="shared" si="366"/>
        <v>5.1110100000000003</v>
      </c>
      <c r="FG97" s="439">
        <f t="shared" si="367"/>
        <v>-3.5480100000000006</v>
      </c>
      <c r="FH97" s="441">
        <f t="shared" si="368"/>
        <v>0</v>
      </c>
      <c r="FI97" s="439">
        <f t="shared" si="369"/>
        <v>0</v>
      </c>
      <c r="FJ97" s="439">
        <f t="shared" si="370"/>
        <v>0</v>
      </c>
      <c r="FK97" s="439">
        <f t="shared" si="371"/>
        <v>0</v>
      </c>
      <c r="FL97" s="439">
        <f t="shared" si="372"/>
        <v>0</v>
      </c>
      <c r="FM97" s="439">
        <f t="shared" si="373"/>
        <v>0</v>
      </c>
      <c r="FN97" s="439">
        <f t="shared" si="374"/>
        <v>0</v>
      </c>
      <c r="FO97" s="439">
        <f t="shared" si="375"/>
        <v>0</v>
      </c>
      <c r="FP97" s="439">
        <f t="shared" si="376"/>
        <v>0</v>
      </c>
      <c r="FQ97" s="439">
        <f t="shared" si="377"/>
        <v>0</v>
      </c>
      <c r="FR97" s="439">
        <f t="shared" si="378"/>
        <v>0</v>
      </c>
      <c r="FS97" s="442">
        <f t="shared" si="379"/>
        <v>0</v>
      </c>
      <c r="FT97" s="442">
        <f t="shared" si="380"/>
        <v>0</v>
      </c>
      <c r="FU97" s="439">
        <f t="shared" si="381"/>
        <v>0</v>
      </c>
      <c r="FV97" s="439">
        <f t="shared" si="382"/>
        <v>0</v>
      </c>
      <c r="FW97" s="661">
        <f t="shared" si="383"/>
        <v>0</v>
      </c>
      <c r="FX97" s="661">
        <f t="shared" si="384"/>
        <v>0</v>
      </c>
      <c r="FY97" s="439">
        <f t="shared" si="385"/>
        <v>0</v>
      </c>
      <c r="FZ97" s="439">
        <f t="shared" si="386"/>
        <v>0</v>
      </c>
      <c r="GA97" s="439">
        <f t="shared" si="387"/>
        <v>0</v>
      </c>
      <c r="GB97" s="439">
        <f t="shared" si="388"/>
        <v>0</v>
      </c>
      <c r="GC97" s="631" t="s">
        <v>92</v>
      </c>
      <c r="GD97" s="631">
        <f t="shared" si="453"/>
        <v>0.67973244536159305</v>
      </c>
      <c r="GF97" s="439">
        <f t="shared" si="389"/>
        <v>10.529820000000001</v>
      </c>
      <c r="GG97" s="440">
        <f t="shared" si="390"/>
        <v>8.0638200000000015</v>
      </c>
      <c r="GH97" s="439">
        <f t="shared" si="391"/>
        <v>-5.5978200000000014</v>
      </c>
      <c r="GI97" s="439">
        <f t="shared" si="392"/>
        <v>0</v>
      </c>
      <c r="GJ97" s="439">
        <f t="shared" si="393"/>
        <v>0</v>
      </c>
      <c r="GK97" s="439">
        <f t="shared" si="394"/>
        <v>0</v>
      </c>
      <c r="GL97" s="439">
        <f t="shared" si="395"/>
        <v>0</v>
      </c>
      <c r="GM97" s="439">
        <f t="shared" si="396"/>
        <v>0</v>
      </c>
      <c r="GN97" s="439">
        <f t="shared" si="397"/>
        <v>0</v>
      </c>
      <c r="GO97" s="439">
        <f t="shared" si="398"/>
        <v>0</v>
      </c>
      <c r="GP97" s="439">
        <f t="shared" si="399"/>
        <v>0</v>
      </c>
      <c r="GQ97" s="439">
        <f t="shared" si="400"/>
        <v>0</v>
      </c>
      <c r="GR97" s="439">
        <f t="shared" si="401"/>
        <v>0</v>
      </c>
      <c r="GS97" s="439">
        <f t="shared" si="402"/>
        <v>0</v>
      </c>
      <c r="GT97" s="442">
        <f t="shared" si="403"/>
        <v>0</v>
      </c>
      <c r="GU97" s="442">
        <f t="shared" si="404"/>
        <v>0</v>
      </c>
      <c r="GV97" s="439">
        <f t="shared" si="405"/>
        <v>0</v>
      </c>
      <c r="GW97" s="439">
        <f t="shared" si="406"/>
        <v>0</v>
      </c>
      <c r="GX97" s="661">
        <f t="shared" si="407"/>
        <v>0</v>
      </c>
      <c r="GY97" s="661">
        <f t="shared" si="408"/>
        <v>0</v>
      </c>
      <c r="GZ97" s="439">
        <f t="shared" si="409"/>
        <v>0</v>
      </c>
      <c r="HA97" s="439">
        <f t="shared" si="410"/>
        <v>0</v>
      </c>
      <c r="HB97" s="439">
        <f t="shared" si="411"/>
        <v>0</v>
      </c>
      <c r="HC97" s="439">
        <f t="shared" si="412"/>
        <v>0</v>
      </c>
      <c r="HD97" s="631" t="s">
        <v>92</v>
      </c>
      <c r="HE97" s="631">
        <f t="shared" si="306"/>
        <v>1.0724377544860453</v>
      </c>
      <c r="HG97" s="618">
        <f>HLOOKUP(CQ97,Spec_Sheet!$F$3:$DV$19,11,FALSE)+HLOOKUP(CQ97,Spec_Sheet!$F$3:$DV$21,19,FALSE)</f>
        <v>360</v>
      </c>
      <c r="HH97" s="618">
        <f t="shared" si="454"/>
        <v>100</v>
      </c>
      <c r="HI97" s="634">
        <f t="shared" si="455"/>
        <v>400</v>
      </c>
      <c r="HJ97" s="634">
        <f>HLOOKUP(IF(LEN(CQ97)&gt;6,LEFT(CQ97,5),CQ97),'LSM List Pricing'!$B$1:$BW$2,2,0)</f>
        <v>28</v>
      </c>
      <c r="HK97" s="634">
        <f>HLOOKUP(HJ97,'LSM List Pricing'!$B$2:$BW$3,2)</f>
        <v>840</v>
      </c>
      <c r="HL97" s="634">
        <f>VLOOKUP(HH97,'LSM List Pricing'!$A$7:$BW$87,HJ97,0)</f>
        <v>1890</v>
      </c>
      <c r="HM97" s="627">
        <f>VLOOKUP(HI97,'LSM List Pricing'!$A$7:$BW$87,HJ97,1)</f>
        <v>2950</v>
      </c>
      <c r="HN97" s="628">
        <f t="shared" si="307"/>
        <v>7</v>
      </c>
      <c r="HO97" s="628">
        <f t="shared" si="308"/>
        <v>14</v>
      </c>
      <c r="HP97" s="628">
        <f t="shared" si="309"/>
        <v>11.871794871794872</v>
      </c>
      <c r="HR97" s="618">
        <v>4.7E-2</v>
      </c>
      <c r="HS97" s="618">
        <f t="shared" si="457"/>
        <v>315.57142857142856</v>
      </c>
      <c r="HT97" s="618">
        <f t="shared" si="458"/>
        <v>1</v>
      </c>
      <c r="HU97" s="618">
        <f t="shared" si="466"/>
        <v>1.1970103573124902</v>
      </c>
      <c r="HW97" s="618">
        <f t="shared" si="413"/>
        <v>34.300245292616268</v>
      </c>
      <c r="HX97" s="618">
        <f t="shared" si="467"/>
        <v>1.1684510628337976</v>
      </c>
      <c r="HY97" s="618">
        <f t="shared" si="468"/>
        <v>4.7E-2</v>
      </c>
      <c r="IB97" s="618">
        <f t="shared" si="414"/>
        <v>25.000350341399081</v>
      </c>
      <c r="IC97" s="618">
        <f t="shared" si="415"/>
        <v>1E-3</v>
      </c>
      <c r="IE97" s="618">
        <f t="shared" si="416"/>
        <v>0</v>
      </c>
      <c r="IF97" s="618">
        <f t="shared" si="417"/>
        <v>40.704999999999998</v>
      </c>
      <c r="IH97" s="618">
        <f t="shared" si="418"/>
        <v>0</v>
      </c>
      <c r="II97" s="618">
        <f t="shared" si="419"/>
        <v>40.704999999999998</v>
      </c>
      <c r="IK97" s="618">
        <f t="shared" si="420"/>
        <v>0</v>
      </c>
      <c r="IL97" s="618">
        <f t="shared" si="421"/>
        <v>40.704999999999998</v>
      </c>
      <c r="IN97" s="618">
        <f t="shared" si="422"/>
        <v>0</v>
      </c>
      <c r="IO97" s="618">
        <f t="shared" si="423"/>
        <v>40.704999999999998</v>
      </c>
      <c r="IQ97" s="618">
        <f t="shared" si="424"/>
        <v>0</v>
      </c>
      <c r="IR97" s="618">
        <f t="shared" si="425"/>
        <v>40.704999999999998</v>
      </c>
      <c r="IT97" s="660" t="str">
        <f t="shared" si="426"/>
        <v>L427T</v>
      </c>
      <c r="IU97" s="628"/>
      <c r="IV97" s="439">
        <f t="shared" si="427"/>
        <v>11.785200000000001</v>
      </c>
      <c r="IW97" s="440">
        <f t="shared" si="428"/>
        <v>9.0252000000000017</v>
      </c>
      <c r="IX97" s="439">
        <f t="shared" si="429"/>
        <v>-6.2652000000000019</v>
      </c>
      <c r="IY97" s="439">
        <f t="shared" si="430"/>
        <v>0</v>
      </c>
      <c r="IZ97" s="439">
        <f t="shared" si="431"/>
        <v>0</v>
      </c>
      <c r="JA97" s="439">
        <f t="shared" si="432"/>
        <v>0</v>
      </c>
      <c r="JB97" s="439">
        <f t="shared" si="433"/>
        <v>0</v>
      </c>
      <c r="JC97" s="439">
        <f t="shared" si="434"/>
        <v>0</v>
      </c>
      <c r="JD97" s="439">
        <f t="shared" si="435"/>
        <v>0</v>
      </c>
      <c r="JE97" s="439">
        <f t="shared" si="436"/>
        <v>0</v>
      </c>
      <c r="JF97" s="439">
        <f t="shared" si="437"/>
        <v>0</v>
      </c>
      <c r="JG97" s="439">
        <f t="shared" si="438"/>
        <v>0</v>
      </c>
      <c r="JH97" s="439">
        <f t="shared" si="439"/>
        <v>0</v>
      </c>
      <c r="JI97" s="439">
        <f t="shared" si="440"/>
        <v>0</v>
      </c>
      <c r="JJ97" s="442">
        <f t="shared" si="441"/>
        <v>0</v>
      </c>
      <c r="JK97" s="442">
        <f t="shared" si="442"/>
        <v>0</v>
      </c>
      <c r="JL97" s="439">
        <f t="shared" si="443"/>
        <v>0</v>
      </c>
      <c r="JM97" s="439">
        <f t="shared" si="444"/>
        <v>0</v>
      </c>
      <c r="JN97" s="661">
        <f t="shared" si="445"/>
        <v>0</v>
      </c>
      <c r="JO97" s="661">
        <f t="shared" si="446"/>
        <v>0</v>
      </c>
      <c r="JP97" s="439">
        <f t="shared" si="447"/>
        <v>0</v>
      </c>
      <c r="JQ97" s="439">
        <f t="shared" si="448"/>
        <v>0</v>
      </c>
      <c r="JR97" s="439">
        <f t="shared" si="449"/>
        <v>0</v>
      </c>
      <c r="JS97" s="439">
        <f t="shared" si="450"/>
        <v>0</v>
      </c>
      <c r="JT97" s="631" t="s">
        <v>92</v>
      </c>
      <c r="JU97" s="631">
        <f t="shared" si="459"/>
        <v>1.2002952969916807</v>
      </c>
      <c r="JW97" s="522"/>
      <c r="JX97" s="522"/>
      <c r="JY97" s="522"/>
      <c r="JZ97" s="522"/>
      <c r="KA97" s="522"/>
      <c r="KB97" s="522"/>
      <c r="KC97" s="522"/>
      <c r="KD97" s="522"/>
      <c r="KE97" s="522"/>
      <c r="KF97" s="522"/>
      <c r="KG97" s="522"/>
      <c r="KH97" s="522"/>
      <c r="KI97" s="522"/>
      <c r="KJ97" s="522"/>
      <c r="KK97" s="522"/>
      <c r="KL97" s="522"/>
    </row>
    <row r="98" spans="1:298">
      <c r="A98" s="77"/>
      <c r="B98" s="579">
        <v>2</v>
      </c>
      <c r="C98" s="579"/>
      <c r="D98" s="579">
        <f t="shared" si="481"/>
        <v>0.14400000000000004</v>
      </c>
      <c r="E98" s="579">
        <f t="shared" si="481"/>
        <v>0.14400000000000004</v>
      </c>
      <c r="F98" s="579" t="e">
        <f t="shared" si="481"/>
        <v>#DIV/0!</v>
      </c>
      <c r="G98" s="579" t="e">
        <f t="shared" si="481"/>
        <v>#DIV/0!</v>
      </c>
      <c r="H98" s="579" t="e">
        <f t="shared" si="481"/>
        <v>#DIV/0!</v>
      </c>
      <c r="I98" s="579" t="e">
        <f t="shared" si="481"/>
        <v>#DIV/0!</v>
      </c>
      <c r="J98" s="579" t="e">
        <f t="shared" si="481"/>
        <v>#DIV/0!</v>
      </c>
      <c r="K98" s="579" t="e">
        <f t="shared" si="481"/>
        <v>#DIV/0!</v>
      </c>
      <c r="L98" s="579" t="e">
        <f t="shared" si="481"/>
        <v>#DIV/0!</v>
      </c>
      <c r="M98" s="579" t="e">
        <f t="shared" si="481"/>
        <v>#DIV/0!</v>
      </c>
      <c r="N98" s="579" t="e">
        <f t="shared" si="481"/>
        <v>#DIV/0!</v>
      </c>
      <c r="O98" s="579" t="e">
        <f t="shared" si="481"/>
        <v>#DIV/0!</v>
      </c>
      <c r="P98" s="579"/>
      <c r="Q98" s="579"/>
      <c r="R98" s="579"/>
      <c r="S98" s="579"/>
      <c r="T98" s="579"/>
      <c r="U98" s="580"/>
      <c r="V98" s="580"/>
      <c r="W98" s="579"/>
      <c r="X98" s="579"/>
      <c r="Y98" s="579"/>
      <c r="Z98" s="579"/>
      <c r="AA98" s="579"/>
      <c r="AB98" s="579"/>
      <c r="AC98" s="580"/>
      <c r="AD98" s="580"/>
      <c r="AE98" s="579"/>
      <c r="AF98" s="579"/>
      <c r="AG98" s="579"/>
      <c r="AH98" s="579"/>
      <c r="AI98" s="579"/>
      <c r="AJ98" s="579"/>
      <c r="AK98" s="579"/>
      <c r="AL98" s="580"/>
      <c r="AM98" s="580"/>
      <c r="AN98" s="579"/>
      <c r="AO98" s="579"/>
      <c r="AP98" s="579"/>
      <c r="AQ98" s="579"/>
      <c r="AR98" s="579"/>
      <c r="AS98" s="579"/>
      <c r="AT98" s="580"/>
      <c r="AU98" s="580"/>
      <c r="AV98" s="581" t="e">
        <f>IF($AY$30,I91*$I$82,0)</f>
        <v>#DIV/0!</v>
      </c>
      <c r="AW98" s="581" t="e">
        <f>IF($AY$32,'Data Sheet'!AA119,0)</f>
        <v>#DIV/0!</v>
      </c>
      <c r="AX98" s="581">
        <f t="shared" ref="AX98:AX106" si="482">AX97+$I$76</f>
        <v>40.704999999999998</v>
      </c>
      <c r="AY98" s="579"/>
      <c r="AZ98" s="579"/>
      <c r="BA98" s="579"/>
      <c r="BB98" s="579"/>
      <c r="BC98" s="579"/>
      <c r="BD98" s="579"/>
      <c r="BE98" s="579"/>
      <c r="BF98" s="579"/>
      <c r="BG98" s="379"/>
      <c r="BH98" s="379"/>
      <c r="BI98" s="379"/>
      <c r="BJ98" s="379"/>
      <c r="BK98" s="379"/>
      <c r="BL98" s="379"/>
      <c r="BM98" s="379"/>
      <c r="BN98" s="379"/>
      <c r="BO98" s="379"/>
      <c r="BP98" s="379"/>
      <c r="BQ98" s="379"/>
      <c r="BR98" s="379"/>
      <c r="BS98" s="379"/>
      <c r="BT98" s="379"/>
      <c r="BU98" s="379"/>
      <c r="BV98" s="379"/>
      <c r="BW98" s="379"/>
      <c r="BX98" s="379"/>
      <c r="BY98" s="379"/>
      <c r="BZ98" s="379"/>
      <c r="CA98" s="379"/>
      <c r="CB98" s="379"/>
      <c r="CC98" s="379"/>
      <c r="CD98" s="379"/>
      <c r="CE98" s="379"/>
      <c r="CF98" s="379"/>
      <c r="CG98" s="379"/>
      <c r="CH98" s="77"/>
      <c r="CI98" s="77"/>
      <c r="CJ98" s="380"/>
      <c r="CK98" s="380"/>
      <c r="CL98" s="381"/>
      <c r="CM98" s="381"/>
      <c r="CN98" s="381"/>
      <c r="CO98" s="694" t="str">
        <f ca="1"/>
        <v>S350Q 4S</v>
      </c>
      <c r="CP98" s="632" t="str">
        <f>IF(OR(CQ98=0,CR98="",CS98&gt;120),"",IF(HLOOKUP(CQ98,Spec_Sheet!$F$3:$ED$19,17,FALSE)&lt;$AC$46,"",CQ98))</f>
        <v>S435T 1S</v>
      </c>
      <c r="CQ98" s="660" t="str">
        <f>IF(Spec_Sheet!A97="","",Spec_Sheet!A97)</f>
        <v>S435T 1S</v>
      </c>
      <c r="CR98" s="660">
        <f>IF(CQ98="",0,HLOOKUP(CQ98,Spec_Sheet!$F$3:$ED$19,2,FALSE))</f>
        <v>173.12483262488459</v>
      </c>
      <c r="CS98" s="660">
        <f t="shared" si="461"/>
        <v>1.0994795957606123E-3</v>
      </c>
      <c r="CT98" s="621">
        <f t="shared" si="310"/>
        <v>1.2017039383416606E-3</v>
      </c>
      <c r="CU98" s="621">
        <f t="shared" si="316"/>
        <v>1.0994795957606123E-3</v>
      </c>
      <c r="CV98" s="621">
        <f t="shared" si="311"/>
        <v>1.6806590581147339E-3</v>
      </c>
      <c r="CW98" s="621">
        <f t="shared" si="312"/>
        <v>1.55935283825189E-3</v>
      </c>
      <c r="CX98" s="621">
        <f t="shared" si="456"/>
        <v>1.0500711635131046E-3</v>
      </c>
      <c r="CY98" s="619">
        <f>HLOOKUP(CQ98,Spec_Sheet!$F$3:$ED$19,13,FALSE)</f>
        <v>4.2</v>
      </c>
      <c r="CZ98" s="619">
        <f>VLOOKUP(HH98,'Shaft Weight'!$A$6:$CD$102,HJ98,TRUE)</f>
        <v>5.04</v>
      </c>
      <c r="DA98" s="619">
        <f>VLOOKUP(HI98,'Shaft Weight'!$A$6:$CD$102,HJ98,0)</f>
        <v>8.1999999999999993</v>
      </c>
      <c r="DB98" s="619">
        <f>HLOOKUP(CQ98,Spec_Sheet!$F$3:$ED$19,6,FALSE)</f>
        <v>19.443333333333332</v>
      </c>
      <c r="DC98" s="439">
        <f t="shared" si="317"/>
        <v>5.8926000000000007</v>
      </c>
      <c r="DD98" s="440">
        <f t="shared" si="318"/>
        <v>4.5126000000000008</v>
      </c>
      <c r="DE98" s="439">
        <f t="shared" si="319"/>
        <v>-3.1326000000000009</v>
      </c>
      <c r="DF98" s="439">
        <f t="shared" si="320"/>
        <v>0</v>
      </c>
      <c r="DG98" s="439">
        <f t="shared" si="321"/>
        <v>0</v>
      </c>
      <c r="DH98" s="439">
        <f t="shared" si="322"/>
        <v>0</v>
      </c>
      <c r="DI98" s="439">
        <f t="shared" si="323"/>
        <v>0</v>
      </c>
      <c r="DJ98" s="439">
        <f t="shared" si="324"/>
        <v>0</v>
      </c>
      <c r="DK98" s="439">
        <f t="shared" si="325"/>
        <v>0</v>
      </c>
      <c r="DL98" s="439">
        <f t="shared" si="326"/>
        <v>0</v>
      </c>
      <c r="DM98" s="439">
        <f t="shared" si="327"/>
        <v>0</v>
      </c>
      <c r="DN98" s="439">
        <f t="shared" si="328"/>
        <v>0</v>
      </c>
      <c r="DO98" s="439">
        <f t="shared" si="329"/>
        <v>0</v>
      </c>
      <c r="DP98" s="439">
        <f t="shared" si="330"/>
        <v>0</v>
      </c>
      <c r="DQ98" s="442">
        <f t="shared" si="331"/>
        <v>0</v>
      </c>
      <c r="DR98" s="442">
        <f t="shared" si="332"/>
        <v>0</v>
      </c>
      <c r="DS98" s="439">
        <f t="shared" si="333"/>
        <v>0</v>
      </c>
      <c r="DT98" s="439">
        <f t="shared" si="334"/>
        <v>0</v>
      </c>
      <c r="DU98" s="661">
        <f t="shared" si="335"/>
        <v>0</v>
      </c>
      <c r="DV98" s="661">
        <f t="shared" si="336"/>
        <v>0</v>
      </c>
      <c r="DW98" s="439">
        <f t="shared" si="337"/>
        <v>0</v>
      </c>
      <c r="DX98" s="439">
        <f t="shared" si="338"/>
        <v>0</v>
      </c>
      <c r="DY98" s="439">
        <f t="shared" si="339"/>
        <v>0</v>
      </c>
      <c r="DZ98" s="439">
        <f t="shared" si="340"/>
        <v>0</v>
      </c>
      <c r="EA98" s="631" t="s">
        <v>92</v>
      </c>
      <c r="EB98" s="631">
        <f t="shared" si="451"/>
        <v>0.60014764849584035</v>
      </c>
      <c r="ED98" s="439">
        <f t="shared" si="341"/>
        <v>13.424880000000002</v>
      </c>
      <c r="EE98" s="440">
        <f t="shared" si="342"/>
        <v>10.280880000000002</v>
      </c>
      <c r="EF98" s="439">
        <f t="shared" si="343"/>
        <v>-7.1368800000000014</v>
      </c>
      <c r="EG98" s="441">
        <f t="shared" si="344"/>
        <v>0</v>
      </c>
      <c r="EH98" s="439">
        <f t="shared" si="345"/>
        <v>0</v>
      </c>
      <c r="EI98" s="439">
        <f t="shared" si="346"/>
        <v>0</v>
      </c>
      <c r="EJ98" s="439">
        <f t="shared" si="347"/>
        <v>0</v>
      </c>
      <c r="EK98" s="439">
        <f t="shared" si="348"/>
        <v>0</v>
      </c>
      <c r="EL98" s="439">
        <f t="shared" si="349"/>
        <v>0</v>
      </c>
      <c r="EM98" s="439">
        <f t="shared" si="350"/>
        <v>0</v>
      </c>
      <c r="EN98" s="439">
        <f t="shared" si="351"/>
        <v>0</v>
      </c>
      <c r="EO98" s="439">
        <f t="shared" si="352"/>
        <v>0</v>
      </c>
      <c r="EP98" s="439">
        <f t="shared" si="353"/>
        <v>0</v>
      </c>
      <c r="EQ98" s="439">
        <f t="shared" si="354"/>
        <v>0</v>
      </c>
      <c r="ER98" s="442">
        <f t="shared" si="355"/>
        <v>0</v>
      </c>
      <c r="ES98" s="442">
        <f t="shared" si="356"/>
        <v>0</v>
      </c>
      <c r="ET98" s="439">
        <f t="shared" si="357"/>
        <v>0</v>
      </c>
      <c r="EU98" s="439">
        <f t="shared" si="358"/>
        <v>0</v>
      </c>
      <c r="EV98" s="661">
        <f t="shared" si="359"/>
        <v>0</v>
      </c>
      <c r="EW98" s="661">
        <f t="shared" si="360"/>
        <v>0</v>
      </c>
      <c r="EX98" s="439">
        <f t="shared" si="361"/>
        <v>0</v>
      </c>
      <c r="EY98" s="439">
        <f t="shared" si="362"/>
        <v>0</v>
      </c>
      <c r="EZ98" s="439">
        <f t="shared" si="363"/>
        <v>0</v>
      </c>
      <c r="FA98" s="439">
        <f t="shared" si="364"/>
        <v>0</v>
      </c>
      <c r="FB98" s="631" t="s">
        <v>92</v>
      </c>
      <c r="FC98" s="631">
        <f t="shared" si="452"/>
        <v>1.3672929035296537</v>
      </c>
      <c r="FE98" s="439">
        <f t="shared" si="365"/>
        <v>6.9686400000000006</v>
      </c>
      <c r="FF98" s="440">
        <f t="shared" si="366"/>
        <v>5.3366400000000009</v>
      </c>
      <c r="FG98" s="439">
        <f t="shared" si="367"/>
        <v>-3.7046400000000008</v>
      </c>
      <c r="FH98" s="441">
        <f t="shared" si="368"/>
        <v>0</v>
      </c>
      <c r="FI98" s="439">
        <f t="shared" si="369"/>
        <v>0</v>
      </c>
      <c r="FJ98" s="439">
        <f t="shared" si="370"/>
        <v>0</v>
      </c>
      <c r="FK98" s="439">
        <f t="shared" si="371"/>
        <v>0</v>
      </c>
      <c r="FL98" s="439">
        <f t="shared" si="372"/>
        <v>0</v>
      </c>
      <c r="FM98" s="439">
        <f t="shared" si="373"/>
        <v>0</v>
      </c>
      <c r="FN98" s="439">
        <f t="shared" si="374"/>
        <v>0</v>
      </c>
      <c r="FO98" s="439">
        <f t="shared" si="375"/>
        <v>0</v>
      </c>
      <c r="FP98" s="439">
        <f t="shared" si="376"/>
        <v>0</v>
      </c>
      <c r="FQ98" s="439">
        <f t="shared" si="377"/>
        <v>0</v>
      </c>
      <c r="FR98" s="439">
        <f t="shared" si="378"/>
        <v>0</v>
      </c>
      <c r="FS98" s="442">
        <f t="shared" si="379"/>
        <v>0</v>
      </c>
      <c r="FT98" s="442">
        <f t="shared" si="380"/>
        <v>0</v>
      </c>
      <c r="FU98" s="439">
        <f t="shared" si="381"/>
        <v>0</v>
      </c>
      <c r="FV98" s="439">
        <f t="shared" si="382"/>
        <v>0</v>
      </c>
      <c r="FW98" s="661">
        <f t="shared" si="383"/>
        <v>0</v>
      </c>
      <c r="FX98" s="661">
        <f t="shared" si="384"/>
        <v>0</v>
      </c>
      <c r="FY98" s="439">
        <f t="shared" si="385"/>
        <v>0</v>
      </c>
      <c r="FZ98" s="439">
        <f t="shared" si="386"/>
        <v>0</v>
      </c>
      <c r="GA98" s="439">
        <f t="shared" si="387"/>
        <v>0</v>
      </c>
      <c r="GB98" s="439">
        <f t="shared" si="388"/>
        <v>0</v>
      </c>
      <c r="GC98" s="631" t="s">
        <v>92</v>
      </c>
      <c r="GD98" s="631">
        <f t="shared" si="453"/>
        <v>0.70973982778638511</v>
      </c>
      <c r="GF98" s="439">
        <f t="shared" si="389"/>
        <v>11.0166</v>
      </c>
      <c r="GG98" s="440">
        <f t="shared" si="390"/>
        <v>8.4366000000000003</v>
      </c>
      <c r="GH98" s="439">
        <f t="shared" si="391"/>
        <v>-5.8566000000000003</v>
      </c>
      <c r="GI98" s="439">
        <f t="shared" si="392"/>
        <v>0</v>
      </c>
      <c r="GJ98" s="439">
        <f t="shared" si="393"/>
        <v>0</v>
      </c>
      <c r="GK98" s="439">
        <f t="shared" si="394"/>
        <v>0</v>
      </c>
      <c r="GL98" s="439">
        <f t="shared" si="395"/>
        <v>0</v>
      </c>
      <c r="GM98" s="439">
        <f t="shared" si="396"/>
        <v>0</v>
      </c>
      <c r="GN98" s="439">
        <f t="shared" si="397"/>
        <v>0</v>
      </c>
      <c r="GO98" s="439">
        <f t="shared" si="398"/>
        <v>0</v>
      </c>
      <c r="GP98" s="439">
        <f t="shared" si="399"/>
        <v>0</v>
      </c>
      <c r="GQ98" s="439">
        <f t="shared" si="400"/>
        <v>0</v>
      </c>
      <c r="GR98" s="439">
        <f t="shared" si="401"/>
        <v>0</v>
      </c>
      <c r="GS98" s="439">
        <f t="shared" si="402"/>
        <v>0</v>
      </c>
      <c r="GT98" s="442">
        <f t="shared" si="403"/>
        <v>0</v>
      </c>
      <c r="GU98" s="442">
        <f t="shared" si="404"/>
        <v>0</v>
      </c>
      <c r="GV98" s="439">
        <f t="shared" si="405"/>
        <v>0</v>
      </c>
      <c r="GW98" s="439">
        <f t="shared" si="406"/>
        <v>0</v>
      </c>
      <c r="GX98" s="661">
        <f t="shared" si="407"/>
        <v>0</v>
      </c>
      <c r="GY98" s="661">
        <f t="shared" si="408"/>
        <v>0</v>
      </c>
      <c r="GZ98" s="439">
        <f t="shared" si="409"/>
        <v>0</v>
      </c>
      <c r="HA98" s="439">
        <f t="shared" si="410"/>
        <v>0</v>
      </c>
      <c r="HB98" s="439">
        <f t="shared" si="411"/>
        <v>0</v>
      </c>
      <c r="HC98" s="439">
        <f t="shared" si="412"/>
        <v>0</v>
      </c>
      <c r="HD98" s="631" t="s">
        <v>92</v>
      </c>
      <c r="HE98" s="631">
        <f t="shared" si="306"/>
        <v>1.1220151689270057</v>
      </c>
      <c r="HG98" s="618">
        <f>HLOOKUP(CQ98,Spec_Sheet!$F$3:$DV$19,11,FALSE)+HLOOKUP(CQ98,Spec_Sheet!$F$3:$DV$21,19,FALSE)</f>
        <v>360</v>
      </c>
      <c r="HH98" s="618">
        <f t="shared" si="454"/>
        <v>100</v>
      </c>
      <c r="HI98" s="634">
        <f t="shared" si="455"/>
        <v>400</v>
      </c>
      <c r="HJ98" s="634">
        <f>HLOOKUP(IF(LEN(CQ98)&gt;6,LEFT(CQ98,5),CQ98),'LSM List Pricing'!$B$1:$BW$2,2,0)</f>
        <v>65</v>
      </c>
      <c r="HK98" s="634">
        <f>HLOOKUP(HJ98,'LSM List Pricing'!$B$2:$BW$3,2)</f>
        <v>840</v>
      </c>
      <c r="HL98" s="634">
        <f>VLOOKUP(HH98,'LSM List Pricing'!$A$7:$BW$87,HJ98,0)</f>
        <v>2540</v>
      </c>
      <c r="HM98" s="627">
        <f>VLOOKUP(HI98,'LSM List Pricing'!$A$7:$BW$87,HJ98,1)</f>
        <v>3970</v>
      </c>
      <c r="HN98" s="628">
        <f t="shared" si="307"/>
        <v>8.6666666666666661</v>
      </c>
      <c r="HO98" s="628">
        <f t="shared" si="308"/>
        <v>17.333333333333332</v>
      </c>
      <c r="HP98" s="628">
        <f t="shared" si="309"/>
        <v>14.487179487179487</v>
      </c>
      <c r="HR98" s="618">
        <v>4.7500000000000001E-2</v>
      </c>
      <c r="HS98" s="618">
        <f t="shared" si="457"/>
        <v>318.92857142857144</v>
      </c>
      <c r="HT98" s="618">
        <f t="shared" si="458"/>
        <v>1</v>
      </c>
      <c r="HU98" s="618">
        <f t="shared" si="466"/>
        <v>1.209749401286115</v>
      </c>
      <c r="HW98" s="618">
        <f t="shared" si="413"/>
        <v>34.282155850173716</v>
      </c>
      <c r="HX98" s="618">
        <f t="shared" si="467"/>
        <v>1.1805822264695205</v>
      </c>
      <c r="HY98" s="618">
        <f t="shared" si="468"/>
        <v>4.7500000000000001E-2</v>
      </c>
      <c r="IB98" s="618">
        <f t="shared" si="414"/>
        <v>25.000350341399081</v>
      </c>
      <c r="IC98" s="618">
        <f t="shared" si="415"/>
        <v>1E-3</v>
      </c>
      <c r="IE98" s="618">
        <f t="shared" si="416"/>
        <v>0</v>
      </c>
      <c r="IF98" s="618">
        <f t="shared" si="417"/>
        <v>40.704999999999998</v>
      </c>
      <c r="IH98" s="618">
        <f t="shared" si="418"/>
        <v>0</v>
      </c>
      <c r="II98" s="618">
        <f t="shared" si="419"/>
        <v>40.704999999999998</v>
      </c>
      <c r="IK98" s="618">
        <f t="shared" si="420"/>
        <v>0</v>
      </c>
      <c r="IL98" s="618">
        <f t="shared" si="421"/>
        <v>40.704999999999998</v>
      </c>
      <c r="IN98" s="618">
        <f t="shared" si="422"/>
        <v>0</v>
      </c>
      <c r="IO98" s="618">
        <f t="shared" si="423"/>
        <v>40.704999999999998</v>
      </c>
      <c r="IQ98" s="618">
        <f t="shared" si="424"/>
        <v>0</v>
      </c>
      <c r="IR98" s="618">
        <f t="shared" si="425"/>
        <v>40.704999999999998</v>
      </c>
      <c r="IT98" s="660" t="str">
        <f t="shared" si="426"/>
        <v>S435T 1S</v>
      </c>
      <c r="IU98" s="628"/>
      <c r="IV98" s="439">
        <f t="shared" si="427"/>
        <v>11.272800000000002</v>
      </c>
      <c r="IW98" s="440">
        <f t="shared" si="428"/>
        <v>8.6328000000000014</v>
      </c>
      <c r="IX98" s="439">
        <f t="shared" si="429"/>
        <v>-5.9928000000000008</v>
      </c>
      <c r="IY98" s="439">
        <f t="shared" si="430"/>
        <v>0</v>
      </c>
      <c r="IZ98" s="439">
        <f t="shared" si="431"/>
        <v>0</v>
      </c>
      <c r="JA98" s="439">
        <f t="shared" si="432"/>
        <v>0</v>
      </c>
      <c r="JB98" s="439">
        <f t="shared" si="433"/>
        <v>0</v>
      </c>
      <c r="JC98" s="439">
        <f t="shared" si="434"/>
        <v>0</v>
      </c>
      <c r="JD98" s="439">
        <f t="shared" si="435"/>
        <v>0</v>
      </c>
      <c r="JE98" s="439">
        <f t="shared" si="436"/>
        <v>0</v>
      </c>
      <c r="JF98" s="439">
        <f t="shared" si="437"/>
        <v>0</v>
      </c>
      <c r="JG98" s="439">
        <f t="shared" si="438"/>
        <v>0</v>
      </c>
      <c r="JH98" s="439">
        <f t="shared" si="439"/>
        <v>0</v>
      </c>
      <c r="JI98" s="439">
        <f t="shared" si="440"/>
        <v>0</v>
      </c>
      <c r="JJ98" s="442">
        <f t="shared" si="441"/>
        <v>0</v>
      </c>
      <c r="JK98" s="442">
        <f t="shared" si="442"/>
        <v>0</v>
      </c>
      <c r="JL98" s="439">
        <f t="shared" si="443"/>
        <v>0</v>
      </c>
      <c r="JM98" s="439">
        <f t="shared" si="444"/>
        <v>0</v>
      </c>
      <c r="JN98" s="661">
        <f t="shared" si="445"/>
        <v>0</v>
      </c>
      <c r="JO98" s="661">
        <f t="shared" si="446"/>
        <v>0</v>
      </c>
      <c r="JP98" s="439">
        <f t="shared" si="447"/>
        <v>0</v>
      </c>
      <c r="JQ98" s="439">
        <f t="shared" si="448"/>
        <v>0</v>
      </c>
      <c r="JR98" s="439">
        <f t="shared" si="449"/>
        <v>0</v>
      </c>
      <c r="JS98" s="439">
        <f t="shared" si="450"/>
        <v>0</v>
      </c>
      <c r="JT98" s="631" t="s">
        <v>92</v>
      </c>
      <c r="JU98" s="631">
        <f t="shared" si="459"/>
        <v>1.1481085449485642</v>
      </c>
      <c r="JW98" s="522"/>
      <c r="JX98" s="522"/>
      <c r="JY98" s="522"/>
      <c r="JZ98" s="522"/>
      <c r="KA98" s="522"/>
      <c r="KB98" s="522"/>
      <c r="KC98" s="522"/>
      <c r="KD98" s="522"/>
      <c r="KE98" s="522"/>
      <c r="KF98" s="522"/>
      <c r="KG98" s="522"/>
      <c r="KH98" s="522"/>
      <c r="KI98" s="522"/>
      <c r="KJ98" s="522"/>
      <c r="KK98" s="522"/>
      <c r="KL98" s="522"/>
    </row>
    <row r="99" spans="1:298">
      <c r="A99" s="77"/>
      <c r="B99" s="579">
        <v>3</v>
      </c>
      <c r="C99" s="579"/>
      <c r="D99" s="579">
        <f t="shared" si="481"/>
        <v>0.18000000000000002</v>
      </c>
      <c r="E99" s="579">
        <f t="shared" si="481"/>
        <v>0.18000000000000002</v>
      </c>
      <c r="F99" s="579">
        <f t="shared" si="481"/>
        <v>0</v>
      </c>
      <c r="G99" s="579">
        <f t="shared" si="481"/>
        <v>0</v>
      </c>
      <c r="H99" s="579">
        <f t="shared" si="481"/>
        <v>0</v>
      </c>
      <c r="I99" s="579">
        <f t="shared" si="481"/>
        <v>0</v>
      </c>
      <c r="J99" s="579">
        <f t="shared" si="481"/>
        <v>0</v>
      </c>
      <c r="K99" s="579">
        <f t="shared" si="481"/>
        <v>0</v>
      </c>
      <c r="L99" s="579">
        <f t="shared" si="481"/>
        <v>0</v>
      </c>
      <c r="M99" s="579">
        <f t="shared" si="481"/>
        <v>0</v>
      </c>
      <c r="N99" s="579">
        <f t="shared" si="481"/>
        <v>0</v>
      </c>
      <c r="O99" s="579">
        <f t="shared" si="481"/>
        <v>0</v>
      </c>
      <c r="P99" s="579"/>
      <c r="Q99" s="579"/>
      <c r="R99" s="579"/>
      <c r="S99" s="579"/>
      <c r="T99" s="579"/>
      <c r="U99" s="580"/>
      <c r="V99" s="580"/>
      <c r="W99" s="579"/>
      <c r="X99" s="579"/>
      <c r="Y99" s="579"/>
      <c r="Z99" s="579"/>
      <c r="AA99" s="579"/>
      <c r="AB99" s="579"/>
      <c r="AC99" s="580"/>
      <c r="AD99" s="580"/>
      <c r="AE99" s="579"/>
      <c r="AF99" s="579"/>
      <c r="AG99" s="579"/>
      <c r="AH99" s="579"/>
      <c r="AI99" s="579"/>
      <c r="AJ99" s="579"/>
      <c r="AK99" s="579"/>
      <c r="AL99" s="580"/>
      <c r="AM99" s="580"/>
      <c r="AN99" s="579"/>
      <c r="AO99" s="579"/>
      <c r="AP99" s="579"/>
      <c r="AQ99" s="579"/>
      <c r="AR99" s="579"/>
      <c r="AS99" s="579"/>
      <c r="AT99" s="580"/>
      <c r="AU99" s="580"/>
      <c r="AV99" s="581">
        <f>IF($AY$30,I90*$I$82,0)</f>
        <v>0</v>
      </c>
      <c r="AW99" s="581">
        <f>IF($AY$32,'Data Sheet'!AA120,0)</f>
        <v>0</v>
      </c>
      <c r="AX99" s="581">
        <f t="shared" si="482"/>
        <v>40.704999999999998</v>
      </c>
      <c r="AY99" s="579"/>
      <c r="AZ99" s="579"/>
      <c r="BA99" s="579"/>
      <c r="BB99" s="579"/>
      <c r="BC99" s="579"/>
      <c r="BD99" s="579"/>
      <c r="BE99" s="579"/>
      <c r="BF99" s="579"/>
      <c r="BG99" s="379"/>
      <c r="BH99" s="379"/>
      <c r="BI99" s="379"/>
      <c r="BJ99" s="379"/>
      <c r="BK99" s="379"/>
      <c r="BL99" s="379"/>
      <c r="BM99" s="379"/>
      <c r="BN99" s="379"/>
      <c r="BO99" s="379"/>
      <c r="BP99" s="379"/>
      <c r="BQ99" s="379"/>
      <c r="BR99" s="379"/>
      <c r="BS99" s="379"/>
      <c r="BT99" s="379"/>
      <c r="BU99" s="379"/>
      <c r="BV99" s="379"/>
      <c r="BW99" s="379"/>
      <c r="BX99" s="379"/>
      <c r="BY99" s="379"/>
      <c r="BZ99" s="379"/>
      <c r="CA99" s="379"/>
      <c r="CB99" s="379"/>
      <c r="CC99" s="379"/>
      <c r="CD99" s="379"/>
      <c r="CE99" s="379"/>
      <c r="CF99" s="379"/>
      <c r="CG99" s="379"/>
      <c r="CH99" s="77"/>
      <c r="CI99" s="77"/>
      <c r="CJ99" s="380"/>
      <c r="CK99" s="380"/>
      <c r="CL99" s="381"/>
      <c r="CM99" s="381"/>
      <c r="CN99" s="445"/>
      <c r="CO99" s="694" t="str">
        <f ca="1"/>
        <v>S350Q</v>
      </c>
      <c r="CP99" s="632" t="str">
        <f>IF(OR(CQ99=0,CR99="",CS99&gt;120),"",IF(HLOOKUP(CQ99,Spec_Sheet!$F$3:$ED$19,17,FALSE)&lt;$AC$46,"",CQ99))</f>
        <v>S435T</v>
      </c>
      <c r="CQ99" s="660" t="str">
        <f>IF(Spec_Sheet!A98="","",Spec_Sheet!A98)</f>
        <v>S435T</v>
      </c>
      <c r="CR99" s="660">
        <f>IF(CQ99="",0,HLOOKUP(CQ99,Spec_Sheet!$F$3:$ED$19,2,FALSE))</f>
        <v>175</v>
      </c>
      <c r="CS99" s="660">
        <f t="shared" si="461"/>
        <v>1.0760434538644157E-3</v>
      </c>
      <c r="CT99" s="621">
        <f t="shared" si="310"/>
        <v>1.1760888163104874E-3</v>
      </c>
      <c r="CU99" s="621">
        <f t="shared" si="316"/>
        <v>1.0760434538644157E-3</v>
      </c>
      <c r="CV99" s="621">
        <f t="shared" si="311"/>
        <v>1.644834687824482E-3</v>
      </c>
      <c r="CW99" s="621">
        <f t="shared" si="312"/>
        <v>1.5261141910551438E-3</v>
      </c>
      <c r="CX99" s="621">
        <f t="shared" si="456"/>
        <v>1.0276881953488141E-3</v>
      </c>
      <c r="CY99" s="619">
        <f>HLOOKUP(CQ99,Spec_Sheet!$F$3:$ED$19,13,FALSE)</f>
        <v>4.2</v>
      </c>
      <c r="CZ99" s="619">
        <f>VLOOKUP(HH99,'Shaft Weight'!$A$6:$CD$102,HJ99,TRUE)</f>
        <v>5.04</v>
      </c>
      <c r="DA99" s="619">
        <f>VLOOKUP(HI99,'Shaft Weight'!$A$6:$CD$102,HJ99,0)</f>
        <v>8.1999999999999993</v>
      </c>
      <c r="DB99" s="619">
        <f>HLOOKUP(CQ99,Spec_Sheet!$F$3:$ED$19,6,FALSE)</f>
        <v>58.33</v>
      </c>
      <c r="DC99" s="439">
        <f t="shared" si="317"/>
        <v>5.8926000000000007</v>
      </c>
      <c r="DD99" s="440">
        <f t="shared" si="318"/>
        <v>4.5126000000000008</v>
      </c>
      <c r="DE99" s="439">
        <f t="shared" si="319"/>
        <v>-3.1326000000000009</v>
      </c>
      <c r="DF99" s="439">
        <f t="shared" si="320"/>
        <v>0</v>
      </c>
      <c r="DG99" s="439">
        <f t="shared" si="321"/>
        <v>0</v>
      </c>
      <c r="DH99" s="439">
        <f t="shared" si="322"/>
        <v>0</v>
      </c>
      <c r="DI99" s="439">
        <f t="shared" si="323"/>
        <v>0</v>
      </c>
      <c r="DJ99" s="439">
        <f t="shared" si="324"/>
        <v>0</v>
      </c>
      <c r="DK99" s="439">
        <f t="shared" si="325"/>
        <v>0</v>
      </c>
      <c r="DL99" s="439">
        <f t="shared" si="326"/>
        <v>0</v>
      </c>
      <c r="DM99" s="439">
        <f t="shared" si="327"/>
        <v>0</v>
      </c>
      <c r="DN99" s="439">
        <f t="shared" si="328"/>
        <v>0</v>
      </c>
      <c r="DO99" s="439">
        <f t="shared" si="329"/>
        <v>0</v>
      </c>
      <c r="DP99" s="439">
        <f t="shared" si="330"/>
        <v>0</v>
      </c>
      <c r="DQ99" s="442">
        <f t="shared" si="331"/>
        <v>0</v>
      </c>
      <c r="DR99" s="442">
        <f t="shared" si="332"/>
        <v>0</v>
      </c>
      <c r="DS99" s="439">
        <f t="shared" si="333"/>
        <v>0</v>
      </c>
      <c r="DT99" s="439">
        <f t="shared" si="334"/>
        <v>0</v>
      </c>
      <c r="DU99" s="661">
        <f t="shared" si="335"/>
        <v>0</v>
      </c>
      <c r="DV99" s="661">
        <f t="shared" si="336"/>
        <v>0</v>
      </c>
      <c r="DW99" s="439">
        <f t="shared" si="337"/>
        <v>0</v>
      </c>
      <c r="DX99" s="439">
        <f t="shared" si="338"/>
        <v>0</v>
      </c>
      <c r="DY99" s="439">
        <f t="shared" si="339"/>
        <v>0</v>
      </c>
      <c r="DZ99" s="439">
        <f t="shared" si="340"/>
        <v>0</v>
      </c>
      <c r="EA99" s="631" t="s">
        <v>92</v>
      </c>
      <c r="EB99" s="631">
        <f t="shared" si="451"/>
        <v>0.60014764849584035</v>
      </c>
      <c r="ED99" s="439">
        <f t="shared" si="341"/>
        <v>13.424880000000002</v>
      </c>
      <c r="EE99" s="440">
        <f t="shared" si="342"/>
        <v>10.280880000000002</v>
      </c>
      <c r="EF99" s="439">
        <f t="shared" si="343"/>
        <v>-7.1368800000000014</v>
      </c>
      <c r="EG99" s="441">
        <f t="shared" si="344"/>
        <v>0</v>
      </c>
      <c r="EH99" s="439">
        <f t="shared" si="345"/>
        <v>0</v>
      </c>
      <c r="EI99" s="439">
        <f t="shared" si="346"/>
        <v>0</v>
      </c>
      <c r="EJ99" s="439">
        <f t="shared" si="347"/>
        <v>0</v>
      </c>
      <c r="EK99" s="439">
        <f t="shared" si="348"/>
        <v>0</v>
      </c>
      <c r="EL99" s="439">
        <f t="shared" si="349"/>
        <v>0</v>
      </c>
      <c r="EM99" s="439">
        <f t="shared" si="350"/>
        <v>0</v>
      </c>
      <c r="EN99" s="439">
        <f t="shared" si="351"/>
        <v>0</v>
      </c>
      <c r="EO99" s="439">
        <f t="shared" si="352"/>
        <v>0</v>
      </c>
      <c r="EP99" s="439">
        <f t="shared" si="353"/>
        <v>0</v>
      </c>
      <c r="EQ99" s="439">
        <f t="shared" si="354"/>
        <v>0</v>
      </c>
      <c r="ER99" s="442">
        <f t="shared" si="355"/>
        <v>0</v>
      </c>
      <c r="ES99" s="442">
        <f t="shared" si="356"/>
        <v>0</v>
      </c>
      <c r="ET99" s="439">
        <f t="shared" si="357"/>
        <v>0</v>
      </c>
      <c r="EU99" s="439">
        <f t="shared" si="358"/>
        <v>0</v>
      </c>
      <c r="EV99" s="661">
        <f t="shared" si="359"/>
        <v>0</v>
      </c>
      <c r="EW99" s="661">
        <f t="shared" si="360"/>
        <v>0</v>
      </c>
      <c r="EX99" s="439">
        <f t="shared" si="361"/>
        <v>0</v>
      </c>
      <c r="EY99" s="439">
        <f t="shared" si="362"/>
        <v>0</v>
      </c>
      <c r="EZ99" s="439">
        <f t="shared" si="363"/>
        <v>0</v>
      </c>
      <c r="FA99" s="439">
        <f t="shared" si="364"/>
        <v>0</v>
      </c>
      <c r="FB99" s="631" t="s">
        <v>92</v>
      </c>
      <c r="FC99" s="631">
        <f t="shared" si="452"/>
        <v>1.3672929035296537</v>
      </c>
      <c r="FE99" s="439">
        <f t="shared" si="365"/>
        <v>6.9686400000000006</v>
      </c>
      <c r="FF99" s="440">
        <f t="shared" si="366"/>
        <v>5.3366400000000009</v>
      </c>
      <c r="FG99" s="439">
        <f t="shared" si="367"/>
        <v>-3.7046400000000008</v>
      </c>
      <c r="FH99" s="441">
        <f t="shared" si="368"/>
        <v>0</v>
      </c>
      <c r="FI99" s="439">
        <f t="shared" si="369"/>
        <v>0</v>
      </c>
      <c r="FJ99" s="439">
        <f t="shared" si="370"/>
        <v>0</v>
      </c>
      <c r="FK99" s="439">
        <f t="shared" si="371"/>
        <v>0</v>
      </c>
      <c r="FL99" s="439">
        <f t="shared" si="372"/>
        <v>0</v>
      </c>
      <c r="FM99" s="439">
        <f t="shared" si="373"/>
        <v>0</v>
      </c>
      <c r="FN99" s="439">
        <f t="shared" si="374"/>
        <v>0</v>
      </c>
      <c r="FO99" s="439">
        <f t="shared" si="375"/>
        <v>0</v>
      </c>
      <c r="FP99" s="439">
        <f t="shared" si="376"/>
        <v>0</v>
      </c>
      <c r="FQ99" s="439">
        <f t="shared" si="377"/>
        <v>0</v>
      </c>
      <c r="FR99" s="439">
        <f t="shared" si="378"/>
        <v>0</v>
      </c>
      <c r="FS99" s="442">
        <f t="shared" si="379"/>
        <v>0</v>
      </c>
      <c r="FT99" s="442">
        <f t="shared" si="380"/>
        <v>0</v>
      </c>
      <c r="FU99" s="439">
        <f t="shared" si="381"/>
        <v>0</v>
      </c>
      <c r="FV99" s="439">
        <f t="shared" si="382"/>
        <v>0</v>
      </c>
      <c r="FW99" s="661">
        <f t="shared" si="383"/>
        <v>0</v>
      </c>
      <c r="FX99" s="661">
        <f t="shared" si="384"/>
        <v>0</v>
      </c>
      <c r="FY99" s="439">
        <f t="shared" si="385"/>
        <v>0</v>
      </c>
      <c r="FZ99" s="439">
        <f t="shared" si="386"/>
        <v>0</v>
      </c>
      <c r="GA99" s="439">
        <f t="shared" si="387"/>
        <v>0</v>
      </c>
      <c r="GB99" s="439">
        <f t="shared" si="388"/>
        <v>0</v>
      </c>
      <c r="GC99" s="631" t="s">
        <v>92</v>
      </c>
      <c r="GD99" s="631">
        <f t="shared" si="453"/>
        <v>0.70973982778638511</v>
      </c>
      <c r="GF99" s="439">
        <f t="shared" si="389"/>
        <v>11.0166</v>
      </c>
      <c r="GG99" s="440">
        <f t="shared" si="390"/>
        <v>8.4366000000000003</v>
      </c>
      <c r="GH99" s="439">
        <f t="shared" si="391"/>
        <v>-5.8566000000000003</v>
      </c>
      <c r="GI99" s="439">
        <f t="shared" si="392"/>
        <v>0</v>
      </c>
      <c r="GJ99" s="439">
        <f t="shared" si="393"/>
        <v>0</v>
      </c>
      <c r="GK99" s="439">
        <f t="shared" si="394"/>
        <v>0</v>
      </c>
      <c r="GL99" s="439">
        <f t="shared" si="395"/>
        <v>0</v>
      </c>
      <c r="GM99" s="439">
        <f t="shared" si="396"/>
        <v>0</v>
      </c>
      <c r="GN99" s="439">
        <f t="shared" si="397"/>
        <v>0</v>
      </c>
      <c r="GO99" s="439">
        <f t="shared" si="398"/>
        <v>0</v>
      </c>
      <c r="GP99" s="439">
        <f t="shared" si="399"/>
        <v>0</v>
      </c>
      <c r="GQ99" s="439">
        <f t="shared" si="400"/>
        <v>0</v>
      </c>
      <c r="GR99" s="439">
        <f t="shared" si="401"/>
        <v>0</v>
      </c>
      <c r="GS99" s="439">
        <f t="shared" si="402"/>
        <v>0</v>
      </c>
      <c r="GT99" s="442">
        <f t="shared" si="403"/>
        <v>0</v>
      </c>
      <c r="GU99" s="442">
        <f t="shared" si="404"/>
        <v>0</v>
      </c>
      <c r="GV99" s="439">
        <f t="shared" si="405"/>
        <v>0</v>
      </c>
      <c r="GW99" s="439">
        <f t="shared" si="406"/>
        <v>0</v>
      </c>
      <c r="GX99" s="661">
        <f t="shared" si="407"/>
        <v>0</v>
      </c>
      <c r="GY99" s="661">
        <f t="shared" si="408"/>
        <v>0</v>
      </c>
      <c r="GZ99" s="439">
        <f t="shared" si="409"/>
        <v>0</v>
      </c>
      <c r="HA99" s="439">
        <f t="shared" si="410"/>
        <v>0</v>
      </c>
      <c r="HB99" s="439">
        <f t="shared" si="411"/>
        <v>0</v>
      </c>
      <c r="HC99" s="439">
        <f t="shared" si="412"/>
        <v>0</v>
      </c>
      <c r="HD99" s="631" t="s">
        <v>92</v>
      </c>
      <c r="HE99" s="631">
        <f t="shared" si="306"/>
        <v>1.1220151689270057</v>
      </c>
      <c r="HG99" s="618">
        <f>HLOOKUP(CQ99,Spec_Sheet!$F$3:$DV$19,11,FALSE)+HLOOKUP(CQ99,Spec_Sheet!$F$3:$DV$21,19,FALSE)</f>
        <v>360</v>
      </c>
      <c r="HH99" s="618">
        <f t="shared" si="454"/>
        <v>100</v>
      </c>
      <c r="HI99" s="634">
        <f t="shared" si="455"/>
        <v>400</v>
      </c>
      <c r="HJ99" s="634">
        <f>HLOOKUP(IF(LEN(CQ99)&gt;6,LEFT(CQ99,5),CQ99),'LSM List Pricing'!$B$1:$BW$2,2,0)</f>
        <v>65</v>
      </c>
      <c r="HK99" s="634">
        <f>HLOOKUP(HJ99,'LSM List Pricing'!$B$2:$BW$3,2)</f>
        <v>840</v>
      </c>
      <c r="HL99" s="634">
        <f>VLOOKUP(HH99,'LSM List Pricing'!$A$7:$BW$87,HJ99,0)</f>
        <v>2540</v>
      </c>
      <c r="HM99" s="627">
        <f>VLOOKUP(HI99,'LSM List Pricing'!$A$7:$BW$87,HJ99,1)</f>
        <v>3970</v>
      </c>
      <c r="HN99" s="628">
        <f t="shared" si="307"/>
        <v>8.6666666666666661</v>
      </c>
      <c r="HO99" s="628">
        <f t="shared" si="308"/>
        <v>17.333333333333332</v>
      </c>
      <c r="HP99" s="628">
        <f t="shared" si="309"/>
        <v>14.487179487179487</v>
      </c>
      <c r="HR99" s="618">
        <v>4.8000000000000001E-2</v>
      </c>
      <c r="HS99" s="618">
        <f t="shared" si="457"/>
        <v>322.28571428571428</v>
      </c>
      <c r="HT99" s="618">
        <f t="shared" si="458"/>
        <v>1</v>
      </c>
      <c r="HU99" s="618">
        <f t="shared" si="466"/>
        <v>1.2224884452597398</v>
      </c>
      <c r="HW99" s="618">
        <f t="shared" si="413"/>
        <v>34.264066407731171</v>
      </c>
      <c r="HX99" s="618">
        <f t="shared" si="467"/>
        <v>1.1927069889329451</v>
      </c>
      <c r="HY99" s="618">
        <f t="shared" si="468"/>
        <v>4.8000000000000001E-2</v>
      </c>
      <c r="IB99" s="618">
        <f t="shared" si="414"/>
        <v>25.000350341399081</v>
      </c>
      <c r="IC99" s="618">
        <f t="shared" si="415"/>
        <v>1E-3</v>
      </c>
      <c r="IE99" s="618">
        <f t="shared" si="416"/>
        <v>0</v>
      </c>
      <c r="IF99" s="618">
        <f t="shared" si="417"/>
        <v>40.704999999999998</v>
      </c>
      <c r="IH99" s="618">
        <f t="shared" si="418"/>
        <v>0</v>
      </c>
      <c r="II99" s="618">
        <f t="shared" si="419"/>
        <v>40.704999999999998</v>
      </c>
      <c r="IK99" s="618">
        <f t="shared" si="420"/>
        <v>0</v>
      </c>
      <c r="IL99" s="618">
        <f t="shared" si="421"/>
        <v>40.704999999999998</v>
      </c>
      <c r="IN99" s="618">
        <f t="shared" si="422"/>
        <v>0</v>
      </c>
      <c r="IO99" s="618">
        <f t="shared" si="423"/>
        <v>40.704999999999998</v>
      </c>
      <c r="IQ99" s="618">
        <f t="shared" si="424"/>
        <v>0</v>
      </c>
      <c r="IR99" s="618">
        <f t="shared" si="425"/>
        <v>40.704999999999998</v>
      </c>
      <c r="IT99" s="660" t="str">
        <f t="shared" si="426"/>
        <v>S435T</v>
      </c>
      <c r="IU99" s="628"/>
      <c r="IV99" s="439">
        <f t="shared" si="427"/>
        <v>11.272800000000002</v>
      </c>
      <c r="IW99" s="440">
        <f t="shared" si="428"/>
        <v>8.6328000000000014</v>
      </c>
      <c r="IX99" s="439">
        <f t="shared" si="429"/>
        <v>-5.9928000000000008</v>
      </c>
      <c r="IY99" s="439">
        <f t="shared" si="430"/>
        <v>0</v>
      </c>
      <c r="IZ99" s="439">
        <f t="shared" si="431"/>
        <v>0</v>
      </c>
      <c r="JA99" s="439">
        <f t="shared" si="432"/>
        <v>0</v>
      </c>
      <c r="JB99" s="439">
        <f t="shared" si="433"/>
        <v>0</v>
      </c>
      <c r="JC99" s="439">
        <f t="shared" si="434"/>
        <v>0</v>
      </c>
      <c r="JD99" s="439">
        <f t="shared" si="435"/>
        <v>0</v>
      </c>
      <c r="JE99" s="439">
        <f t="shared" si="436"/>
        <v>0</v>
      </c>
      <c r="JF99" s="439">
        <f t="shared" si="437"/>
        <v>0</v>
      </c>
      <c r="JG99" s="439">
        <f t="shared" si="438"/>
        <v>0</v>
      </c>
      <c r="JH99" s="439">
        <f t="shared" si="439"/>
        <v>0</v>
      </c>
      <c r="JI99" s="439">
        <f t="shared" si="440"/>
        <v>0</v>
      </c>
      <c r="JJ99" s="442">
        <f t="shared" si="441"/>
        <v>0</v>
      </c>
      <c r="JK99" s="442">
        <f t="shared" si="442"/>
        <v>0</v>
      </c>
      <c r="JL99" s="439">
        <f t="shared" si="443"/>
        <v>0</v>
      </c>
      <c r="JM99" s="439">
        <f t="shared" si="444"/>
        <v>0</v>
      </c>
      <c r="JN99" s="661">
        <f t="shared" si="445"/>
        <v>0</v>
      </c>
      <c r="JO99" s="661">
        <f t="shared" si="446"/>
        <v>0</v>
      </c>
      <c r="JP99" s="439">
        <f t="shared" si="447"/>
        <v>0</v>
      </c>
      <c r="JQ99" s="439">
        <f t="shared" si="448"/>
        <v>0</v>
      </c>
      <c r="JR99" s="439">
        <f t="shared" si="449"/>
        <v>0</v>
      </c>
      <c r="JS99" s="439">
        <f t="shared" si="450"/>
        <v>0</v>
      </c>
      <c r="JT99" s="631" t="s">
        <v>92</v>
      </c>
      <c r="JU99" s="631">
        <f t="shared" si="459"/>
        <v>1.1481085449485642</v>
      </c>
      <c r="JW99" s="522"/>
      <c r="JX99" s="522"/>
      <c r="JY99" s="522"/>
      <c r="JZ99" s="522"/>
      <c r="KA99" s="522"/>
      <c r="KB99" s="522"/>
      <c r="KC99" s="522"/>
      <c r="KD99" s="522"/>
      <c r="KE99" s="522"/>
      <c r="KF99" s="522"/>
      <c r="KG99" s="522"/>
      <c r="KH99" s="522"/>
      <c r="KI99" s="522"/>
      <c r="KJ99" s="522"/>
      <c r="KK99" s="522"/>
      <c r="KL99" s="522"/>
    </row>
    <row r="100" spans="1:298">
      <c r="A100" s="77"/>
      <c r="B100" s="579">
        <v>4</v>
      </c>
      <c r="C100" s="579"/>
      <c r="D100" s="579">
        <f t="shared" si="481"/>
        <v>0.18000000000000002</v>
      </c>
      <c r="E100" s="579">
        <f t="shared" si="481"/>
        <v>0.18000000000000002</v>
      </c>
      <c r="F100" s="579">
        <f t="shared" si="481"/>
        <v>0</v>
      </c>
      <c r="G100" s="579">
        <f t="shared" si="481"/>
        <v>0</v>
      </c>
      <c r="H100" s="579">
        <f t="shared" si="481"/>
        <v>0</v>
      </c>
      <c r="I100" s="579">
        <f t="shared" si="481"/>
        <v>0</v>
      </c>
      <c r="J100" s="579">
        <f t="shared" si="481"/>
        <v>0</v>
      </c>
      <c r="K100" s="579">
        <f t="shared" si="481"/>
        <v>0</v>
      </c>
      <c r="L100" s="579">
        <f t="shared" si="481"/>
        <v>0</v>
      </c>
      <c r="M100" s="579">
        <f t="shared" si="481"/>
        <v>0</v>
      </c>
      <c r="N100" s="579">
        <f t="shared" si="481"/>
        <v>0</v>
      </c>
      <c r="O100" s="579">
        <f t="shared" si="481"/>
        <v>0</v>
      </c>
      <c r="P100" s="579"/>
      <c r="Q100" s="579"/>
      <c r="R100" s="579"/>
      <c r="S100" s="579"/>
      <c r="T100" s="579"/>
      <c r="U100" s="580"/>
      <c r="V100" s="580"/>
      <c r="W100" s="579"/>
      <c r="X100" s="579"/>
      <c r="Y100" s="579"/>
      <c r="Z100" s="579"/>
      <c r="AA100" s="579"/>
      <c r="AB100" s="579"/>
      <c r="AC100" s="580"/>
      <c r="AD100" s="580"/>
      <c r="AE100" s="579"/>
      <c r="AF100" s="579"/>
      <c r="AG100" s="579"/>
      <c r="AH100" s="579"/>
      <c r="AI100" s="579"/>
      <c r="AJ100" s="579"/>
      <c r="AK100" s="579"/>
      <c r="AL100" s="580"/>
      <c r="AM100" s="580"/>
      <c r="AN100" s="579"/>
      <c r="AO100" s="579"/>
      <c r="AP100" s="579"/>
      <c r="AQ100" s="579"/>
      <c r="AR100" s="579"/>
      <c r="AS100" s="579"/>
      <c r="AT100" s="580"/>
      <c r="AU100" s="580"/>
      <c r="AV100" s="581">
        <f>IF($AY$30,I89*$I$82,0)</f>
        <v>0</v>
      </c>
      <c r="AW100" s="581">
        <f>IF($AY$32,'Data Sheet'!AA121,0)</f>
        <v>0</v>
      </c>
      <c r="AX100" s="581">
        <f t="shared" si="482"/>
        <v>40.704999999999998</v>
      </c>
      <c r="AY100" s="579"/>
      <c r="AZ100" s="579"/>
      <c r="BA100" s="579"/>
      <c r="BB100" s="579"/>
      <c r="BC100" s="579"/>
      <c r="BD100" s="579"/>
      <c r="BE100" s="579"/>
      <c r="BF100" s="579"/>
      <c r="BG100" s="379"/>
      <c r="BH100" s="379"/>
      <c r="BI100" s="379"/>
      <c r="BJ100" s="379"/>
      <c r="BK100" s="379"/>
      <c r="BL100" s="379"/>
      <c r="BM100" s="379"/>
      <c r="BN100" s="379"/>
      <c r="BO100" s="379"/>
      <c r="BP100" s="379"/>
      <c r="BQ100" s="379"/>
      <c r="BR100" s="379"/>
      <c r="BS100" s="379"/>
      <c r="BT100" s="379"/>
      <c r="BU100" s="379"/>
      <c r="BV100" s="379"/>
      <c r="BW100" s="379"/>
      <c r="BX100" s="379"/>
      <c r="BY100" s="379"/>
      <c r="BZ100" s="379"/>
      <c r="CA100" s="379"/>
      <c r="CB100" s="379"/>
      <c r="CC100" s="379"/>
      <c r="CD100" s="379"/>
      <c r="CE100" s="379"/>
      <c r="CF100" s="379"/>
      <c r="CG100" s="379"/>
      <c r="CH100" s="77"/>
      <c r="CI100" s="77"/>
      <c r="CJ100" s="380"/>
      <c r="CK100" s="380"/>
      <c r="CL100" s="381"/>
      <c r="CM100" s="381"/>
      <c r="CN100" s="381"/>
      <c r="CO100" s="694" t="str">
        <f ca="1"/>
        <v>S427Q 1S</v>
      </c>
      <c r="CP100" s="632" t="str">
        <f>IF(OR(CQ100=0,CR100="",CS100&gt;120),"",IF(HLOOKUP(CQ100,Spec_Sheet!$F$3:$ED$19,17,FALSE)&lt;$AC$46,"",CQ100))</f>
        <v>S350Q 1S</v>
      </c>
      <c r="CQ100" s="660" t="str">
        <f>IF(Spec_Sheet!A99="","",Spec_Sheet!A99)</f>
        <v>S350Q 1S</v>
      </c>
      <c r="CR100" s="660">
        <f>IF(CQ100="",0,HLOOKUP(CQ100,Spec_Sheet!$F$3:$ED$19,2,FALSE))</f>
        <v>189.99900000000002</v>
      </c>
      <c r="CS100" s="660">
        <f t="shared" si="461"/>
        <v>3.1874590923401295E-4</v>
      </c>
      <c r="CT100" s="621">
        <f t="shared" si="310"/>
        <v>3.6966981189270139E-4</v>
      </c>
      <c r="CU100" s="621">
        <f t="shared" ref="CU100:CU107" si="483">((JU100/DB100)/((CR100*2)/DB100))^2*100</f>
        <v>3.1874590923401295E-4</v>
      </c>
      <c r="CV100" s="621">
        <f t="shared" si="311"/>
        <v>5.7760908108234589E-4</v>
      </c>
      <c r="CW100" s="621">
        <f t="shared" si="312"/>
        <v>5.1348268514177545E-4</v>
      </c>
      <c r="CX100" s="621">
        <f t="shared" si="456"/>
        <v>3.3112324668577755E-4</v>
      </c>
      <c r="CY100" s="619">
        <f>HLOOKUP(CQ100,Spec_Sheet!$F$3:$ED$19,13,FALSE)</f>
        <v>2.4</v>
      </c>
      <c r="CZ100" s="619">
        <f>VLOOKUP(HH100,'Shaft Weight'!$A$6:$CD$102,HJ100,TRUE)</f>
        <v>3.1</v>
      </c>
      <c r="DA100" s="619">
        <f>VLOOKUP(HI100,'Shaft Weight'!$A$6:$CD$102,HJ100,0)</f>
        <v>4.9000000000000004</v>
      </c>
      <c r="DB100" s="619">
        <f>HLOOKUP(CQ100,Spec_Sheet!$F$3:$ED$19,6,FALSE)</f>
        <v>35.185000000000002</v>
      </c>
      <c r="DC100" s="439">
        <f t="shared" ref="DC100:DC123" si="484">(ML+$CY100)*$AC$7+$DD100-IF(AND($Z$4,$V$11),Fl,0)</f>
        <v>3.5868000000000002</v>
      </c>
      <c r="DD100" s="440">
        <f t="shared" ref="DD100:DD123" si="485">(ML+$CY100)*(9.81*IF($W$11&gt;0,1,-1))*((SIN(a)*IF($W$11&gt;0,1,-1))+u*COS(a))+IF($V$11,Fl,0)+Fr</f>
        <v>2.7468000000000004</v>
      </c>
      <c r="DE100" s="439">
        <f t="shared" ref="DE100:DE123" si="486">(ML+$CY100)*$AC$10-$DD100+IF(AND($Z$4,$V$11),Fl,0)</f>
        <v>-1.9068000000000005</v>
      </c>
      <c r="DF100" s="439">
        <f t="shared" ref="DF100:DF123" si="487">(ML+$CY100)*9.81*SIN(a)+IF($V$11,Fl,0)-IF(AND($Z$4,$V$11),Fl,0)</f>
        <v>0</v>
      </c>
      <c r="DG100" s="439">
        <f t="shared" ref="DG100:DG123" si="488">IF($P$13,(ML+$CY100)*$AC$15+$DH100,0)</f>
        <v>0</v>
      </c>
      <c r="DH100" s="439">
        <f t="shared" ref="DH100:DH123" si="489">IF($P$13,(ML+$CY100)*(9.81*IF($W$19&gt;0,1,-1))*((SIN(a)*IF($W$19&gt;0,1,-1))+u*COS(a))+IF($V$19,Fl,0)+Fr,0)</f>
        <v>0</v>
      </c>
      <c r="DI100" s="439">
        <f t="shared" ref="DI100:DI123" si="490">IF($P$13,(ML+$CY100)*$AC$18-$DH100,0)</f>
        <v>0</v>
      </c>
      <c r="DJ100" s="439">
        <f t="shared" ref="DJ100:DJ123" si="491">IF($P$13,(ML+$CY100)*9.81*SIN(a)+IF($V$19,Fl,0),0)</f>
        <v>0</v>
      </c>
      <c r="DK100" s="439">
        <f t="shared" ref="DK100:DK123" si="492">IF($P$21,(ML+$CY100)*$AC$23+$DL100,0)</f>
        <v>0</v>
      </c>
      <c r="DL100" s="439">
        <f t="shared" ref="DL100:DL123" si="493">IF($P$21,(ML+$CY100)*(9.81*IF($W$27&gt;0,1,-1))*((SIN(a)*IF($W$27&gt;0,1,-1))+u*COS(a))+IF($V$27,Fl,0)+Fr,0)</f>
        <v>0</v>
      </c>
      <c r="DM100" s="439">
        <f t="shared" ref="DM100:DM123" si="494">IF($P$21,(ML+$CY100)*$AC$26-$DL100,0)</f>
        <v>0</v>
      </c>
      <c r="DN100" s="439">
        <f t="shared" ref="DN100:DN123" si="495">IF($P$21,(ML+$CY100)*9.81*SIN(a)+IF($V$27,Fl,0),0)</f>
        <v>0</v>
      </c>
      <c r="DO100" s="439">
        <f t="shared" ref="DO100:DO123" si="496">IF($AG$5,(ML+$CY100)*$AT$7+$DP100,0)</f>
        <v>0</v>
      </c>
      <c r="DP100" s="439">
        <f t="shared" ref="DP100:DP123" si="497">IF($AG$5,(ML+$CY100)*(9.81*IF($AN$11&gt;0,1,-1))*((SIN(a)*IF($AN$11&gt;0,1,-1))+u*COS(a))+IF($AM$11,Fl,0)+Fr,0)</f>
        <v>0</v>
      </c>
      <c r="DQ100" s="442">
        <f t="shared" ref="DQ100:DQ123" si="498">IF($AG$5,(ML+$CY100)*$AT$10-$DP100,0)</f>
        <v>0</v>
      </c>
      <c r="DR100" s="442">
        <f t="shared" ref="DR100:DR123" si="499">IF($AG$5,(ML+$CY100)*9.81*SIN(a)+IF($AM$11,Fl,0),0)</f>
        <v>0</v>
      </c>
      <c r="DS100" s="439">
        <f t="shared" ref="DS100:DS123" si="500">IF($AG$13,(ML+$CY100)*$AT$15+$DT100,0)</f>
        <v>0</v>
      </c>
      <c r="DT100" s="439">
        <f t="shared" ref="DT100:DT123" si="501">IF($AG$13,(ML+$CY100)*(9.81*IF($AN$19&gt;0,1,-1))*((SIN(a)*IF($AN$19&gt;0,1,-1))+u*COS(a))+IF($AM$19,Fl,0)+Fr,0)</f>
        <v>0</v>
      </c>
      <c r="DU100" s="661">
        <f t="shared" ref="DU100:DU123" si="502">IF($AG$13,(ML+$CY100)*$AT$18-$DT100,0)</f>
        <v>0</v>
      </c>
      <c r="DV100" s="661">
        <f t="shared" ref="DV100:DV123" si="503">IF($AG$13,(ML+$CY100)*9.81*SIN(a)+IF($AM$19,Fl,0),0)</f>
        <v>0</v>
      </c>
      <c r="DW100" s="439">
        <f t="shared" ref="DW100:DW123" si="504">IF($AG$21,(ML+$CY100)*$AT$23+$DX100,0)</f>
        <v>0</v>
      </c>
      <c r="DX100" s="439">
        <f t="shared" ref="DX100:DX123" si="505">IF($AG$21,(ML+$CY100)*(9.81*IF($AN$27&gt;0,1,-1))*((SIN(a)*IF($AN$27&gt;0,1,-1))+u*COS(a))+IF($AM$27,Fl,0)+Fr,0)</f>
        <v>0</v>
      </c>
      <c r="DY100" s="439">
        <f t="shared" ref="DY100:DY123" si="506">IF($AG$21,(ML+$CY100)*$AT$26-$DX100,0)</f>
        <v>0</v>
      </c>
      <c r="DZ100" s="439">
        <f t="shared" ref="DZ100:DZ123" si="507">IF($AG$21,(ML+$CY100)*9.81*SIN(a)+IF($AM$27,Fl,0),0)</f>
        <v>0</v>
      </c>
      <c r="EA100" s="631" t="s">
        <v>92</v>
      </c>
      <c r="EB100" s="631">
        <f t="shared" si="451"/>
        <v>0.36530726430181587</v>
      </c>
      <c r="ED100" s="439">
        <f t="shared" ref="ED100:ED123" si="508">(ML+($CZ100*2))*$AC$7+$EE100-IF(AND($Z$4,$V$11),Fl,0)</f>
        <v>8.454600000000001</v>
      </c>
      <c r="EE100" s="440">
        <f t="shared" ref="EE100:EE123" si="509">(ML+($CZ100*2))*(9.81*IF($W$11&gt;0,1,-1))*((SIN(a)*IF($W$11&gt;0,1,-1))+u*COS(a))+IF($V$11,Fl,0)+Fr</f>
        <v>6.4746000000000015</v>
      </c>
      <c r="EF100" s="439">
        <f t="shared" ref="EF100:EF123" si="510">(ML+($CZ100*2))*$AC$10-$EE100+IF(AND($Z$4,$V$11),Fl,0)</f>
        <v>-4.4946000000000019</v>
      </c>
      <c r="EG100" s="441">
        <f t="shared" ref="EG100:EG123" si="511">(ML+($CZ100*2))*9.81*SIN(a)+IF($V$11,Fl,0)-IF(AND($Z$4,$V$11),Fl,0)</f>
        <v>0</v>
      </c>
      <c r="EH100" s="439">
        <f t="shared" ref="EH100:EH123" si="512">IF($P$13,(ML+($CZ100*2))*$AC$15+$EI100,0)</f>
        <v>0</v>
      </c>
      <c r="EI100" s="439">
        <f t="shared" ref="EI100:EI123" si="513">IF($P$13,(ML+($CZ100*2))*(9.81*IF($W$19&gt;0,1,-1))*((SIN(a)*IF($W$19&gt;0,1,-1))+u*COS(a))+IF($V$19,Fl,0)+Fr,0)</f>
        <v>0</v>
      </c>
      <c r="EJ100" s="439">
        <f t="shared" ref="EJ100:EJ123" si="514">IF($P$13,(ML+($CZ100*2))*$AC$18-$EI100,0)</f>
        <v>0</v>
      </c>
      <c r="EK100" s="439">
        <f t="shared" ref="EK100:EK123" si="515">IF($P$13,(ML+($CZ100*2))*9.81*SIN(a)+IF($V$19,Fl,0),0)</f>
        <v>0</v>
      </c>
      <c r="EL100" s="439">
        <f t="shared" ref="EL100:EL123" si="516">IF($P$21,(ML+($CZ100*2))*$AC$23+$EM100,0)</f>
        <v>0</v>
      </c>
      <c r="EM100" s="439">
        <f t="shared" ref="EM100:EM123" si="517">IF($P$21,(ML+($CZ100*2))*(9.81*IF($W$27&gt;0,1,-1))*((SIN(a)*IF($W$27&gt;0,1,-1))+u*COS(a))+IF($V$27,Fl,0)+Fr,0)</f>
        <v>0</v>
      </c>
      <c r="EN100" s="439">
        <f t="shared" ref="EN100:EN123" si="518">IF($P$21,(ML+($CZ100*2))*$AC$26-$EM100,0)</f>
        <v>0</v>
      </c>
      <c r="EO100" s="439">
        <f t="shared" ref="EO100:EO123" si="519">IF($P$21,(ML+($CZ100*2))*9.81*SIN(a)+IF($V$27,Fl,0),0)</f>
        <v>0</v>
      </c>
      <c r="EP100" s="439">
        <f t="shared" ref="EP100:EP123" si="520">IF($AG$5,(ML+($CZ100*2))*$AT$7+$EQ100,0)</f>
        <v>0</v>
      </c>
      <c r="EQ100" s="439">
        <f t="shared" ref="EQ100:EQ123" si="521">IF($AG$5,(ML+($CZ100*2))*(9.81*IF($AN$11&gt;0,1,-1))*((SIN(a)*IF($AN$11&gt;0,1,-1))+u*COS(a))+IF($AM$11,Fl,0)+Fr,0)</f>
        <v>0</v>
      </c>
      <c r="ER100" s="442">
        <f t="shared" ref="ER100:ER123" si="522">IF($AG$5,(ML+($CZ100*2))*$AT$10-$EQ100,0)</f>
        <v>0</v>
      </c>
      <c r="ES100" s="442">
        <f t="shared" ref="ES100:ES123" si="523">IF($AG$5,(ML+($CZ100*2))*9.81*SIN(a)+IF($AM$11,Fl,0),0)</f>
        <v>0</v>
      </c>
      <c r="ET100" s="439">
        <f t="shared" ref="ET100:ET123" si="524">IF($AG$13,(ML+($CZ100*2))*$AT$15+$EU100,0)</f>
        <v>0</v>
      </c>
      <c r="EU100" s="439">
        <f t="shared" ref="EU100:EU123" si="525">IF($AG$13,(ML+($CZ100*2))*(9.81*IF($AN$19&gt;0,1,-1))*((SIN(a)*IF($AN$19&gt;0,1,-1))+u*COS(a))+IF($AM$19,Fl,0)+Fr,0)</f>
        <v>0</v>
      </c>
      <c r="EV100" s="661">
        <f t="shared" ref="EV100:EV123" si="526">IF($AG$13,(ML+($CZ100*2))*$AT$18-$EU100,0)</f>
        <v>0</v>
      </c>
      <c r="EW100" s="661">
        <f t="shared" ref="EW100:EW123" si="527">IF($AG$13,(ML+($CZ100*2))*9.81*SIN(a)+IF($AM$19,Fl,0),0)</f>
        <v>0</v>
      </c>
      <c r="EX100" s="439">
        <f t="shared" ref="EX100:EX123" si="528">IF($AG$21,(ML+($CZ100*2))*$AT$23+$EY100,0)</f>
        <v>0</v>
      </c>
      <c r="EY100" s="439">
        <f t="shared" ref="EY100:EY123" si="529">IF($AG$21,(ML+($CZ100*2))*(9.81*IF($AN$27&gt;0,1,-1))*((SIN(a)*IF($AN$27&gt;0,1,-1))+u*COS(a))+IF($AM$27,Fl,0)+Fr,0)</f>
        <v>0</v>
      </c>
      <c r="EZ100" s="439">
        <f t="shared" ref="EZ100:EZ123" si="530">IF($AG$21,(ML+($CZ100*2))*$AT$26-$EY100,0)</f>
        <v>0</v>
      </c>
      <c r="FA100" s="439">
        <f t="shared" ref="FA100:FA123" si="531">IF($AG$21,(ML+($CZ100*2))*9.81*SIN(a)+IF($AM$27,Fl,0),0)</f>
        <v>0</v>
      </c>
      <c r="FB100" s="631" t="s">
        <v>92</v>
      </c>
      <c r="FC100" s="631">
        <f t="shared" si="452"/>
        <v>0.86108140871142325</v>
      </c>
      <c r="FE100" s="439">
        <f t="shared" ref="FE100:FE123" si="532">(ML+$CZ100)*$AC$7+$FF100-IF(AND($Z$4,$V$11),Fl,0)</f>
        <v>4.4835000000000003</v>
      </c>
      <c r="FF100" s="440">
        <f t="shared" ref="FF100:FF123" si="533">(ML+$CZ100)*(9.81*IF($W$11&gt;0,1,-1))*((SIN(a)*IF($W$11&gt;0,1,-1))+u*COS(a))+IF($V$11,Fl,0)+Fr</f>
        <v>3.4335000000000004</v>
      </c>
      <c r="FG100" s="439">
        <f t="shared" ref="FG100:FG123" si="534">(ML+$CZ100)*$AC$10-$FF100+IF(AND($Z$4,$V$11),Fl,0)</f>
        <v>-2.3835000000000006</v>
      </c>
      <c r="FH100" s="441">
        <f t="shared" ref="FH100:FH123" si="535">(ML+$CZ100)*9.81*SIN(a)+IF($V$11,Fl,0)-IF(AND($Z$4,$V$11),Fl,0)</f>
        <v>0</v>
      </c>
      <c r="FI100" s="439">
        <f t="shared" ref="FI100:FI123" si="536">IF($P$13,(ML+$CZ100)*$AC$15+$FJ100,0)</f>
        <v>0</v>
      </c>
      <c r="FJ100" s="439">
        <f t="shared" ref="FJ100:FJ123" si="537">IF($P$13,(ML+$CZ100)*(9.81*IF($W$19&gt;0,1,-1))*((SIN(a)*IF($W$19&gt;0,1,-1))+u*COS(a))+IF($V$19,Fl,0)+Fr,0)</f>
        <v>0</v>
      </c>
      <c r="FK100" s="439">
        <f t="shared" ref="FK100:FK123" si="538">IF($P$13,(ML+$CZ100)*$AC$18-$FJ100,0)</f>
        <v>0</v>
      </c>
      <c r="FL100" s="439">
        <f t="shared" ref="FL100:FL123" si="539">IF($P$13,(ML+$CZ100)*9.81*SIN(a)+IF($V$19,Fl,0),0)</f>
        <v>0</v>
      </c>
      <c r="FM100" s="439">
        <f t="shared" ref="FM100:FM123" si="540">IF($P$21,(ML+$CZ100)*$AC$23+$FN100,0)</f>
        <v>0</v>
      </c>
      <c r="FN100" s="439">
        <f t="shared" ref="FN100:FN123" si="541">IF($P$21,(ML+$CZ100)*(9.81*IF($W$27&gt;0,1,-1))*((SIN(a)*IF($W$27&gt;0,1,-1))+u*COS(a))+IF($V$27,Fl,0)+Fr,0)</f>
        <v>0</v>
      </c>
      <c r="FO100" s="439">
        <f t="shared" ref="FO100:FO123" si="542">IF($P$21,(ML+$CZ100)*$AC$26-$FN100,0)</f>
        <v>0</v>
      </c>
      <c r="FP100" s="439">
        <f t="shared" ref="FP100:FP123" si="543">IF($P$21,(ML+$CZ100)*9.81*SIN(a)+IF($V$27,Fl,0),0)</f>
        <v>0</v>
      </c>
      <c r="FQ100" s="439">
        <f t="shared" ref="FQ100:FQ123" si="544">IF($AG$5,(ML+$CZ100)*$AT$7+$FR100,0)</f>
        <v>0</v>
      </c>
      <c r="FR100" s="439">
        <f t="shared" ref="FR100:FR123" si="545">IF($AG$5,(ML+$CZ100)*(9.81*IF($AN$11&gt;0,1,-1))*((SIN(a)*IF($AN$11&gt;0,1,-1))+u*COS(a))+IF($AM$11,Fl,0)+Fr,0)</f>
        <v>0</v>
      </c>
      <c r="FS100" s="442">
        <f t="shared" ref="FS100:FS123" si="546">IF($AG$5,(ML+$CZ100)*$AT$10-$FR100,0)</f>
        <v>0</v>
      </c>
      <c r="FT100" s="442">
        <f t="shared" ref="FT100:FT123" si="547">IF($AG$5,(ML+$CZ100)*9.81*SIN(a)+IF($AM$11,Fl,0),0)</f>
        <v>0</v>
      </c>
      <c r="FU100" s="439">
        <f t="shared" ref="FU100:FU123" si="548">IF($AG$13,(ML+$CZ100)*$AT$15+$FV100,0)</f>
        <v>0</v>
      </c>
      <c r="FV100" s="439">
        <f t="shared" ref="FV100:FV123" si="549">IF($AG$13,(ML+$CZ100)*(9.81*IF($AN$19&gt;0,1,-1))*((SIN(a)*IF($AN$19&gt;0,1,-1))+u*COS(a))+IF($AM$19,Fl,0)+Fr,0)</f>
        <v>0</v>
      </c>
      <c r="FW100" s="661">
        <f t="shared" ref="FW100:FW123" si="550">IF($AG$13,(ML+$CZ100)*$AT$18-$FV100,0)</f>
        <v>0</v>
      </c>
      <c r="FX100" s="661">
        <f t="shared" ref="FX100:FX123" si="551">IF($AG$13,(ML+$CZ100)*9.81*SIN(a)+IF($AM$19,Fl,0),0)</f>
        <v>0</v>
      </c>
      <c r="FY100" s="439">
        <f t="shared" ref="FY100:FY123" si="552">IF($AG$21,(ML+$CZ100)*$AT$23+$FZ100,0)</f>
        <v>0</v>
      </c>
      <c r="FZ100" s="439">
        <f t="shared" ref="FZ100:FZ123" si="553">IF($AG$21,(ML+$CZ100)*(9.81*IF($AN$27&gt;0,1,-1))*((SIN(a)*IF($AN$27&gt;0,1,-1))+u*COS(a))+IF($AM$27,Fl,0)+Fr,0)</f>
        <v>0</v>
      </c>
      <c r="GA100" s="439">
        <f t="shared" ref="GA100:GA123" si="554">IF($AG$21,(ML+$CZ100)*$AT$26-$FZ100,0)</f>
        <v>0</v>
      </c>
      <c r="GB100" s="439">
        <f t="shared" ref="GB100:GB123" si="555">IF($AG$21,(ML+$CZ100)*9.81*SIN(a)+IF($AM$27,Fl,0),0)</f>
        <v>0</v>
      </c>
      <c r="GC100" s="631" t="s">
        <v>92</v>
      </c>
      <c r="GD100" s="631">
        <f t="shared" si="453"/>
        <v>0.45663408037726982</v>
      </c>
      <c r="GF100" s="439">
        <f t="shared" ref="GF100:GF123" si="556">(ML+DA100)*$AC$7+$GG100-IF(AND($Z$4,$V$11),Fl,0)</f>
        <v>6.7893000000000008</v>
      </c>
      <c r="GG100" s="440">
        <f t="shared" ref="GG100:GG123" si="557">(ML+$DA100)*(9.81*IF($W$11&gt;0,1,-1))*((SIN(a)*IF($W$11&gt;0,1,-1))+u*COS(a))+IF($V$11,Fl,0)+Fr</f>
        <v>5.1993000000000009</v>
      </c>
      <c r="GH100" s="439">
        <f t="shared" ref="GH100:GH123" si="558">(ML+$DA100)*$AC$10-$GG100+IF(AND($Z$4,$V$11),Fl,0)</f>
        <v>-3.6093000000000011</v>
      </c>
      <c r="GI100" s="439">
        <f t="shared" ref="GI100:GI123" si="559">(ML+$DA100)*9.81*SIN(a)+IF($V$11,Fl,0)-IF(AND($Z$4,$V$11),Fl,0)</f>
        <v>0</v>
      </c>
      <c r="GJ100" s="439">
        <f t="shared" ref="GJ100:GJ123" si="560">IF($P$13,(ML+$DA100)*$AC$15+$GK100,0)</f>
        <v>0</v>
      </c>
      <c r="GK100" s="439">
        <f t="shared" ref="GK100:GK123" si="561">IF($P$13,(ML+$DA100)*(9.81*IF($W$19&gt;0,1,-1))*((SIN(a)*IF($W$19&gt;0,1,-1))+u*COS(a))+IF($V$19,Fl,0)+Fr,0)</f>
        <v>0</v>
      </c>
      <c r="GL100" s="439">
        <f t="shared" ref="GL100:GL123" si="562">IF($P$13,(ML+$DA100)*$AC$18-$GK100,0)</f>
        <v>0</v>
      </c>
      <c r="GM100" s="439">
        <f t="shared" ref="GM100:GM123" si="563">IF($P$13,(ML+$DA100)*9.81*SIN(a)+IF($V$19,Fl,0),0)</f>
        <v>0</v>
      </c>
      <c r="GN100" s="439">
        <f t="shared" ref="GN100:GN123" si="564">IF($P$21,(ML+$DA100)*$AC$23+$GO100,0)</f>
        <v>0</v>
      </c>
      <c r="GO100" s="439">
        <f t="shared" ref="GO100:GO123" si="565">IF($P$21,(ML+$DA100)*(9.81*IF($W$27&gt;0,1,-1))*((SIN(a)*IF($W$27&gt;0,1,-1))+u*COS(a))+IF($V$27,Fl,0)+Fr,0)</f>
        <v>0</v>
      </c>
      <c r="GP100" s="439">
        <f t="shared" ref="GP100:GP123" si="566">IF($P$21,(ML+$DA100)*$AC$26-$GO100,0)</f>
        <v>0</v>
      </c>
      <c r="GQ100" s="439">
        <f t="shared" ref="GQ100:GQ123" si="567">IF($P$21,(ML+$DA100)*9.81*SIN(a)+IF($V$27,Fl,0),0)</f>
        <v>0</v>
      </c>
      <c r="GR100" s="439">
        <f t="shared" ref="GR100:GR123" si="568">IF($AG$5,(ML+$DA100)*$AT$7+$GS100,0)</f>
        <v>0</v>
      </c>
      <c r="GS100" s="439">
        <f t="shared" ref="GS100:GS123" si="569">IF($AG$5,(ML+$DA100)*(9.81*IF($AN$11&gt;0,1,-1))*((SIN(a)*IF($AN$11&gt;0,1,-1))+u*COS(a))+IF($AM$11,Fl,0)+Fr,0)</f>
        <v>0</v>
      </c>
      <c r="GT100" s="442">
        <f t="shared" ref="GT100:GT123" si="570">IF($AG$5,(ML+$DA100)*$AT$10-$GS100,0)</f>
        <v>0</v>
      </c>
      <c r="GU100" s="442">
        <f t="shared" ref="GU100:GU123" si="571">IF($AG$5,(ML+$DA100)*9.81*SIN(a)+IF($AM$11,Fl,0),0)</f>
        <v>0</v>
      </c>
      <c r="GV100" s="439">
        <f t="shared" ref="GV100:GV123" si="572">IF($AG$13,(ML+$DA100)*$AT$15+$GW100,0)</f>
        <v>0</v>
      </c>
      <c r="GW100" s="439">
        <f t="shared" ref="GW100:GW123" si="573">IF($AG$13,(ML+$DA100)*(9.81*IF($AN$19&gt;0,1,-1))*((SIN(a)*IF($AN$19&gt;0,1,-1))+u*COS(a))+IF($AM$19,Fl,0)+Fr,0)</f>
        <v>0</v>
      </c>
      <c r="GX100" s="661">
        <f t="shared" ref="GX100:GX123" si="574">IF($AG$13,(ML+$DA100)*$AT$18-$GW100,0)</f>
        <v>0</v>
      </c>
      <c r="GY100" s="661">
        <f t="shared" ref="GY100:GY123" si="575">IF($AG$13,(ML+$DA100)*9.81*SIN(a)+IF($AM$19,Fl,0),0)</f>
        <v>0</v>
      </c>
      <c r="GZ100" s="439">
        <f t="shared" ref="GZ100:GZ123" si="576">IF($AG$21,(ML+$DA100)*$AT$23+$HA100,0)</f>
        <v>0</v>
      </c>
      <c r="HA100" s="439">
        <f t="shared" ref="HA100:HA123" si="577">IF($AG$21,(ML+$DA100)*(9.81*IF($AN$27&gt;0,1,-1))*((SIN(a)*IF($AN$27&gt;0,1,-1))+u*COS(a))+IF($AM$27,Fl,0)+Fr,0)</f>
        <v>0</v>
      </c>
      <c r="HB100" s="439">
        <f t="shared" ref="HB100:HB123" si="578">IF($AG$21,(ML+$DA100)*$AT$26-$HA100,0)</f>
        <v>0</v>
      </c>
      <c r="HC100" s="439">
        <f t="shared" ref="HC100:HC123" si="579">IF($AG$21,(ML+$DA100)*9.81*SIN(a)+IF($AM$27,Fl,0),0)</f>
        <v>0</v>
      </c>
      <c r="HD100" s="631" t="s">
        <v>92</v>
      </c>
      <c r="HE100" s="631">
        <f t="shared" si="306"/>
        <v>0.69147446457129436</v>
      </c>
      <c r="HG100" s="618">
        <f>HLOOKUP(CQ100,Spec_Sheet!$F$3:$DV$19,11,FALSE)+HLOOKUP(CQ100,Spec_Sheet!$F$3:$DV$21,19,FALSE)</f>
        <v>300</v>
      </c>
      <c r="HH100" s="618">
        <f t="shared" si="454"/>
        <v>100</v>
      </c>
      <c r="HI100" s="634">
        <f t="shared" si="455"/>
        <v>350</v>
      </c>
      <c r="HJ100" s="634">
        <f>HLOOKUP(IF(LEN(CQ100)&gt;6,LEFT(CQ100,5),CQ100),'LSM List Pricing'!$B$1:$BW$2,2,0)</f>
        <v>57</v>
      </c>
      <c r="HK100" s="634">
        <f>HLOOKUP(HJ100,'LSM List Pricing'!$B$2:$BW$3,2)</f>
        <v>690</v>
      </c>
      <c r="HL100" s="634">
        <f>VLOOKUP(HH100,'LSM List Pricing'!$A$7:$BW$87,HJ100,0)</f>
        <v>1260</v>
      </c>
      <c r="HM100" s="627">
        <f>VLOOKUP(HI100,'LSM List Pricing'!$A$7:$BW$87,HJ100,1)</f>
        <v>1810</v>
      </c>
      <c r="HN100" s="628">
        <f t="shared" si="307"/>
        <v>5</v>
      </c>
      <c r="HO100" s="628">
        <f t="shared" si="308"/>
        <v>10</v>
      </c>
      <c r="HP100" s="628">
        <f t="shared" si="309"/>
        <v>8.1794871794871788</v>
      </c>
      <c r="HR100" s="618">
        <v>4.8500000000000001E-2</v>
      </c>
      <c r="HS100" s="618">
        <f t="shared" si="457"/>
        <v>325.64285714285717</v>
      </c>
      <c r="HT100" s="618">
        <f t="shared" si="458"/>
        <v>1</v>
      </c>
      <c r="HU100" s="618">
        <f t="shared" si="466"/>
        <v>1.2352274892333646</v>
      </c>
      <c r="HW100" s="618">
        <f t="shared" si="413"/>
        <v>34.245976965288619</v>
      </c>
      <c r="HX100" s="618">
        <f t="shared" si="467"/>
        <v>1.2048253502240716</v>
      </c>
      <c r="HY100" s="618">
        <f t="shared" si="468"/>
        <v>4.8500000000000001E-2</v>
      </c>
      <c r="IB100" s="618">
        <f t="shared" si="414"/>
        <v>25.000350341399081</v>
      </c>
      <c r="IC100" s="618">
        <f t="shared" si="415"/>
        <v>1E-3</v>
      </c>
      <c r="IE100" s="618">
        <f t="shared" si="416"/>
        <v>0</v>
      </c>
      <c r="IF100" s="618">
        <f t="shared" si="417"/>
        <v>40.704999999999998</v>
      </c>
      <c r="IH100" s="618">
        <f t="shared" si="418"/>
        <v>0</v>
      </c>
      <c r="II100" s="618">
        <f t="shared" si="419"/>
        <v>40.704999999999998</v>
      </c>
      <c r="IK100" s="618">
        <f t="shared" si="420"/>
        <v>0</v>
      </c>
      <c r="IL100" s="618">
        <f t="shared" si="421"/>
        <v>40.704999999999998</v>
      </c>
      <c r="IN100" s="618">
        <f t="shared" si="422"/>
        <v>0</v>
      </c>
      <c r="IO100" s="618">
        <f t="shared" si="423"/>
        <v>40.704999999999998</v>
      </c>
      <c r="IQ100" s="618">
        <f t="shared" si="424"/>
        <v>0</v>
      </c>
      <c r="IR100" s="618">
        <f t="shared" si="425"/>
        <v>40.704999999999998</v>
      </c>
      <c r="IT100" s="660" t="str">
        <f t="shared" si="426"/>
        <v>S350Q 1S</v>
      </c>
      <c r="IU100" s="628"/>
      <c r="IV100" s="439">
        <f t="shared" ref="IV100:IV132" si="580">(ML+($CY100*2))*$AC$7+$IW100-IF(AND($Z$4,$V$11),Fl,0)</f>
        <v>6.6612000000000009</v>
      </c>
      <c r="IW100" s="440">
        <f t="shared" ref="IW100:IW132" si="581">(ML+($CY100*2))*(9.81*IF($W$11&gt;0,1,-1))*((SIN(a)*IF($W$11&gt;0,1,-1))+u*COS(a))+IF($V$11,Fl,0)+Fr</f>
        <v>5.1012000000000013</v>
      </c>
      <c r="IX100" s="439">
        <f t="shared" ref="IX100:IX132" si="582">(ML+($CY100*2))*$AC$10-$IW100+IF(AND($Z$4,$V$11),Fl,0)</f>
        <v>-3.5412000000000012</v>
      </c>
      <c r="IY100" s="439">
        <f t="shared" ref="IY100:IY132" si="583">(ML+($CY100*2))*9.81*SIN(a)+IF($V$11,Fl,0)-IF(AND($Z$4,$V$11),Fl,0)</f>
        <v>0</v>
      </c>
      <c r="IZ100" s="439">
        <f t="shared" ref="IZ100:IZ132" si="584">IF($P$13,(ML+($CY100*2))*$AC$15+$JA100,0)</f>
        <v>0</v>
      </c>
      <c r="JA100" s="439">
        <f t="shared" ref="JA100:JA132" si="585">IF($P$13,(ML+($CY100*2))*(9.81*IF($W$19&gt;0,1,-1))*((SIN(a)*IF($W$19&gt;0,1,-1))+u*COS(a))+IF($V$19,Fl,0)+Fr,0)</f>
        <v>0</v>
      </c>
      <c r="JB100" s="439">
        <f t="shared" ref="JB100:JB132" si="586">IF($P$13,(ML+($CY100*2))*$AC$18-$JA100,0)</f>
        <v>0</v>
      </c>
      <c r="JC100" s="439">
        <f t="shared" ref="JC100:JC132" si="587">IF($P$13,(ML+($CY100*2))*9.81*SIN(a)+IF($V$19,Fl,0),0)</f>
        <v>0</v>
      </c>
      <c r="JD100" s="439">
        <f t="shared" ref="JD100:JD132" si="588">IF($P$21,(ML+($CY100*2))*$AC$23+$JE100,0)</f>
        <v>0</v>
      </c>
      <c r="JE100" s="439">
        <f t="shared" ref="JE100:JE132" si="589">IF($P$21,(ML+($CY100*2))*(9.81*IF($W$27&gt;0,1,-1))*((SIN(a)*IF($W$27&gt;0,1,-1))+u*COS(a))+IF($V$27,Fl,0)+Fr,0)</f>
        <v>0</v>
      </c>
      <c r="JF100" s="439">
        <f t="shared" ref="JF100:JF132" si="590">IF($P$21,(ML+($CY100*2))*$AC$26-$JE100,0)</f>
        <v>0</v>
      </c>
      <c r="JG100" s="439">
        <f t="shared" ref="JG100:JG132" si="591">IF($P$21,(ML+($CY100*2))*9.81*SIN(a)+IF($V$27,Fl,0),0)</f>
        <v>0</v>
      </c>
      <c r="JH100" s="439">
        <f t="shared" ref="JH100:JH132" si="592">IF($AG$5,(ML+($CY100*2))*$AT$7+$JI100,0)</f>
        <v>0</v>
      </c>
      <c r="JI100" s="439">
        <f t="shared" ref="JI100:JI132" si="593">IF($AG$5,(ML+($CY100*2))*(9.81*IF($AN$11&gt;0,1,-1))*((SIN(a)*IF($AN$11&gt;0,1,-1))+u*COS(a))+IF($AM$11,Fl,0)+Fr,0)</f>
        <v>0</v>
      </c>
      <c r="JJ100" s="442">
        <f t="shared" ref="JJ100:JJ132" si="594">IF($AG$5,(ML+($CY100*2))*$AT$10-$JI100,0)</f>
        <v>0</v>
      </c>
      <c r="JK100" s="442">
        <f t="shared" ref="JK100:JK132" si="595">IF($AG$5,(ML+($CY100*2))*9.81*SIN(a)+IF($AM$11,Fl,0),0)</f>
        <v>0</v>
      </c>
      <c r="JL100" s="439">
        <f t="shared" ref="JL100:JL132" si="596">IF($AG$13,(ML+($CY100*2))*$AT$15+$JM100,0)</f>
        <v>0</v>
      </c>
      <c r="JM100" s="439">
        <f t="shared" ref="JM100:JM132" si="597">IF($AG$13,(ML+($CY100*2))*(9.81*IF($AN$19&gt;0,1,-1))*((SIN(a)*IF($AN$19&gt;0,1,-1))+u*COS(a))+IF($AM$19,Fl,0)+Fr,0)</f>
        <v>0</v>
      </c>
      <c r="JN100" s="661">
        <f t="shared" ref="JN100:JN132" si="598">IF($AG$13,(ML+($CY100*2))*$AT$18-$JM100,0)</f>
        <v>0</v>
      </c>
      <c r="JO100" s="661">
        <f t="shared" ref="JO100:JO132" si="599">IF($AG$13,(ML+($CY100*2))*9.81*SIN(a)+IF($AM$19,Fl,0),0)</f>
        <v>0</v>
      </c>
      <c r="JP100" s="439">
        <f t="shared" ref="JP100:JP132" si="600">IF($AG$21,(ML+($CY100*2))*$AT$23+$JQ100,0)</f>
        <v>0</v>
      </c>
      <c r="JQ100" s="439">
        <f t="shared" ref="JQ100:JQ132" si="601">IF($AG$21,(ML+($CY100*2))*(9.81*IF($AN$27&gt;0,1,-1))*((SIN(a)*IF($AN$27&gt;0,1,-1))+u*COS(a))+IF($AM$27,Fl,0)+Fr,0)</f>
        <v>0</v>
      </c>
      <c r="JR100" s="439">
        <f t="shared" ref="JR100:JR132" si="602">IF($AG$21,(ML+($CY100*2))*$AT$26-$JQ100,0)</f>
        <v>0</v>
      </c>
      <c r="JS100" s="439">
        <f t="shared" ref="JS100:JS132" si="603">IF($AG$21,(ML+($CY100*2))*9.81*SIN(a)+IF($AM$27,Fl,0),0)</f>
        <v>0</v>
      </c>
      <c r="JT100" s="631" t="s">
        <v>92</v>
      </c>
      <c r="JU100" s="631">
        <f t="shared" si="459"/>
        <v>0.67842777656051523</v>
      </c>
      <c r="JW100" s="522"/>
      <c r="JX100" s="522"/>
      <c r="JY100" s="522"/>
      <c r="JZ100" s="522"/>
      <c r="KA100" s="522"/>
      <c r="KB100" s="522"/>
      <c r="KC100" s="522"/>
      <c r="KD100" s="522"/>
      <c r="KE100" s="522"/>
      <c r="KF100" s="522"/>
      <c r="KG100" s="522"/>
      <c r="KH100" s="522"/>
      <c r="KI100" s="522"/>
      <c r="KJ100" s="522"/>
      <c r="KK100" s="522"/>
      <c r="KL100" s="522"/>
    </row>
    <row r="101" spans="1:298">
      <c r="A101" s="77"/>
      <c r="B101" s="579">
        <v>5</v>
      </c>
      <c r="C101" s="579"/>
      <c r="D101" s="579">
        <f t="shared" si="481"/>
        <v>0.18000000000000002</v>
      </c>
      <c r="E101" s="579">
        <f t="shared" si="481"/>
        <v>0.18000000000000002</v>
      </c>
      <c r="F101" s="579">
        <f t="shared" si="481"/>
        <v>0</v>
      </c>
      <c r="G101" s="579">
        <f t="shared" si="481"/>
        <v>0</v>
      </c>
      <c r="H101" s="579">
        <f t="shared" si="481"/>
        <v>0</v>
      </c>
      <c r="I101" s="579">
        <f t="shared" si="481"/>
        <v>0</v>
      </c>
      <c r="J101" s="579">
        <f t="shared" si="481"/>
        <v>0</v>
      </c>
      <c r="K101" s="579">
        <f t="shared" si="481"/>
        <v>0</v>
      </c>
      <c r="L101" s="579">
        <f t="shared" si="481"/>
        <v>0</v>
      </c>
      <c r="M101" s="579">
        <f t="shared" si="481"/>
        <v>0</v>
      </c>
      <c r="N101" s="579">
        <f t="shared" si="481"/>
        <v>0</v>
      </c>
      <c r="O101" s="579">
        <f t="shared" si="481"/>
        <v>0</v>
      </c>
      <c r="P101" s="579"/>
      <c r="Q101" s="579"/>
      <c r="R101" s="579"/>
      <c r="S101" s="579"/>
      <c r="T101" s="579"/>
      <c r="U101" s="580"/>
      <c r="V101" s="580"/>
      <c r="W101" s="579"/>
      <c r="X101" s="579"/>
      <c r="Y101" s="579"/>
      <c r="Z101" s="579"/>
      <c r="AA101" s="579"/>
      <c r="AB101" s="579"/>
      <c r="AC101" s="580"/>
      <c r="AD101" s="580"/>
      <c r="AE101" s="579"/>
      <c r="AF101" s="579"/>
      <c r="AG101" s="579"/>
      <c r="AH101" s="579"/>
      <c r="AI101" s="579"/>
      <c r="AJ101" s="579"/>
      <c r="AK101" s="579"/>
      <c r="AL101" s="580"/>
      <c r="AM101" s="580"/>
      <c r="AN101" s="579"/>
      <c r="AO101" s="579"/>
      <c r="AP101" s="579"/>
      <c r="AQ101" s="579"/>
      <c r="AR101" s="579"/>
      <c r="AS101" s="579"/>
      <c r="AT101" s="580"/>
      <c r="AU101" s="580"/>
      <c r="AV101" s="581">
        <f>IF($AY$30,I88*$I$82,0)</f>
        <v>0</v>
      </c>
      <c r="AW101" s="581">
        <f>IF($AY$32,'Data Sheet'!AA122,0)</f>
        <v>0</v>
      </c>
      <c r="AX101" s="581">
        <f t="shared" si="482"/>
        <v>40.704999999999998</v>
      </c>
      <c r="AY101" s="579"/>
      <c r="AZ101" s="579"/>
      <c r="BA101" s="579"/>
      <c r="BB101" s="579"/>
      <c r="BC101" s="579"/>
      <c r="BD101" s="579"/>
      <c r="BE101" s="579"/>
      <c r="BF101" s="579"/>
      <c r="BG101" s="379"/>
      <c r="BH101" s="379"/>
      <c r="BI101" s="379"/>
      <c r="BJ101" s="379"/>
      <c r="BK101" s="379"/>
      <c r="BL101" s="379"/>
      <c r="BM101" s="379"/>
      <c r="BN101" s="379"/>
      <c r="BO101" s="379"/>
      <c r="BP101" s="379"/>
      <c r="BQ101" s="379"/>
      <c r="BR101" s="379"/>
      <c r="BS101" s="379"/>
      <c r="BT101" s="379"/>
      <c r="BU101" s="379"/>
      <c r="BV101" s="379"/>
      <c r="BW101" s="379"/>
      <c r="BX101" s="379"/>
      <c r="BY101" s="379"/>
      <c r="BZ101" s="379"/>
      <c r="CA101" s="379"/>
      <c r="CB101" s="379"/>
      <c r="CC101" s="379"/>
      <c r="CD101" s="379"/>
      <c r="CE101" s="379"/>
      <c r="CF101" s="379"/>
      <c r="CG101" s="379"/>
      <c r="CH101" s="77"/>
      <c r="CI101" s="77"/>
      <c r="CJ101" s="380"/>
      <c r="CK101" s="380"/>
      <c r="CL101" s="381"/>
      <c r="CM101" s="381"/>
      <c r="CN101" s="445"/>
      <c r="CO101" s="694" t="str">
        <f ca="1"/>
        <v>S427Q 2S</v>
      </c>
      <c r="CP101" s="632" t="str">
        <f>IF(OR(CQ101=0,CR101="",CS101&gt;120),"",IF(HLOOKUP(CQ101,Spec_Sheet!$F$3:$ED$19,17,FALSE)&lt;$AC$46,"",CQ101))</f>
        <v>S350Q 4S</v>
      </c>
      <c r="CQ101" s="660" t="str">
        <f>IF(Spec_Sheet!A100="","",Spec_Sheet!A100)</f>
        <v>S350Q 4S</v>
      </c>
      <c r="CR101" s="660">
        <f>IF(CQ101="",0,HLOOKUP(CQ101,Spec_Sheet!$F$3:$ED$19,2,FALSE))</f>
        <v>189.99900000000002</v>
      </c>
      <c r="CS101" s="660">
        <f t="shared" si="461"/>
        <v>3.1874590923401295E-4</v>
      </c>
      <c r="CT101" s="621">
        <f t="shared" si="310"/>
        <v>3.6966981189270139E-4</v>
      </c>
      <c r="CU101" s="621">
        <f t="shared" si="483"/>
        <v>3.1874590923401295E-4</v>
      </c>
      <c r="CV101" s="621">
        <f t="shared" si="311"/>
        <v>5.7760908108234589E-4</v>
      </c>
      <c r="CW101" s="621">
        <f t="shared" si="312"/>
        <v>5.1348268514177545E-4</v>
      </c>
      <c r="CX101" s="621">
        <f t="shared" si="456"/>
        <v>3.3112324668577755E-4</v>
      </c>
      <c r="CY101" s="619">
        <f>HLOOKUP(CQ101,Spec_Sheet!$F$3:$ED$19,13,FALSE)</f>
        <v>2.4</v>
      </c>
      <c r="CZ101" s="619">
        <f>VLOOKUP(HH101,'Shaft Weight'!$A$6:$CD$102,HJ101,TRUE)</f>
        <v>3.1</v>
      </c>
      <c r="DA101" s="619">
        <f>VLOOKUP(HI101,'Shaft Weight'!$A$6:$CD$102,HJ101,0)</f>
        <v>4.9000000000000004</v>
      </c>
      <c r="DB101" s="619">
        <f>HLOOKUP(CQ101,Spec_Sheet!$F$3:$ED$19,6,FALSE)</f>
        <v>140.74</v>
      </c>
      <c r="DC101" s="439">
        <f t="shared" si="484"/>
        <v>3.5868000000000002</v>
      </c>
      <c r="DD101" s="440">
        <f t="shared" si="485"/>
        <v>2.7468000000000004</v>
      </c>
      <c r="DE101" s="439">
        <f t="shared" si="486"/>
        <v>-1.9068000000000005</v>
      </c>
      <c r="DF101" s="439">
        <f t="shared" si="487"/>
        <v>0</v>
      </c>
      <c r="DG101" s="439">
        <f t="shared" si="488"/>
        <v>0</v>
      </c>
      <c r="DH101" s="439">
        <f t="shared" si="489"/>
        <v>0</v>
      </c>
      <c r="DI101" s="439">
        <f t="shared" si="490"/>
        <v>0</v>
      </c>
      <c r="DJ101" s="439">
        <f t="shared" si="491"/>
        <v>0</v>
      </c>
      <c r="DK101" s="439">
        <f t="shared" si="492"/>
        <v>0</v>
      </c>
      <c r="DL101" s="439">
        <f t="shared" si="493"/>
        <v>0</v>
      </c>
      <c r="DM101" s="439">
        <f t="shared" si="494"/>
        <v>0</v>
      </c>
      <c r="DN101" s="439">
        <f t="shared" si="495"/>
        <v>0</v>
      </c>
      <c r="DO101" s="439">
        <f t="shared" si="496"/>
        <v>0</v>
      </c>
      <c r="DP101" s="439">
        <f t="shared" si="497"/>
        <v>0</v>
      </c>
      <c r="DQ101" s="442">
        <f t="shared" si="498"/>
        <v>0</v>
      </c>
      <c r="DR101" s="442">
        <f t="shared" si="499"/>
        <v>0</v>
      </c>
      <c r="DS101" s="439">
        <f t="shared" si="500"/>
        <v>0</v>
      </c>
      <c r="DT101" s="439">
        <f t="shared" si="501"/>
        <v>0</v>
      </c>
      <c r="DU101" s="661">
        <f t="shared" si="502"/>
        <v>0</v>
      </c>
      <c r="DV101" s="661">
        <f t="shared" si="503"/>
        <v>0</v>
      </c>
      <c r="DW101" s="439">
        <f t="shared" si="504"/>
        <v>0</v>
      </c>
      <c r="DX101" s="439">
        <f t="shared" si="505"/>
        <v>0</v>
      </c>
      <c r="DY101" s="439">
        <f t="shared" si="506"/>
        <v>0</v>
      </c>
      <c r="DZ101" s="439">
        <f t="shared" si="507"/>
        <v>0</v>
      </c>
      <c r="EA101" s="631" t="s">
        <v>92</v>
      </c>
      <c r="EB101" s="631">
        <f t="shared" si="451"/>
        <v>0.36530726430181587</v>
      </c>
      <c r="ED101" s="439">
        <f t="shared" si="508"/>
        <v>8.454600000000001</v>
      </c>
      <c r="EE101" s="440">
        <f t="shared" si="509"/>
        <v>6.4746000000000015</v>
      </c>
      <c r="EF101" s="439">
        <f t="shared" si="510"/>
        <v>-4.4946000000000019</v>
      </c>
      <c r="EG101" s="441">
        <f t="shared" si="511"/>
        <v>0</v>
      </c>
      <c r="EH101" s="439">
        <f t="shared" si="512"/>
        <v>0</v>
      </c>
      <c r="EI101" s="439">
        <f t="shared" si="513"/>
        <v>0</v>
      </c>
      <c r="EJ101" s="439">
        <f t="shared" si="514"/>
        <v>0</v>
      </c>
      <c r="EK101" s="439">
        <f t="shared" si="515"/>
        <v>0</v>
      </c>
      <c r="EL101" s="439">
        <f t="shared" si="516"/>
        <v>0</v>
      </c>
      <c r="EM101" s="439">
        <f t="shared" si="517"/>
        <v>0</v>
      </c>
      <c r="EN101" s="439">
        <f t="shared" si="518"/>
        <v>0</v>
      </c>
      <c r="EO101" s="439">
        <f t="shared" si="519"/>
        <v>0</v>
      </c>
      <c r="EP101" s="439">
        <f t="shared" si="520"/>
        <v>0</v>
      </c>
      <c r="EQ101" s="439">
        <f t="shared" si="521"/>
        <v>0</v>
      </c>
      <c r="ER101" s="442">
        <f t="shared" si="522"/>
        <v>0</v>
      </c>
      <c r="ES101" s="442">
        <f t="shared" si="523"/>
        <v>0</v>
      </c>
      <c r="ET101" s="439">
        <f t="shared" si="524"/>
        <v>0</v>
      </c>
      <c r="EU101" s="439">
        <f t="shared" si="525"/>
        <v>0</v>
      </c>
      <c r="EV101" s="661">
        <f t="shared" si="526"/>
        <v>0</v>
      </c>
      <c r="EW101" s="661">
        <f t="shared" si="527"/>
        <v>0</v>
      </c>
      <c r="EX101" s="439">
        <f t="shared" si="528"/>
        <v>0</v>
      </c>
      <c r="EY101" s="439">
        <f t="shared" si="529"/>
        <v>0</v>
      </c>
      <c r="EZ101" s="439">
        <f t="shared" si="530"/>
        <v>0</v>
      </c>
      <c r="FA101" s="439">
        <f t="shared" si="531"/>
        <v>0</v>
      </c>
      <c r="FB101" s="631" t="s">
        <v>92</v>
      </c>
      <c r="FC101" s="631">
        <f t="shared" si="452"/>
        <v>0.86108140871142325</v>
      </c>
      <c r="FE101" s="439">
        <f t="shared" si="532"/>
        <v>4.4835000000000003</v>
      </c>
      <c r="FF101" s="440">
        <f t="shared" si="533"/>
        <v>3.4335000000000004</v>
      </c>
      <c r="FG101" s="439">
        <f t="shared" si="534"/>
        <v>-2.3835000000000006</v>
      </c>
      <c r="FH101" s="441">
        <f t="shared" si="535"/>
        <v>0</v>
      </c>
      <c r="FI101" s="439">
        <f t="shared" si="536"/>
        <v>0</v>
      </c>
      <c r="FJ101" s="439">
        <f t="shared" si="537"/>
        <v>0</v>
      </c>
      <c r="FK101" s="439">
        <f t="shared" si="538"/>
        <v>0</v>
      </c>
      <c r="FL101" s="439">
        <f t="shared" si="539"/>
        <v>0</v>
      </c>
      <c r="FM101" s="439">
        <f t="shared" si="540"/>
        <v>0</v>
      </c>
      <c r="FN101" s="439">
        <f t="shared" si="541"/>
        <v>0</v>
      </c>
      <c r="FO101" s="439">
        <f t="shared" si="542"/>
        <v>0</v>
      </c>
      <c r="FP101" s="439">
        <f t="shared" si="543"/>
        <v>0</v>
      </c>
      <c r="FQ101" s="439">
        <f t="shared" si="544"/>
        <v>0</v>
      </c>
      <c r="FR101" s="439">
        <f t="shared" si="545"/>
        <v>0</v>
      </c>
      <c r="FS101" s="442">
        <f t="shared" si="546"/>
        <v>0</v>
      </c>
      <c r="FT101" s="442">
        <f t="shared" si="547"/>
        <v>0</v>
      </c>
      <c r="FU101" s="439">
        <f t="shared" si="548"/>
        <v>0</v>
      </c>
      <c r="FV101" s="439">
        <f t="shared" si="549"/>
        <v>0</v>
      </c>
      <c r="FW101" s="661">
        <f t="shared" si="550"/>
        <v>0</v>
      </c>
      <c r="FX101" s="661">
        <f t="shared" si="551"/>
        <v>0</v>
      </c>
      <c r="FY101" s="439">
        <f t="shared" si="552"/>
        <v>0</v>
      </c>
      <c r="FZ101" s="439">
        <f t="shared" si="553"/>
        <v>0</v>
      </c>
      <c r="GA101" s="439">
        <f t="shared" si="554"/>
        <v>0</v>
      </c>
      <c r="GB101" s="439">
        <f t="shared" si="555"/>
        <v>0</v>
      </c>
      <c r="GC101" s="631" t="s">
        <v>92</v>
      </c>
      <c r="GD101" s="631">
        <f t="shared" si="453"/>
        <v>0.45663408037726982</v>
      </c>
      <c r="GF101" s="439">
        <f t="shared" si="556"/>
        <v>6.7893000000000008</v>
      </c>
      <c r="GG101" s="440">
        <f t="shared" si="557"/>
        <v>5.1993000000000009</v>
      </c>
      <c r="GH101" s="439">
        <f t="shared" si="558"/>
        <v>-3.6093000000000011</v>
      </c>
      <c r="GI101" s="439">
        <f t="shared" si="559"/>
        <v>0</v>
      </c>
      <c r="GJ101" s="439">
        <f t="shared" si="560"/>
        <v>0</v>
      </c>
      <c r="GK101" s="439">
        <f t="shared" si="561"/>
        <v>0</v>
      </c>
      <c r="GL101" s="439">
        <f t="shared" si="562"/>
        <v>0</v>
      </c>
      <c r="GM101" s="439">
        <f t="shared" si="563"/>
        <v>0</v>
      </c>
      <c r="GN101" s="439">
        <f t="shared" si="564"/>
        <v>0</v>
      </c>
      <c r="GO101" s="439">
        <f t="shared" si="565"/>
        <v>0</v>
      </c>
      <c r="GP101" s="439">
        <f t="shared" si="566"/>
        <v>0</v>
      </c>
      <c r="GQ101" s="439">
        <f t="shared" si="567"/>
        <v>0</v>
      </c>
      <c r="GR101" s="439">
        <f t="shared" si="568"/>
        <v>0</v>
      </c>
      <c r="GS101" s="439">
        <f t="shared" si="569"/>
        <v>0</v>
      </c>
      <c r="GT101" s="442">
        <f t="shared" si="570"/>
        <v>0</v>
      </c>
      <c r="GU101" s="442">
        <f t="shared" si="571"/>
        <v>0</v>
      </c>
      <c r="GV101" s="439">
        <f t="shared" si="572"/>
        <v>0</v>
      </c>
      <c r="GW101" s="439">
        <f t="shared" si="573"/>
        <v>0</v>
      </c>
      <c r="GX101" s="661">
        <f t="shared" si="574"/>
        <v>0</v>
      </c>
      <c r="GY101" s="661">
        <f t="shared" si="575"/>
        <v>0</v>
      </c>
      <c r="GZ101" s="439">
        <f t="shared" si="576"/>
        <v>0</v>
      </c>
      <c r="HA101" s="439">
        <f t="shared" si="577"/>
        <v>0</v>
      </c>
      <c r="HB101" s="439">
        <f t="shared" si="578"/>
        <v>0</v>
      </c>
      <c r="HC101" s="439">
        <f t="shared" si="579"/>
        <v>0</v>
      </c>
      <c r="HD101" s="631" t="s">
        <v>92</v>
      </c>
      <c r="HE101" s="631">
        <f t="shared" si="306"/>
        <v>0.69147446457129436</v>
      </c>
      <c r="HG101" s="618">
        <f>HLOOKUP(CQ101,Spec_Sheet!$F$3:$DV$19,11,FALSE)+HLOOKUP(CQ101,Spec_Sheet!$F$3:$DV$21,19,FALSE)</f>
        <v>300</v>
      </c>
      <c r="HH101" s="618">
        <f t="shared" si="454"/>
        <v>100</v>
      </c>
      <c r="HI101" s="634">
        <f t="shared" si="455"/>
        <v>350</v>
      </c>
      <c r="HJ101" s="634">
        <f>HLOOKUP(IF(LEN(CQ101)&gt;6,LEFT(CQ101,5),CQ101),'LSM List Pricing'!$B$1:$BW$2,2,0)</f>
        <v>57</v>
      </c>
      <c r="HK101" s="634">
        <f>HLOOKUP(HJ101,'LSM List Pricing'!$B$2:$BW$3,2)</f>
        <v>690</v>
      </c>
      <c r="HL101" s="634">
        <f>VLOOKUP(HH101,'LSM List Pricing'!$A$7:$BW$87,HJ101,0)</f>
        <v>1260</v>
      </c>
      <c r="HM101" s="627">
        <f>VLOOKUP(HI101,'LSM List Pricing'!$A$7:$BW$87,HJ101,1)</f>
        <v>1810</v>
      </c>
      <c r="HN101" s="628">
        <f t="shared" si="307"/>
        <v>5</v>
      </c>
      <c r="HO101" s="628">
        <f t="shared" si="308"/>
        <v>10</v>
      </c>
      <c r="HP101" s="628">
        <f t="shared" si="309"/>
        <v>8.1794871794871788</v>
      </c>
      <c r="HR101" s="618">
        <v>4.9000000000000002E-2</v>
      </c>
      <c r="HS101" s="618">
        <f t="shared" si="457"/>
        <v>329</v>
      </c>
      <c r="HT101" s="618">
        <f t="shared" si="458"/>
        <v>1</v>
      </c>
      <c r="HU101" s="618">
        <f t="shared" si="466"/>
        <v>1.2479665332069894</v>
      </c>
      <c r="HW101" s="618">
        <f t="shared" si="413"/>
        <v>34.227887522846075</v>
      </c>
      <c r="HX101" s="618">
        <f t="shared" si="467"/>
        <v>1.2169373103429</v>
      </c>
      <c r="HY101" s="618">
        <f t="shared" si="468"/>
        <v>4.9000000000000002E-2</v>
      </c>
      <c r="IB101" s="618">
        <f t="shared" si="414"/>
        <v>25.000350341399081</v>
      </c>
      <c r="IC101" s="618">
        <f t="shared" si="415"/>
        <v>1E-3</v>
      </c>
      <c r="IE101" s="618">
        <f t="shared" si="416"/>
        <v>0</v>
      </c>
      <c r="IF101" s="618">
        <f t="shared" si="417"/>
        <v>40.704999999999998</v>
      </c>
      <c r="IH101" s="618">
        <f t="shared" si="418"/>
        <v>0</v>
      </c>
      <c r="II101" s="618">
        <f t="shared" si="419"/>
        <v>40.704999999999998</v>
      </c>
      <c r="IK101" s="618">
        <f t="shared" si="420"/>
        <v>0</v>
      </c>
      <c r="IL101" s="618">
        <f t="shared" si="421"/>
        <v>40.704999999999998</v>
      </c>
      <c r="IN101" s="618">
        <f t="shared" si="422"/>
        <v>0</v>
      </c>
      <c r="IO101" s="618">
        <f t="shared" si="423"/>
        <v>40.704999999999998</v>
      </c>
      <c r="IQ101" s="618">
        <f t="shared" si="424"/>
        <v>0</v>
      </c>
      <c r="IR101" s="618">
        <f t="shared" si="425"/>
        <v>40.704999999999998</v>
      </c>
      <c r="IT101" s="660" t="str">
        <f t="shared" si="426"/>
        <v>S350Q 4S</v>
      </c>
      <c r="IU101" s="628"/>
      <c r="IV101" s="439">
        <f t="shared" si="580"/>
        <v>6.6612000000000009</v>
      </c>
      <c r="IW101" s="440">
        <f t="shared" si="581"/>
        <v>5.1012000000000013</v>
      </c>
      <c r="IX101" s="439">
        <f t="shared" si="582"/>
        <v>-3.5412000000000012</v>
      </c>
      <c r="IY101" s="439">
        <f t="shared" si="583"/>
        <v>0</v>
      </c>
      <c r="IZ101" s="439">
        <f t="shared" si="584"/>
        <v>0</v>
      </c>
      <c r="JA101" s="439">
        <f t="shared" si="585"/>
        <v>0</v>
      </c>
      <c r="JB101" s="439">
        <f t="shared" si="586"/>
        <v>0</v>
      </c>
      <c r="JC101" s="439">
        <f t="shared" si="587"/>
        <v>0</v>
      </c>
      <c r="JD101" s="439">
        <f t="shared" si="588"/>
        <v>0</v>
      </c>
      <c r="JE101" s="439">
        <f t="shared" si="589"/>
        <v>0</v>
      </c>
      <c r="JF101" s="439">
        <f t="shared" si="590"/>
        <v>0</v>
      </c>
      <c r="JG101" s="439">
        <f t="shared" si="591"/>
        <v>0</v>
      </c>
      <c r="JH101" s="439">
        <f t="shared" si="592"/>
        <v>0</v>
      </c>
      <c r="JI101" s="439">
        <f t="shared" si="593"/>
        <v>0</v>
      </c>
      <c r="JJ101" s="442">
        <f t="shared" si="594"/>
        <v>0</v>
      </c>
      <c r="JK101" s="442">
        <f t="shared" si="595"/>
        <v>0</v>
      </c>
      <c r="JL101" s="439">
        <f t="shared" si="596"/>
        <v>0</v>
      </c>
      <c r="JM101" s="439">
        <f t="shared" si="597"/>
        <v>0</v>
      </c>
      <c r="JN101" s="661">
        <f t="shared" si="598"/>
        <v>0</v>
      </c>
      <c r="JO101" s="661">
        <f t="shared" si="599"/>
        <v>0</v>
      </c>
      <c r="JP101" s="439">
        <f t="shared" si="600"/>
        <v>0</v>
      </c>
      <c r="JQ101" s="439">
        <f t="shared" si="601"/>
        <v>0</v>
      </c>
      <c r="JR101" s="439">
        <f t="shared" si="602"/>
        <v>0</v>
      </c>
      <c r="JS101" s="439">
        <f t="shared" si="603"/>
        <v>0</v>
      </c>
      <c r="JT101" s="631" t="s">
        <v>92</v>
      </c>
      <c r="JU101" s="631">
        <f t="shared" si="459"/>
        <v>0.67842777656051523</v>
      </c>
      <c r="JW101" s="522"/>
      <c r="JX101" s="522"/>
      <c r="JY101" s="522"/>
      <c r="JZ101" s="522"/>
      <c r="KA101" s="522"/>
      <c r="KB101" s="522"/>
      <c r="KC101" s="522"/>
      <c r="KD101" s="522"/>
      <c r="KE101" s="522"/>
      <c r="KF101" s="522"/>
      <c r="KG101" s="522"/>
      <c r="KH101" s="522"/>
      <c r="KI101" s="522"/>
      <c r="KJ101" s="522"/>
      <c r="KK101" s="522"/>
      <c r="KL101" s="522"/>
    </row>
    <row r="102" spans="1:298">
      <c r="A102" s="77"/>
      <c r="B102" s="579">
        <v>6</v>
      </c>
      <c r="C102" s="579"/>
      <c r="D102" s="579">
        <f t="shared" si="481"/>
        <v>0.18000000000000002</v>
      </c>
      <c r="E102" s="579">
        <f t="shared" si="481"/>
        <v>0.18000000000000002</v>
      </c>
      <c r="F102" s="579">
        <f t="shared" si="481"/>
        <v>0</v>
      </c>
      <c r="G102" s="579">
        <f t="shared" si="481"/>
        <v>0</v>
      </c>
      <c r="H102" s="579">
        <f t="shared" si="481"/>
        <v>0</v>
      </c>
      <c r="I102" s="579">
        <f t="shared" si="481"/>
        <v>0</v>
      </c>
      <c r="J102" s="579">
        <f t="shared" si="481"/>
        <v>0</v>
      </c>
      <c r="K102" s="579">
        <f t="shared" si="481"/>
        <v>0</v>
      </c>
      <c r="L102" s="579">
        <f t="shared" si="481"/>
        <v>0</v>
      </c>
      <c r="M102" s="579">
        <f t="shared" si="481"/>
        <v>0</v>
      </c>
      <c r="N102" s="579">
        <f t="shared" si="481"/>
        <v>0</v>
      </c>
      <c r="O102" s="579">
        <f t="shared" si="481"/>
        <v>0</v>
      </c>
      <c r="P102" s="579"/>
      <c r="Q102" s="579"/>
      <c r="R102" s="579"/>
      <c r="S102" s="579"/>
      <c r="T102" s="579"/>
      <c r="U102" s="580"/>
      <c r="V102" s="580"/>
      <c r="W102" s="579"/>
      <c r="X102" s="579"/>
      <c r="Y102" s="579"/>
      <c r="Z102" s="579"/>
      <c r="AA102" s="579"/>
      <c r="AB102" s="579"/>
      <c r="AC102" s="580"/>
      <c r="AD102" s="580"/>
      <c r="AE102" s="579"/>
      <c r="AF102" s="579"/>
      <c r="AG102" s="579"/>
      <c r="AH102" s="579"/>
      <c r="AI102" s="579"/>
      <c r="AJ102" s="579"/>
      <c r="AK102" s="579"/>
      <c r="AL102" s="580"/>
      <c r="AM102" s="580"/>
      <c r="AN102" s="579"/>
      <c r="AO102" s="579"/>
      <c r="AP102" s="579"/>
      <c r="AQ102" s="579"/>
      <c r="AR102" s="579"/>
      <c r="AS102" s="579"/>
      <c r="AT102" s="580"/>
      <c r="AU102" s="580"/>
      <c r="AV102" s="581">
        <f>IF($AY$30,I87*$I$82,0)</f>
        <v>0</v>
      </c>
      <c r="AW102" s="581">
        <f>IF($AY$32,'Data Sheet'!AA123,0)</f>
        <v>0</v>
      </c>
      <c r="AX102" s="581">
        <f t="shared" si="482"/>
        <v>40.704999999999998</v>
      </c>
      <c r="AY102" s="579"/>
      <c r="AZ102" s="579"/>
      <c r="BA102" s="579"/>
      <c r="BB102" s="579"/>
      <c r="BC102" s="579"/>
      <c r="BD102" s="579"/>
      <c r="BE102" s="579"/>
      <c r="BF102" s="579"/>
      <c r="BG102" s="379"/>
      <c r="BH102" s="379"/>
      <c r="BI102" s="379"/>
      <c r="BJ102" s="379"/>
      <c r="BK102" s="379"/>
      <c r="BL102" s="379"/>
      <c r="BM102" s="379"/>
      <c r="BN102" s="379"/>
      <c r="BO102" s="379"/>
      <c r="BP102" s="379"/>
      <c r="BQ102" s="379"/>
      <c r="BR102" s="379"/>
      <c r="BS102" s="379"/>
      <c r="BT102" s="379"/>
      <c r="BU102" s="379"/>
      <c r="BV102" s="379"/>
      <c r="BW102" s="379"/>
      <c r="BX102" s="379"/>
      <c r="BY102" s="379"/>
      <c r="BZ102" s="379"/>
      <c r="CA102" s="379"/>
      <c r="CB102" s="379"/>
      <c r="CC102" s="379"/>
      <c r="CD102" s="379"/>
      <c r="CE102" s="379"/>
      <c r="CF102" s="379"/>
      <c r="CG102" s="379"/>
      <c r="CH102" s="77"/>
      <c r="CI102" s="77"/>
      <c r="CJ102" s="380"/>
      <c r="CK102" s="380"/>
      <c r="CL102" s="381"/>
      <c r="CM102" s="381"/>
      <c r="CN102" s="381"/>
      <c r="CO102" s="694" t="str">
        <f ca="1"/>
        <v>S427Q</v>
      </c>
      <c r="CP102" s="632" t="str">
        <f>IF(OR(CQ102=0,CR102="",CS102&gt;120),"",IF(HLOOKUP(CQ102,Spec_Sheet!$F$3:$ED$19,17,FALSE)&lt;$AC$46,"",CQ102))</f>
        <v>S350Q</v>
      </c>
      <c r="CQ102" s="660" t="str">
        <f>IF(Spec_Sheet!A101="","",Spec_Sheet!A101)</f>
        <v>S350Q</v>
      </c>
      <c r="CR102" s="660">
        <f>IF(CQ102="",0,HLOOKUP(CQ102,Spec_Sheet!$F$3:$ED$19,2,FALSE))</f>
        <v>190</v>
      </c>
      <c r="CS102" s="660">
        <f t="shared" si="461"/>
        <v>3.1874255402274533E-4</v>
      </c>
      <c r="CT102" s="621">
        <f t="shared" si="310"/>
        <v>3.6966592064176376E-4</v>
      </c>
      <c r="CU102" s="621">
        <f t="shared" si="483"/>
        <v>3.1874255402274533E-4</v>
      </c>
      <c r="CV102" s="621">
        <f t="shared" si="311"/>
        <v>5.7760300100275592E-4</v>
      </c>
      <c r="CW102" s="621">
        <f t="shared" si="312"/>
        <v>5.1347728007510322E-4</v>
      </c>
      <c r="CX102" s="621">
        <f t="shared" si="456"/>
        <v>3.3111976118709008E-4</v>
      </c>
      <c r="CY102" s="619">
        <f>HLOOKUP(CQ102,Spec_Sheet!$F$3:$ED$19,13,FALSE)</f>
        <v>2.4</v>
      </c>
      <c r="CZ102" s="619">
        <f>VLOOKUP(HH102,'Shaft Weight'!$A$6:$CD$102,HJ102,TRUE)</f>
        <v>3.1</v>
      </c>
      <c r="DA102" s="619">
        <f>VLOOKUP(HI102,'Shaft Weight'!$A$6:$CD$102,HJ102,0)</f>
        <v>4.9000000000000004</v>
      </c>
      <c r="DB102" s="619">
        <f>HLOOKUP(CQ102,Spec_Sheet!$F$3:$ED$19,6,FALSE)</f>
        <v>70.37</v>
      </c>
      <c r="DC102" s="439">
        <f t="shared" si="484"/>
        <v>3.5868000000000002</v>
      </c>
      <c r="DD102" s="440">
        <f t="shared" si="485"/>
        <v>2.7468000000000004</v>
      </c>
      <c r="DE102" s="439">
        <f t="shared" si="486"/>
        <v>-1.9068000000000005</v>
      </c>
      <c r="DF102" s="439">
        <f t="shared" si="487"/>
        <v>0</v>
      </c>
      <c r="DG102" s="439">
        <f t="shared" si="488"/>
        <v>0</v>
      </c>
      <c r="DH102" s="439">
        <f t="shared" si="489"/>
        <v>0</v>
      </c>
      <c r="DI102" s="439">
        <f t="shared" si="490"/>
        <v>0</v>
      </c>
      <c r="DJ102" s="439">
        <f t="shared" si="491"/>
        <v>0</v>
      </c>
      <c r="DK102" s="439">
        <f t="shared" si="492"/>
        <v>0</v>
      </c>
      <c r="DL102" s="439">
        <f t="shared" si="493"/>
        <v>0</v>
      </c>
      <c r="DM102" s="439">
        <f t="shared" si="494"/>
        <v>0</v>
      </c>
      <c r="DN102" s="439">
        <f t="shared" si="495"/>
        <v>0</v>
      </c>
      <c r="DO102" s="439">
        <f t="shared" si="496"/>
        <v>0</v>
      </c>
      <c r="DP102" s="439">
        <f t="shared" si="497"/>
        <v>0</v>
      </c>
      <c r="DQ102" s="442">
        <f t="shared" si="498"/>
        <v>0</v>
      </c>
      <c r="DR102" s="442">
        <f t="shared" si="499"/>
        <v>0</v>
      </c>
      <c r="DS102" s="439">
        <f t="shared" si="500"/>
        <v>0</v>
      </c>
      <c r="DT102" s="439">
        <f t="shared" si="501"/>
        <v>0</v>
      </c>
      <c r="DU102" s="661">
        <f t="shared" si="502"/>
        <v>0</v>
      </c>
      <c r="DV102" s="661">
        <f t="shared" si="503"/>
        <v>0</v>
      </c>
      <c r="DW102" s="439">
        <f t="shared" si="504"/>
        <v>0</v>
      </c>
      <c r="DX102" s="439">
        <f t="shared" si="505"/>
        <v>0</v>
      </c>
      <c r="DY102" s="439">
        <f t="shared" si="506"/>
        <v>0</v>
      </c>
      <c r="DZ102" s="439">
        <f t="shared" si="507"/>
        <v>0</v>
      </c>
      <c r="EA102" s="631" t="s">
        <v>92</v>
      </c>
      <c r="EB102" s="631">
        <f t="shared" si="451"/>
        <v>0.36530726430181587</v>
      </c>
      <c r="ED102" s="439">
        <f t="shared" si="508"/>
        <v>8.454600000000001</v>
      </c>
      <c r="EE102" s="440">
        <f t="shared" si="509"/>
        <v>6.4746000000000015</v>
      </c>
      <c r="EF102" s="439">
        <f t="shared" si="510"/>
        <v>-4.4946000000000019</v>
      </c>
      <c r="EG102" s="441">
        <f t="shared" si="511"/>
        <v>0</v>
      </c>
      <c r="EH102" s="439">
        <f t="shared" si="512"/>
        <v>0</v>
      </c>
      <c r="EI102" s="439">
        <f t="shared" si="513"/>
        <v>0</v>
      </c>
      <c r="EJ102" s="439">
        <f t="shared" si="514"/>
        <v>0</v>
      </c>
      <c r="EK102" s="439">
        <f t="shared" si="515"/>
        <v>0</v>
      </c>
      <c r="EL102" s="439">
        <f t="shared" si="516"/>
        <v>0</v>
      </c>
      <c r="EM102" s="439">
        <f t="shared" si="517"/>
        <v>0</v>
      </c>
      <c r="EN102" s="439">
        <f t="shared" si="518"/>
        <v>0</v>
      </c>
      <c r="EO102" s="439">
        <f t="shared" si="519"/>
        <v>0</v>
      </c>
      <c r="EP102" s="439">
        <f t="shared" si="520"/>
        <v>0</v>
      </c>
      <c r="EQ102" s="439">
        <f t="shared" si="521"/>
        <v>0</v>
      </c>
      <c r="ER102" s="442">
        <f t="shared" si="522"/>
        <v>0</v>
      </c>
      <c r="ES102" s="442">
        <f t="shared" si="523"/>
        <v>0</v>
      </c>
      <c r="ET102" s="439">
        <f t="shared" si="524"/>
        <v>0</v>
      </c>
      <c r="EU102" s="439">
        <f t="shared" si="525"/>
        <v>0</v>
      </c>
      <c r="EV102" s="661">
        <f t="shared" si="526"/>
        <v>0</v>
      </c>
      <c r="EW102" s="661">
        <f t="shared" si="527"/>
        <v>0</v>
      </c>
      <c r="EX102" s="439">
        <f t="shared" si="528"/>
        <v>0</v>
      </c>
      <c r="EY102" s="439">
        <f t="shared" si="529"/>
        <v>0</v>
      </c>
      <c r="EZ102" s="439">
        <f t="shared" si="530"/>
        <v>0</v>
      </c>
      <c r="FA102" s="439">
        <f t="shared" si="531"/>
        <v>0</v>
      </c>
      <c r="FB102" s="631" t="s">
        <v>92</v>
      </c>
      <c r="FC102" s="631">
        <f t="shared" si="452"/>
        <v>0.86108140871142325</v>
      </c>
      <c r="FE102" s="439">
        <f t="shared" si="532"/>
        <v>4.4835000000000003</v>
      </c>
      <c r="FF102" s="440">
        <f t="shared" si="533"/>
        <v>3.4335000000000004</v>
      </c>
      <c r="FG102" s="439">
        <f t="shared" si="534"/>
        <v>-2.3835000000000006</v>
      </c>
      <c r="FH102" s="441">
        <f t="shared" si="535"/>
        <v>0</v>
      </c>
      <c r="FI102" s="439">
        <f t="shared" si="536"/>
        <v>0</v>
      </c>
      <c r="FJ102" s="439">
        <f t="shared" si="537"/>
        <v>0</v>
      </c>
      <c r="FK102" s="439">
        <f t="shared" si="538"/>
        <v>0</v>
      </c>
      <c r="FL102" s="439">
        <f t="shared" si="539"/>
        <v>0</v>
      </c>
      <c r="FM102" s="439">
        <f t="shared" si="540"/>
        <v>0</v>
      </c>
      <c r="FN102" s="439">
        <f t="shared" si="541"/>
        <v>0</v>
      </c>
      <c r="FO102" s="439">
        <f t="shared" si="542"/>
        <v>0</v>
      </c>
      <c r="FP102" s="439">
        <f t="shared" si="543"/>
        <v>0</v>
      </c>
      <c r="FQ102" s="439">
        <f t="shared" si="544"/>
        <v>0</v>
      </c>
      <c r="FR102" s="439">
        <f t="shared" si="545"/>
        <v>0</v>
      </c>
      <c r="FS102" s="442">
        <f t="shared" si="546"/>
        <v>0</v>
      </c>
      <c r="FT102" s="442">
        <f t="shared" si="547"/>
        <v>0</v>
      </c>
      <c r="FU102" s="439">
        <f t="shared" si="548"/>
        <v>0</v>
      </c>
      <c r="FV102" s="439">
        <f t="shared" si="549"/>
        <v>0</v>
      </c>
      <c r="FW102" s="661">
        <f t="shared" si="550"/>
        <v>0</v>
      </c>
      <c r="FX102" s="661">
        <f t="shared" si="551"/>
        <v>0</v>
      </c>
      <c r="FY102" s="439">
        <f t="shared" si="552"/>
        <v>0</v>
      </c>
      <c r="FZ102" s="439">
        <f t="shared" si="553"/>
        <v>0</v>
      </c>
      <c r="GA102" s="439">
        <f t="shared" si="554"/>
        <v>0</v>
      </c>
      <c r="GB102" s="439">
        <f t="shared" si="555"/>
        <v>0</v>
      </c>
      <c r="GC102" s="631" t="s">
        <v>92</v>
      </c>
      <c r="GD102" s="631">
        <f t="shared" si="453"/>
        <v>0.45663408037726982</v>
      </c>
      <c r="GF102" s="439">
        <f t="shared" si="556"/>
        <v>6.7893000000000008</v>
      </c>
      <c r="GG102" s="440">
        <f t="shared" si="557"/>
        <v>5.1993000000000009</v>
      </c>
      <c r="GH102" s="439">
        <f t="shared" si="558"/>
        <v>-3.6093000000000011</v>
      </c>
      <c r="GI102" s="439">
        <f t="shared" si="559"/>
        <v>0</v>
      </c>
      <c r="GJ102" s="439">
        <f t="shared" si="560"/>
        <v>0</v>
      </c>
      <c r="GK102" s="439">
        <f t="shared" si="561"/>
        <v>0</v>
      </c>
      <c r="GL102" s="439">
        <f t="shared" si="562"/>
        <v>0</v>
      </c>
      <c r="GM102" s="439">
        <f t="shared" si="563"/>
        <v>0</v>
      </c>
      <c r="GN102" s="439">
        <f t="shared" si="564"/>
        <v>0</v>
      </c>
      <c r="GO102" s="439">
        <f t="shared" si="565"/>
        <v>0</v>
      </c>
      <c r="GP102" s="439">
        <f t="shared" si="566"/>
        <v>0</v>
      </c>
      <c r="GQ102" s="439">
        <f t="shared" si="567"/>
        <v>0</v>
      </c>
      <c r="GR102" s="439">
        <f t="shared" si="568"/>
        <v>0</v>
      </c>
      <c r="GS102" s="439">
        <f t="shared" si="569"/>
        <v>0</v>
      </c>
      <c r="GT102" s="442">
        <f t="shared" si="570"/>
        <v>0</v>
      </c>
      <c r="GU102" s="442">
        <f t="shared" si="571"/>
        <v>0</v>
      </c>
      <c r="GV102" s="439">
        <f t="shared" si="572"/>
        <v>0</v>
      </c>
      <c r="GW102" s="439">
        <f t="shared" si="573"/>
        <v>0</v>
      </c>
      <c r="GX102" s="661">
        <f t="shared" si="574"/>
        <v>0</v>
      </c>
      <c r="GY102" s="661">
        <f t="shared" si="575"/>
        <v>0</v>
      </c>
      <c r="GZ102" s="439">
        <f t="shared" si="576"/>
        <v>0</v>
      </c>
      <c r="HA102" s="439">
        <f t="shared" si="577"/>
        <v>0</v>
      </c>
      <c r="HB102" s="439">
        <f t="shared" si="578"/>
        <v>0</v>
      </c>
      <c r="HC102" s="439">
        <f t="shared" si="579"/>
        <v>0</v>
      </c>
      <c r="HD102" s="631" t="s">
        <v>92</v>
      </c>
      <c r="HE102" s="631">
        <f t="shared" si="306"/>
        <v>0.69147446457129436</v>
      </c>
      <c r="HG102" s="618">
        <f>HLOOKUP(CQ102,Spec_Sheet!$F$3:$DV$19,11,FALSE)+HLOOKUP(CQ102,Spec_Sheet!$F$3:$DV$21,19,FALSE)</f>
        <v>300</v>
      </c>
      <c r="HH102" s="618">
        <f t="shared" si="454"/>
        <v>100</v>
      </c>
      <c r="HI102" s="634">
        <f t="shared" si="455"/>
        <v>350</v>
      </c>
      <c r="HJ102" s="634">
        <f>HLOOKUP(IF(LEN(CQ102)&gt;6,LEFT(CQ102,5),CQ102),'LSM List Pricing'!$B$1:$BW$2,2,0)</f>
        <v>57</v>
      </c>
      <c r="HK102" s="634">
        <f>HLOOKUP(HJ102,'LSM List Pricing'!$B$2:$BW$3,2)</f>
        <v>690</v>
      </c>
      <c r="HL102" s="634">
        <f>VLOOKUP(HH102,'LSM List Pricing'!$A$7:$BW$87,HJ102,0)</f>
        <v>1260</v>
      </c>
      <c r="HM102" s="627">
        <f>VLOOKUP(HI102,'LSM List Pricing'!$A$7:$BW$87,HJ102,1)</f>
        <v>1810</v>
      </c>
      <c r="HN102" s="628">
        <f t="shared" si="307"/>
        <v>5</v>
      </c>
      <c r="HO102" s="628">
        <f t="shared" si="308"/>
        <v>10</v>
      </c>
      <c r="HP102" s="628">
        <f t="shared" si="309"/>
        <v>8.1794871794871788</v>
      </c>
      <c r="HR102" s="618">
        <v>4.9500000000000002E-2</v>
      </c>
      <c r="HS102" s="618">
        <f t="shared" si="457"/>
        <v>332.35714285714289</v>
      </c>
      <c r="HT102" s="618">
        <f t="shared" si="458"/>
        <v>1</v>
      </c>
      <c r="HU102" s="618">
        <f t="shared" si="466"/>
        <v>1.2607055771806142</v>
      </c>
      <c r="HW102" s="618">
        <f t="shared" si="413"/>
        <v>34.20979808040353</v>
      </c>
      <c r="HX102" s="618">
        <f t="shared" si="467"/>
        <v>1.2290428692894302</v>
      </c>
      <c r="HY102" s="618">
        <f t="shared" si="468"/>
        <v>4.9500000000000002E-2</v>
      </c>
      <c r="IB102" s="618">
        <f t="shared" si="414"/>
        <v>25.000350341399081</v>
      </c>
      <c r="IC102" s="618">
        <f t="shared" si="415"/>
        <v>1E-3</v>
      </c>
      <c r="IE102" s="618">
        <f t="shared" si="416"/>
        <v>0</v>
      </c>
      <c r="IF102" s="618">
        <f t="shared" si="417"/>
        <v>40.704999999999998</v>
      </c>
      <c r="IH102" s="618">
        <f t="shared" si="418"/>
        <v>0</v>
      </c>
      <c r="II102" s="618">
        <f t="shared" si="419"/>
        <v>40.704999999999998</v>
      </c>
      <c r="IK102" s="618">
        <f t="shared" si="420"/>
        <v>0</v>
      </c>
      <c r="IL102" s="618">
        <f t="shared" si="421"/>
        <v>40.704999999999998</v>
      </c>
      <c r="IN102" s="618">
        <f t="shared" si="422"/>
        <v>0</v>
      </c>
      <c r="IO102" s="618">
        <f t="shared" si="423"/>
        <v>40.704999999999998</v>
      </c>
      <c r="IQ102" s="618">
        <f t="shared" si="424"/>
        <v>0</v>
      </c>
      <c r="IR102" s="618">
        <f t="shared" si="425"/>
        <v>40.704999999999998</v>
      </c>
      <c r="IT102" s="660" t="str">
        <f t="shared" si="426"/>
        <v>S350Q</v>
      </c>
      <c r="IU102" s="628"/>
      <c r="IV102" s="439">
        <f t="shared" si="580"/>
        <v>6.6612000000000009</v>
      </c>
      <c r="IW102" s="440">
        <f t="shared" si="581"/>
        <v>5.1012000000000013</v>
      </c>
      <c r="IX102" s="439">
        <f t="shared" si="582"/>
        <v>-3.5412000000000012</v>
      </c>
      <c r="IY102" s="439">
        <f t="shared" si="583"/>
        <v>0</v>
      </c>
      <c r="IZ102" s="439">
        <f t="shared" si="584"/>
        <v>0</v>
      </c>
      <c r="JA102" s="439">
        <f t="shared" si="585"/>
        <v>0</v>
      </c>
      <c r="JB102" s="439">
        <f t="shared" si="586"/>
        <v>0</v>
      </c>
      <c r="JC102" s="439">
        <f t="shared" si="587"/>
        <v>0</v>
      </c>
      <c r="JD102" s="439">
        <f t="shared" si="588"/>
        <v>0</v>
      </c>
      <c r="JE102" s="439">
        <f t="shared" si="589"/>
        <v>0</v>
      </c>
      <c r="JF102" s="439">
        <f t="shared" si="590"/>
        <v>0</v>
      </c>
      <c r="JG102" s="439">
        <f t="shared" si="591"/>
        <v>0</v>
      </c>
      <c r="JH102" s="439">
        <f t="shared" si="592"/>
        <v>0</v>
      </c>
      <c r="JI102" s="439">
        <f t="shared" si="593"/>
        <v>0</v>
      </c>
      <c r="JJ102" s="442">
        <f t="shared" si="594"/>
        <v>0</v>
      </c>
      <c r="JK102" s="442">
        <f t="shared" si="595"/>
        <v>0</v>
      </c>
      <c r="JL102" s="439">
        <f t="shared" si="596"/>
        <v>0</v>
      </c>
      <c r="JM102" s="439">
        <f t="shared" si="597"/>
        <v>0</v>
      </c>
      <c r="JN102" s="661">
        <f t="shared" si="598"/>
        <v>0</v>
      </c>
      <c r="JO102" s="661">
        <f t="shared" si="599"/>
        <v>0</v>
      </c>
      <c r="JP102" s="439">
        <f t="shared" si="600"/>
        <v>0</v>
      </c>
      <c r="JQ102" s="439">
        <f t="shared" si="601"/>
        <v>0</v>
      </c>
      <c r="JR102" s="439">
        <f t="shared" si="602"/>
        <v>0</v>
      </c>
      <c r="JS102" s="439">
        <f t="shared" si="603"/>
        <v>0</v>
      </c>
      <c r="JT102" s="631" t="s">
        <v>92</v>
      </c>
      <c r="JU102" s="631">
        <f t="shared" si="459"/>
        <v>0.67842777656051523</v>
      </c>
      <c r="JW102" s="522"/>
      <c r="JX102" s="522"/>
      <c r="JY102" s="522"/>
      <c r="JZ102" s="522"/>
      <c r="KA102" s="522"/>
      <c r="KB102" s="522"/>
      <c r="KC102" s="522"/>
      <c r="KD102" s="522"/>
      <c r="KE102" s="522"/>
      <c r="KF102" s="522"/>
      <c r="KG102" s="522"/>
      <c r="KH102" s="522"/>
      <c r="KI102" s="522"/>
      <c r="KJ102" s="522"/>
      <c r="KK102" s="522"/>
      <c r="KL102" s="522"/>
    </row>
    <row r="103" spans="1:298">
      <c r="A103" s="77"/>
      <c r="B103" s="579">
        <v>7</v>
      </c>
      <c r="C103" s="579"/>
      <c r="D103" s="579">
        <f t="shared" si="481"/>
        <v>0.18000000000000002</v>
      </c>
      <c r="E103" s="579">
        <f t="shared" si="481"/>
        <v>0.18000000000000002</v>
      </c>
      <c r="F103" s="579">
        <f t="shared" si="481"/>
        <v>0</v>
      </c>
      <c r="G103" s="579">
        <f t="shared" si="481"/>
        <v>0</v>
      </c>
      <c r="H103" s="579">
        <f t="shared" si="481"/>
        <v>0</v>
      </c>
      <c r="I103" s="579">
        <f t="shared" si="481"/>
        <v>0</v>
      </c>
      <c r="J103" s="579">
        <f t="shared" si="481"/>
        <v>0</v>
      </c>
      <c r="K103" s="579">
        <f t="shared" si="481"/>
        <v>0</v>
      </c>
      <c r="L103" s="579">
        <f t="shared" si="481"/>
        <v>0</v>
      </c>
      <c r="M103" s="579">
        <f t="shared" si="481"/>
        <v>0</v>
      </c>
      <c r="N103" s="579">
        <f t="shared" si="481"/>
        <v>0</v>
      </c>
      <c r="O103" s="579">
        <f t="shared" si="481"/>
        <v>0</v>
      </c>
      <c r="P103" s="579"/>
      <c r="Q103" s="579"/>
      <c r="R103" s="579"/>
      <c r="S103" s="579"/>
      <c r="T103" s="579"/>
      <c r="U103" s="580"/>
      <c r="V103" s="580"/>
      <c r="W103" s="579"/>
      <c r="X103" s="579"/>
      <c r="Y103" s="579"/>
      <c r="Z103" s="579"/>
      <c r="AA103" s="579"/>
      <c r="AB103" s="579"/>
      <c r="AC103" s="580"/>
      <c r="AD103" s="580"/>
      <c r="AE103" s="579"/>
      <c r="AF103" s="579"/>
      <c r="AG103" s="579"/>
      <c r="AH103" s="579"/>
      <c r="AI103" s="579"/>
      <c r="AJ103" s="579"/>
      <c r="AK103" s="579"/>
      <c r="AL103" s="580"/>
      <c r="AM103" s="580"/>
      <c r="AN103" s="579"/>
      <c r="AO103" s="579"/>
      <c r="AP103" s="579"/>
      <c r="AQ103" s="579"/>
      <c r="AR103" s="579"/>
      <c r="AS103" s="579"/>
      <c r="AT103" s="580"/>
      <c r="AU103" s="580"/>
      <c r="AV103" s="581">
        <f>IF($AY$30,I86*$I$82,0)</f>
        <v>0</v>
      </c>
      <c r="AW103" s="581">
        <f>IF($AY$32,'Data Sheet'!AA124,0)</f>
        <v>0</v>
      </c>
      <c r="AX103" s="581">
        <f t="shared" si="482"/>
        <v>40.704999999999998</v>
      </c>
      <c r="AY103" s="579"/>
      <c r="AZ103" s="579"/>
      <c r="BA103" s="579"/>
      <c r="BB103" s="579"/>
      <c r="BC103" s="579"/>
      <c r="BD103" s="579"/>
      <c r="BE103" s="579"/>
      <c r="BF103" s="579"/>
      <c r="BG103" s="379"/>
      <c r="BH103" s="379"/>
      <c r="BI103" s="379"/>
      <c r="BJ103" s="379"/>
      <c r="BK103" s="379"/>
      <c r="BL103" s="379"/>
      <c r="BM103" s="379"/>
      <c r="BN103" s="379"/>
      <c r="BO103" s="379"/>
      <c r="BP103" s="379"/>
      <c r="BQ103" s="379"/>
      <c r="BR103" s="379"/>
      <c r="BS103" s="379"/>
      <c r="BT103" s="379"/>
      <c r="BU103" s="379"/>
      <c r="BV103" s="379"/>
      <c r="BW103" s="379"/>
      <c r="BX103" s="379"/>
      <c r="BY103" s="379"/>
      <c r="BZ103" s="379"/>
      <c r="CA103" s="379"/>
      <c r="CB103" s="379"/>
      <c r="CC103" s="379"/>
      <c r="CD103" s="379"/>
      <c r="CE103" s="379"/>
      <c r="CF103" s="379"/>
      <c r="CG103" s="379"/>
      <c r="CH103" s="77"/>
      <c r="CI103" s="77"/>
      <c r="CJ103" s="380"/>
      <c r="CK103" s="380"/>
      <c r="CL103" s="381"/>
      <c r="CM103" s="381"/>
      <c r="CN103" s="445"/>
      <c r="CO103" s="694" t="str">
        <f ca="1"/>
        <v>L427Q</v>
      </c>
      <c r="CP103" s="632" t="str">
        <f>IF(OR(CQ103=0,CR103="",CS103&gt;120),"",IF(HLOOKUP(CQ103,Spec_Sheet!$F$3:$ED$19,17,FALSE)&lt;$AC$46,"",CQ103))</f>
        <v>S427Q 1S</v>
      </c>
      <c r="CQ103" s="660" t="str">
        <f>IF(Spec_Sheet!A102="","",Spec_Sheet!A102)</f>
        <v>S427Q 1S</v>
      </c>
      <c r="CR103" s="660">
        <f>IF(CQ103="",0,HLOOKUP(CQ103,Spec_Sheet!$F$3:$ED$19,2,FALSE))</f>
        <v>197.67038920931392</v>
      </c>
      <c r="CS103" s="660">
        <f t="shared" si="461"/>
        <v>1.3661342307579197E-3</v>
      </c>
      <c r="CT103" s="621">
        <f t="shared" si="310"/>
        <v>1.4654577653921059E-3</v>
      </c>
      <c r="CU103" s="621">
        <f t="shared" si="483"/>
        <v>1.3661342307579197E-3</v>
      </c>
      <c r="CV103" s="621">
        <f t="shared" si="311"/>
        <v>1.6262965470688047E-3</v>
      </c>
      <c r="CW103" s="621">
        <f t="shared" si="312"/>
        <v>1.5215712061650414E-3</v>
      </c>
      <c r="CX103" s="621">
        <f t="shared" si="456"/>
        <v>1.1153684435788738E-3</v>
      </c>
      <c r="CY103" s="619">
        <f>HLOOKUP(CQ103,Spec_Sheet!$F$3:$ED$19,13,FALSE)</f>
        <v>5.4</v>
      </c>
      <c r="CZ103" s="619">
        <f>VLOOKUP(HH103,'Shaft Weight'!$A$6:$CD$102,HJ103,TRUE)</f>
        <v>5.71</v>
      </c>
      <c r="DA103" s="619">
        <f>VLOOKUP(HI103,'Shaft Weight'!$A$6:$CD$102,HJ103,0)</f>
        <v>9.7200000000000006</v>
      </c>
      <c r="DB103" s="619">
        <f>HLOOKUP(CQ103,Spec_Sheet!$F$3:$ED$19,6,FALSE)</f>
        <v>16.649999999999999</v>
      </c>
      <c r="DC103" s="439">
        <f t="shared" si="484"/>
        <v>7.429800000000002</v>
      </c>
      <c r="DD103" s="440">
        <f t="shared" si="485"/>
        <v>5.6898000000000017</v>
      </c>
      <c r="DE103" s="439">
        <f t="shared" si="486"/>
        <v>-3.9498000000000015</v>
      </c>
      <c r="DF103" s="439">
        <f t="shared" si="487"/>
        <v>0</v>
      </c>
      <c r="DG103" s="439">
        <f t="shared" si="488"/>
        <v>0</v>
      </c>
      <c r="DH103" s="439">
        <f t="shared" si="489"/>
        <v>0</v>
      </c>
      <c r="DI103" s="439">
        <f t="shared" si="490"/>
        <v>0</v>
      </c>
      <c r="DJ103" s="439">
        <f t="shared" si="491"/>
        <v>0</v>
      </c>
      <c r="DK103" s="439">
        <f t="shared" si="492"/>
        <v>0</v>
      </c>
      <c r="DL103" s="439">
        <f t="shared" si="493"/>
        <v>0</v>
      </c>
      <c r="DM103" s="439">
        <f t="shared" si="494"/>
        <v>0</v>
      </c>
      <c r="DN103" s="439">
        <f t="shared" si="495"/>
        <v>0</v>
      </c>
      <c r="DO103" s="439">
        <f t="shared" si="496"/>
        <v>0</v>
      </c>
      <c r="DP103" s="439">
        <f t="shared" si="497"/>
        <v>0</v>
      </c>
      <c r="DQ103" s="442">
        <f t="shared" si="498"/>
        <v>0</v>
      </c>
      <c r="DR103" s="442">
        <f t="shared" si="499"/>
        <v>0</v>
      </c>
      <c r="DS103" s="439">
        <f t="shared" si="500"/>
        <v>0</v>
      </c>
      <c r="DT103" s="439">
        <f t="shared" si="501"/>
        <v>0</v>
      </c>
      <c r="DU103" s="661">
        <f t="shared" si="502"/>
        <v>0</v>
      </c>
      <c r="DV103" s="661">
        <f t="shared" si="503"/>
        <v>0</v>
      </c>
      <c r="DW103" s="439">
        <f t="shared" si="504"/>
        <v>0</v>
      </c>
      <c r="DX103" s="439">
        <f t="shared" si="505"/>
        <v>0</v>
      </c>
      <c r="DY103" s="439">
        <f t="shared" si="506"/>
        <v>0</v>
      </c>
      <c r="DZ103" s="439">
        <f t="shared" si="507"/>
        <v>0</v>
      </c>
      <c r="EA103" s="631" t="s">
        <v>92</v>
      </c>
      <c r="EB103" s="631">
        <f t="shared" si="451"/>
        <v>0.75670790462519011</v>
      </c>
      <c r="ED103" s="439">
        <f t="shared" si="508"/>
        <v>15.141420000000002</v>
      </c>
      <c r="EE103" s="440">
        <f t="shared" si="509"/>
        <v>11.595420000000003</v>
      </c>
      <c r="EF103" s="439">
        <f t="shared" si="510"/>
        <v>-8.0494200000000031</v>
      </c>
      <c r="EG103" s="441">
        <f t="shared" si="511"/>
        <v>0</v>
      </c>
      <c r="EH103" s="439">
        <f t="shared" si="512"/>
        <v>0</v>
      </c>
      <c r="EI103" s="439">
        <f t="shared" si="513"/>
        <v>0</v>
      </c>
      <c r="EJ103" s="439">
        <f t="shared" si="514"/>
        <v>0</v>
      </c>
      <c r="EK103" s="439">
        <f t="shared" si="515"/>
        <v>0</v>
      </c>
      <c r="EL103" s="439">
        <f t="shared" si="516"/>
        <v>0</v>
      </c>
      <c r="EM103" s="439">
        <f t="shared" si="517"/>
        <v>0</v>
      </c>
      <c r="EN103" s="439">
        <f t="shared" si="518"/>
        <v>0</v>
      </c>
      <c r="EO103" s="439">
        <f t="shared" si="519"/>
        <v>0</v>
      </c>
      <c r="EP103" s="439">
        <f t="shared" si="520"/>
        <v>0</v>
      </c>
      <c r="EQ103" s="439">
        <f t="shared" si="521"/>
        <v>0</v>
      </c>
      <c r="ER103" s="442">
        <f t="shared" si="522"/>
        <v>0</v>
      </c>
      <c r="ES103" s="442">
        <f t="shared" si="523"/>
        <v>0</v>
      </c>
      <c r="ET103" s="439">
        <f t="shared" si="524"/>
        <v>0</v>
      </c>
      <c r="EU103" s="439">
        <f t="shared" si="525"/>
        <v>0</v>
      </c>
      <c r="EV103" s="661">
        <f t="shared" si="526"/>
        <v>0</v>
      </c>
      <c r="EW103" s="661">
        <f t="shared" si="527"/>
        <v>0</v>
      </c>
      <c r="EX103" s="439">
        <f t="shared" si="528"/>
        <v>0</v>
      </c>
      <c r="EY103" s="439">
        <f t="shared" si="529"/>
        <v>0</v>
      </c>
      <c r="EZ103" s="439">
        <f t="shared" si="530"/>
        <v>0</v>
      </c>
      <c r="FA103" s="439">
        <f t="shared" si="531"/>
        <v>0</v>
      </c>
      <c r="FB103" s="631" t="s">
        <v>92</v>
      </c>
      <c r="FC103" s="631">
        <f t="shared" si="452"/>
        <v>1.5421185228740941</v>
      </c>
      <c r="FE103" s="439">
        <f t="shared" si="532"/>
        <v>7.8269100000000007</v>
      </c>
      <c r="FF103" s="440">
        <f t="shared" si="533"/>
        <v>5.9939100000000005</v>
      </c>
      <c r="FG103" s="439">
        <f t="shared" si="534"/>
        <v>-4.1609100000000003</v>
      </c>
      <c r="FH103" s="441">
        <f t="shared" si="535"/>
        <v>0</v>
      </c>
      <c r="FI103" s="439">
        <f t="shared" si="536"/>
        <v>0</v>
      </c>
      <c r="FJ103" s="439">
        <f t="shared" si="537"/>
        <v>0</v>
      </c>
      <c r="FK103" s="439">
        <f t="shared" si="538"/>
        <v>0</v>
      </c>
      <c r="FL103" s="439">
        <f t="shared" si="539"/>
        <v>0</v>
      </c>
      <c r="FM103" s="439">
        <f t="shared" si="540"/>
        <v>0</v>
      </c>
      <c r="FN103" s="439">
        <f t="shared" si="541"/>
        <v>0</v>
      </c>
      <c r="FO103" s="439">
        <f t="shared" si="542"/>
        <v>0</v>
      </c>
      <c r="FP103" s="439">
        <f t="shared" si="543"/>
        <v>0</v>
      </c>
      <c r="FQ103" s="439">
        <f t="shared" si="544"/>
        <v>0</v>
      </c>
      <c r="FR103" s="439">
        <f t="shared" si="545"/>
        <v>0</v>
      </c>
      <c r="FS103" s="442">
        <f t="shared" si="546"/>
        <v>0</v>
      </c>
      <c r="FT103" s="442">
        <f t="shared" si="547"/>
        <v>0</v>
      </c>
      <c r="FU103" s="439">
        <f t="shared" si="548"/>
        <v>0</v>
      </c>
      <c r="FV103" s="439">
        <f t="shared" si="549"/>
        <v>0</v>
      </c>
      <c r="FW103" s="661">
        <f t="shared" si="550"/>
        <v>0</v>
      </c>
      <c r="FX103" s="661">
        <f t="shared" si="551"/>
        <v>0</v>
      </c>
      <c r="FY103" s="439">
        <f t="shared" si="552"/>
        <v>0</v>
      </c>
      <c r="FZ103" s="439">
        <f t="shared" si="553"/>
        <v>0</v>
      </c>
      <c r="GA103" s="439">
        <f t="shared" si="554"/>
        <v>0</v>
      </c>
      <c r="GB103" s="439">
        <f t="shared" si="555"/>
        <v>0</v>
      </c>
      <c r="GC103" s="631" t="s">
        <v>92</v>
      </c>
      <c r="GD103" s="631">
        <f t="shared" si="453"/>
        <v>0.79715263745860521</v>
      </c>
      <c r="GF103" s="439">
        <f t="shared" si="556"/>
        <v>12.963720000000002</v>
      </c>
      <c r="GG103" s="440">
        <f t="shared" si="557"/>
        <v>9.9277200000000025</v>
      </c>
      <c r="GH103" s="439">
        <f t="shared" si="558"/>
        <v>-6.891720000000003</v>
      </c>
      <c r="GI103" s="439">
        <f t="shared" si="559"/>
        <v>0</v>
      </c>
      <c r="GJ103" s="439">
        <f t="shared" si="560"/>
        <v>0</v>
      </c>
      <c r="GK103" s="439">
        <f t="shared" si="561"/>
        <v>0</v>
      </c>
      <c r="GL103" s="439">
        <f t="shared" si="562"/>
        <v>0</v>
      </c>
      <c r="GM103" s="439">
        <f t="shared" si="563"/>
        <v>0</v>
      </c>
      <c r="GN103" s="439">
        <f t="shared" si="564"/>
        <v>0</v>
      </c>
      <c r="GO103" s="439">
        <f t="shared" si="565"/>
        <v>0</v>
      </c>
      <c r="GP103" s="439">
        <f t="shared" si="566"/>
        <v>0</v>
      </c>
      <c r="GQ103" s="439">
        <f t="shared" si="567"/>
        <v>0</v>
      </c>
      <c r="GR103" s="439">
        <f t="shared" si="568"/>
        <v>0</v>
      </c>
      <c r="GS103" s="439">
        <f t="shared" si="569"/>
        <v>0</v>
      </c>
      <c r="GT103" s="442">
        <f t="shared" si="570"/>
        <v>0</v>
      </c>
      <c r="GU103" s="442">
        <f t="shared" si="571"/>
        <v>0</v>
      </c>
      <c r="GV103" s="439">
        <f t="shared" si="572"/>
        <v>0</v>
      </c>
      <c r="GW103" s="439">
        <f t="shared" si="573"/>
        <v>0</v>
      </c>
      <c r="GX103" s="661">
        <f t="shared" si="574"/>
        <v>0</v>
      </c>
      <c r="GY103" s="661">
        <f t="shared" si="575"/>
        <v>0</v>
      </c>
      <c r="GZ103" s="439">
        <f t="shared" si="576"/>
        <v>0</v>
      </c>
      <c r="HA103" s="439">
        <f t="shared" si="577"/>
        <v>0</v>
      </c>
      <c r="HB103" s="439">
        <f t="shared" si="578"/>
        <v>0</v>
      </c>
      <c r="HC103" s="439">
        <f t="shared" si="579"/>
        <v>0</v>
      </c>
      <c r="HD103" s="631" t="s">
        <v>92</v>
      </c>
      <c r="HE103" s="631">
        <f t="shared" si="306"/>
        <v>1.3203248266908489</v>
      </c>
      <c r="HG103" s="618">
        <f>HLOOKUP(CQ103,Spec_Sheet!$F$3:$DV$19,11,FALSE)+HLOOKUP(CQ103,Spec_Sheet!$F$3:$DV$21,19,FALSE)</f>
        <v>450</v>
      </c>
      <c r="HH103" s="618">
        <f t="shared" si="454"/>
        <v>100</v>
      </c>
      <c r="HI103" s="634">
        <f t="shared" si="455"/>
        <v>500</v>
      </c>
      <c r="HJ103" s="634">
        <f>HLOOKUP(IF(LEN(CQ103)&gt;6,LEFT(CQ103,5),CQ103),'LSM List Pricing'!$B$1:$BW$2,2,0)</f>
        <v>63</v>
      </c>
      <c r="HK103" s="634">
        <f>HLOOKUP(HJ103,'LSM List Pricing'!$B$2:$BW$3,2)</f>
        <v>940</v>
      </c>
      <c r="HL103" s="634">
        <f>VLOOKUP(HH103,'LSM List Pricing'!$A$7:$BW$87,HJ103,0)</f>
        <v>2200</v>
      </c>
      <c r="HM103" s="627">
        <f>VLOOKUP(HI103,'LSM List Pricing'!$A$7:$BW$87,HJ103,1)</f>
        <v>3620</v>
      </c>
      <c r="HN103" s="628">
        <f t="shared" si="307"/>
        <v>8.0512820512820511</v>
      </c>
      <c r="HO103" s="628">
        <f t="shared" si="308"/>
        <v>16.102564102564102</v>
      </c>
      <c r="HP103" s="628">
        <f t="shared" si="309"/>
        <v>14.102564102564102</v>
      </c>
      <c r="HR103" s="618">
        <v>0.05</v>
      </c>
      <c r="HS103" s="618">
        <f t="shared" si="457"/>
        <v>335.71428571428572</v>
      </c>
      <c r="HT103" s="618">
        <f t="shared" si="458"/>
        <v>1</v>
      </c>
      <c r="HU103" s="618">
        <f t="shared" si="466"/>
        <v>1.273444621154239</v>
      </c>
      <c r="HW103" s="618">
        <f t="shared" si="413"/>
        <v>34.191708637960978</v>
      </c>
      <c r="HX103" s="618">
        <f t="shared" si="467"/>
        <v>1.2411420270636622</v>
      </c>
      <c r="HY103" s="618">
        <f t="shared" si="468"/>
        <v>0.05</v>
      </c>
      <c r="IB103" s="618">
        <f t="shared" si="414"/>
        <v>25.000350341399081</v>
      </c>
      <c r="IC103" s="618">
        <f t="shared" si="415"/>
        <v>1E-3</v>
      </c>
      <c r="IE103" s="618">
        <f t="shared" si="416"/>
        <v>0</v>
      </c>
      <c r="IF103" s="618">
        <f t="shared" si="417"/>
        <v>40.704999999999998</v>
      </c>
      <c r="IH103" s="618">
        <f t="shared" si="418"/>
        <v>0</v>
      </c>
      <c r="II103" s="618">
        <f t="shared" si="419"/>
        <v>40.704999999999998</v>
      </c>
      <c r="IK103" s="618">
        <f t="shared" si="420"/>
        <v>0</v>
      </c>
      <c r="IL103" s="618">
        <f t="shared" si="421"/>
        <v>40.704999999999998</v>
      </c>
      <c r="IN103" s="618">
        <f t="shared" si="422"/>
        <v>0</v>
      </c>
      <c r="IO103" s="618">
        <f t="shared" si="423"/>
        <v>40.704999999999998</v>
      </c>
      <c r="IQ103" s="618">
        <f t="shared" si="424"/>
        <v>0</v>
      </c>
      <c r="IR103" s="618">
        <f t="shared" si="425"/>
        <v>40.704999999999998</v>
      </c>
      <c r="IT103" s="660" t="str">
        <f t="shared" si="426"/>
        <v>S427Q 1S</v>
      </c>
      <c r="IU103" s="628"/>
      <c r="IV103" s="439">
        <f t="shared" si="580"/>
        <v>14.347200000000001</v>
      </c>
      <c r="IW103" s="440">
        <f t="shared" si="581"/>
        <v>10.987200000000001</v>
      </c>
      <c r="IX103" s="439">
        <f t="shared" si="582"/>
        <v>-7.6272000000000011</v>
      </c>
      <c r="IY103" s="439">
        <f t="shared" si="583"/>
        <v>0</v>
      </c>
      <c r="IZ103" s="439">
        <f t="shared" si="584"/>
        <v>0</v>
      </c>
      <c r="JA103" s="439">
        <f t="shared" si="585"/>
        <v>0</v>
      </c>
      <c r="JB103" s="439">
        <f t="shared" si="586"/>
        <v>0</v>
      </c>
      <c r="JC103" s="439">
        <f t="shared" si="587"/>
        <v>0</v>
      </c>
      <c r="JD103" s="439">
        <f t="shared" si="588"/>
        <v>0</v>
      </c>
      <c r="JE103" s="439">
        <f t="shared" si="589"/>
        <v>0</v>
      </c>
      <c r="JF103" s="439">
        <f t="shared" si="590"/>
        <v>0</v>
      </c>
      <c r="JG103" s="439">
        <f t="shared" si="591"/>
        <v>0</v>
      </c>
      <c r="JH103" s="439">
        <f t="shared" si="592"/>
        <v>0</v>
      </c>
      <c r="JI103" s="439">
        <f t="shared" si="593"/>
        <v>0</v>
      </c>
      <c r="JJ103" s="442">
        <f t="shared" si="594"/>
        <v>0</v>
      </c>
      <c r="JK103" s="442">
        <f t="shared" si="595"/>
        <v>0</v>
      </c>
      <c r="JL103" s="439">
        <f t="shared" si="596"/>
        <v>0</v>
      </c>
      <c r="JM103" s="439">
        <f t="shared" si="597"/>
        <v>0</v>
      </c>
      <c r="JN103" s="661">
        <f t="shared" si="598"/>
        <v>0</v>
      </c>
      <c r="JO103" s="661">
        <f t="shared" si="599"/>
        <v>0</v>
      </c>
      <c r="JP103" s="439">
        <f t="shared" si="600"/>
        <v>0</v>
      </c>
      <c r="JQ103" s="439">
        <f t="shared" si="601"/>
        <v>0</v>
      </c>
      <c r="JR103" s="439">
        <f t="shared" si="602"/>
        <v>0</v>
      </c>
      <c r="JS103" s="439">
        <f t="shared" si="603"/>
        <v>0</v>
      </c>
      <c r="JT103" s="631" t="s">
        <v>92</v>
      </c>
      <c r="JU103" s="631">
        <f t="shared" si="459"/>
        <v>1.4612290572072635</v>
      </c>
      <c r="JW103" s="522"/>
      <c r="JX103" s="522"/>
      <c r="JY103" s="522"/>
      <c r="JZ103" s="522"/>
      <c r="KA103" s="522"/>
      <c r="KB103" s="522"/>
      <c r="KC103" s="522"/>
      <c r="KD103" s="522"/>
      <c r="KE103" s="522"/>
      <c r="KF103" s="522"/>
      <c r="KG103" s="522"/>
      <c r="KH103" s="522"/>
      <c r="KI103" s="522"/>
      <c r="KJ103" s="522"/>
      <c r="KK103" s="522"/>
      <c r="KL103" s="522"/>
    </row>
    <row r="104" spans="1:298">
      <c r="A104" s="77"/>
      <c r="B104" s="579">
        <v>8</v>
      </c>
      <c r="C104" s="579"/>
      <c r="D104" s="579">
        <f t="shared" si="481"/>
        <v>0.14399999999999999</v>
      </c>
      <c r="E104" s="579">
        <f t="shared" si="481"/>
        <v>0.14399999999999999</v>
      </c>
      <c r="F104" s="579" t="e">
        <f t="shared" si="481"/>
        <v>#DIV/0!</v>
      </c>
      <c r="G104" s="579" t="e">
        <f t="shared" si="481"/>
        <v>#DIV/0!</v>
      </c>
      <c r="H104" s="579" t="e">
        <f t="shared" si="481"/>
        <v>#DIV/0!</v>
      </c>
      <c r="I104" s="579" t="e">
        <f t="shared" si="481"/>
        <v>#DIV/0!</v>
      </c>
      <c r="J104" s="579" t="e">
        <f t="shared" si="481"/>
        <v>#DIV/0!</v>
      </c>
      <c r="K104" s="579" t="e">
        <f t="shared" si="481"/>
        <v>#DIV/0!</v>
      </c>
      <c r="L104" s="579" t="e">
        <f t="shared" si="481"/>
        <v>#DIV/0!</v>
      </c>
      <c r="M104" s="579" t="e">
        <f t="shared" si="481"/>
        <v>#DIV/0!</v>
      </c>
      <c r="N104" s="579" t="e">
        <f t="shared" si="481"/>
        <v>#DIV/0!</v>
      </c>
      <c r="O104" s="579" t="e">
        <f t="shared" si="481"/>
        <v>#DIV/0!</v>
      </c>
      <c r="P104" s="579"/>
      <c r="Q104" s="579"/>
      <c r="R104" s="579"/>
      <c r="S104" s="579"/>
      <c r="T104" s="579"/>
      <c r="U104" s="580"/>
      <c r="V104" s="580"/>
      <c r="W104" s="579"/>
      <c r="X104" s="579"/>
      <c r="Y104" s="579"/>
      <c r="Z104" s="579"/>
      <c r="AA104" s="579"/>
      <c r="AB104" s="579"/>
      <c r="AC104" s="580"/>
      <c r="AD104" s="580"/>
      <c r="AE104" s="579"/>
      <c r="AF104" s="579"/>
      <c r="AG104" s="579"/>
      <c r="AH104" s="579"/>
      <c r="AI104" s="579"/>
      <c r="AJ104" s="579"/>
      <c r="AK104" s="579"/>
      <c r="AL104" s="580"/>
      <c r="AM104" s="580"/>
      <c r="AN104" s="579"/>
      <c r="AO104" s="579"/>
      <c r="AP104" s="579"/>
      <c r="AQ104" s="579"/>
      <c r="AR104" s="579"/>
      <c r="AS104" s="579"/>
      <c r="AT104" s="580"/>
      <c r="AU104" s="580"/>
      <c r="AV104" s="581" t="e">
        <f>IF($AY$30,I85*$I$82,0)</f>
        <v>#DIV/0!</v>
      </c>
      <c r="AW104" s="581" t="e">
        <f>IF($AY$32,'Data Sheet'!AA125,0)</f>
        <v>#DIV/0!</v>
      </c>
      <c r="AX104" s="581">
        <f t="shared" si="482"/>
        <v>40.704999999999998</v>
      </c>
      <c r="AY104" s="579"/>
      <c r="AZ104" s="579"/>
      <c r="BA104" s="579"/>
      <c r="BB104" s="579"/>
      <c r="BC104" s="579"/>
      <c r="BD104" s="579"/>
      <c r="BE104" s="579"/>
      <c r="BF104" s="579"/>
      <c r="BG104" s="379"/>
      <c r="BH104" s="379"/>
      <c r="BI104" s="379"/>
      <c r="BJ104" s="379"/>
      <c r="BK104" s="379"/>
      <c r="BL104" s="379"/>
      <c r="BM104" s="379"/>
      <c r="BN104" s="379"/>
      <c r="BO104" s="379"/>
      <c r="BP104" s="379"/>
      <c r="BQ104" s="379"/>
      <c r="BR104" s="379"/>
      <c r="BS104" s="379"/>
      <c r="BT104" s="379"/>
      <c r="BU104" s="379"/>
      <c r="BV104" s="379"/>
      <c r="BW104" s="379"/>
      <c r="BX104" s="379"/>
      <c r="BY104" s="379"/>
      <c r="BZ104" s="379"/>
      <c r="CA104" s="379"/>
      <c r="CB104" s="379"/>
      <c r="CC104" s="379"/>
      <c r="CD104" s="379"/>
      <c r="CE104" s="379"/>
      <c r="CF104" s="379"/>
      <c r="CG104" s="379"/>
      <c r="CH104" s="77"/>
      <c r="CI104" s="77"/>
      <c r="CJ104" s="380"/>
      <c r="CK104" s="380"/>
      <c r="CL104" s="381"/>
      <c r="CM104" s="381"/>
      <c r="CN104" s="381"/>
      <c r="CO104" s="694" t="str">
        <f ca="1"/>
        <v>S435Q 1S</v>
      </c>
      <c r="CP104" s="632" t="str">
        <f>IF(OR(CQ104=0,CR104="",CS104&gt;120),"",IF(HLOOKUP(CQ104,Spec_Sheet!$F$3:$ED$19,17,FALSE)&lt;$AC$46,"",CQ104))</f>
        <v>S427Q 2S</v>
      </c>
      <c r="CQ104" s="660" t="str">
        <f>IF(Spec_Sheet!A103="","",Spec_Sheet!A103)</f>
        <v>S427Q 2S</v>
      </c>
      <c r="CR104" s="660">
        <f>IF(CQ104="",0,HLOOKUP(CQ104,Spec_Sheet!$F$3:$ED$19,2,FALSE))</f>
        <v>197.67038920931392</v>
      </c>
      <c r="CS104" s="660">
        <f t="shared" si="461"/>
        <v>1.3661342307579197E-3</v>
      </c>
      <c r="CT104" s="621">
        <f t="shared" si="310"/>
        <v>1.4654577653921059E-3</v>
      </c>
      <c r="CU104" s="621">
        <f t="shared" si="483"/>
        <v>1.3661342307579197E-3</v>
      </c>
      <c r="CV104" s="621">
        <f t="shared" si="311"/>
        <v>1.6262965470688047E-3</v>
      </c>
      <c r="CW104" s="621">
        <f t="shared" si="312"/>
        <v>1.5215712061650414E-3</v>
      </c>
      <c r="CX104" s="621">
        <f t="shared" si="456"/>
        <v>1.1153684435788738E-3</v>
      </c>
      <c r="CY104" s="619">
        <f>HLOOKUP(CQ104,Spec_Sheet!$F$3:$ED$19,13,FALSE)</f>
        <v>5.4</v>
      </c>
      <c r="CZ104" s="619">
        <f>VLOOKUP(HH104,'Shaft Weight'!$A$6:$CD$102,HJ104,TRUE)</f>
        <v>5.71</v>
      </c>
      <c r="DA104" s="619">
        <f>VLOOKUP(HI104,'Shaft Weight'!$A$6:$CD$102,HJ104,0)</f>
        <v>9.7200000000000006</v>
      </c>
      <c r="DB104" s="619">
        <f>HLOOKUP(CQ104,Spec_Sheet!$F$3:$ED$19,6,FALSE)</f>
        <v>33.299999999999997</v>
      </c>
      <c r="DC104" s="439">
        <f t="shared" si="484"/>
        <v>7.429800000000002</v>
      </c>
      <c r="DD104" s="440">
        <f t="shared" si="485"/>
        <v>5.6898000000000017</v>
      </c>
      <c r="DE104" s="439">
        <f t="shared" si="486"/>
        <v>-3.9498000000000015</v>
      </c>
      <c r="DF104" s="439">
        <f t="shared" si="487"/>
        <v>0</v>
      </c>
      <c r="DG104" s="439">
        <f t="shared" si="488"/>
        <v>0</v>
      </c>
      <c r="DH104" s="439">
        <f t="shared" si="489"/>
        <v>0</v>
      </c>
      <c r="DI104" s="439">
        <f t="shared" si="490"/>
        <v>0</v>
      </c>
      <c r="DJ104" s="439">
        <f t="shared" si="491"/>
        <v>0</v>
      </c>
      <c r="DK104" s="439">
        <f t="shared" si="492"/>
        <v>0</v>
      </c>
      <c r="DL104" s="439">
        <f t="shared" si="493"/>
        <v>0</v>
      </c>
      <c r="DM104" s="439">
        <f t="shared" si="494"/>
        <v>0</v>
      </c>
      <c r="DN104" s="439">
        <f t="shared" si="495"/>
        <v>0</v>
      </c>
      <c r="DO104" s="439">
        <f t="shared" si="496"/>
        <v>0</v>
      </c>
      <c r="DP104" s="439">
        <f t="shared" si="497"/>
        <v>0</v>
      </c>
      <c r="DQ104" s="442">
        <f t="shared" si="498"/>
        <v>0</v>
      </c>
      <c r="DR104" s="442">
        <f t="shared" si="499"/>
        <v>0</v>
      </c>
      <c r="DS104" s="439">
        <f t="shared" si="500"/>
        <v>0</v>
      </c>
      <c r="DT104" s="439">
        <f t="shared" si="501"/>
        <v>0</v>
      </c>
      <c r="DU104" s="661">
        <f t="shared" si="502"/>
        <v>0</v>
      </c>
      <c r="DV104" s="661">
        <f t="shared" si="503"/>
        <v>0</v>
      </c>
      <c r="DW104" s="439">
        <f t="shared" si="504"/>
        <v>0</v>
      </c>
      <c r="DX104" s="439">
        <f t="shared" si="505"/>
        <v>0</v>
      </c>
      <c r="DY104" s="439">
        <f t="shared" si="506"/>
        <v>0</v>
      </c>
      <c r="DZ104" s="439">
        <f t="shared" si="507"/>
        <v>0</v>
      </c>
      <c r="EA104" s="631" t="s">
        <v>92</v>
      </c>
      <c r="EB104" s="631">
        <f t="shared" si="451"/>
        <v>0.75670790462519011</v>
      </c>
      <c r="ED104" s="439">
        <f t="shared" si="508"/>
        <v>15.141420000000002</v>
      </c>
      <c r="EE104" s="440">
        <f t="shared" si="509"/>
        <v>11.595420000000003</v>
      </c>
      <c r="EF104" s="439">
        <f t="shared" si="510"/>
        <v>-8.0494200000000031</v>
      </c>
      <c r="EG104" s="441">
        <f t="shared" si="511"/>
        <v>0</v>
      </c>
      <c r="EH104" s="439">
        <f t="shared" si="512"/>
        <v>0</v>
      </c>
      <c r="EI104" s="439">
        <f t="shared" si="513"/>
        <v>0</v>
      </c>
      <c r="EJ104" s="439">
        <f t="shared" si="514"/>
        <v>0</v>
      </c>
      <c r="EK104" s="439">
        <f t="shared" si="515"/>
        <v>0</v>
      </c>
      <c r="EL104" s="439">
        <f t="shared" si="516"/>
        <v>0</v>
      </c>
      <c r="EM104" s="439">
        <f t="shared" si="517"/>
        <v>0</v>
      </c>
      <c r="EN104" s="439">
        <f t="shared" si="518"/>
        <v>0</v>
      </c>
      <c r="EO104" s="439">
        <f t="shared" si="519"/>
        <v>0</v>
      </c>
      <c r="EP104" s="439">
        <f t="shared" si="520"/>
        <v>0</v>
      </c>
      <c r="EQ104" s="439">
        <f t="shared" si="521"/>
        <v>0</v>
      </c>
      <c r="ER104" s="442">
        <f t="shared" si="522"/>
        <v>0</v>
      </c>
      <c r="ES104" s="442">
        <f t="shared" si="523"/>
        <v>0</v>
      </c>
      <c r="ET104" s="439">
        <f t="shared" si="524"/>
        <v>0</v>
      </c>
      <c r="EU104" s="439">
        <f t="shared" si="525"/>
        <v>0</v>
      </c>
      <c r="EV104" s="661">
        <f t="shared" si="526"/>
        <v>0</v>
      </c>
      <c r="EW104" s="661">
        <f t="shared" si="527"/>
        <v>0</v>
      </c>
      <c r="EX104" s="439">
        <f t="shared" si="528"/>
        <v>0</v>
      </c>
      <c r="EY104" s="439">
        <f t="shared" si="529"/>
        <v>0</v>
      </c>
      <c r="EZ104" s="439">
        <f t="shared" si="530"/>
        <v>0</v>
      </c>
      <c r="FA104" s="439">
        <f t="shared" si="531"/>
        <v>0</v>
      </c>
      <c r="FB104" s="631" t="s">
        <v>92</v>
      </c>
      <c r="FC104" s="631">
        <f t="shared" si="452"/>
        <v>1.5421185228740941</v>
      </c>
      <c r="FE104" s="439">
        <f t="shared" si="532"/>
        <v>7.8269100000000007</v>
      </c>
      <c r="FF104" s="440">
        <f t="shared" si="533"/>
        <v>5.9939100000000005</v>
      </c>
      <c r="FG104" s="439">
        <f t="shared" si="534"/>
        <v>-4.1609100000000003</v>
      </c>
      <c r="FH104" s="441">
        <f t="shared" si="535"/>
        <v>0</v>
      </c>
      <c r="FI104" s="439">
        <f t="shared" si="536"/>
        <v>0</v>
      </c>
      <c r="FJ104" s="439">
        <f t="shared" si="537"/>
        <v>0</v>
      </c>
      <c r="FK104" s="439">
        <f t="shared" si="538"/>
        <v>0</v>
      </c>
      <c r="FL104" s="439">
        <f t="shared" si="539"/>
        <v>0</v>
      </c>
      <c r="FM104" s="439">
        <f t="shared" si="540"/>
        <v>0</v>
      </c>
      <c r="FN104" s="439">
        <f t="shared" si="541"/>
        <v>0</v>
      </c>
      <c r="FO104" s="439">
        <f t="shared" si="542"/>
        <v>0</v>
      </c>
      <c r="FP104" s="439">
        <f t="shared" si="543"/>
        <v>0</v>
      </c>
      <c r="FQ104" s="439">
        <f t="shared" si="544"/>
        <v>0</v>
      </c>
      <c r="FR104" s="439">
        <f t="shared" si="545"/>
        <v>0</v>
      </c>
      <c r="FS104" s="442">
        <f t="shared" si="546"/>
        <v>0</v>
      </c>
      <c r="FT104" s="442">
        <f t="shared" si="547"/>
        <v>0</v>
      </c>
      <c r="FU104" s="439">
        <f t="shared" si="548"/>
        <v>0</v>
      </c>
      <c r="FV104" s="439">
        <f t="shared" si="549"/>
        <v>0</v>
      </c>
      <c r="FW104" s="661">
        <f t="shared" si="550"/>
        <v>0</v>
      </c>
      <c r="FX104" s="661">
        <f t="shared" si="551"/>
        <v>0</v>
      </c>
      <c r="FY104" s="439">
        <f t="shared" si="552"/>
        <v>0</v>
      </c>
      <c r="FZ104" s="439">
        <f t="shared" si="553"/>
        <v>0</v>
      </c>
      <c r="GA104" s="439">
        <f t="shared" si="554"/>
        <v>0</v>
      </c>
      <c r="GB104" s="439">
        <f t="shared" si="555"/>
        <v>0</v>
      </c>
      <c r="GC104" s="631" t="s">
        <v>92</v>
      </c>
      <c r="GD104" s="631">
        <f t="shared" si="453"/>
        <v>0.79715263745860521</v>
      </c>
      <c r="GF104" s="439">
        <f t="shared" si="556"/>
        <v>12.963720000000002</v>
      </c>
      <c r="GG104" s="440">
        <f t="shared" si="557"/>
        <v>9.9277200000000025</v>
      </c>
      <c r="GH104" s="439">
        <f t="shared" si="558"/>
        <v>-6.891720000000003</v>
      </c>
      <c r="GI104" s="439">
        <f t="shared" si="559"/>
        <v>0</v>
      </c>
      <c r="GJ104" s="439">
        <f t="shared" si="560"/>
        <v>0</v>
      </c>
      <c r="GK104" s="439">
        <f t="shared" si="561"/>
        <v>0</v>
      </c>
      <c r="GL104" s="439">
        <f t="shared" si="562"/>
        <v>0</v>
      </c>
      <c r="GM104" s="439">
        <f t="shared" si="563"/>
        <v>0</v>
      </c>
      <c r="GN104" s="439">
        <f t="shared" si="564"/>
        <v>0</v>
      </c>
      <c r="GO104" s="439">
        <f t="shared" si="565"/>
        <v>0</v>
      </c>
      <c r="GP104" s="439">
        <f t="shared" si="566"/>
        <v>0</v>
      </c>
      <c r="GQ104" s="439">
        <f t="shared" si="567"/>
        <v>0</v>
      </c>
      <c r="GR104" s="439">
        <f t="shared" si="568"/>
        <v>0</v>
      </c>
      <c r="GS104" s="439">
        <f t="shared" si="569"/>
        <v>0</v>
      </c>
      <c r="GT104" s="442">
        <f t="shared" si="570"/>
        <v>0</v>
      </c>
      <c r="GU104" s="442">
        <f t="shared" si="571"/>
        <v>0</v>
      </c>
      <c r="GV104" s="439">
        <f t="shared" si="572"/>
        <v>0</v>
      </c>
      <c r="GW104" s="439">
        <f t="shared" si="573"/>
        <v>0</v>
      </c>
      <c r="GX104" s="661">
        <f t="shared" si="574"/>
        <v>0</v>
      </c>
      <c r="GY104" s="661">
        <f t="shared" si="575"/>
        <v>0</v>
      </c>
      <c r="GZ104" s="439">
        <f t="shared" si="576"/>
        <v>0</v>
      </c>
      <c r="HA104" s="439">
        <f t="shared" si="577"/>
        <v>0</v>
      </c>
      <c r="HB104" s="439">
        <f t="shared" si="578"/>
        <v>0</v>
      </c>
      <c r="HC104" s="439">
        <f t="shared" si="579"/>
        <v>0</v>
      </c>
      <c r="HD104" s="631" t="s">
        <v>92</v>
      </c>
      <c r="HE104" s="631">
        <f t="shared" si="306"/>
        <v>1.3203248266908489</v>
      </c>
      <c r="HG104" s="618">
        <f>HLOOKUP(CQ104,Spec_Sheet!$F$3:$DV$19,11,FALSE)+HLOOKUP(CQ104,Spec_Sheet!$F$3:$DV$21,19,FALSE)</f>
        <v>450</v>
      </c>
      <c r="HH104" s="618">
        <f t="shared" si="454"/>
        <v>100</v>
      </c>
      <c r="HI104" s="634">
        <f t="shared" si="455"/>
        <v>500</v>
      </c>
      <c r="HJ104" s="634">
        <f>HLOOKUP(IF(LEN(CQ104)&gt;6,LEFT(CQ104,5),CQ104),'LSM List Pricing'!$B$1:$BW$2,2,0)</f>
        <v>63</v>
      </c>
      <c r="HK104" s="634">
        <f>HLOOKUP(HJ104,'LSM List Pricing'!$B$2:$BW$3,2)</f>
        <v>940</v>
      </c>
      <c r="HL104" s="634">
        <f>VLOOKUP(HH104,'LSM List Pricing'!$A$7:$BW$87,HJ104,0)</f>
        <v>2200</v>
      </c>
      <c r="HM104" s="627">
        <f>VLOOKUP(HI104,'LSM List Pricing'!$A$7:$BW$87,HJ104,1)</f>
        <v>3620</v>
      </c>
      <c r="HN104" s="628">
        <f t="shared" si="307"/>
        <v>8.0512820512820511</v>
      </c>
      <c r="HO104" s="628">
        <f t="shared" si="308"/>
        <v>16.102564102564102</v>
      </c>
      <c r="HP104" s="628">
        <f t="shared" si="309"/>
        <v>14.102564102564102</v>
      </c>
      <c r="HR104" s="618">
        <v>5.0500000000000003E-2</v>
      </c>
      <c r="HS104" s="618">
        <f t="shared" si="457"/>
        <v>339.07142857142861</v>
      </c>
      <c r="HT104" s="618">
        <f t="shared" si="458"/>
        <v>1</v>
      </c>
      <c r="HU104" s="618">
        <f t="shared" si="466"/>
        <v>1.2861836651278638</v>
      </c>
      <c r="HW104" s="618">
        <f t="shared" si="413"/>
        <v>34.173619195518434</v>
      </c>
      <c r="HX104" s="618">
        <f t="shared" si="467"/>
        <v>1.2532347836655959</v>
      </c>
      <c r="HY104" s="618">
        <f t="shared" si="468"/>
        <v>5.0500000000000003E-2</v>
      </c>
      <c r="IB104" s="618">
        <f t="shared" si="414"/>
        <v>25.000350341399081</v>
      </c>
      <c r="IC104" s="618">
        <f t="shared" si="415"/>
        <v>1E-3</v>
      </c>
      <c r="IE104" s="618">
        <f t="shared" si="416"/>
        <v>0</v>
      </c>
      <c r="IF104" s="618">
        <f t="shared" si="417"/>
        <v>40.704999999999998</v>
      </c>
      <c r="IH104" s="618">
        <f t="shared" si="418"/>
        <v>0</v>
      </c>
      <c r="II104" s="618">
        <f t="shared" si="419"/>
        <v>40.704999999999998</v>
      </c>
      <c r="IK104" s="618">
        <f t="shared" si="420"/>
        <v>0</v>
      </c>
      <c r="IL104" s="618">
        <f t="shared" si="421"/>
        <v>40.704999999999998</v>
      </c>
      <c r="IN104" s="618">
        <f t="shared" si="422"/>
        <v>0</v>
      </c>
      <c r="IO104" s="618">
        <f t="shared" si="423"/>
        <v>40.704999999999998</v>
      </c>
      <c r="IQ104" s="618">
        <f t="shared" si="424"/>
        <v>0</v>
      </c>
      <c r="IR104" s="618">
        <f t="shared" si="425"/>
        <v>40.704999999999998</v>
      </c>
      <c r="IT104" s="660" t="str">
        <f t="shared" si="426"/>
        <v>S427Q 2S</v>
      </c>
      <c r="IU104" s="628"/>
      <c r="IV104" s="439">
        <f t="shared" si="580"/>
        <v>14.347200000000001</v>
      </c>
      <c r="IW104" s="440">
        <f t="shared" si="581"/>
        <v>10.987200000000001</v>
      </c>
      <c r="IX104" s="439">
        <f t="shared" si="582"/>
        <v>-7.6272000000000011</v>
      </c>
      <c r="IY104" s="439">
        <f t="shared" si="583"/>
        <v>0</v>
      </c>
      <c r="IZ104" s="439">
        <f t="shared" si="584"/>
        <v>0</v>
      </c>
      <c r="JA104" s="439">
        <f t="shared" si="585"/>
        <v>0</v>
      </c>
      <c r="JB104" s="439">
        <f t="shared" si="586"/>
        <v>0</v>
      </c>
      <c r="JC104" s="439">
        <f t="shared" si="587"/>
        <v>0</v>
      </c>
      <c r="JD104" s="439">
        <f t="shared" si="588"/>
        <v>0</v>
      </c>
      <c r="JE104" s="439">
        <f t="shared" si="589"/>
        <v>0</v>
      </c>
      <c r="JF104" s="439">
        <f t="shared" si="590"/>
        <v>0</v>
      </c>
      <c r="JG104" s="439">
        <f t="shared" si="591"/>
        <v>0</v>
      </c>
      <c r="JH104" s="439">
        <f t="shared" si="592"/>
        <v>0</v>
      </c>
      <c r="JI104" s="439">
        <f t="shared" si="593"/>
        <v>0</v>
      </c>
      <c r="JJ104" s="442">
        <f t="shared" si="594"/>
        <v>0</v>
      </c>
      <c r="JK104" s="442">
        <f t="shared" si="595"/>
        <v>0</v>
      </c>
      <c r="JL104" s="439">
        <f t="shared" si="596"/>
        <v>0</v>
      </c>
      <c r="JM104" s="439">
        <f t="shared" si="597"/>
        <v>0</v>
      </c>
      <c r="JN104" s="661">
        <f t="shared" si="598"/>
        <v>0</v>
      </c>
      <c r="JO104" s="661">
        <f t="shared" si="599"/>
        <v>0</v>
      </c>
      <c r="JP104" s="439">
        <f t="shared" si="600"/>
        <v>0</v>
      </c>
      <c r="JQ104" s="439">
        <f t="shared" si="601"/>
        <v>0</v>
      </c>
      <c r="JR104" s="439">
        <f t="shared" si="602"/>
        <v>0</v>
      </c>
      <c r="JS104" s="439">
        <f t="shared" si="603"/>
        <v>0</v>
      </c>
      <c r="JT104" s="631" t="s">
        <v>92</v>
      </c>
      <c r="JU104" s="631">
        <f t="shared" si="459"/>
        <v>1.4612290572072635</v>
      </c>
      <c r="JW104" s="522"/>
      <c r="JX104" s="522"/>
      <c r="JY104" s="522"/>
      <c r="JZ104" s="522"/>
      <c r="KA104" s="522"/>
      <c r="KB104" s="522"/>
      <c r="KC104" s="522"/>
      <c r="KD104" s="522"/>
      <c r="KE104" s="522"/>
      <c r="KF104" s="522"/>
      <c r="KG104" s="522"/>
      <c r="KH104" s="522"/>
      <c r="KI104" s="522"/>
      <c r="KJ104" s="522"/>
      <c r="KK104" s="522"/>
      <c r="KL104" s="522"/>
    </row>
    <row r="105" spans="1:298">
      <c r="A105" s="77"/>
      <c r="B105" s="579">
        <v>9</v>
      </c>
      <c r="C105" s="579"/>
      <c r="D105" s="579">
        <f t="shared" si="481"/>
        <v>7.1999999999999911E-2</v>
      </c>
      <c r="E105" s="579">
        <f t="shared" si="481"/>
        <v>7.1999999999999911E-2</v>
      </c>
      <c r="F105" s="579" t="e">
        <f t="shared" si="481"/>
        <v>#DIV/0!</v>
      </c>
      <c r="G105" s="579" t="e">
        <f t="shared" si="481"/>
        <v>#DIV/0!</v>
      </c>
      <c r="H105" s="579" t="e">
        <f t="shared" si="481"/>
        <v>#DIV/0!</v>
      </c>
      <c r="I105" s="579" t="e">
        <f t="shared" si="481"/>
        <v>#DIV/0!</v>
      </c>
      <c r="J105" s="579" t="e">
        <f t="shared" si="481"/>
        <v>#DIV/0!</v>
      </c>
      <c r="K105" s="579" t="e">
        <f t="shared" si="481"/>
        <v>#DIV/0!</v>
      </c>
      <c r="L105" s="579" t="e">
        <f t="shared" si="481"/>
        <v>#DIV/0!</v>
      </c>
      <c r="M105" s="579" t="e">
        <f t="shared" si="481"/>
        <v>#DIV/0!</v>
      </c>
      <c r="N105" s="579" t="e">
        <f t="shared" si="481"/>
        <v>#DIV/0!</v>
      </c>
      <c r="O105" s="579" t="e">
        <f t="shared" si="481"/>
        <v>#DIV/0!</v>
      </c>
      <c r="P105" s="579"/>
      <c r="Q105" s="579"/>
      <c r="R105" s="579"/>
      <c r="S105" s="579"/>
      <c r="T105" s="579"/>
      <c r="U105" s="580"/>
      <c r="V105" s="580"/>
      <c r="W105" s="579"/>
      <c r="X105" s="579"/>
      <c r="Y105" s="579"/>
      <c r="Z105" s="579"/>
      <c r="AA105" s="579"/>
      <c r="AB105" s="579"/>
      <c r="AC105" s="580"/>
      <c r="AD105" s="580"/>
      <c r="AE105" s="579"/>
      <c r="AF105" s="579"/>
      <c r="AG105" s="579"/>
      <c r="AH105" s="579"/>
      <c r="AI105" s="579"/>
      <c r="AJ105" s="579"/>
      <c r="AK105" s="579"/>
      <c r="AL105" s="580"/>
      <c r="AM105" s="580"/>
      <c r="AN105" s="579"/>
      <c r="AO105" s="579"/>
      <c r="AP105" s="579"/>
      <c r="AQ105" s="579"/>
      <c r="AR105" s="579"/>
      <c r="AS105" s="579"/>
      <c r="AT105" s="580"/>
      <c r="AU105" s="580"/>
      <c r="AV105" s="581" t="e">
        <f>IF($AY$30,I84*$I$82,0)</f>
        <v>#DIV/0!</v>
      </c>
      <c r="AW105" s="581" t="e">
        <f>IF($AY$32,'Data Sheet'!AA126,0)</f>
        <v>#DIV/0!</v>
      </c>
      <c r="AX105" s="581">
        <f t="shared" si="482"/>
        <v>40.704999999999998</v>
      </c>
      <c r="AY105" s="579"/>
      <c r="AZ105" s="579"/>
      <c r="BA105" s="579"/>
      <c r="BB105" s="579"/>
      <c r="BC105" s="579"/>
      <c r="BD105" s="579"/>
      <c r="BE105" s="579"/>
      <c r="BF105" s="579"/>
      <c r="BG105" s="379"/>
      <c r="BH105" s="379"/>
      <c r="BI105" s="379"/>
      <c r="BJ105" s="379"/>
      <c r="BK105" s="379"/>
      <c r="BL105" s="379"/>
      <c r="BM105" s="379"/>
      <c r="BN105" s="379"/>
      <c r="BO105" s="379"/>
      <c r="BP105" s="379"/>
      <c r="BQ105" s="379"/>
      <c r="BR105" s="379"/>
      <c r="BS105" s="379"/>
      <c r="BT105" s="379"/>
      <c r="BU105" s="379"/>
      <c r="BV105" s="379"/>
      <c r="BW105" s="379"/>
      <c r="BX105" s="379"/>
      <c r="BY105" s="379"/>
      <c r="BZ105" s="379"/>
      <c r="CA105" s="379"/>
      <c r="CB105" s="379"/>
      <c r="CC105" s="379"/>
      <c r="CD105" s="379"/>
      <c r="CE105" s="379"/>
      <c r="CF105" s="379"/>
      <c r="CG105" s="379"/>
      <c r="CH105" s="77"/>
      <c r="CI105" s="77"/>
      <c r="CJ105" s="380"/>
      <c r="CK105" s="380"/>
      <c r="CL105" s="381"/>
      <c r="CM105" s="381"/>
      <c r="CN105" s="445"/>
      <c r="CO105" s="694" t="str">
        <f ca="1"/>
        <v>S435Q 2S</v>
      </c>
      <c r="CP105" s="632" t="str">
        <f>IF(OR(CQ105=0,CR105="",CS105&gt;120),"",IF(HLOOKUP(CQ105,Spec_Sheet!$F$3:$ED$19,17,FALSE)&lt;$AC$46,"",CQ105))</f>
        <v>S427Q</v>
      </c>
      <c r="CQ105" s="660" t="str">
        <f>IF(Spec_Sheet!A104="","",Spec_Sheet!A104)</f>
        <v>S427Q</v>
      </c>
      <c r="CR105" s="660">
        <f>IF(CQ105="",0,HLOOKUP(CQ105,Spec_Sheet!$F$3:$ED$19,2,FALSE))</f>
        <v>199.74800591271514</v>
      </c>
      <c r="CS105" s="660">
        <f t="shared" si="461"/>
        <v>1.3378631857488916E-3</v>
      </c>
      <c r="CT105" s="621">
        <f t="shared" si="310"/>
        <v>1.4351313000189013E-3</v>
      </c>
      <c r="CU105" s="621">
        <f t="shared" si="483"/>
        <v>1.3378631857488916E-3</v>
      </c>
      <c r="CV105" s="621">
        <f t="shared" si="311"/>
        <v>1.5926416529558731E-3</v>
      </c>
      <c r="CW105" s="621">
        <f t="shared" si="312"/>
        <v>1.4900835184360928E-3</v>
      </c>
      <c r="CX105" s="621">
        <f t="shared" si="456"/>
        <v>1.0922867940892961E-3</v>
      </c>
      <c r="CY105" s="619">
        <f>HLOOKUP(CQ105,Spec_Sheet!$F$3:$ED$19,13,FALSE)</f>
        <v>5.4</v>
      </c>
      <c r="CZ105" s="619">
        <f>VLOOKUP(HH105,'Shaft Weight'!$A$6:$CD$102,HJ105,TRUE)</f>
        <v>5.71</v>
      </c>
      <c r="DA105" s="619">
        <f>VLOOKUP(HI105,'Shaft Weight'!$A$6:$CD$102,HJ105,0)</f>
        <v>9.7200000000000006</v>
      </c>
      <c r="DB105" s="619">
        <f>HLOOKUP(CQ105,Spec_Sheet!$F$3:$ED$19,6,FALSE)</f>
        <v>66.599999999999994</v>
      </c>
      <c r="DC105" s="439">
        <f t="shared" si="484"/>
        <v>7.429800000000002</v>
      </c>
      <c r="DD105" s="440">
        <f t="shared" si="485"/>
        <v>5.6898000000000017</v>
      </c>
      <c r="DE105" s="439">
        <f t="shared" si="486"/>
        <v>-3.9498000000000015</v>
      </c>
      <c r="DF105" s="439">
        <f t="shared" si="487"/>
        <v>0</v>
      </c>
      <c r="DG105" s="439">
        <f t="shared" si="488"/>
        <v>0</v>
      </c>
      <c r="DH105" s="439">
        <f t="shared" si="489"/>
        <v>0</v>
      </c>
      <c r="DI105" s="439">
        <f t="shared" si="490"/>
        <v>0</v>
      </c>
      <c r="DJ105" s="439">
        <f t="shared" si="491"/>
        <v>0</v>
      </c>
      <c r="DK105" s="439">
        <f t="shared" si="492"/>
        <v>0</v>
      </c>
      <c r="DL105" s="439">
        <f t="shared" si="493"/>
        <v>0</v>
      </c>
      <c r="DM105" s="439">
        <f t="shared" si="494"/>
        <v>0</v>
      </c>
      <c r="DN105" s="439">
        <f t="shared" si="495"/>
        <v>0</v>
      </c>
      <c r="DO105" s="439">
        <f t="shared" si="496"/>
        <v>0</v>
      </c>
      <c r="DP105" s="439">
        <f t="shared" si="497"/>
        <v>0</v>
      </c>
      <c r="DQ105" s="442">
        <f t="shared" si="498"/>
        <v>0</v>
      </c>
      <c r="DR105" s="442">
        <f t="shared" si="499"/>
        <v>0</v>
      </c>
      <c r="DS105" s="439">
        <f t="shared" si="500"/>
        <v>0</v>
      </c>
      <c r="DT105" s="439">
        <f t="shared" si="501"/>
        <v>0</v>
      </c>
      <c r="DU105" s="661">
        <f t="shared" si="502"/>
        <v>0</v>
      </c>
      <c r="DV105" s="661">
        <f t="shared" si="503"/>
        <v>0</v>
      </c>
      <c r="DW105" s="439">
        <f t="shared" si="504"/>
        <v>0</v>
      </c>
      <c r="DX105" s="439">
        <f t="shared" si="505"/>
        <v>0</v>
      </c>
      <c r="DY105" s="439">
        <f t="shared" si="506"/>
        <v>0</v>
      </c>
      <c r="DZ105" s="439">
        <f t="shared" si="507"/>
        <v>0</v>
      </c>
      <c r="EA105" s="631" t="s">
        <v>92</v>
      </c>
      <c r="EB105" s="631">
        <f t="shared" si="451"/>
        <v>0.75670790462519011</v>
      </c>
      <c r="ED105" s="439">
        <f t="shared" si="508"/>
        <v>15.141420000000002</v>
      </c>
      <c r="EE105" s="440">
        <f t="shared" si="509"/>
        <v>11.595420000000003</v>
      </c>
      <c r="EF105" s="439">
        <f t="shared" si="510"/>
        <v>-8.0494200000000031</v>
      </c>
      <c r="EG105" s="441">
        <f t="shared" si="511"/>
        <v>0</v>
      </c>
      <c r="EH105" s="439">
        <f t="shared" si="512"/>
        <v>0</v>
      </c>
      <c r="EI105" s="439">
        <f t="shared" si="513"/>
        <v>0</v>
      </c>
      <c r="EJ105" s="439">
        <f t="shared" si="514"/>
        <v>0</v>
      </c>
      <c r="EK105" s="439">
        <f t="shared" si="515"/>
        <v>0</v>
      </c>
      <c r="EL105" s="439">
        <f t="shared" si="516"/>
        <v>0</v>
      </c>
      <c r="EM105" s="439">
        <f t="shared" si="517"/>
        <v>0</v>
      </c>
      <c r="EN105" s="439">
        <f t="shared" si="518"/>
        <v>0</v>
      </c>
      <c r="EO105" s="439">
        <f t="shared" si="519"/>
        <v>0</v>
      </c>
      <c r="EP105" s="439">
        <f t="shared" si="520"/>
        <v>0</v>
      </c>
      <c r="EQ105" s="439">
        <f t="shared" si="521"/>
        <v>0</v>
      </c>
      <c r="ER105" s="442">
        <f t="shared" si="522"/>
        <v>0</v>
      </c>
      <c r="ES105" s="442">
        <f t="shared" si="523"/>
        <v>0</v>
      </c>
      <c r="ET105" s="439">
        <f t="shared" si="524"/>
        <v>0</v>
      </c>
      <c r="EU105" s="439">
        <f t="shared" si="525"/>
        <v>0</v>
      </c>
      <c r="EV105" s="661">
        <f t="shared" si="526"/>
        <v>0</v>
      </c>
      <c r="EW105" s="661">
        <f t="shared" si="527"/>
        <v>0</v>
      </c>
      <c r="EX105" s="439">
        <f t="shared" si="528"/>
        <v>0</v>
      </c>
      <c r="EY105" s="439">
        <f t="shared" si="529"/>
        <v>0</v>
      </c>
      <c r="EZ105" s="439">
        <f t="shared" si="530"/>
        <v>0</v>
      </c>
      <c r="FA105" s="439">
        <f t="shared" si="531"/>
        <v>0</v>
      </c>
      <c r="FB105" s="631" t="s">
        <v>92</v>
      </c>
      <c r="FC105" s="631">
        <f t="shared" si="452"/>
        <v>1.5421185228740941</v>
      </c>
      <c r="FE105" s="439">
        <f t="shared" si="532"/>
        <v>7.8269100000000007</v>
      </c>
      <c r="FF105" s="440">
        <f t="shared" si="533"/>
        <v>5.9939100000000005</v>
      </c>
      <c r="FG105" s="439">
        <f t="shared" si="534"/>
        <v>-4.1609100000000003</v>
      </c>
      <c r="FH105" s="441">
        <f t="shared" si="535"/>
        <v>0</v>
      </c>
      <c r="FI105" s="439">
        <f t="shared" si="536"/>
        <v>0</v>
      </c>
      <c r="FJ105" s="439">
        <f t="shared" si="537"/>
        <v>0</v>
      </c>
      <c r="FK105" s="439">
        <f t="shared" si="538"/>
        <v>0</v>
      </c>
      <c r="FL105" s="439">
        <f t="shared" si="539"/>
        <v>0</v>
      </c>
      <c r="FM105" s="439">
        <f t="shared" si="540"/>
        <v>0</v>
      </c>
      <c r="FN105" s="439">
        <f t="shared" si="541"/>
        <v>0</v>
      </c>
      <c r="FO105" s="439">
        <f t="shared" si="542"/>
        <v>0</v>
      </c>
      <c r="FP105" s="439">
        <f t="shared" si="543"/>
        <v>0</v>
      </c>
      <c r="FQ105" s="439">
        <f t="shared" si="544"/>
        <v>0</v>
      </c>
      <c r="FR105" s="439">
        <f t="shared" si="545"/>
        <v>0</v>
      </c>
      <c r="FS105" s="442">
        <f t="shared" si="546"/>
        <v>0</v>
      </c>
      <c r="FT105" s="442">
        <f t="shared" si="547"/>
        <v>0</v>
      </c>
      <c r="FU105" s="439">
        <f t="shared" si="548"/>
        <v>0</v>
      </c>
      <c r="FV105" s="439">
        <f t="shared" si="549"/>
        <v>0</v>
      </c>
      <c r="FW105" s="661">
        <f t="shared" si="550"/>
        <v>0</v>
      </c>
      <c r="FX105" s="661">
        <f t="shared" si="551"/>
        <v>0</v>
      </c>
      <c r="FY105" s="439">
        <f t="shared" si="552"/>
        <v>0</v>
      </c>
      <c r="FZ105" s="439">
        <f t="shared" si="553"/>
        <v>0</v>
      </c>
      <c r="GA105" s="439">
        <f t="shared" si="554"/>
        <v>0</v>
      </c>
      <c r="GB105" s="439">
        <f t="shared" si="555"/>
        <v>0</v>
      </c>
      <c r="GC105" s="631" t="s">
        <v>92</v>
      </c>
      <c r="GD105" s="631">
        <f t="shared" si="453"/>
        <v>0.79715263745860521</v>
      </c>
      <c r="GF105" s="439">
        <f t="shared" si="556"/>
        <v>12.963720000000002</v>
      </c>
      <c r="GG105" s="440">
        <f t="shared" si="557"/>
        <v>9.9277200000000025</v>
      </c>
      <c r="GH105" s="439">
        <f t="shared" si="558"/>
        <v>-6.891720000000003</v>
      </c>
      <c r="GI105" s="439">
        <f t="shared" si="559"/>
        <v>0</v>
      </c>
      <c r="GJ105" s="439">
        <f t="shared" si="560"/>
        <v>0</v>
      </c>
      <c r="GK105" s="439">
        <f t="shared" si="561"/>
        <v>0</v>
      </c>
      <c r="GL105" s="439">
        <f t="shared" si="562"/>
        <v>0</v>
      </c>
      <c r="GM105" s="439">
        <f t="shared" si="563"/>
        <v>0</v>
      </c>
      <c r="GN105" s="439">
        <f t="shared" si="564"/>
        <v>0</v>
      </c>
      <c r="GO105" s="439">
        <f t="shared" si="565"/>
        <v>0</v>
      </c>
      <c r="GP105" s="439">
        <f t="shared" si="566"/>
        <v>0</v>
      </c>
      <c r="GQ105" s="439">
        <f t="shared" si="567"/>
        <v>0</v>
      </c>
      <c r="GR105" s="439">
        <f t="shared" si="568"/>
        <v>0</v>
      </c>
      <c r="GS105" s="439">
        <f t="shared" si="569"/>
        <v>0</v>
      </c>
      <c r="GT105" s="442">
        <f t="shared" si="570"/>
        <v>0</v>
      </c>
      <c r="GU105" s="442">
        <f t="shared" si="571"/>
        <v>0</v>
      </c>
      <c r="GV105" s="439">
        <f t="shared" si="572"/>
        <v>0</v>
      </c>
      <c r="GW105" s="439">
        <f t="shared" si="573"/>
        <v>0</v>
      </c>
      <c r="GX105" s="661">
        <f t="shared" si="574"/>
        <v>0</v>
      </c>
      <c r="GY105" s="661">
        <f t="shared" si="575"/>
        <v>0</v>
      </c>
      <c r="GZ105" s="439">
        <f t="shared" si="576"/>
        <v>0</v>
      </c>
      <c r="HA105" s="439">
        <f t="shared" si="577"/>
        <v>0</v>
      </c>
      <c r="HB105" s="439">
        <f t="shared" si="578"/>
        <v>0</v>
      </c>
      <c r="HC105" s="439">
        <f t="shared" si="579"/>
        <v>0</v>
      </c>
      <c r="HD105" s="631" t="s">
        <v>92</v>
      </c>
      <c r="HE105" s="631">
        <f t="shared" si="306"/>
        <v>1.3203248266908489</v>
      </c>
      <c r="HG105" s="618">
        <f>HLOOKUP(CQ105,Spec_Sheet!$F$3:$DV$19,11,FALSE)+HLOOKUP(CQ105,Spec_Sheet!$F$3:$DV$21,19,FALSE)</f>
        <v>450</v>
      </c>
      <c r="HH105" s="618">
        <f t="shared" si="454"/>
        <v>100</v>
      </c>
      <c r="HI105" s="634">
        <f t="shared" si="455"/>
        <v>500</v>
      </c>
      <c r="HJ105" s="634">
        <f>HLOOKUP(IF(LEN(CQ105)&gt;6,LEFT(CQ105,5),CQ105),'LSM List Pricing'!$B$1:$BW$2,2,0)</f>
        <v>63</v>
      </c>
      <c r="HK105" s="634">
        <f>HLOOKUP(HJ105,'LSM List Pricing'!$B$2:$BW$3,2)</f>
        <v>940</v>
      </c>
      <c r="HL105" s="634">
        <f>VLOOKUP(HH105,'LSM List Pricing'!$A$7:$BW$87,HJ105,0)</f>
        <v>2200</v>
      </c>
      <c r="HM105" s="627">
        <f>VLOOKUP(HI105,'LSM List Pricing'!$A$7:$BW$87,HJ105,1)</f>
        <v>3620</v>
      </c>
      <c r="HN105" s="628">
        <f t="shared" si="307"/>
        <v>8.0512820512820511</v>
      </c>
      <c r="HO105" s="628">
        <f t="shared" si="308"/>
        <v>16.102564102564102</v>
      </c>
      <c r="HP105" s="628">
        <f t="shared" si="309"/>
        <v>14.102564102564102</v>
      </c>
      <c r="HR105" s="618">
        <v>5.0999999999999997E-2</v>
      </c>
      <c r="HS105" s="618">
        <f t="shared" si="457"/>
        <v>342.42857142857139</v>
      </c>
      <c r="HT105" s="618">
        <f t="shared" si="458"/>
        <v>1</v>
      </c>
      <c r="HU105" s="618">
        <f t="shared" si="466"/>
        <v>1.2989227091014883</v>
      </c>
      <c r="HW105" s="618">
        <f t="shared" si="413"/>
        <v>34.155529753075889</v>
      </c>
      <c r="HX105" s="618">
        <f t="shared" si="467"/>
        <v>1.2653211390952315</v>
      </c>
      <c r="HY105" s="618">
        <f t="shared" si="468"/>
        <v>5.0999999999999997E-2</v>
      </c>
      <c r="IB105" s="618">
        <f t="shared" si="414"/>
        <v>25.000350341399081</v>
      </c>
      <c r="IC105" s="618">
        <f t="shared" si="415"/>
        <v>1E-3</v>
      </c>
      <c r="IE105" s="618">
        <f t="shared" si="416"/>
        <v>0</v>
      </c>
      <c r="IF105" s="618">
        <f t="shared" si="417"/>
        <v>40.704999999999998</v>
      </c>
      <c r="IH105" s="618">
        <f t="shared" si="418"/>
        <v>0</v>
      </c>
      <c r="II105" s="618">
        <f t="shared" si="419"/>
        <v>40.704999999999998</v>
      </c>
      <c r="IK105" s="618">
        <f t="shared" si="420"/>
        <v>0</v>
      </c>
      <c r="IL105" s="618">
        <f t="shared" si="421"/>
        <v>40.704999999999998</v>
      </c>
      <c r="IN105" s="618">
        <f t="shared" si="422"/>
        <v>0</v>
      </c>
      <c r="IO105" s="618">
        <f t="shared" si="423"/>
        <v>40.704999999999998</v>
      </c>
      <c r="IQ105" s="618">
        <f t="shared" si="424"/>
        <v>0</v>
      </c>
      <c r="IR105" s="618">
        <f t="shared" si="425"/>
        <v>40.704999999999998</v>
      </c>
      <c r="IT105" s="660" t="str">
        <f t="shared" si="426"/>
        <v>S427Q</v>
      </c>
      <c r="IU105" s="628"/>
      <c r="IV105" s="439">
        <f t="shared" si="580"/>
        <v>14.347200000000001</v>
      </c>
      <c r="IW105" s="440">
        <f t="shared" si="581"/>
        <v>10.987200000000001</v>
      </c>
      <c r="IX105" s="439">
        <f t="shared" si="582"/>
        <v>-7.6272000000000011</v>
      </c>
      <c r="IY105" s="439">
        <f t="shared" si="583"/>
        <v>0</v>
      </c>
      <c r="IZ105" s="439">
        <f t="shared" si="584"/>
        <v>0</v>
      </c>
      <c r="JA105" s="439">
        <f t="shared" si="585"/>
        <v>0</v>
      </c>
      <c r="JB105" s="439">
        <f t="shared" si="586"/>
        <v>0</v>
      </c>
      <c r="JC105" s="439">
        <f t="shared" si="587"/>
        <v>0</v>
      </c>
      <c r="JD105" s="439">
        <f t="shared" si="588"/>
        <v>0</v>
      </c>
      <c r="JE105" s="439">
        <f t="shared" si="589"/>
        <v>0</v>
      </c>
      <c r="JF105" s="439">
        <f t="shared" si="590"/>
        <v>0</v>
      </c>
      <c r="JG105" s="439">
        <f t="shared" si="591"/>
        <v>0</v>
      </c>
      <c r="JH105" s="439">
        <f t="shared" si="592"/>
        <v>0</v>
      </c>
      <c r="JI105" s="439">
        <f t="shared" si="593"/>
        <v>0</v>
      </c>
      <c r="JJ105" s="442">
        <f t="shared" si="594"/>
        <v>0</v>
      </c>
      <c r="JK105" s="442">
        <f t="shared" si="595"/>
        <v>0</v>
      </c>
      <c r="JL105" s="439">
        <f t="shared" si="596"/>
        <v>0</v>
      </c>
      <c r="JM105" s="439">
        <f t="shared" si="597"/>
        <v>0</v>
      </c>
      <c r="JN105" s="661">
        <f t="shared" si="598"/>
        <v>0</v>
      </c>
      <c r="JO105" s="661">
        <f t="shared" si="599"/>
        <v>0</v>
      </c>
      <c r="JP105" s="439">
        <f t="shared" si="600"/>
        <v>0</v>
      </c>
      <c r="JQ105" s="439">
        <f t="shared" si="601"/>
        <v>0</v>
      </c>
      <c r="JR105" s="439">
        <f t="shared" si="602"/>
        <v>0</v>
      </c>
      <c r="JS105" s="439">
        <f t="shared" si="603"/>
        <v>0</v>
      </c>
      <c r="JT105" s="631" t="s">
        <v>92</v>
      </c>
      <c r="JU105" s="631">
        <f t="shared" si="459"/>
        <v>1.4612290572072635</v>
      </c>
      <c r="JW105" s="522"/>
      <c r="JX105" s="522"/>
      <c r="JY105" s="522"/>
      <c r="JZ105" s="522"/>
      <c r="KA105" s="522"/>
      <c r="KB105" s="522"/>
      <c r="KC105" s="522"/>
      <c r="KD105" s="522"/>
      <c r="KE105" s="522"/>
      <c r="KF105" s="522"/>
      <c r="KG105" s="522"/>
      <c r="KH105" s="522"/>
      <c r="KI105" s="522"/>
      <c r="KJ105" s="522"/>
      <c r="KK105" s="522"/>
      <c r="KL105" s="522"/>
    </row>
    <row r="106" spans="1:298">
      <c r="A106" s="77"/>
      <c r="B106" s="579">
        <v>10</v>
      </c>
      <c r="C106" s="579"/>
      <c r="D106" s="579">
        <f t="shared" si="481"/>
        <v>-3.996802888650564E-17</v>
      </c>
      <c r="E106" s="579">
        <f t="shared" si="481"/>
        <v>-3.996802888650564E-17</v>
      </c>
      <c r="F106" s="579" t="e">
        <f t="shared" si="481"/>
        <v>#DIV/0!</v>
      </c>
      <c r="G106" s="579" t="e">
        <f t="shared" si="481"/>
        <v>#DIV/0!</v>
      </c>
      <c r="H106" s="579" t="e">
        <f t="shared" si="481"/>
        <v>#DIV/0!</v>
      </c>
      <c r="I106" s="579" t="e">
        <f t="shared" si="481"/>
        <v>#DIV/0!</v>
      </c>
      <c r="J106" s="579" t="e">
        <f t="shared" si="481"/>
        <v>#DIV/0!</v>
      </c>
      <c r="K106" s="579" t="e">
        <f t="shared" si="481"/>
        <v>#DIV/0!</v>
      </c>
      <c r="L106" s="579" t="e">
        <f t="shared" si="481"/>
        <v>#DIV/0!</v>
      </c>
      <c r="M106" s="579" t="e">
        <f t="shared" si="481"/>
        <v>#DIV/0!</v>
      </c>
      <c r="N106" s="579" t="e">
        <f t="shared" si="481"/>
        <v>#DIV/0!</v>
      </c>
      <c r="O106" s="579" t="e">
        <f t="shared" si="481"/>
        <v>#DIV/0!</v>
      </c>
      <c r="P106" s="579"/>
      <c r="Q106" s="579"/>
      <c r="R106" s="579"/>
      <c r="S106" s="579"/>
      <c r="T106" s="579"/>
      <c r="U106" s="580"/>
      <c r="V106" s="580"/>
      <c r="W106" s="579"/>
      <c r="X106" s="579"/>
      <c r="Y106" s="579"/>
      <c r="Z106" s="579"/>
      <c r="AA106" s="579"/>
      <c r="AB106" s="579"/>
      <c r="AC106" s="580"/>
      <c r="AD106" s="580"/>
      <c r="AE106" s="579"/>
      <c r="AF106" s="579"/>
      <c r="AG106" s="579"/>
      <c r="AH106" s="579"/>
      <c r="AI106" s="579"/>
      <c r="AJ106" s="579"/>
      <c r="AK106" s="579"/>
      <c r="AL106" s="580"/>
      <c r="AM106" s="580"/>
      <c r="AN106" s="579"/>
      <c r="AO106" s="579"/>
      <c r="AP106" s="579"/>
      <c r="AQ106" s="579"/>
      <c r="AR106" s="579"/>
      <c r="AS106" s="579"/>
      <c r="AT106" s="580"/>
      <c r="AU106" s="580"/>
      <c r="AV106" s="581" t="e">
        <f>IF($AY$30,I83*$I$82,0)</f>
        <v>#DIV/0!</v>
      </c>
      <c r="AW106" s="581" t="e">
        <f>IF($AY$32,'Data Sheet'!AA127,0)</f>
        <v>#DIV/0!</v>
      </c>
      <c r="AX106" s="581">
        <f t="shared" si="482"/>
        <v>40.704999999999998</v>
      </c>
      <c r="AY106" s="579"/>
      <c r="AZ106" s="579"/>
      <c r="BA106" s="579"/>
      <c r="BB106" s="579"/>
      <c r="BC106" s="579"/>
      <c r="BD106" s="579"/>
      <c r="BE106" s="579"/>
      <c r="BF106" s="579"/>
      <c r="BG106" s="379"/>
      <c r="BH106" s="379"/>
      <c r="BI106" s="379"/>
      <c r="BJ106" s="379"/>
      <c r="BK106" s="379"/>
      <c r="BL106" s="379"/>
      <c r="BM106" s="379"/>
      <c r="BN106" s="379"/>
      <c r="BO106" s="379"/>
      <c r="BP106" s="379"/>
      <c r="BQ106" s="379"/>
      <c r="BR106" s="379"/>
      <c r="BS106" s="379"/>
      <c r="BT106" s="379"/>
      <c r="BU106" s="379"/>
      <c r="BV106" s="379"/>
      <c r="BW106" s="379"/>
      <c r="BX106" s="379"/>
      <c r="BY106" s="379"/>
      <c r="BZ106" s="379"/>
      <c r="CA106" s="379"/>
      <c r="CB106" s="379"/>
      <c r="CC106" s="379"/>
      <c r="CD106" s="379"/>
      <c r="CE106" s="379"/>
      <c r="CF106" s="379"/>
      <c r="CG106" s="379"/>
      <c r="CH106" s="77"/>
      <c r="CI106" s="77"/>
      <c r="CJ106" s="380"/>
      <c r="CK106" s="380"/>
      <c r="CL106" s="381"/>
      <c r="CM106" s="381"/>
      <c r="CN106" s="381"/>
      <c r="CO106" s="694" t="str">
        <f ca="1"/>
        <v>S435Q</v>
      </c>
      <c r="CP106" s="632" t="str">
        <f>IF(OR(CQ106=0,CR106="",CS106&gt;120),"",IF(HLOOKUP(CQ106,Spec_Sheet!$F$3:$ED$19,17,FALSE)&lt;$AC$46,"",CQ106))</f>
        <v>L427Q</v>
      </c>
      <c r="CQ106" s="660" t="str">
        <f>IF(Spec_Sheet!A105="","",Spec_Sheet!A105)</f>
        <v>L427Q</v>
      </c>
      <c r="CR106" s="660">
        <f>IF(CQ106="",0,HLOOKUP(CQ106,Spec_Sheet!$F$3:$ED$19,2,FALSE))</f>
        <v>210</v>
      </c>
      <c r="CS106" s="660">
        <f t="shared" si="461"/>
        <v>1.3435876029119426E-3</v>
      </c>
      <c r="CT106" s="621">
        <f t="shared" si="310"/>
        <v>1.4362221977694167E-3</v>
      </c>
      <c r="CU106" s="621">
        <f t="shared" si="483"/>
        <v>1.3435876029119426E-3</v>
      </c>
      <c r="CV106" s="621">
        <f t="shared" si="311"/>
        <v>1.4409349827827901E-3</v>
      </c>
      <c r="CW106" s="621">
        <f t="shared" si="312"/>
        <v>1.3481459969338877E-3</v>
      </c>
      <c r="CX106" s="621">
        <f t="shared" si="456"/>
        <v>9.8824129703867355E-4</v>
      </c>
      <c r="CY106" s="619">
        <f>HLOOKUP(CQ106,Spec_Sheet!$F$3:$ED$19,13,FALSE)</f>
        <v>5.7</v>
      </c>
      <c r="CZ106" s="619">
        <f>VLOOKUP(HH106,'Shaft Weight'!$A$6:$CD$102,HJ106,TRUE)</f>
        <v>5.71</v>
      </c>
      <c r="DA106" s="619">
        <f>VLOOKUP(HI106,'Shaft Weight'!$A$6:$CD$102,HJ106,0)</f>
        <v>9.7200000000000006</v>
      </c>
      <c r="DB106" s="619">
        <f>HLOOKUP(CQ106,Spec_Sheet!$F$3:$ED$19,6,FALSE)</f>
        <v>62</v>
      </c>
      <c r="DC106" s="439">
        <f t="shared" si="484"/>
        <v>7.8141000000000016</v>
      </c>
      <c r="DD106" s="440">
        <f t="shared" si="485"/>
        <v>5.9841000000000015</v>
      </c>
      <c r="DE106" s="439">
        <f t="shared" si="486"/>
        <v>-4.1541000000000015</v>
      </c>
      <c r="DF106" s="439">
        <f t="shared" si="487"/>
        <v>0</v>
      </c>
      <c r="DG106" s="439">
        <f t="shared" si="488"/>
        <v>0</v>
      </c>
      <c r="DH106" s="439">
        <f t="shared" si="489"/>
        <v>0</v>
      </c>
      <c r="DI106" s="439">
        <f t="shared" si="490"/>
        <v>0</v>
      </c>
      <c r="DJ106" s="439">
        <f t="shared" si="491"/>
        <v>0</v>
      </c>
      <c r="DK106" s="439">
        <f t="shared" si="492"/>
        <v>0</v>
      </c>
      <c r="DL106" s="439">
        <f t="shared" si="493"/>
        <v>0</v>
      </c>
      <c r="DM106" s="439">
        <f t="shared" si="494"/>
        <v>0</v>
      </c>
      <c r="DN106" s="439">
        <f t="shared" si="495"/>
        <v>0</v>
      </c>
      <c r="DO106" s="439">
        <f t="shared" si="496"/>
        <v>0</v>
      </c>
      <c r="DP106" s="439">
        <f t="shared" si="497"/>
        <v>0</v>
      </c>
      <c r="DQ106" s="442">
        <f t="shared" si="498"/>
        <v>0</v>
      </c>
      <c r="DR106" s="442">
        <f t="shared" si="499"/>
        <v>0</v>
      </c>
      <c r="DS106" s="439">
        <f t="shared" si="500"/>
        <v>0</v>
      </c>
      <c r="DT106" s="439">
        <f t="shared" si="501"/>
        <v>0</v>
      </c>
      <c r="DU106" s="661">
        <f t="shared" si="502"/>
        <v>0</v>
      </c>
      <c r="DV106" s="661">
        <f t="shared" si="503"/>
        <v>0</v>
      </c>
      <c r="DW106" s="439">
        <f t="shared" si="504"/>
        <v>0</v>
      </c>
      <c r="DX106" s="439">
        <f t="shared" si="505"/>
        <v>0</v>
      </c>
      <c r="DY106" s="439">
        <f t="shared" si="506"/>
        <v>0</v>
      </c>
      <c r="DZ106" s="439">
        <f t="shared" si="507"/>
        <v>0</v>
      </c>
      <c r="EA106" s="631" t="s">
        <v>92</v>
      </c>
      <c r="EB106" s="631">
        <f t="shared" si="451"/>
        <v>0.79584796865752749</v>
      </c>
      <c r="ED106" s="439">
        <f t="shared" si="508"/>
        <v>15.141420000000002</v>
      </c>
      <c r="EE106" s="440">
        <f t="shared" si="509"/>
        <v>11.595420000000003</v>
      </c>
      <c r="EF106" s="439">
        <f t="shared" si="510"/>
        <v>-8.0494200000000031</v>
      </c>
      <c r="EG106" s="441">
        <f t="shared" si="511"/>
        <v>0</v>
      </c>
      <c r="EH106" s="439">
        <f t="shared" si="512"/>
        <v>0</v>
      </c>
      <c r="EI106" s="439">
        <f t="shared" si="513"/>
        <v>0</v>
      </c>
      <c r="EJ106" s="439">
        <f t="shared" si="514"/>
        <v>0</v>
      </c>
      <c r="EK106" s="439">
        <f t="shared" si="515"/>
        <v>0</v>
      </c>
      <c r="EL106" s="439">
        <f t="shared" si="516"/>
        <v>0</v>
      </c>
      <c r="EM106" s="439">
        <f t="shared" si="517"/>
        <v>0</v>
      </c>
      <c r="EN106" s="439">
        <f t="shared" si="518"/>
        <v>0</v>
      </c>
      <c r="EO106" s="439">
        <f t="shared" si="519"/>
        <v>0</v>
      </c>
      <c r="EP106" s="439">
        <f t="shared" si="520"/>
        <v>0</v>
      </c>
      <c r="EQ106" s="439">
        <f t="shared" si="521"/>
        <v>0</v>
      </c>
      <c r="ER106" s="442">
        <f t="shared" si="522"/>
        <v>0</v>
      </c>
      <c r="ES106" s="442">
        <f t="shared" si="523"/>
        <v>0</v>
      </c>
      <c r="ET106" s="439">
        <f t="shared" si="524"/>
        <v>0</v>
      </c>
      <c r="EU106" s="439">
        <f t="shared" si="525"/>
        <v>0</v>
      </c>
      <c r="EV106" s="661">
        <f t="shared" si="526"/>
        <v>0</v>
      </c>
      <c r="EW106" s="661">
        <f t="shared" si="527"/>
        <v>0</v>
      </c>
      <c r="EX106" s="439">
        <f t="shared" si="528"/>
        <v>0</v>
      </c>
      <c r="EY106" s="439">
        <f t="shared" si="529"/>
        <v>0</v>
      </c>
      <c r="EZ106" s="439">
        <f t="shared" si="530"/>
        <v>0</v>
      </c>
      <c r="FA106" s="439">
        <f t="shared" si="531"/>
        <v>0</v>
      </c>
      <c r="FB106" s="631" t="s">
        <v>92</v>
      </c>
      <c r="FC106" s="631">
        <f t="shared" si="452"/>
        <v>1.5421185228740941</v>
      </c>
      <c r="FE106" s="439">
        <f t="shared" si="532"/>
        <v>7.8269100000000007</v>
      </c>
      <c r="FF106" s="440">
        <f t="shared" si="533"/>
        <v>5.9939100000000005</v>
      </c>
      <c r="FG106" s="439">
        <f t="shared" si="534"/>
        <v>-4.1609100000000003</v>
      </c>
      <c r="FH106" s="441">
        <f t="shared" si="535"/>
        <v>0</v>
      </c>
      <c r="FI106" s="439">
        <f t="shared" si="536"/>
        <v>0</v>
      </c>
      <c r="FJ106" s="439">
        <f t="shared" si="537"/>
        <v>0</v>
      </c>
      <c r="FK106" s="439">
        <f t="shared" si="538"/>
        <v>0</v>
      </c>
      <c r="FL106" s="439">
        <f t="shared" si="539"/>
        <v>0</v>
      </c>
      <c r="FM106" s="439">
        <f t="shared" si="540"/>
        <v>0</v>
      </c>
      <c r="FN106" s="439">
        <f t="shared" si="541"/>
        <v>0</v>
      </c>
      <c r="FO106" s="439">
        <f t="shared" si="542"/>
        <v>0</v>
      </c>
      <c r="FP106" s="439">
        <f t="shared" si="543"/>
        <v>0</v>
      </c>
      <c r="FQ106" s="439">
        <f t="shared" si="544"/>
        <v>0</v>
      </c>
      <c r="FR106" s="439">
        <f t="shared" si="545"/>
        <v>0</v>
      </c>
      <c r="FS106" s="442">
        <f t="shared" si="546"/>
        <v>0</v>
      </c>
      <c r="FT106" s="442">
        <f t="shared" si="547"/>
        <v>0</v>
      </c>
      <c r="FU106" s="439">
        <f t="shared" si="548"/>
        <v>0</v>
      </c>
      <c r="FV106" s="439">
        <f t="shared" si="549"/>
        <v>0</v>
      </c>
      <c r="FW106" s="661">
        <f t="shared" si="550"/>
        <v>0</v>
      </c>
      <c r="FX106" s="661">
        <f t="shared" si="551"/>
        <v>0</v>
      </c>
      <c r="FY106" s="439">
        <f t="shared" si="552"/>
        <v>0</v>
      </c>
      <c r="FZ106" s="439">
        <f t="shared" si="553"/>
        <v>0</v>
      </c>
      <c r="GA106" s="439">
        <f t="shared" si="554"/>
        <v>0</v>
      </c>
      <c r="GB106" s="439">
        <f t="shared" si="555"/>
        <v>0</v>
      </c>
      <c r="GC106" s="631" t="s">
        <v>92</v>
      </c>
      <c r="GD106" s="631">
        <f t="shared" si="453"/>
        <v>0.79715263745860521</v>
      </c>
      <c r="GF106" s="439">
        <f t="shared" si="556"/>
        <v>12.963720000000002</v>
      </c>
      <c r="GG106" s="440">
        <f t="shared" si="557"/>
        <v>9.9277200000000025</v>
      </c>
      <c r="GH106" s="439">
        <f t="shared" si="558"/>
        <v>-6.891720000000003</v>
      </c>
      <c r="GI106" s="439">
        <f t="shared" si="559"/>
        <v>0</v>
      </c>
      <c r="GJ106" s="439">
        <f t="shared" si="560"/>
        <v>0</v>
      </c>
      <c r="GK106" s="439">
        <f t="shared" si="561"/>
        <v>0</v>
      </c>
      <c r="GL106" s="439">
        <f t="shared" si="562"/>
        <v>0</v>
      </c>
      <c r="GM106" s="439">
        <f t="shared" si="563"/>
        <v>0</v>
      </c>
      <c r="GN106" s="439">
        <f t="shared" si="564"/>
        <v>0</v>
      </c>
      <c r="GO106" s="439">
        <f t="shared" si="565"/>
        <v>0</v>
      </c>
      <c r="GP106" s="439">
        <f t="shared" si="566"/>
        <v>0</v>
      </c>
      <c r="GQ106" s="439">
        <f t="shared" si="567"/>
        <v>0</v>
      </c>
      <c r="GR106" s="439">
        <f t="shared" si="568"/>
        <v>0</v>
      </c>
      <c r="GS106" s="439">
        <f t="shared" si="569"/>
        <v>0</v>
      </c>
      <c r="GT106" s="442">
        <f t="shared" si="570"/>
        <v>0</v>
      </c>
      <c r="GU106" s="442">
        <f t="shared" si="571"/>
        <v>0</v>
      </c>
      <c r="GV106" s="439">
        <f t="shared" si="572"/>
        <v>0</v>
      </c>
      <c r="GW106" s="439">
        <f t="shared" si="573"/>
        <v>0</v>
      </c>
      <c r="GX106" s="661">
        <f t="shared" si="574"/>
        <v>0</v>
      </c>
      <c r="GY106" s="661">
        <f t="shared" si="575"/>
        <v>0</v>
      </c>
      <c r="GZ106" s="439">
        <f t="shared" si="576"/>
        <v>0</v>
      </c>
      <c r="HA106" s="439">
        <f t="shared" si="577"/>
        <v>0</v>
      </c>
      <c r="HB106" s="439">
        <f t="shared" si="578"/>
        <v>0</v>
      </c>
      <c r="HC106" s="439">
        <f t="shared" si="579"/>
        <v>0</v>
      </c>
      <c r="HD106" s="631" t="s">
        <v>92</v>
      </c>
      <c r="HE106" s="631">
        <f t="shared" si="306"/>
        <v>1.3203248266908489</v>
      </c>
      <c r="HG106" s="618">
        <f>HLOOKUP(CQ106,Spec_Sheet!$F$3:$DV$19,11,FALSE)+HLOOKUP(CQ106,Spec_Sheet!$F$3:$DV$21,19,FALSE)</f>
        <v>450</v>
      </c>
      <c r="HH106" s="618">
        <f t="shared" si="454"/>
        <v>100</v>
      </c>
      <c r="HI106" s="634">
        <f t="shared" si="455"/>
        <v>500</v>
      </c>
      <c r="HJ106" s="634">
        <f>HLOOKUP(IF(LEN(CQ106)&gt;6,LEFT(CQ106,5),CQ106),'LSM List Pricing'!$B$1:$BW$2,2,0)</f>
        <v>29</v>
      </c>
      <c r="HK106" s="634">
        <f>HLOOKUP(HJ106,'LSM List Pricing'!$B$2:$BW$3,2)</f>
        <v>940</v>
      </c>
      <c r="HL106" s="634">
        <f>VLOOKUP(HH106,'LSM List Pricing'!$A$7:$BW$87,HJ106,0)</f>
        <v>2200</v>
      </c>
      <c r="HM106" s="627">
        <f>VLOOKUP(HI106,'LSM List Pricing'!$A$7:$BW$87,HJ106,1)</f>
        <v>3620</v>
      </c>
      <c r="HN106" s="628">
        <f t="shared" si="307"/>
        <v>8.0512820512820511</v>
      </c>
      <c r="HO106" s="628">
        <f t="shared" si="308"/>
        <v>16.102564102564102</v>
      </c>
      <c r="HP106" s="628">
        <f t="shared" si="309"/>
        <v>14.102564102564102</v>
      </c>
      <c r="HR106" s="618">
        <v>5.1499999999999997E-2</v>
      </c>
      <c r="HS106" s="618">
        <f t="shared" si="457"/>
        <v>345.78571428571428</v>
      </c>
      <c r="HT106" s="618">
        <f t="shared" si="458"/>
        <v>1</v>
      </c>
      <c r="HU106" s="618">
        <f t="shared" si="466"/>
        <v>1.3116617530751131</v>
      </c>
      <c r="HW106" s="618">
        <f t="shared" si="413"/>
        <v>34.137440310633338</v>
      </c>
      <c r="HX106" s="618">
        <f t="shared" si="467"/>
        <v>1.277401093352569</v>
      </c>
      <c r="HY106" s="618">
        <f t="shared" si="468"/>
        <v>5.1499999999999997E-2</v>
      </c>
      <c r="IB106" s="618">
        <f t="shared" si="414"/>
        <v>25.000350341399081</v>
      </c>
      <c r="IC106" s="618">
        <f t="shared" si="415"/>
        <v>1E-3</v>
      </c>
      <c r="IE106" s="618">
        <f t="shared" si="416"/>
        <v>0</v>
      </c>
      <c r="IF106" s="618">
        <f t="shared" si="417"/>
        <v>40.704999999999998</v>
      </c>
      <c r="IH106" s="618">
        <f t="shared" si="418"/>
        <v>0</v>
      </c>
      <c r="II106" s="618">
        <f t="shared" si="419"/>
        <v>40.704999999999998</v>
      </c>
      <c r="IK106" s="618">
        <f t="shared" si="420"/>
        <v>0</v>
      </c>
      <c r="IL106" s="618">
        <f t="shared" si="421"/>
        <v>40.704999999999998</v>
      </c>
      <c r="IN106" s="618">
        <f t="shared" si="422"/>
        <v>0</v>
      </c>
      <c r="IO106" s="618">
        <f t="shared" si="423"/>
        <v>40.704999999999998</v>
      </c>
      <c r="IQ106" s="618">
        <f t="shared" si="424"/>
        <v>0</v>
      </c>
      <c r="IR106" s="618">
        <f t="shared" si="425"/>
        <v>40.704999999999998</v>
      </c>
      <c r="IT106" s="660" t="str">
        <f t="shared" si="426"/>
        <v>L427Q</v>
      </c>
      <c r="IU106" s="628"/>
      <c r="IV106" s="439">
        <f t="shared" si="580"/>
        <v>15.1158</v>
      </c>
      <c r="IW106" s="440">
        <f t="shared" si="581"/>
        <v>11.575800000000001</v>
      </c>
      <c r="IX106" s="439">
        <f t="shared" si="582"/>
        <v>-8.0358000000000018</v>
      </c>
      <c r="IY106" s="439">
        <f t="shared" si="583"/>
        <v>0</v>
      </c>
      <c r="IZ106" s="439">
        <f t="shared" si="584"/>
        <v>0</v>
      </c>
      <c r="JA106" s="439">
        <f t="shared" si="585"/>
        <v>0</v>
      </c>
      <c r="JB106" s="439">
        <f t="shared" si="586"/>
        <v>0</v>
      </c>
      <c r="JC106" s="439">
        <f t="shared" si="587"/>
        <v>0</v>
      </c>
      <c r="JD106" s="439">
        <f t="shared" si="588"/>
        <v>0</v>
      </c>
      <c r="JE106" s="439">
        <f t="shared" si="589"/>
        <v>0</v>
      </c>
      <c r="JF106" s="439">
        <f t="shared" si="590"/>
        <v>0</v>
      </c>
      <c r="JG106" s="439">
        <f t="shared" si="591"/>
        <v>0</v>
      </c>
      <c r="JH106" s="439">
        <f t="shared" si="592"/>
        <v>0</v>
      </c>
      <c r="JI106" s="439">
        <f t="shared" si="593"/>
        <v>0</v>
      </c>
      <c r="JJ106" s="442">
        <f t="shared" si="594"/>
        <v>0</v>
      </c>
      <c r="JK106" s="442">
        <f t="shared" si="595"/>
        <v>0</v>
      </c>
      <c r="JL106" s="439">
        <f t="shared" si="596"/>
        <v>0</v>
      </c>
      <c r="JM106" s="439">
        <f t="shared" si="597"/>
        <v>0</v>
      </c>
      <c r="JN106" s="661">
        <f t="shared" si="598"/>
        <v>0</v>
      </c>
      <c r="JO106" s="661">
        <f t="shared" si="599"/>
        <v>0</v>
      </c>
      <c r="JP106" s="439">
        <f t="shared" si="600"/>
        <v>0</v>
      </c>
      <c r="JQ106" s="439">
        <f t="shared" si="601"/>
        <v>0</v>
      </c>
      <c r="JR106" s="439">
        <f t="shared" si="602"/>
        <v>0</v>
      </c>
      <c r="JS106" s="439">
        <f t="shared" si="603"/>
        <v>0</v>
      </c>
      <c r="JT106" s="631" t="s">
        <v>92</v>
      </c>
      <c r="JU106" s="631">
        <f t="shared" si="459"/>
        <v>1.5395091852719383</v>
      </c>
      <c r="JW106" s="522"/>
      <c r="JX106" s="522"/>
      <c r="JY106" s="522"/>
      <c r="JZ106" s="522"/>
      <c r="KA106" s="522"/>
      <c r="KB106" s="522"/>
      <c r="KC106" s="522"/>
      <c r="KD106" s="522"/>
      <c r="KE106" s="522"/>
      <c r="KF106" s="522"/>
      <c r="KG106" s="522"/>
      <c r="KH106" s="522"/>
      <c r="KI106" s="522"/>
      <c r="KJ106" s="522"/>
      <c r="KK106" s="522"/>
      <c r="KL106" s="522"/>
    </row>
    <row r="107" spans="1:298">
      <c r="A107" s="77"/>
      <c r="B107" s="579"/>
      <c r="C107" s="579"/>
      <c r="D107" s="579"/>
      <c r="E107" s="579"/>
      <c r="F107" s="579"/>
      <c r="G107" s="579"/>
      <c r="H107" s="579"/>
      <c r="I107" s="579"/>
      <c r="J107" s="579"/>
      <c r="K107" s="579"/>
      <c r="L107" s="579"/>
      <c r="M107" s="579"/>
      <c r="N107" s="579"/>
      <c r="O107" s="579"/>
      <c r="P107" s="579"/>
      <c r="Q107" s="579"/>
      <c r="R107" s="579"/>
      <c r="S107" s="579"/>
      <c r="T107" s="579"/>
      <c r="U107" s="580"/>
      <c r="V107" s="580"/>
      <c r="W107" s="579"/>
      <c r="X107" s="579"/>
      <c r="Y107" s="579"/>
      <c r="Z107" s="579"/>
      <c r="AA107" s="579"/>
      <c r="AB107" s="579"/>
      <c r="AC107" s="580"/>
      <c r="AD107" s="580"/>
      <c r="AE107" s="579"/>
      <c r="AF107" s="579"/>
      <c r="AG107" s="579"/>
      <c r="AH107" s="579"/>
      <c r="AI107" s="579"/>
      <c r="AJ107" s="579"/>
      <c r="AK107" s="579"/>
      <c r="AL107" s="580"/>
      <c r="AM107" s="580"/>
      <c r="AN107" s="579"/>
      <c r="AO107" s="579"/>
      <c r="AP107" s="579"/>
      <c r="AQ107" s="579"/>
      <c r="AR107" s="579"/>
      <c r="AS107" s="579"/>
      <c r="AT107" s="580"/>
      <c r="AU107" s="580"/>
      <c r="AV107" s="581" t="str">
        <f>IF($AY$30,N32,0)</f>
        <v/>
      </c>
      <c r="AW107" s="581">
        <f>IF($AY$32,'Data Sheet'!AA128,0)</f>
        <v>0</v>
      </c>
      <c r="AX107" s="581">
        <f>N31-AY38</f>
        <v>40.704999999999998</v>
      </c>
      <c r="AY107" s="579"/>
      <c r="AZ107" s="579"/>
      <c r="BA107" s="579"/>
      <c r="BB107" s="579"/>
      <c r="BC107" s="579"/>
      <c r="BD107" s="579"/>
      <c r="BE107" s="579"/>
      <c r="BF107" s="579"/>
      <c r="BG107" s="379"/>
      <c r="BH107" s="379"/>
      <c r="BI107" s="379"/>
      <c r="BJ107" s="379"/>
      <c r="BK107" s="379"/>
      <c r="BL107" s="379"/>
      <c r="BM107" s="379"/>
      <c r="BN107" s="379"/>
      <c r="BO107" s="379"/>
      <c r="BP107" s="379"/>
      <c r="BQ107" s="379"/>
      <c r="BR107" s="379"/>
      <c r="BS107" s="379"/>
      <c r="BT107" s="379"/>
      <c r="BU107" s="379"/>
      <c r="BV107" s="379"/>
      <c r="BW107" s="379"/>
      <c r="BX107" s="379"/>
      <c r="BY107" s="379"/>
      <c r="BZ107" s="379"/>
      <c r="CA107" s="379"/>
      <c r="CB107" s="379"/>
      <c r="CC107" s="379"/>
      <c r="CD107" s="379"/>
      <c r="CE107" s="379"/>
      <c r="CF107" s="379"/>
      <c r="CG107" s="379"/>
      <c r="CH107" s="77"/>
      <c r="CI107" s="77"/>
      <c r="CJ107" s="380"/>
      <c r="CK107" s="380"/>
      <c r="CL107" s="381"/>
      <c r="CM107" s="381"/>
      <c r="CN107" s="445"/>
      <c r="CO107" s="694" t="str">
        <f ca="1"/>
        <v>S500D</v>
      </c>
      <c r="CP107" s="632" t="str">
        <f>IF(OR(CQ107=0,CR107="",CS107&gt;120),"",IF(HLOOKUP(CQ107,Spec_Sheet!$F$3:$ED$19,17,FALSE)&lt;$AC$46,"",CQ107))</f>
        <v>S435Q 1S</v>
      </c>
      <c r="CQ107" s="660" t="str">
        <f>IF(Spec_Sheet!A106="","",Spec_Sheet!A106)</f>
        <v>S435Q 1S</v>
      </c>
      <c r="CR107" s="660">
        <f>IF(CQ107="",0,HLOOKUP(CQ107,Spec_Sheet!$F$3:$ED$19,2,FALSE))</f>
        <v>230.49673312305288</v>
      </c>
      <c r="CS107" s="660">
        <f t="shared" si="461"/>
        <v>1.0047246545177777E-3</v>
      </c>
      <c r="CT107" s="621">
        <f t="shared" si="310"/>
        <v>1.0777722378181778E-3</v>
      </c>
      <c r="CU107" s="621">
        <f t="shared" si="483"/>
        <v>1.0047246545177777E-3</v>
      </c>
      <c r="CV107" s="621">
        <f t="shared" si="311"/>
        <v>1.3081957131930917E-3</v>
      </c>
      <c r="CW107" s="621">
        <f t="shared" si="312"/>
        <v>1.2275870642528264E-3</v>
      </c>
      <c r="CX107" s="621">
        <f t="shared" si="456"/>
        <v>8.9826180665916061E-4</v>
      </c>
      <c r="CY107" s="619">
        <f>HLOOKUP(CQ107,Spec_Sheet!$F$3:$ED$19,13,FALSE)</f>
        <v>5.4</v>
      </c>
      <c r="CZ107" s="619">
        <f>VLOOKUP(HH107,'Shaft Weight'!$A$6:$CD$102,HJ107,TRUE)</f>
        <v>5.99</v>
      </c>
      <c r="DA107" s="619">
        <f>VLOOKUP(HI107,'Shaft Weight'!$A$6:$CD$102,HJ107,0)</f>
        <v>10.19</v>
      </c>
      <c r="DB107" s="619">
        <f>HLOOKUP(CQ107,Spec_Sheet!$F$3:$ED$19,6,FALSE)</f>
        <v>19.414999999999999</v>
      </c>
      <c r="DC107" s="439">
        <f t="shared" si="484"/>
        <v>7.429800000000002</v>
      </c>
      <c r="DD107" s="440">
        <f t="shared" si="485"/>
        <v>5.6898000000000017</v>
      </c>
      <c r="DE107" s="439">
        <f t="shared" si="486"/>
        <v>-3.9498000000000015</v>
      </c>
      <c r="DF107" s="439">
        <f t="shared" si="487"/>
        <v>0</v>
      </c>
      <c r="DG107" s="439">
        <f t="shared" si="488"/>
        <v>0</v>
      </c>
      <c r="DH107" s="439">
        <f t="shared" si="489"/>
        <v>0</v>
      </c>
      <c r="DI107" s="439">
        <f t="shared" si="490"/>
        <v>0</v>
      </c>
      <c r="DJ107" s="439">
        <f t="shared" si="491"/>
        <v>0</v>
      </c>
      <c r="DK107" s="439">
        <f t="shared" si="492"/>
        <v>0</v>
      </c>
      <c r="DL107" s="439">
        <f t="shared" si="493"/>
        <v>0</v>
      </c>
      <c r="DM107" s="439">
        <f t="shared" si="494"/>
        <v>0</v>
      </c>
      <c r="DN107" s="439">
        <f t="shared" si="495"/>
        <v>0</v>
      </c>
      <c r="DO107" s="439">
        <f t="shared" si="496"/>
        <v>0</v>
      </c>
      <c r="DP107" s="439">
        <f t="shared" si="497"/>
        <v>0</v>
      </c>
      <c r="DQ107" s="442">
        <f t="shared" si="498"/>
        <v>0</v>
      </c>
      <c r="DR107" s="442">
        <f t="shared" si="499"/>
        <v>0</v>
      </c>
      <c r="DS107" s="439">
        <f t="shared" si="500"/>
        <v>0</v>
      </c>
      <c r="DT107" s="439">
        <f t="shared" si="501"/>
        <v>0</v>
      </c>
      <c r="DU107" s="661">
        <f t="shared" si="502"/>
        <v>0</v>
      </c>
      <c r="DV107" s="661">
        <f t="shared" si="503"/>
        <v>0</v>
      </c>
      <c r="DW107" s="439">
        <f t="shared" si="504"/>
        <v>0</v>
      </c>
      <c r="DX107" s="439">
        <f t="shared" si="505"/>
        <v>0</v>
      </c>
      <c r="DY107" s="439">
        <f t="shared" si="506"/>
        <v>0</v>
      </c>
      <c r="DZ107" s="439">
        <f t="shared" si="507"/>
        <v>0</v>
      </c>
      <c r="EA107" s="631" t="s">
        <v>92</v>
      </c>
      <c r="EB107" s="631">
        <f t="shared" si="451"/>
        <v>0.75670790462519011</v>
      </c>
      <c r="ED107" s="439">
        <f t="shared" si="508"/>
        <v>15.858780000000003</v>
      </c>
      <c r="EE107" s="440">
        <f t="shared" si="509"/>
        <v>12.144780000000003</v>
      </c>
      <c r="EF107" s="439">
        <f t="shared" si="510"/>
        <v>-8.4307800000000022</v>
      </c>
      <c r="EG107" s="441">
        <f t="shared" si="511"/>
        <v>0</v>
      </c>
      <c r="EH107" s="439">
        <f t="shared" si="512"/>
        <v>0</v>
      </c>
      <c r="EI107" s="439">
        <f t="shared" si="513"/>
        <v>0</v>
      </c>
      <c r="EJ107" s="439">
        <f t="shared" si="514"/>
        <v>0</v>
      </c>
      <c r="EK107" s="439">
        <f t="shared" si="515"/>
        <v>0</v>
      </c>
      <c r="EL107" s="439">
        <f t="shared" si="516"/>
        <v>0</v>
      </c>
      <c r="EM107" s="439">
        <f t="shared" si="517"/>
        <v>0</v>
      </c>
      <c r="EN107" s="439">
        <f t="shared" si="518"/>
        <v>0</v>
      </c>
      <c r="EO107" s="439">
        <f t="shared" si="519"/>
        <v>0</v>
      </c>
      <c r="EP107" s="439">
        <f t="shared" si="520"/>
        <v>0</v>
      </c>
      <c r="EQ107" s="439">
        <f t="shared" si="521"/>
        <v>0</v>
      </c>
      <c r="ER107" s="442">
        <f t="shared" si="522"/>
        <v>0</v>
      </c>
      <c r="ES107" s="442">
        <f t="shared" si="523"/>
        <v>0</v>
      </c>
      <c r="ET107" s="439">
        <f t="shared" si="524"/>
        <v>0</v>
      </c>
      <c r="EU107" s="439">
        <f t="shared" si="525"/>
        <v>0</v>
      </c>
      <c r="EV107" s="661">
        <f t="shared" si="526"/>
        <v>0</v>
      </c>
      <c r="EW107" s="661">
        <f t="shared" si="527"/>
        <v>0</v>
      </c>
      <c r="EX107" s="439">
        <f t="shared" si="528"/>
        <v>0</v>
      </c>
      <c r="EY107" s="439">
        <f t="shared" si="529"/>
        <v>0</v>
      </c>
      <c r="EZ107" s="439">
        <f t="shared" si="530"/>
        <v>0</v>
      </c>
      <c r="FA107" s="439">
        <f t="shared" si="531"/>
        <v>0</v>
      </c>
      <c r="FB107" s="631" t="s">
        <v>92</v>
      </c>
      <c r="FC107" s="631">
        <f t="shared" si="452"/>
        <v>1.6151799757344576</v>
      </c>
      <c r="FE107" s="439">
        <f t="shared" si="532"/>
        <v>8.1855900000000013</v>
      </c>
      <c r="FF107" s="440">
        <f t="shared" si="533"/>
        <v>6.2685900000000014</v>
      </c>
      <c r="FG107" s="439">
        <f t="shared" si="534"/>
        <v>-4.3515900000000016</v>
      </c>
      <c r="FH107" s="441">
        <f t="shared" si="535"/>
        <v>0</v>
      </c>
      <c r="FI107" s="439">
        <f t="shared" si="536"/>
        <v>0</v>
      </c>
      <c r="FJ107" s="439">
        <f t="shared" si="537"/>
        <v>0</v>
      </c>
      <c r="FK107" s="439">
        <f t="shared" si="538"/>
        <v>0</v>
      </c>
      <c r="FL107" s="439">
        <f t="shared" si="539"/>
        <v>0</v>
      </c>
      <c r="FM107" s="439">
        <f t="shared" si="540"/>
        <v>0</v>
      </c>
      <c r="FN107" s="439">
        <f t="shared" si="541"/>
        <v>0</v>
      </c>
      <c r="FO107" s="439">
        <f t="shared" si="542"/>
        <v>0</v>
      </c>
      <c r="FP107" s="439">
        <f t="shared" si="543"/>
        <v>0</v>
      </c>
      <c r="FQ107" s="439">
        <f t="shared" si="544"/>
        <v>0</v>
      </c>
      <c r="FR107" s="439">
        <f t="shared" si="545"/>
        <v>0</v>
      </c>
      <c r="FS107" s="442">
        <f t="shared" si="546"/>
        <v>0</v>
      </c>
      <c r="FT107" s="442">
        <f t="shared" si="547"/>
        <v>0</v>
      </c>
      <c r="FU107" s="439">
        <f t="shared" si="548"/>
        <v>0</v>
      </c>
      <c r="FV107" s="439">
        <f t="shared" si="549"/>
        <v>0</v>
      </c>
      <c r="FW107" s="661">
        <f t="shared" si="550"/>
        <v>0</v>
      </c>
      <c r="FX107" s="661">
        <f t="shared" si="551"/>
        <v>0</v>
      </c>
      <c r="FY107" s="439">
        <f t="shared" si="552"/>
        <v>0</v>
      </c>
      <c r="FZ107" s="439">
        <f t="shared" si="553"/>
        <v>0</v>
      </c>
      <c r="GA107" s="439">
        <f t="shared" si="554"/>
        <v>0</v>
      </c>
      <c r="GB107" s="439">
        <f t="shared" si="555"/>
        <v>0</v>
      </c>
      <c r="GC107" s="631" t="s">
        <v>92</v>
      </c>
      <c r="GD107" s="631">
        <f t="shared" si="453"/>
        <v>0.83368336388878705</v>
      </c>
      <c r="GF107" s="439">
        <f t="shared" si="556"/>
        <v>13.56579</v>
      </c>
      <c r="GG107" s="440">
        <f t="shared" si="557"/>
        <v>10.38879</v>
      </c>
      <c r="GH107" s="439">
        <f t="shared" si="558"/>
        <v>-7.2117900000000006</v>
      </c>
      <c r="GI107" s="439">
        <f t="shared" si="559"/>
        <v>0</v>
      </c>
      <c r="GJ107" s="439">
        <f t="shared" si="560"/>
        <v>0</v>
      </c>
      <c r="GK107" s="439">
        <f t="shared" si="561"/>
        <v>0</v>
      </c>
      <c r="GL107" s="439">
        <f t="shared" si="562"/>
        <v>0</v>
      </c>
      <c r="GM107" s="439">
        <f t="shared" si="563"/>
        <v>0</v>
      </c>
      <c r="GN107" s="439">
        <f t="shared" si="564"/>
        <v>0</v>
      </c>
      <c r="GO107" s="439">
        <f t="shared" si="565"/>
        <v>0</v>
      </c>
      <c r="GP107" s="439">
        <f t="shared" si="566"/>
        <v>0</v>
      </c>
      <c r="GQ107" s="439">
        <f t="shared" si="567"/>
        <v>0</v>
      </c>
      <c r="GR107" s="439">
        <f t="shared" si="568"/>
        <v>0</v>
      </c>
      <c r="GS107" s="439">
        <f t="shared" si="569"/>
        <v>0</v>
      </c>
      <c r="GT107" s="442">
        <f t="shared" si="570"/>
        <v>0</v>
      </c>
      <c r="GU107" s="442">
        <f t="shared" si="571"/>
        <v>0</v>
      </c>
      <c r="GV107" s="439">
        <f t="shared" si="572"/>
        <v>0</v>
      </c>
      <c r="GW107" s="439">
        <f t="shared" si="573"/>
        <v>0</v>
      </c>
      <c r="GX107" s="661">
        <f t="shared" si="574"/>
        <v>0</v>
      </c>
      <c r="GY107" s="661">
        <f t="shared" si="575"/>
        <v>0</v>
      </c>
      <c r="GZ107" s="439">
        <f t="shared" si="576"/>
        <v>0</v>
      </c>
      <c r="HA107" s="439">
        <f t="shared" si="577"/>
        <v>0</v>
      </c>
      <c r="HB107" s="439">
        <f t="shared" si="578"/>
        <v>0</v>
      </c>
      <c r="HC107" s="439">
        <f t="shared" si="579"/>
        <v>0</v>
      </c>
      <c r="HD107" s="631" t="s">
        <v>92</v>
      </c>
      <c r="HE107" s="631">
        <f t="shared" si="306"/>
        <v>1.3816442603415104</v>
      </c>
      <c r="HG107" s="618">
        <f>HLOOKUP(CQ107,Spec_Sheet!$F$3:$DV$19,11,FALSE)+HLOOKUP(CQ107,Spec_Sheet!$F$3:$DV$21,19,FALSE)</f>
        <v>450</v>
      </c>
      <c r="HH107" s="618">
        <f t="shared" si="454"/>
        <v>100</v>
      </c>
      <c r="HI107" s="634">
        <f t="shared" si="455"/>
        <v>500</v>
      </c>
      <c r="HJ107" s="634">
        <f>HLOOKUP(IF(LEN(CQ107)&gt;6,LEFT(CQ107,5),CQ107),'LSM List Pricing'!$B$1:$BW$2,2,0)</f>
        <v>66</v>
      </c>
      <c r="HK107" s="634">
        <f>HLOOKUP(HJ107,'LSM List Pricing'!$B$2:$BW$3,2)</f>
        <v>940</v>
      </c>
      <c r="HL107" s="634">
        <f>VLOOKUP(HH107,'LSM List Pricing'!$A$7:$BW$87,HJ107,0)</f>
        <v>2960</v>
      </c>
      <c r="HM107" s="627">
        <f>VLOOKUP(HI107,'LSM List Pricing'!$A$7:$BW$87,HJ107,1)</f>
        <v>4870</v>
      </c>
      <c r="HN107" s="628">
        <f t="shared" si="307"/>
        <v>10</v>
      </c>
      <c r="HO107" s="628">
        <f t="shared" si="308"/>
        <v>20</v>
      </c>
      <c r="HP107" s="628">
        <f t="shared" si="309"/>
        <v>17.307692307692307</v>
      </c>
      <c r="HR107" s="618">
        <v>5.1999999999999998E-2</v>
      </c>
      <c r="HS107" s="618">
        <f t="shared" si="457"/>
        <v>349.14285714285711</v>
      </c>
      <c r="HT107" s="618">
        <f t="shared" si="458"/>
        <v>1</v>
      </c>
      <c r="HU107" s="618">
        <f t="shared" si="466"/>
        <v>1.3244007970487379</v>
      </c>
      <c r="HW107" s="618">
        <f t="shared" si="413"/>
        <v>34.119350868190793</v>
      </c>
      <c r="HX107" s="618">
        <f t="shared" si="467"/>
        <v>1.2894746464376083</v>
      </c>
      <c r="HY107" s="618">
        <f t="shared" si="468"/>
        <v>5.1999999999999998E-2</v>
      </c>
      <c r="IB107" s="618">
        <f t="shared" si="414"/>
        <v>25.000350341399081</v>
      </c>
      <c r="IC107" s="618">
        <f t="shared" si="415"/>
        <v>1E-3</v>
      </c>
      <c r="IE107" s="618">
        <f t="shared" si="416"/>
        <v>0</v>
      </c>
      <c r="IF107" s="618">
        <f t="shared" si="417"/>
        <v>40.704999999999998</v>
      </c>
      <c r="IH107" s="618">
        <f t="shared" si="418"/>
        <v>0</v>
      </c>
      <c r="II107" s="618">
        <f t="shared" si="419"/>
        <v>40.704999999999998</v>
      </c>
      <c r="IK107" s="618">
        <f t="shared" si="420"/>
        <v>0</v>
      </c>
      <c r="IL107" s="618">
        <f t="shared" si="421"/>
        <v>40.704999999999998</v>
      </c>
      <c r="IN107" s="618">
        <f t="shared" si="422"/>
        <v>0</v>
      </c>
      <c r="IO107" s="618">
        <f t="shared" si="423"/>
        <v>40.704999999999998</v>
      </c>
      <c r="IQ107" s="618">
        <f t="shared" si="424"/>
        <v>0</v>
      </c>
      <c r="IR107" s="618">
        <f t="shared" si="425"/>
        <v>40.704999999999998</v>
      </c>
      <c r="IT107" s="660" t="str">
        <f t="shared" si="426"/>
        <v>S435Q 1S</v>
      </c>
      <c r="IU107" s="628"/>
      <c r="IV107" s="439">
        <f t="shared" si="580"/>
        <v>14.347200000000001</v>
      </c>
      <c r="IW107" s="440">
        <f t="shared" si="581"/>
        <v>10.987200000000001</v>
      </c>
      <c r="IX107" s="439">
        <f t="shared" si="582"/>
        <v>-7.6272000000000011</v>
      </c>
      <c r="IY107" s="439">
        <f t="shared" si="583"/>
        <v>0</v>
      </c>
      <c r="IZ107" s="439">
        <f t="shared" si="584"/>
        <v>0</v>
      </c>
      <c r="JA107" s="439">
        <f t="shared" si="585"/>
        <v>0</v>
      </c>
      <c r="JB107" s="439">
        <f t="shared" si="586"/>
        <v>0</v>
      </c>
      <c r="JC107" s="439">
        <f t="shared" si="587"/>
        <v>0</v>
      </c>
      <c r="JD107" s="439">
        <f t="shared" si="588"/>
        <v>0</v>
      </c>
      <c r="JE107" s="439">
        <f t="shared" si="589"/>
        <v>0</v>
      </c>
      <c r="JF107" s="439">
        <f t="shared" si="590"/>
        <v>0</v>
      </c>
      <c r="JG107" s="439">
        <f t="shared" si="591"/>
        <v>0</v>
      </c>
      <c r="JH107" s="439">
        <f t="shared" si="592"/>
        <v>0</v>
      </c>
      <c r="JI107" s="439">
        <f t="shared" si="593"/>
        <v>0</v>
      </c>
      <c r="JJ107" s="442">
        <f t="shared" si="594"/>
        <v>0</v>
      </c>
      <c r="JK107" s="442">
        <f t="shared" si="595"/>
        <v>0</v>
      </c>
      <c r="JL107" s="439">
        <f t="shared" si="596"/>
        <v>0</v>
      </c>
      <c r="JM107" s="439">
        <f t="shared" si="597"/>
        <v>0</v>
      </c>
      <c r="JN107" s="661">
        <f t="shared" si="598"/>
        <v>0</v>
      </c>
      <c r="JO107" s="661">
        <f t="shared" si="599"/>
        <v>0</v>
      </c>
      <c r="JP107" s="439">
        <f t="shared" si="600"/>
        <v>0</v>
      </c>
      <c r="JQ107" s="439">
        <f t="shared" si="601"/>
        <v>0</v>
      </c>
      <c r="JR107" s="439">
        <f t="shared" si="602"/>
        <v>0</v>
      </c>
      <c r="JS107" s="439">
        <f t="shared" si="603"/>
        <v>0</v>
      </c>
      <c r="JT107" s="631" t="s">
        <v>92</v>
      </c>
      <c r="JU107" s="631">
        <f t="shared" si="459"/>
        <v>1.4612290572072635</v>
      </c>
      <c r="JW107" s="522"/>
      <c r="JX107" s="522"/>
      <c r="JY107" s="522"/>
      <c r="JZ107" s="522"/>
      <c r="KA107" s="522"/>
      <c r="KB107" s="522"/>
      <c r="KC107" s="522"/>
      <c r="KD107" s="522"/>
      <c r="KE107" s="522"/>
      <c r="KF107" s="522"/>
      <c r="KG107" s="522"/>
      <c r="KH107" s="522"/>
      <c r="KI107" s="522"/>
      <c r="KJ107" s="522"/>
      <c r="KK107" s="522"/>
      <c r="KL107" s="522"/>
    </row>
    <row r="108" spans="1:298">
      <c r="A108" s="77"/>
      <c r="B108" s="579" t="s">
        <v>77</v>
      </c>
      <c r="C108" s="579"/>
      <c r="D108" s="579">
        <f t="shared" ref="D108:O108" si="604">SQRT(((D97^2*D76)+(D98^2*D76)+(D99^2*D76)+(D100^2*D76)+(D101^2*D76)+(D102^2*D76)+(D103^2*D76)+(D104^2*D76)+(D105^2*D76)+(D106^2*D76))/(D76*10))</f>
        <v>0.14623269128344729</v>
      </c>
      <c r="E108" s="579">
        <f t="shared" si="604"/>
        <v>0.14623269128344729</v>
      </c>
      <c r="F108" s="579" t="e">
        <f t="shared" si="604"/>
        <v>#DIV/0!</v>
      </c>
      <c r="G108" s="579" t="e">
        <f t="shared" si="604"/>
        <v>#DIV/0!</v>
      </c>
      <c r="H108" s="579" t="e">
        <f t="shared" si="604"/>
        <v>#DIV/0!</v>
      </c>
      <c r="I108" s="579" t="e">
        <f t="shared" si="604"/>
        <v>#DIV/0!</v>
      </c>
      <c r="J108" s="579" t="e">
        <f t="shared" si="604"/>
        <v>#DIV/0!</v>
      </c>
      <c r="K108" s="579" t="e">
        <f t="shared" si="604"/>
        <v>#DIV/0!</v>
      </c>
      <c r="L108" s="579" t="e">
        <f t="shared" si="604"/>
        <v>#DIV/0!</v>
      </c>
      <c r="M108" s="579" t="e">
        <f t="shared" si="604"/>
        <v>#DIV/0!</v>
      </c>
      <c r="N108" s="579" t="e">
        <f t="shared" si="604"/>
        <v>#DIV/0!</v>
      </c>
      <c r="O108" s="579" t="e">
        <f t="shared" si="604"/>
        <v>#DIV/0!</v>
      </c>
      <c r="P108" s="579"/>
      <c r="Q108" s="579"/>
      <c r="R108" s="579"/>
      <c r="S108" s="579"/>
      <c r="T108" s="579"/>
      <c r="U108" s="580"/>
      <c r="V108" s="580"/>
      <c r="W108" s="579"/>
      <c r="X108" s="579"/>
      <c r="Y108" s="579"/>
      <c r="Z108" s="579"/>
      <c r="AA108" s="579"/>
      <c r="AB108" s="579"/>
      <c r="AC108" s="580"/>
      <c r="AD108" s="580"/>
      <c r="AE108" s="579"/>
      <c r="AF108" s="579"/>
      <c r="AG108" s="579"/>
      <c r="AH108" s="579"/>
      <c r="AI108" s="579"/>
      <c r="AJ108" s="579"/>
      <c r="AK108" s="579"/>
      <c r="AL108" s="580"/>
      <c r="AM108" s="580"/>
      <c r="AN108" s="579"/>
      <c r="AO108" s="579"/>
      <c r="AP108" s="579"/>
      <c r="AQ108" s="579"/>
      <c r="AR108" s="579"/>
      <c r="AS108" s="579"/>
      <c r="AT108" s="580"/>
      <c r="AU108" s="580"/>
      <c r="AV108" s="581" t="str">
        <f>IF($AY$30,O32,0)</f>
        <v/>
      </c>
      <c r="AW108" s="581">
        <f>IF($AY$32,'Data Sheet'!AA129,0)</f>
        <v>0</v>
      </c>
      <c r="AX108" s="581">
        <f>O31-AY42</f>
        <v>40.704999999999998</v>
      </c>
      <c r="AY108" s="579"/>
      <c r="AZ108" s="579"/>
      <c r="BA108" s="579"/>
      <c r="BB108" s="579"/>
      <c r="BC108" s="579"/>
      <c r="BD108" s="579"/>
      <c r="BE108" s="579"/>
      <c r="BF108" s="579"/>
      <c r="BG108" s="379"/>
      <c r="BH108" s="379"/>
      <c r="BI108" s="379"/>
      <c r="BJ108" s="379"/>
      <c r="BK108" s="379"/>
      <c r="BL108" s="379"/>
      <c r="BM108" s="379"/>
      <c r="BN108" s="379"/>
      <c r="BO108" s="379"/>
      <c r="BP108" s="379"/>
      <c r="BQ108" s="379"/>
      <c r="BR108" s="379"/>
      <c r="BS108" s="379"/>
      <c r="BT108" s="379"/>
      <c r="BU108" s="379"/>
      <c r="BV108" s="379"/>
      <c r="BW108" s="379"/>
      <c r="BX108" s="379"/>
      <c r="BY108" s="379"/>
      <c r="BZ108" s="379"/>
      <c r="CA108" s="379"/>
      <c r="CB108" s="379"/>
      <c r="CC108" s="379"/>
      <c r="CD108" s="379"/>
      <c r="CE108" s="379"/>
      <c r="CF108" s="379"/>
      <c r="CG108" s="379"/>
      <c r="CH108" s="77"/>
      <c r="CI108" s="77"/>
      <c r="CJ108" s="380"/>
      <c r="CK108" s="380"/>
      <c r="CL108" s="381"/>
      <c r="CM108" s="381"/>
      <c r="CN108" s="381"/>
      <c r="CO108" s="694" t="str">
        <f ca="1"/>
        <v>S500D 2S</v>
      </c>
      <c r="CP108" s="632" t="str">
        <f>IF(OR(CQ108=0,CR108="",CS108&gt;120),"",IF(HLOOKUP(CQ108,Spec_Sheet!$F$3:$ED$19,17,FALSE)&lt;$AC$46,"",CQ108))</f>
        <v>S435Q 2S</v>
      </c>
      <c r="CQ108" s="660" t="str">
        <f>IF(Spec_Sheet!A107="","",Spec_Sheet!A107)</f>
        <v>S435Q 2S</v>
      </c>
      <c r="CR108" s="660">
        <f>IF(CQ108="",0,HLOOKUP(CQ108,Spec_Sheet!$F$3:$ED$19,2,FALSE))</f>
        <v>230.49673312305288</v>
      </c>
      <c r="CS108" s="660">
        <f t="shared" ref="CS108:CS123" si="605">IF(CR108=0,500,IF(IFERROR(CV108,TRUE),SMALL(CT108:CU108,1),SMALL(CT108:CX108,1)))</f>
        <v>1.0047246545177777E-3</v>
      </c>
      <c r="CT108" s="621">
        <f t="shared" ref="CT108:CT123" si="606">((EB108/DB108)/(CR108/DB108))^2*100</f>
        <v>1.0777722378181778E-3</v>
      </c>
      <c r="CU108" s="621">
        <f t="shared" ref="CU108:CU123" si="607">((JU108/DB108)/((CR108*2)/DB108))^2*100</f>
        <v>1.0047246545177777E-3</v>
      </c>
      <c r="CV108" s="621">
        <f t="shared" ref="CV108:CV123" si="608">((GD108/DB108)/(CR108/DB108))^2*100</f>
        <v>1.3081957131930917E-3</v>
      </c>
      <c r="CW108" s="621">
        <f t="shared" ref="CW108:CW123" si="609">((FC108/DB108)/((CR108*2)/DB108))^2*100</f>
        <v>1.2275870642528264E-3</v>
      </c>
      <c r="CX108" s="621">
        <f t="shared" ref="CX108:CX123" si="610">IF(DA108="X","",((HE108/DB108)/((CR108*2)/DB108))^2*100)</f>
        <v>8.9826180665916061E-4</v>
      </c>
      <c r="CY108" s="619">
        <f>HLOOKUP(CQ108,Spec_Sheet!$F$3:$ED$19,13,FALSE)</f>
        <v>5.4</v>
      </c>
      <c r="CZ108" s="619">
        <f>VLOOKUP(HH108,'Shaft Weight'!$A$6:$CD$102,HJ108,TRUE)</f>
        <v>5.99</v>
      </c>
      <c r="DA108" s="619">
        <f>VLOOKUP(HI108,'Shaft Weight'!$A$6:$CD$102,HJ108,0)</f>
        <v>10.19</v>
      </c>
      <c r="DB108" s="619">
        <f>HLOOKUP(CQ108,Spec_Sheet!$F$3:$ED$19,6,FALSE)</f>
        <v>38.83</v>
      </c>
      <c r="DC108" s="439">
        <f t="shared" si="484"/>
        <v>7.429800000000002</v>
      </c>
      <c r="DD108" s="440">
        <f t="shared" si="485"/>
        <v>5.6898000000000017</v>
      </c>
      <c r="DE108" s="439">
        <f t="shared" si="486"/>
        <v>-3.9498000000000015</v>
      </c>
      <c r="DF108" s="439">
        <f t="shared" si="487"/>
        <v>0</v>
      </c>
      <c r="DG108" s="439">
        <f t="shared" si="488"/>
        <v>0</v>
      </c>
      <c r="DH108" s="439">
        <f t="shared" si="489"/>
        <v>0</v>
      </c>
      <c r="DI108" s="439">
        <f t="shared" si="490"/>
        <v>0</v>
      </c>
      <c r="DJ108" s="439">
        <f t="shared" si="491"/>
        <v>0</v>
      </c>
      <c r="DK108" s="439">
        <f t="shared" si="492"/>
        <v>0</v>
      </c>
      <c r="DL108" s="439">
        <f t="shared" si="493"/>
        <v>0</v>
      </c>
      <c r="DM108" s="439">
        <f t="shared" si="494"/>
        <v>0</v>
      </c>
      <c r="DN108" s="439">
        <f t="shared" si="495"/>
        <v>0</v>
      </c>
      <c r="DO108" s="439">
        <f t="shared" si="496"/>
        <v>0</v>
      </c>
      <c r="DP108" s="439">
        <f t="shared" si="497"/>
        <v>0</v>
      </c>
      <c r="DQ108" s="442">
        <f t="shared" si="498"/>
        <v>0</v>
      </c>
      <c r="DR108" s="442">
        <f t="shared" si="499"/>
        <v>0</v>
      </c>
      <c r="DS108" s="439">
        <f t="shared" si="500"/>
        <v>0</v>
      </c>
      <c r="DT108" s="439">
        <f t="shared" si="501"/>
        <v>0</v>
      </c>
      <c r="DU108" s="661">
        <f t="shared" si="502"/>
        <v>0</v>
      </c>
      <c r="DV108" s="661">
        <f t="shared" si="503"/>
        <v>0</v>
      </c>
      <c r="DW108" s="439">
        <f t="shared" si="504"/>
        <v>0</v>
      </c>
      <c r="DX108" s="439">
        <f t="shared" si="505"/>
        <v>0</v>
      </c>
      <c r="DY108" s="439">
        <f t="shared" si="506"/>
        <v>0</v>
      </c>
      <c r="DZ108" s="439">
        <f t="shared" si="507"/>
        <v>0</v>
      </c>
      <c r="EA108" s="631" t="s">
        <v>92</v>
      </c>
      <c r="EB108" s="631">
        <f t="shared" si="451"/>
        <v>0.75670790462519011</v>
      </c>
      <c r="ED108" s="439">
        <f t="shared" si="508"/>
        <v>15.858780000000003</v>
      </c>
      <c r="EE108" s="440">
        <f t="shared" si="509"/>
        <v>12.144780000000003</v>
      </c>
      <c r="EF108" s="439">
        <f t="shared" si="510"/>
        <v>-8.4307800000000022</v>
      </c>
      <c r="EG108" s="441">
        <f t="shared" si="511"/>
        <v>0</v>
      </c>
      <c r="EH108" s="439">
        <f t="shared" si="512"/>
        <v>0</v>
      </c>
      <c r="EI108" s="439">
        <f t="shared" si="513"/>
        <v>0</v>
      </c>
      <c r="EJ108" s="439">
        <f t="shared" si="514"/>
        <v>0</v>
      </c>
      <c r="EK108" s="439">
        <f t="shared" si="515"/>
        <v>0</v>
      </c>
      <c r="EL108" s="439">
        <f t="shared" si="516"/>
        <v>0</v>
      </c>
      <c r="EM108" s="439">
        <f t="shared" si="517"/>
        <v>0</v>
      </c>
      <c r="EN108" s="439">
        <f t="shared" si="518"/>
        <v>0</v>
      </c>
      <c r="EO108" s="439">
        <f t="shared" si="519"/>
        <v>0</v>
      </c>
      <c r="EP108" s="439">
        <f t="shared" si="520"/>
        <v>0</v>
      </c>
      <c r="EQ108" s="439">
        <f t="shared" si="521"/>
        <v>0</v>
      </c>
      <c r="ER108" s="442">
        <f t="shared" si="522"/>
        <v>0</v>
      </c>
      <c r="ES108" s="442">
        <f t="shared" si="523"/>
        <v>0</v>
      </c>
      <c r="ET108" s="439">
        <f t="shared" si="524"/>
        <v>0</v>
      </c>
      <c r="EU108" s="439">
        <f t="shared" si="525"/>
        <v>0</v>
      </c>
      <c r="EV108" s="661">
        <f t="shared" si="526"/>
        <v>0</v>
      </c>
      <c r="EW108" s="661">
        <f t="shared" si="527"/>
        <v>0</v>
      </c>
      <c r="EX108" s="439">
        <f t="shared" si="528"/>
        <v>0</v>
      </c>
      <c r="EY108" s="439">
        <f t="shared" si="529"/>
        <v>0</v>
      </c>
      <c r="EZ108" s="439">
        <f t="shared" si="530"/>
        <v>0</v>
      </c>
      <c r="FA108" s="439">
        <f t="shared" si="531"/>
        <v>0</v>
      </c>
      <c r="FB108" s="631" t="s">
        <v>92</v>
      </c>
      <c r="FC108" s="631">
        <f t="shared" si="452"/>
        <v>1.6151799757344576</v>
      </c>
      <c r="FE108" s="439">
        <f t="shared" si="532"/>
        <v>8.1855900000000013</v>
      </c>
      <c r="FF108" s="440">
        <f t="shared" si="533"/>
        <v>6.2685900000000014</v>
      </c>
      <c r="FG108" s="439">
        <f t="shared" si="534"/>
        <v>-4.3515900000000016</v>
      </c>
      <c r="FH108" s="441">
        <f t="shared" si="535"/>
        <v>0</v>
      </c>
      <c r="FI108" s="439">
        <f t="shared" si="536"/>
        <v>0</v>
      </c>
      <c r="FJ108" s="439">
        <f t="shared" si="537"/>
        <v>0</v>
      </c>
      <c r="FK108" s="439">
        <f t="shared" si="538"/>
        <v>0</v>
      </c>
      <c r="FL108" s="439">
        <f t="shared" si="539"/>
        <v>0</v>
      </c>
      <c r="FM108" s="439">
        <f t="shared" si="540"/>
        <v>0</v>
      </c>
      <c r="FN108" s="439">
        <f t="shared" si="541"/>
        <v>0</v>
      </c>
      <c r="FO108" s="439">
        <f t="shared" si="542"/>
        <v>0</v>
      </c>
      <c r="FP108" s="439">
        <f t="shared" si="543"/>
        <v>0</v>
      </c>
      <c r="FQ108" s="439">
        <f t="shared" si="544"/>
        <v>0</v>
      </c>
      <c r="FR108" s="439">
        <f t="shared" si="545"/>
        <v>0</v>
      </c>
      <c r="FS108" s="442">
        <f t="shared" si="546"/>
        <v>0</v>
      </c>
      <c r="FT108" s="442">
        <f t="shared" si="547"/>
        <v>0</v>
      </c>
      <c r="FU108" s="439">
        <f t="shared" si="548"/>
        <v>0</v>
      </c>
      <c r="FV108" s="439">
        <f t="shared" si="549"/>
        <v>0</v>
      </c>
      <c r="FW108" s="661">
        <f t="shared" si="550"/>
        <v>0</v>
      </c>
      <c r="FX108" s="661">
        <f t="shared" si="551"/>
        <v>0</v>
      </c>
      <c r="FY108" s="439">
        <f t="shared" si="552"/>
        <v>0</v>
      </c>
      <c r="FZ108" s="439">
        <f t="shared" si="553"/>
        <v>0</v>
      </c>
      <c r="GA108" s="439">
        <f t="shared" si="554"/>
        <v>0</v>
      </c>
      <c r="GB108" s="439">
        <f t="shared" si="555"/>
        <v>0</v>
      </c>
      <c r="GC108" s="631" t="s">
        <v>92</v>
      </c>
      <c r="GD108" s="631">
        <f t="shared" si="453"/>
        <v>0.83368336388878705</v>
      </c>
      <c r="GF108" s="439">
        <f t="shared" si="556"/>
        <v>13.56579</v>
      </c>
      <c r="GG108" s="440">
        <f t="shared" si="557"/>
        <v>10.38879</v>
      </c>
      <c r="GH108" s="439">
        <f t="shared" si="558"/>
        <v>-7.2117900000000006</v>
      </c>
      <c r="GI108" s="439">
        <f t="shared" si="559"/>
        <v>0</v>
      </c>
      <c r="GJ108" s="439">
        <f t="shared" si="560"/>
        <v>0</v>
      </c>
      <c r="GK108" s="439">
        <f t="shared" si="561"/>
        <v>0</v>
      </c>
      <c r="GL108" s="439">
        <f t="shared" si="562"/>
        <v>0</v>
      </c>
      <c r="GM108" s="439">
        <f t="shared" si="563"/>
        <v>0</v>
      </c>
      <c r="GN108" s="439">
        <f t="shared" si="564"/>
        <v>0</v>
      </c>
      <c r="GO108" s="439">
        <f t="shared" si="565"/>
        <v>0</v>
      </c>
      <c r="GP108" s="439">
        <f t="shared" si="566"/>
        <v>0</v>
      </c>
      <c r="GQ108" s="439">
        <f t="shared" si="567"/>
        <v>0</v>
      </c>
      <c r="GR108" s="439">
        <f t="shared" si="568"/>
        <v>0</v>
      </c>
      <c r="GS108" s="439">
        <f t="shared" si="569"/>
        <v>0</v>
      </c>
      <c r="GT108" s="442">
        <f t="shared" si="570"/>
        <v>0</v>
      </c>
      <c r="GU108" s="442">
        <f t="shared" si="571"/>
        <v>0</v>
      </c>
      <c r="GV108" s="439">
        <f t="shared" si="572"/>
        <v>0</v>
      </c>
      <c r="GW108" s="439">
        <f t="shared" si="573"/>
        <v>0</v>
      </c>
      <c r="GX108" s="661">
        <f t="shared" si="574"/>
        <v>0</v>
      </c>
      <c r="GY108" s="661">
        <f t="shared" si="575"/>
        <v>0</v>
      </c>
      <c r="GZ108" s="439">
        <f t="shared" si="576"/>
        <v>0</v>
      </c>
      <c r="HA108" s="439">
        <f t="shared" si="577"/>
        <v>0</v>
      </c>
      <c r="HB108" s="439">
        <f t="shared" si="578"/>
        <v>0</v>
      </c>
      <c r="HC108" s="439">
        <f t="shared" si="579"/>
        <v>0</v>
      </c>
      <c r="HD108" s="631" t="s">
        <v>92</v>
      </c>
      <c r="HE108" s="631">
        <f t="shared" si="306"/>
        <v>1.3816442603415104</v>
      </c>
      <c r="HG108" s="618">
        <f>HLOOKUP(CQ108,Spec_Sheet!$F$3:$DV$19,11,FALSE)+HLOOKUP(CQ108,Spec_Sheet!$F$3:$DV$21,19,FALSE)</f>
        <v>450</v>
      </c>
      <c r="HH108" s="618">
        <f t="shared" si="454"/>
        <v>100</v>
      </c>
      <c r="HI108" s="634">
        <f t="shared" si="455"/>
        <v>500</v>
      </c>
      <c r="HJ108" s="634">
        <f>HLOOKUP(IF(LEN(CQ108)&gt;6,LEFT(CQ108,5),CQ108),'LSM List Pricing'!$B$1:$BW$2,2,0)</f>
        <v>66</v>
      </c>
      <c r="HK108" s="634">
        <f>HLOOKUP(HJ108,'LSM List Pricing'!$B$2:$BW$3,2)</f>
        <v>940</v>
      </c>
      <c r="HL108" s="634">
        <f>VLOOKUP(HH108,'LSM List Pricing'!$A$7:$BW$87,HJ108,0)</f>
        <v>2960</v>
      </c>
      <c r="HM108" s="627">
        <f>VLOOKUP(HI108,'LSM List Pricing'!$A$7:$BW$87,HJ108,1)</f>
        <v>4870</v>
      </c>
      <c r="HN108" s="628">
        <f t="shared" si="307"/>
        <v>10</v>
      </c>
      <c r="HO108" s="628">
        <f t="shared" si="308"/>
        <v>20</v>
      </c>
      <c r="HP108" s="628">
        <f t="shared" si="309"/>
        <v>17.307692307692307</v>
      </c>
      <c r="HR108" s="618">
        <v>5.2499999999999998E-2</v>
      </c>
      <c r="HS108" s="618">
        <f t="shared" si="457"/>
        <v>352.5</v>
      </c>
      <c r="HT108" s="618">
        <f t="shared" si="458"/>
        <v>1</v>
      </c>
      <c r="HU108" s="618">
        <f t="shared" si="466"/>
        <v>1.3371398410223627</v>
      </c>
      <c r="HW108" s="618">
        <f t="shared" si="413"/>
        <v>34.101261425748248</v>
      </c>
      <c r="HX108" s="618">
        <f t="shared" si="467"/>
        <v>1.3015417983503494</v>
      </c>
      <c r="HY108" s="618">
        <f t="shared" si="468"/>
        <v>5.2499999999999998E-2</v>
      </c>
      <c r="IB108" s="618">
        <f t="shared" si="414"/>
        <v>25.000350341399081</v>
      </c>
      <c r="IC108" s="618">
        <f t="shared" si="415"/>
        <v>1E-3</v>
      </c>
      <c r="IE108" s="618">
        <f t="shared" si="416"/>
        <v>0</v>
      </c>
      <c r="IF108" s="618">
        <f t="shared" si="417"/>
        <v>40.704999999999998</v>
      </c>
      <c r="IH108" s="618">
        <f t="shared" si="418"/>
        <v>0</v>
      </c>
      <c r="II108" s="618">
        <f t="shared" si="419"/>
        <v>40.704999999999998</v>
      </c>
      <c r="IK108" s="618">
        <f t="shared" si="420"/>
        <v>0</v>
      </c>
      <c r="IL108" s="618">
        <f t="shared" si="421"/>
        <v>40.704999999999998</v>
      </c>
      <c r="IN108" s="618">
        <f t="shared" si="422"/>
        <v>0</v>
      </c>
      <c r="IO108" s="618">
        <f t="shared" si="423"/>
        <v>40.704999999999998</v>
      </c>
      <c r="IQ108" s="618">
        <f t="shared" si="424"/>
        <v>0</v>
      </c>
      <c r="IR108" s="618">
        <f t="shared" si="425"/>
        <v>40.704999999999998</v>
      </c>
      <c r="IT108" s="660" t="str">
        <f t="shared" si="426"/>
        <v>S435Q 2S</v>
      </c>
      <c r="IU108" s="628"/>
      <c r="IV108" s="439">
        <f t="shared" si="580"/>
        <v>14.347200000000001</v>
      </c>
      <c r="IW108" s="440">
        <f t="shared" si="581"/>
        <v>10.987200000000001</v>
      </c>
      <c r="IX108" s="439">
        <f t="shared" si="582"/>
        <v>-7.6272000000000011</v>
      </c>
      <c r="IY108" s="439">
        <f t="shared" si="583"/>
        <v>0</v>
      </c>
      <c r="IZ108" s="439">
        <f t="shared" si="584"/>
        <v>0</v>
      </c>
      <c r="JA108" s="439">
        <f t="shared" si="585"/>
        <v>0</v>
      </c>
      <c r="JB108" s="439">
        <f t="shared" si="586"/>
        <v>0</v>
      </c>
      <c r="JC108" s="439">
        <f t="shared" si="587"/>
        <v>0</v>
      </c>
      <c r="JD108" s="439">
        <f t="shared" si="588"/>
        <v>0</v>
      </c>
      <c r="JE108" s="439">
        <f t="shared" si="589"/>
        <v>0</v>
      </c>
      <c r="JF108" s="439">
        <f t="shared" si="590"/>
        <v>0</v>
      </c>
      <c r="JG108" s="439">
        <f t="shared" si="591"/>
        <v>0</v>
      </c>
      <c r="JH108" s="439">
        <f t="shared" si="592"/>
        <v>0</v>
      </c>
      <c r="JI108" s="439">
        <f t="shared" si="593"/>
        <v>0</v>
      </c>
      <c r="JJ108" s="442">
        <f t="shared" si="594"/>
        <v>0</v>
      </c>
      <c r="JK108" s="442">
        <f t="shared" si="595"/>
        <v>0</v>
      </c>
      <c r="JL108" s="439">
        <f t="shared" si="596"/>
        <v>0</v>
      </c>
      <c r="JM108" s="439">
        <f t="shared" si="597"/>
        <v>0</v>
      </c>
      <c r="JN108" s="661">
        <f t="shared" si="598"/>
        <v>0</v>
      </c>
      <c r="JO108" s="661">
        <f t="shared" si="599"/>
        <v>0</v>
      </c>
      <c r="JP108" s="439">
        <f t="shared" si="600"/>
        <v>0</v>
      </c>
      <c r="JQ108" s="439">
        <f t="shared" si="601"/>
        <v>0</v>
      </c>
      <c r="JR108" s="439">
        <f t="shared" si="602"/>
        <v>0</v>
      </c>
      <c r="JS108" s="439">
        <f t="shared" si="603"/>
        <v>0</v>
      </c>
      <c r="JT108" s="631" t="s">
        <v>92</v>
      </c>
      <c r="JU108" s="631">
        <f t="shared" si="459"/>
        <v>1.4612290572072635</v>
      </c>
      <c r="JW108" s="522"/>
      <c r="JX108" s="522"/>
      <c r="JY108" s="522"/>
      <c r="JZ108" s="522"/>
      <c r="KA108" s="522"/>
      <c r="KB108" s="522"/>
      <c r="KC108" s="522"/>
      <c r="KD108" s="522"/>
      <c r="KE108" s="522"/>
      <c r="KF108" s="522"/>
      <c r="KG108" s="522"/>
      <c r="KH108" s="522"/>
      <c r="KI108" s="522"/>
      <c r="KJ108" s="522"/>
      <c r="KK108" s="522"/>
      <c r="KL108" s="522"/>
    </row>
    <row r="109" spans="1:298">
      <c r="A109" s="77"/>
      <c r="B109" s="579"/>
      <c r="C109" s="579"/>
      <c r="D109" s="579"/>
      <c r="E109" s="579"/>
      <c r="F109" s="579"/>
      <c r="G109" s="579"/>
      <c r="H109" s="579"/>
      <c r="I109" s="579"/>
      <c r="J109" s="579"/>
      <c r="K109" s="579"/>
      <c r="L109" s="579"/>
      <c r="M109" s="579"/>
      <c r="N109" s="579"/>
      <c r="O109" s="579"/>
      <c r="P109" s="579"/>
      <c r="Q109" s="579"/>
      <c r="R109" s="579"/>
      <c r="S109" s="579"/>
      <c r="T109" s="579"/>
      <c r="U109" s="580"/>
      <c r="V109" s="580"/>
      <c r="W109" s="579"/>
      <c r="X109" s="579"/>
      <c r="Y109" s="579"/>
      <c r="Z109" s="579"/>
      <c r="AA109" s="579"/>
      <c r="AB109" s="579"/>
      <c r="AC109" s="580"/>
      <c r="AD109" s="580"/>
      <c r="AE109" s="579"/>
      <c r="AF109" s="579"/>
      <c r="AG109" s="579"/>
      <c r="AH109" s="579"/>
      <c r="AI109" s="579"/>
      <c r="AJ109" s="579"/>
      <c r="AK109" s="579"/>
      <c r="AL109" s="580"/>
      <c r="AM109" s="580"/>
      <c r="AN109" s="579"/>
      <c r="AO109" s="579"/>
      <c r="AP109" s="579"/>
      <c r="AQ109" s="579"/>
      <c r="AR109" s="579"/>
      <c r="AS109" s="579"/>
      <c r="AT109" s="580"/>
      <c r="AU109" s="580"/>
      <c r="AV109" s="581" t="e">
        <f>IF($AY$30,J83*$J$82,0)</f>
        <v>#DIV/0!</v>
      </c>
      <c r="AW109" s="581" t="e">
        <f>IF($AY$32,'Data Sheet'!AA130,0)</f>
        <v>#DIV/0!</v>
      </c>
      <c r="AX109" s="581">
        <f>AX108</f>
        <v>40.704999999999998</v>
      </c>
      <c r="AY109" s="579"/>
      <c r="AZ109" s="579"/>
      <c r="BA109" s="579"/>
      <c r="BB109" s="579"/>
      <c r="BC109" s="579"/>
      <c r="BD109" s="579"/>
      <c r="BE109" s="579"/>
      <c r="BF109" s="579"/>
      <c r="BG109" s="379"/>
      <c r="BH109" s="379"/>
      <c r="BI109" s="379"/>
      <c r="BJ109" s="379"/>
      <c r="BK109" s="379"/>
      <c r="BL109" s="379"/>
      <c r="BM109" s="379"/>
      <c r="BN109" s="379"/>
      <c r="BO109" s="379"/>
      <c r="BP109" s="379"/>
      <c r="BQ109" s="379"/>
      <c r="BR109" s="379"/>
      <c r="BS109" s="379"/>
      <c r="BT109" s="379"/>
      <c r="BU109" s="379"/>
      <c r="BV109" s="379"/>
      <c r="BW109" s="379"/>
      <c r="BX109" s="379"/>
      <c r="BY109" s="379"/>
      <c r="BZ109" s="379"/>
      <c r="CA109" s="379"/>
      <c r="CB109" s="379"/>
      <c r="CC109" s="379"/>
      <c r="CD109" s="379"/>
      <c r="CE109" s="379"/>
      <c r="CF109" s="379"/>
      <c r="CG109" s="379"/>
      <c r="CH109" s="77"/>
      <c r="CI109" s="77"/>
      <c r="CJ109" s="380"/>
      <c r="CK109" s="380"/>
      <c r="CL109" s="381"/>
      <c r="CM109" s="381"/>
      <c r="CN109" s="445"/>
      <c r="CO109" s="694" t="str">
        <f ca="1"/>
        <v>S605D 1S</v>
      </c>
      <c r="CP109" s="632" t="str">
        <f>IF(OR(CQ109=0,CR109="",CS109&gt;120),"",IF(HLOOKUP(CQ109,Spec_Sheet!$F$3:$ED$19,17,FALSE)&lt;$AC$46,"",CQ109))</f>
        <v>S435Q</v>
      </c>
      <c r="CQ109" s="660" t="str">
        <f>IF(Spec_Sheet!A108="","",Spec_Sheet!A108)</f>
        <v>S435Q</v>
      </c>
      <c r="CR109" s="660">
        <f>IF(CQ109="",0,HLOOKUP(CQ109,Spec_Sheet!$F$3:$ED$19,2,FALSE))</f>
        <v>233</v>
      </c>
      <c r="CS109" s="660">
        <f t="shared" si="605"/>
        <v>9.8325183629594773E-4</v>
      </c>
      <c r="CT109" s="621">
        <f t="shared" si="606"/>
        <v>1.0547382580674645E-3</v>
      </c>
      <c r="CU109" s="621">
        <f t="shared" si="607"/>
        <v>9.8325183629594773E-4</v>
      </c>
      <c r="CV109" s="621">
        <f t="shared" si="608"/>
        <v>1.2802371589547123E-3</v>
      </c>
      <c r="CW109" s="621">
        <f t="shared" si="609"/>
        <v>1.2013512654559686E-3</v>
      </c>
      <c r="CX109" s="621">
        <f t="shared" si="610"/>
        <v>8.7906429577568176E-4</v>
      </c>
      <c r="CY109" s="619">
        <f>HLOOKUP(CQ109,Spec_Sheet!$F$3:$ED$19,13,FALSE)</f>
        <v>5.4</v>
      </c>
      <c r="CZ109" s="619">
        <f>VLOOKUP(HH109,'Shaft Weight'!$A$6:$CD$102,HJ109,TRUE)</f>
        <v>5.99</v>
      </c>
      <c r="DA109" s="619">
        <f>VLOOKUP(HI109,'Shaft Weight'!$A$6:$CD$102,HJ109,0)</f>
        <v>10.19</v>
      </c>
      <c r="DB109" s="619">
        <f>HLOOKUP(CQ109,Spec_Sheet!$F$3:$ED$19,6,FALSE)</f>
        <v>77.66</v>
      </c>
      <c r="DC109" s="439">
        <f t="shared" si="484"/>
        <v>7.429800000000002</v>
      </c>
      <c r="DD109" s="440">
        <f t="shared" si="485"/>
        <v>5.6898000000000017</v>
      </c>
      <c r="DE109" s="439">
        <f t="shared" si="486"/>
        <v>-3.9498000000000015</v>
      </c>
      <c r="DF109" s="439">
        <f t="shared" si="487"/>
        <v>0</v>
      </c>
      <c r="DG109" s="439">
        <f t="shared" si="488"/>
        <v>0</v>
      </c>
      <c r="DH109" s="439">
        <f t="shared" si="489"/>
        <v>0</v>
      </c>
      <c r="DI109" s="439">
        <f t="shared" si="490"/>
        <v>0</v>
      </c>
      <c r="DJ109" s="439">
        <f t="shared" si="491"/>
        <v>0</v>
      </c>
      <c r="DK109" s="439">
        <f t="shared" si="492"/>
        <v>0</v>
      </c>
      <c r="DL109" s="439">
        <f t="shared" si="493"/>
        <v>0</v>
      </c>
      <c r="DM109" s="439">
        <f t="shared" si="494"/>
        <v>0</v>
      </c>
      <c r="DN109" s="439">
        <f t="shared" si="495"/>
        <v>0</v>
      </c>
      <c r="DO109" s="439">
        <f t="shared" si="496"/>
        <v>0</v>
      </c>
      <c r="DP109" s="439">
        <f t="shared" si="497"/>
        <v>0</v>
      </c>
      <c r="DQ109" s="442">
        <f t="shared" si="498"/>
        <v>0</v>
      </c>
      <c r="DR109" s="442">
        <f t="shared" si="499"/>
        <v>0</v>
      </c>
      <c r="DS109" s="439">
        <f t="shared" si="500"/>
        <v>0</v>
      </c>
      <c r="DT109" s="439">
        <f t="shared" si="501"/>
        <v>0</v>
      </c>
      <c r="DU109" s="661">
        <f t="shared" si="502"/>
        <v>0</v>
      </c>
      <c r="DV109" s="661">
        <f t="shared" si="503"/>
        <v>0</v>
      </c>
      <c r="DW109" s="439">
        <f t="shared" si="504"/>
        <v>0</v>
      </c>
      <c r="DX109" s="439">
        <f t="shared" si="505"/>
        <v>0</v>
      </c>
      <c r="DY109" s="439">
        <f t="shared" si="506"/>
        <v>0</v>
      </c>
      <c r="DZ109" s="439">
        <f t="shared" si="507"/>
        <v>0</v>
      </c>
      <c r="EA109" s="631" t="s">
        <v>92</v>
      </c>
      <c r="EB109" s="631">
        <f t="shared" si="451"/>
        <v>0.75670790462519011</v>
      </c>
      <c r="ED109" s="439">
        <f t="shared" si="508"/>
        <v>15.858780000000003</v>
      </c>
      <c r="EE109" s="440">
        <f t="shared" si="509"/>
        <v>12.144780000000003</v>
      </c>
      <c r="EF109" s="439">
        <f t="shared" si="510"/>
        <v>-8.4307800000000022</v>
      </c>
      <c r="EG109" s="441">
        <f t="shared" si="511"/>
        <v>0</v>
      </c>
      <c r="EH109" s="439">
        <f t="shared" si="512"/>
        <v>0</v>
      </c>
      <c r="EI109" s="439">
        <f t="shared" si="513"/>
        <v>0</v>
      </c>
      <c r="EJ109" s="439">
        <f t="shared" si="514"/>
        <v>0</v>
      </c>
      <c r="EK109" s="439">
        <f t="shared" si="515"/>
        <v>0</v>
      </c>
      <c r="EL109" s="439">
        <f t="shared" si="516"/>
        <v>0</v>
      </c>
      <c r="EM109" s="439">
        <f t="shared" si="517"/>
        <v>0</v>
      </c>
      <c r="EN109" s="439">
        <f t="shared" si="518"/>
        <v>0</v>
      </c>
      <c r="EO109" s="439">
        <f t="shared" si="519"/>
        <v>0</v>
      </c>
      <c r="EP109" s="439">
        <f t="shared" si="520"/>
        <v>0</v>
      </c>
      <c r="EQ109" s="439">
        <f t="shared" si="521"/>
        <v>0</v>
      </c>
      <c r="ER109" s="442">
        <f t="shared" si="522"/>
        <v>0</v>
      </c>
      <c r="ES109" s="442">
        <f t="shared" si="523"/>
        <v>0</v>
      </c>
      <c r="ET109" s="439">
        <f t="shared" si="524"/>
        <v>0</v>
      </c>
      <c r="EU109" s="439">
        <f t="shared" si="525"/>
        <v>0</v>
      </c>
      <c r="EV109" s="661">
        <f t="shared" si="526"/>
        <v>0</v>
      </c>
      <c r="EW109" s="661">
        <f t="shared" si="527"/>
        <v>0</v>
      </c>
      <c r="EX109" s="439">
        <f t="shared" si="528"/>
        <v>0</v>
      </c>
      <c r="EY109" s="439">
        <f t="shared" si="529"/>
        <v>0</v>
      </c>
      <c r="EZ109" s="439">
        <f t="shared" si="530"/>
        <v>0</v>
      </c>
      <c r="FA109" s="439">
        <f t="shared" si="531"/>
        <v>0</v>
      </c>
      <c r="FB109" s="631" t="s">
        <v>92</v>
      </c>
      <c r="FC109" s="631">
        <f t="shared" si="452"/>
        <v>1.6151799757344576</v>
      </c>
      <c r="FE109" s="439">
        <f t="shared" si="532"/>
        <v>8.1855900000000013</v>
      </c>
      <c r="FF109" s="440">
        <f t="shared" si="533"/>
        <v>6.2685900000000014</v>
      </c>
      <c r="FG109" s="439">
        <f t="shared" si="534"/>
        <v>-4.3515900000000016</v>
      </c>
      <c r="FH109" s="441">
        <f t="shared" si="535"/>
        <v>0</v>
      </c>
      <c r="FI109" s="439">
        <f t="shared" si="536"/>
        <v>0</v>
      </c>
      <c r="FJ109" s="439">
        <f t="shared" si="537"/>
        <v>0</v>
      </c>
      <c r="FK109" s="439">
        <f t="shared" si="538"/>
        <v>0</v>
      </c>
      <c r="FL109" s="439">
        <f t="shared" si="539"/>
        <v>0</v>
      </c>
      <c r="FM109" s="439">
        <f t="shared" si="540"/>
        <v>0</v>
      </c>
      <c r="FN109" s="439">
        <f t="shared" si="541"/>
        <v>0</v>
      </c>
      <c r="FO109" s="439">
        <f t="shared" si="542"/>
        <v>0</v>
      </c>
      <c r="FP109" s="439">
        <f t="shared" si="543"/>
        <v>0</v>
      </c>
      <c r="FQ109" s="439">
        <f t="shared" si="544"/>
        <v>0</v>
      </c>
      <c r="FR109" s="439">
        <f t="shared" si="545"/>
        <v>0</v>
      </c>
      <c r="FS109" s="442">
        <f t="shared" si="546"/>
        <v>0</v>
      </c>
      <c r="FT109" s="442">
        <f t="shared" si="547"/>
        <v>0</v>
      </c>
      <c r="FU109" s="439">
        <f t="shared" si="548"/>
        <v>0</v>
      </c>
      <c r="FV109" s="439">
        <f t="shared" si="549"/>
        <v>0</v>
      </c>
      <c r="FW109" s="661">
        <f t="shared" si="550"/>
        <v>0</v>
      </c>
      <c r="FX109" s="661">
        <f t="shared" si="551"/>
        <v>0</v>
      </c>
      <c r="FY109" s="439">
        <f t="shared" si="552"/>
        <v>0</v>
      </c>
      <c r="FZ109" s="439">
        <f t="shared" si="553"/>
        <v>0</v>
      </c>
      <c r="GA109" s="439">
        <f t="shared" si="554"/>
        <v>0</v>
      </c>
      <c r="GB109" s="439">
        <f t="shared" si="555"/>
        <v>0</v>
      </c>
      <c r="GC109" s="631" t="s">
        <v>92</v>
      </c>
      <c r="GD109" s="631">
        <f t="shared" si="453"/>
        <v>0.83368336388878705</v>
      </c>
      <c r="GF109" s="439">
        <f t="shared" si="556"/>
        <v>13.56579</v>
      </c>
      <c r="GG109" s="440">
        <f t="shared" si="557"/>
        <v>10.38879</v>
      </c>
      <c r="GH109" s="439">
        <f t="shared" si="558"/>
        <v>-7.2117900000000006</v>
      </c>
      <c r="GI109" s="439">
        <f t="shared" si="559"/>
        <v>0</v>
      </c>
      <c r="GJ109" s="439">
        <f t="shared" si="560"/>
        <v>0</v>
      </c>
      <c r="GK109" s="439">
        <f t="shared" si="561"/>
        <v>0</v>
      </c>
      <c r="GL109" s="439">
        <f t="shared" si="562"/>
        <v>0</v>
      </c>
      <c r="GM109" s="439">
        <f t="shared" si="563"/>
        <v>0</v>
      </c>
      <c r="GN109" s="439">
        <f t="shared" si="564"/>
        <v>0</v>
      </c>
      <c r="GO109" s="439">
        <f t="shared" si="565"/>
        <v>0</v>
      </c>
      <c r="GP109" s="439">
        <f t="shared" si="566"/>
        <v>0</v>
      </c>
      <c r="GQ109" s="439">
        <f t="shared" si="567"/>
        <v>0</v>
      </c>
      <c r="GR109" s="439">
        <f t="shared" si="568"/>
        <v>0</v>
      </c>
      <c r="GS109" s="439">
        <f t="shared" si="569"/>
        <v>0</v>
      </c>
      <c r="GT109" s="442">
        <f t="shared" si="570"/>
        <v>0</v>
      </c>
      <c r="GU109" s="442">
        <f t="shared" si="571"/>
        <v>0</v>
      </c>
      <c r="GV109" s="439">
        <f t="shared" si="572"/>
        <v>0</v>
      </c>
      <c r="GW109" s="439">
        <f t="shared" si="573"/>
        <v>0</v>
      </c>
      <c r="GX109" s="661">
        <f t="shared" si="574"/>
        <v>0</v>
      </c>
      <c r="GY109" s="661">
        <f t="shared" si="575"/>
        <v>0</v>
      </c>
      <c r="GZ109" s="439">
        <f t="shared" si="576"/>
        <v>0</v>
      </c>
      <c r="HA109" s="439">
        <f t="shared" si="577"/>
        <v>0</v>
      </c>
      <c r="HB109" s="439">
        <f t="shared" si="578"/>
        <v>0</v>
      </c>
      <c r="HC109" s="439">
        <f t="shared" si="579"/>
        <v>0</v>
      </c>
      <c r="HD109" s="631" t="s">
        <v>92</v>
      </c>
      <c r="HE109" s="631">
        <f t="shared" si="306"/>
        <v>1.3816442603415104</v>
      </c>
      <c r="HG109" s="618">
        <f>HLOOKUP(CQ109,Spec_Sheet!$F$3:$DV$19,11,FALSE)+HLOOKUP(CQ109,Spec_Sheet!$F$3:$DV$21,19,FALSE)</f>
        <v>450</v>
      </c>
      <c r="HH109" s="618">
        <f t="shared" si="454"/>
        <v>100</v>
      </c>
      <c r="HI109" s="634">
        <f t="shared" si="455"/>
        <v>500</v>
      </c>
      <c r="HJ109" s="634">
        <f>HLOOKUP(IF(LEN(CQ109)&gt;6,LEFT(CQ109,5),CQ109),'LSM List Pricing'!$B$1:$BW$2,2,0)</f>
        <v>66</v>
      </c>
      <c r="HK109" s="634">
        <f>HLOOKUP(HJ109,'LSM List Pricing'!$B$2:$BW$3,2)</f>
        <v>940</v>
      </c>
      <c r="HL109" s="634">
        <f>VLOOKUP(HH109,'LSM List Pricing'!$A$7:$BW$87,HJ109,0)</f>
        <v>2960</v>
      </c>
      <c r="HM109" s="627">
        <f>VLOOKUP(HI109,'LSM List Pricing'!$A$7:$BW$87,HJ109,1)</f>
        <v>4870</v>
      </c>
      <c r="HN109" s="628">
        <f t="shared" si="307"/>
        <v>10</v>
      </c>
      <c r="HO109" s="628">
        <f t="shared" si="308"/>
        <v>20</v>
      </c>
      <c r="HP109" s="628">
        <f t="shared" si="309"/>
        <v>17.307692307692307</v>
      </c>
      <c r="HR109" s="618">
        <v>5.2999999999999999E-2</v>
      </c>
      <c r="HS109" s="618">
        <f t="shared" si="457"/>
        <v>355.85714285714283</v>
      </c>
      <c r="HT109" s="618">
        <f t="shared" si="458"/>
        <v>1</v>
      </c>
      <c r="HU109" s="618">
        <f t="shared" si="466"/>
        <v>1.3498788849959875</v>
      </c>
      <c r="HW109" s="618">
        <f t="shared" si="413"/>
        <v>34.083171983305697</v>
      </c>
      <c r="HX109" s="618">
        <f t="shared" si="467"/>
        <v>1.3136025490907925</v>
      </c>
      <c r="HY109" s="618">
        <f t="shared" si="468"/>
        <v>5.2999999999999999E-2</v>
      </c>
      <c r="IB109" s="618">
        <f t="shared" si="414"/>
        <v>25.000350341399081</v>
      </c>
      <c r="IC109" s="618">
        <f t="shared" si="415"/>
        <v>1E-3</v>
      </c>
      <c r="IE109" s="618">
        <f t="shared" si="416"/>
        <v>0</v>
      </c>
      <c r="IF109" s="618">
        <f t="shared" si="417"/>
        <v>40.704999999999998</v>
      </c>
      <c r="IH109" s="618">
        <f t="shared" si="418"/>
        <v>0</v>
      </c>
      <c r="II109" s="618">
        <f t="shared" si="419"/>
        <v>40.704999999999998</v>
      </c>
      <c r="IK109" s="618">
        <f t="shared" si="420"/>
        <v>0</v>
      </c>
      <c r="IL109" s="618">
        <f t="shared" si="421"/>
        <v>40.704999999999998</v>
      </c>
      <c r="IN109" s="618">
        <f t="shared" si="422"/>
        <v>0</v>
      </c>
      <c r="IO109" s="618">
        <f t="shared" si="423"/>
        <v>40.704999999999998</v>
      </c>
      <c r="IQ109" s="618">
        <f t="shared" si="424"/>
        <v>0</v>
      </c>
      <c r="IR109" s="618">
        <f t="shared" si="425"/>
        <v>40.704999999999998</v>
      </c>
      <c r="IT109" s="660" t="str">
        <f t="shared" si="426"/>
        <v>S435Q</v>
      </c>
      <c r="IU109" s="628"/>
      <c r="IV109" s="439">
        <f t="shared" si="580"/>
        <v>14.347200000000001</v>
      </c>
      <c r="IW109" s="440">
        <f t="shared" si="581"/>
        <v>10.987200000000001</v>
      </c>
      <c r="IX109" s="439">
        <f t="shared" si="582"/>
        <v>-7.6272000000000011</v>
      </c>
      <c r="IY109" s="439">
        <f t="shared" si="583"/>
        <v>0</v>
      </c>
      <c r="IZ109" s="439">
        <f t="shared" si="584"/>
        <v>0</v>
      </c>
      <c r="JA109" s="439">
        <f t="shared" si="585"/>
        <v>0</v>
      </c>
      <c r="JB109" s="439">
        <f t="shared" si="586"/>
        <v>0</v>
      </c>
      <c r="JC109" s="439">
        <f t="shared" si="587"/>
        <v>0</v>
      </c>
      <c r="JD109" s="439">
        <f t="shared" si="588"/>
        <v>0</v>
      </c>
      <c r="JE109" s="439">
        <f t="shared" si="589"/>
        <v>0</v>
      </c>
      <c r="JF109" s="439">
        <f t="shared" si="590"/>
        <v>0</v>
      </c>
      <c r="JG109" s="439">
        <f t="shared" si="591"/>
        <v>0</v>
      </c>
      <c r="JH109" s="439">
        <f t="shared" si="592"/>
        <v>0</v>
      </c>
      <c r="JI109" s="439">
        <f t="shared" si="593"/>
        <v>0</v>
      </c>
      <c r="JJ109" s="442">
        <f t="shared" si="594"/>
        <v>0</v>
      </c>
      <c r="JK109" s="442">
        <f t="shared" si="595"/>
        <v>0</v>
      </c>
      <c r="JL109" s="439">
        <f t="shared" si="596"/>
        <v>0</v>
      </c>
      <c r="JM109" s="439">
        <f t="shared" si="597"/>
        <v>0</v>
      </c>
      <c r="JN109" s="661">
        <f t="shared" si="598"/>
        <v>0</v>
      </c>
      <c r="JO109" s="661">
        <f t="shared" si="599"/>
        <v>0</v>
      </c>
      <c r="JP109" s="439">
        <f t="shared" si="600"/>
        <v>0</v>
      </c>
      <c r="JQ109" s="439">
        <f t="shared" si="601"/>
        <v>0</v>
      </c>
      <c r="JR109" s="439">
        <f t="shared" si="602"/>
        <v>0</v>
      </c>
      <c r="JS109" s="439">
        <f t="shared" si="603"/>
        <v>0</v>
      </c>
      <c r="JT109" s="631" t="s">
        <v>92</v>
      </c>
      <c r="JU109" s="631">
        <f t="shared" si="459"/>
        <v>1.4612290572072635</v>
      </c>
      <c r="JW109" s="522"/>
      <c r="JX109" s="522"/>
      <c r="JY109" s="522"/>
      <c r="JZ109" s="522"/>
      <c r="KA109" s="522"/>
      <c r="KB109" s="522"/>
      <c r="KC109" s="522"/>
      <c r="KD109" s="522"/>
      <c r="KE109" s="522"/>
      <c r="KF109" s="522"/>
      <c r="KG109" s="522"/>
      <c r="KH109" s="522"/>
      <c r="KI109" s="522"/>
      <c r="KJ109" s="522"/>
      <c r="KK109" s="522"/>
      <c r="KL109" s="522"/>
    </row>
    <row r="110" spans="1:298">
      <c r="A110" s="77"/>
      <c r="B110" s="579"/>
      <c r="C110" s="579"/>
      <c r="D110" s="579"/>
      <c r="E110" s="579"/>
      <c r="F110" s="579"/>
      <c r="G110" s="579"/>
      <c r="H110" s="579"/>
      <c r="I110" s="579"/>
      <c r="J110" s="579"/>
      <c r="K110" s="579"/>
      <c r="L110" s="579"/>
      <c r="M110" s="579"/>
      <c r="N110" s="579"/>
      <c r="O110" s="579"/>
      <c r="P110" s="579"/>
      <c r="Q110" s="579"/>
      <c r="R110" s="579"/>
      <c r="S110" s="579"/>
      <c r="T110" s="579"/>
      <c r="U110" s="580"/>
      <c r="V110" s="580"/>
      <c r="W110" s="579"/>
      <c r="X110" s="579"/>
      <c r="Y110" s="579"/>
      <c r="Z110" s="579"/>
      <c r="AA110" s="579"/>
      <c r="AB110" s="579"/>
      <c r="AC110" s="580"/>
      <c r="AD110" s="580"/>
      <c r="AE110" s="579"/>
      <c r="AF110" s="579"/>
      <c r="AG110" s="579"/>
      <c r="AH110" s="579"/>
      <c r="AI110" s="579"/>
      <c r="AJ110" s="579"/>
      <c r="AK110" s="579"/>
      <c r="AL110" s="580"/>
      <c r="AM110" s="580"/>
      <c r="AN110" s="579"/>
      <c r="AO110" s="579"/>
      <c r="AP110" s="579"/>
      <c r="AQ110" s="579"/>
      <c r="AR110" s="579"/>
      <c r="AS110" s="579"/>
      <c r="AT110" s="580"/>
      <c r="AU110" s="580"/>
      <c r="AV110" s="581" t="e">
        <f>IF($AY$30,J84*$J$82,0)</f>
        <v>#DIV/0!</v>
      </c>
      <c r="AW110" s="581" t="e">
        <f>IF($AY$32,'Data Sheet'!AA131,0)</f>
        <v>#DIV/0!</v>
      </c>
      <c r="AX110" s="581">
        <f>AX109+$J$76</f>
        <v>40.704999999999998</v>
      </c>
      <c r="AY110" s="579"/>
      <c r="AZ110" s="579"/>
      <c r="BA110" s="579"/>
      <c r="BB110" s="579"/>
      <c r="BC110" s="579"/>
      <c r="BD110" s="579"/>
      <c r="BE110" s="579"/>
      <c r="BF110" s="579"/>
      <c r="BG110" s="379"/>
      <c r="BH110" s="379"/>
      <c r="BI110" s="379"/>
      <c r="BJ110" s="379"/>
      <c r="BK110" s="379"/>
      <c r="BL110" s="379"/>
      <c r="BM110" s="379"/>
      <c r="BN110" s="379"/>
      <c r="BO110" s="379"/>
      <c r="BP110" s="379"/>
      <c r="BQ110" s="379"/>
      <c r="BR110" s="379"/>
      <c r="BS110" s="379"/>
      <c r="BT110" s="379"/>
      <c r="BU110" s="379"/>
      <c r="BV110" s="379"/>
      <c r="BW110" s="379"/>
      <c r="BX110" s="379"/>
      <c r="BY110" s="379"/>
      <c r="BZ110" s="379"/>
      <c r="CA110" s="379"/>
      <c r="CB110" s="379"/>
      <c r="CC110" s="379"/>
      <c r="CD110" s="379"/>
      <c r="CE110" s="379"/>
      <c r="CF110" s="379"/>
      <c r="CG110" s="379"/>
      <c r="CH110" s="77"/>
      <c r="CI110" s="77"/>
      <c r="CJ110" s="380"/>
      <c r="CK110" s="380"/>
      <c r="CL110" s="381"/>
      <c r="CM110" s="381"/>
      <c r="CN110" s="381"/>
      <c r="CO110" s="694" t="str">
        <f ca="1"/>
        <v>S605D</v>
      </c>
      <c r="CP110" s="632" t="str">
        <f>IF(OR(CQ110=0,CR110="",CS110&gt;120),"",IF(HLOOKUP(CQ110,Spec_Sheet!$F$3:$ED$19,17,FALSE)&lt;$AC$46,"",CQ110))</f>
        <v>S500D</v>
      </c>
      <c r="CQ110" s="660" t="str">
        <f>IF(Spec_Sheet!A109="","",Spec_Sheet!A109)</f>
        <v>S500D</v>
      </c>
      <c r="CR110" s="660">
        <f>IF(CQ110="",0,HLOOKUP(CQ110,Spec_Sheet!$F$3:$ED$19,2,FALSE))</f>
        <v>289</v>
      </c>
      <c r="CS110" s="660">
        <f t="shared" si="605"/>
        <v>2.1203385639522103E-3</v>
      </c>
      <c r="CT110" s="621">
        <f t="shared" si="606"/>
        <v>2.2043042971652367E-3</v>
      </c>
      <c r="CU110" s="621">
        <f t="shared" si="607"/>
        <v>2.1203385639522103E-3</v>
      </c>
      <c r="CV110" s="621">
        <f t="shared" si="608"/>
        <v>1.2654858797142845E-3</v>
      </c>
      <c r="CW110" s="621">
        <f t="shared" si="609"/>
        <v>1.202063219093185E-3</v>
      </c>
      <c r="CX110" s="621">
        <f t="shared" si="610"/>
        <v>5.8551017692158255E-4</v>
      </c>
      <c r="CY110" s="619">
        <f>HLOOKUP(CQ110,Spec_Sheet!$F$3:$ED$19,13,FALSE)</f>
        <v>10</v>
      </c>
      <c r="CZ110" s="619">
        <f>VLOOKUP(HH110,'Shaft Weight'!$A$6:$CD$102,HJ110,TRUE)</f>
        <v>7.48</v>
      </c>
      <c r="DA110" s="619">
        <f>VLOOKUP(HI110,'Shaft Weight'!$A$6:$CD$102,HJ110,0)</f>
        <v>10.32</v>
      </c>
      <c r="DB110" s="619">
        <f>HLOOKUP(CQ110,Spec_Sheet!$F$3:$ED$19,6,FALSE)</f>
        <v>76.099999999999994</v>
      </c>
      <c r="DC110" s="439">
        <f t="shared" si="484"/>
        <v>13.322400000000002</v>
      </c>
      <c r="DD110" s="440">
        <f t="shared" si="485"/>
        <v>10.202400000000003</v>
      </c>
      <c r="DE110" s="439">
        <f t="shared" si="486"/>
        <v>-7.0824000000000025</v>
      </c>
      <c r="DF110" s="439">
        <f t="shared" si="487"/>
        <v>0</v>
      </c>
      <c r="DG110" s="439">
        <f t="shared" si="488"/>
        <v>0</v>
      </c>
      <c r="DH110" s="439">
        <f t="shared" si="489"/>
        <v>0</v>
      </c>
      <c r="DI110" s="439">
        <f t="shared" si="490"/>
        <v>0</v>
      </c>
      <c r="DJ110" s="439">
        <f t="shared" si="491"/>
        <v>0</v>
      </c>
      <c r="DK110" s="439">
        <f t="shared" si="492"/>
        <v>0</v>
      </c>
      <c r="DL110" s="439">
        <f t="shared" si="493"/>
        <v>0</v>
      </c>
      <c r="DM110" s="439">
        <f t="shared" si="494"/>
        <v>0</v>
      </c>
      <c r="DN110" s="439">
        <f t="shared" si="495"/>
        <v>0</v>
      </c>
      <c r="DO110" s="439">
        <f t="shared" si="496"/>
        <v>0</v>
      </c>
      <c r="DP110" s="439">
        <f t="shared" si="497"/>
        <v>0</v>
      </c>
      <c r="DQ110" s="442">
        <f t="shared" si="498"/>
        <v>0</v>
      </c>
      <c r="DR110" s="442">
        <f t="shared" si="499"/>
        <v>0</v>
      </c>
      <c r="DS110" s="439">
        <f t="shared" si="500"/>
        <v>0</v>
      </c>
      <c r="DT110" s="439">
        <f t="shared" si="501"/>
        <v>0</v>
      </c>
      <c r="DU110" s="661">
        <f t="shared" si="502"/>
        <v>0</v>
      </c>
      <c r="DV110" s="661">
        <f t="shared" si="503"/>
        <v>0</v>
      </c>
      <c r="DW110" s="439">
        <f t="shared" si="504"/>
        <v>0</v>
      </c>
      <c r="DX110" s="439">
        <f t="shared" si="505"/>
        <v>0</v>
      </c>
      <c r="DY110" s="439">
        <f t="shared" si="506"/>
        <v>0</v>
      </c>
      <c r="DZ110" s="439">
        <f t="shared" si="507"/>
        <v>0</v>
      </c>
      <c r="EA110" s="631" t="s">
        <v>92</v>
      </c>
      <c r="EB110" s="631">
        <f t="shared" si="451"/>
        <v>1.3568555531210305</v>
      </c>
      <c r="ED110" s="439">
        <f t="shared" si="508"/>
        <v>19.676160000000003</v>
      </c>
      <c r="EE110" s="440">
        <f t="shared" si="509"/>
        <v>15.068160000000004</v>
      </c>
      <c r="EF110" s="439">
        <f t="shared" si="510"/>
        <v>-10.460160000000004</v>
      </c>
      <c r="EG110" s="441">
        <f t="shared" si="511"/>
        <v>0</v>
      </c>
      <c r="EH110" s="439">
        <f t="shared" si="512"/>
        <v>0</v>
      </c>
      <c r="EI110" s="439">
        <f t="shared" si="513"/>
        <v>0</v>
      </c>
      <c r="EJ110" s="439">
        <f t="shared" si="514"/>
        <v>0</v>
      </c>
      <c r="EK110" s="439">
        <f t="shared" si="515"/>
        <v>0</v>
      </c>
      <c r="EL110" s="439">
        <f t="shared" si="516"/>
        <v>0</v>
      </c>
      <c r="EM110" s="439">
        <f t="shared" si="517"/>
        <v>0</v>
      </c>
      <c r="EN110" s="439">
        <f t="shared" si="518"/>
        <v>0</v>
      </c>
      <c r="EO110" s="439">
        <f t="shared" si="519"/>
        <v>0</v>
      </c>
      <c r="EP110" s="439">
        <f t="shared" si="520"/>
        <v>0</v>
      </c>
      <c r="EQ110" s="439">
        <f t="shared" si="521"/>
        <v>0</v>
      </c>
      <c r="ER110" s="442">
        <f t="shared" si="522"/>
        <v>0</v>
      </c>
      <c r="ES110" s="442">
        <f t="shared" si="523"/>
        <v>0</v>
      </c>
      <c r="ET110" s="439">
        <f t="shared" si="524"/>
        <v>0</v>
      </c>
      <c r="EU110" s="439">
        <f t="shared" si="525"/>
        <v>0</v>
      </c>
      <c r="EV110" s="661">
        <f t="shared" si="526"/>
        <v>0</v>
      </c>
      <c r="EW110" s="661">
        <f t="shared" si="527"/>
        <v>0</v>
      </c>
      <c r="EX110" s="439">
        <f t="shared" si="528"/>
        <v>0</v>
      </c>
      <c r="EY110" s="439">
        <f t="shared" si="529"/>
        <v>0</v>
      </c>
      <c r="EZ110" s="439">
        <f t="shared" si="530"/>
        <v>0</v>
      </c>
      <c r="FA110" s="439">
        <f t="shared" si="531"/>
        <v>0</v>
      </c>
      <c r="FB110" s="631" t="s">
        <v>92</v>
      </c>
      <c r="FC110" s="631">
        <f t="shared" si="452"/>
        <v>2.0039712784556758</v>
      </c>
      <c r="FE110" s="439">
        <f t="shared" si="532"/>
        <v>10.094280000000001</v>
      </c>
      <c r="FF110" s="440">
        <f t="shared" si="533"/>
        <v>7.7302800000000005</v>
      </c>
      <c r="FG110" s="439">
        <f t="shared" si="534"/>
        <v>-5.3662799999999997</v>
      </c>
      <c r="FH110" s="441">
        <f t="shared" si="535"/>
        <v>0</v>
      </c>
      <c r="FI110" s="439">
        <f t="shared" si="536"/>
        <v>0</v>
      </c>
      <c r="FJ110" s="439">
        <f t="shared" si="537"/>
        <v>0</v>
      </c>
      <c r="FK110" s="439">
        <f t="shared" si="538"/>
        <v>0</v>
      </c>
      <c r="FL110" s="439">
        <f t="shared" si="539"/>
        <v>0</v>
      </c>
      <c r="FM110" s="439">
        <f t="shared" si="540"/>
        <v>0</v>
      </c>
      <c r="FN110" s="439">
        <f t="shared" si="541"/>
        <v>0</v>
      </c>
      <c r="FO110" s="439">
        <f t="shared" si="542"/>
        <v>0</v>
      </c>
      <c r="FP110" s="439">
        <f t="shared" si="543"/>
        <v>0</v>
      </c>
      <c r="FQ110" s="439">
        <f t="shared" si="544"/>
        <v>0</v>
      </c>
      <c r="FR110" s="439">
        <f t="shared" si="545"/>
        <v>0</v>
      </c>
      <c r="FS110" s="442">
        <f t="shared" si="546"/>
        <v>0</v>
      </c>
      <c r="FT110" s="442">
        <f t="shared" si="547"/>
        <v>0</v>
      </c>
      <c r="FU110" s="439">
        <f t="shared" si="548"/>
        <v>0</v>
      </c>
      <c r="FV110" s="439">
        <f t="shared" si="549"/>
        <v>0</v>
      </c>
      <c r="FW110" s="661">
        <f t="shared" si="550"/>
        <v>0</v>
      </c>
      <c r="FX110" s="661">
        <f t="shared" si="551"/>
        <v>0</v>
      </c>
      <c r="FY110" s="439">
        <f t="shared" si="552"/>
        <v>0</v>
      </c>
      <c r="FZ110" s="439">
        <f t="shared" si="553"/>
        <v>0</v>
      </c>
      <c r="GA110" s="439">
        <f t="shared" si="554"/>
        <v>0</v>
      </c>
      <c r="GB110" s="439">
        <f t="shared" si="555"/>
        <v>0</v>
      </c>
      <c r="GC110" s="631" t="s">
        <v>92</v>
      </c>
      <c r="GD110" s="631">
        <f t="shared" si="453"/>
        <v>1.0280790152493959</v>
      </c>
      <c r="GF110" s="439">
        <f t="shared" si="556"/>
        <v>13.732320000000001</v>
      </c>
      <c r="GG110" s="440">
        <f t="shared" si="557"/>
        <v>10.516320000000002</v>
      </c>
      <c r="GH110" s="439">
        <f t="shared" si="558"/>
        <v>-7.3003200000000019</v>
      </c>
      <c r="GI110" s="439">
        <f t="shared" si="559"/>
        <v>0</v>
      </c>
      <c r="GJ110" s="439">
        <f t="shared" si="560"/>
        <v>0</v>
      </c>
      <c r="GK110" s="439">
        <f t="shared" si="561"/>
        <v>0</v>
      </c>
      <c r="GL110" s="439">
        <f t="shared" si="562"/>
        <v>0</v>
      </c>
      <c r="GM110" s="439">
        <f t="shared" si="563"/>
        <v>0</v>
      </c>
      <c r="GN110" s="439">
        <f t="shared" si="564"/>
        <v>0</v>
      </c>
      <c r="GO110" s="439">
        <f t="shared" si="565"/>
        <v>0</v>
      </c>
      <c r="GP110" s="439">
        <f t="shared" si="566"/>
        <v>0</v>
      </c>
      <c r="GQ110" s="439">
        <f t="shared" si="567"/>
        <v>0</v>
      </c>
      <c r="GR110" s="439">
        <f t="shared" si="568"/>
        <v>0</v>
      </c>
      <c r="GS110" s="439">
        <f t="shared" si="569"/>
        <v>0</v>
      </c>
      <c r="GT110" s="442">
        <f t="shared" si="570"/>
        <v>0</v>
      </c>
      <c r="GU110" s="442">
        <f t="shared" si="571"/>
        <v>0</v>
      </c>
      <c r="GV110" s="439">
        <f t="shared" si="572"/>
        <v>0</v>
      </c>
      <c r="GW110" s="439">
        <f t="shared" si="573"/>
        <v>0</v>
      </c>
      <c r="GX110" s="661">
        <f t="shared" si="574"/>
        <v>0</v>
      </c>
      <c r="GY110" s="661">
        <f t="shared" si="575"/>
        <v>0</v>
      </c>
      <c r="GZ110" s="439">
        <f t="shared" si="576"/>
        <v>0</v>
      </c>
      <c r="HA110" s="439">
        <f t="shared" si="577"/>
        <v>0</v>
      </c>
      <c r="HB110" s="439">
        <f t="shared" si="578"/>
        <v>0</v>
      </c>
      <c r="HC110" s="439">
        <f t="shared" si="579"/>
        <v>0</v>
      </c>
      <c r="HD110" s="631" t="s">
        <v>92</v>
      </c>
      <c r="HE110" s="631">
        <f t="shared" ref="HE110:HE111" si="611">SQRT((((IF(GF110&gt;0,GF110,GF110*-1))^2*$D$38)+((IF(GG110&gt;0,GG110,GG110*-1))^2*$E$38)+((IF(GH110&gt;0,GH110,GH110*-1))^2*$F$38)+((IF(GI110&gt;0,GI110,GI110*-1))^2*$G$38)+((IF(GJ110&gt;0,GJ110,GJ110*-1))^2*$H$38)+((IF(GK110&gt;0,GK110,GK110*-1))^2*$I$38)+((IF(GL110&gt;0,GL110,GL110*-1))^2*$J$38)+((IF(GM110&gt;0,GM110,GM110*-1))^2*$K$38)+((IF(GN110&gt;0,GN110,GN110*-1))^2*$L$38)+((IF(GO110&gt;0,GO110,GO110*-1))^2*$M$38)+((IF(GP110&gt;0,GP110,GP110*-1))^2*$N$38)+((IF(GQ110&gt;0,GQ110,GQ110*-1))^2*$O$38)+((IF(GR110&gt;0,GR110,GR110*-1))^2*$P$38)+((IF(GS110&gt;0,GS110,GS110*-1))^2*$Q$38)+((IF(GT110&gt;0,GT110,GT110*-1))^2*$R$38)+((IF(GU110&gt;0,GU110,GU110*-1))^2*$S$38)+((IF(GV110&gt;0,GV110,GV110*-1))^2*$T$38)+((IF(GW110&gt;0,GW110,GW110*-1))^2*$U$38)+((IF(GX110&gt;0,GX110,GX110*-1))^2*$V$38)+((IF(GY110&gt;0,GY110,GY110*-1))^2*$W$38)+((IF(GZ110&gt;0,GZ110,GZ110*-1))^2*$X$38)+((IF(HA110&gt;0,HA110,HA110*-1))^2*$Y$38)+((IF(HB110&gt;0,HB110,HB110*-1))^2*$Z$38)+((IF(HC110&gt;0,HC110,HC110*-1))^2*$AA$38))/$AA$31)</f>
        <v>1.3986049547555235</v>
      </c>
      <c r="HG110" s="618">
        <f>HLOOKUP(CQ110,Spec_Sheet!$F$3:$DV$19,11,FALSE)+HLOOKUP(CQ110,Spec_Sheet!$F$3:$DV$21,19,FALSE)</f>
        <v>270</v>
      </c>
      <c r="HH110" s="618">
        <f t="shared" si="454"/>
        <v>100</v>
      </c>
      <c r="HI110" s="634">
        <f t="shared" si="455"/>
        <v>300</v>
      </c>
      <c r="HJ110" s="634">
        <f>HLOOKUP(IF(LEN(CQ110)&gt;6,LEFT(CQ110,5),CQ110),'LSM List Pricing'!$B$1:$BW$2,2,0)</f>
        <v>67</v>
      </c>
      <c r="HK110" s="634">
        <f>HLOOKUP(HJ110,'LSM List Pricing'!$B$2:$BW$3,2)</f>
        <v>1220</v>
      </c>
      <c r="HL110" s="634">
        <f>VLOOKUP(HH110,'LSM List Pricing'!$A$7:$BW$87,HJ110,0)</f>
        <v>2670</v>
      </c>
      <c r="HM110" s="627">
        <f>VLOOKUP(HI110,'LSM List Pricing'!$A$7:$BW$87,HJ110,1)</f>
        <v>3730</v>
      </c>
      <c r="HN110" s="628">
        <f t="shared" si="307"/>
        <v>9.9743589743589745</v>
      </c>
      <c r="HO110" s="628">
        <f t="shared" si="308"/>
        <v>19.948717948717949</v>
      </c>
      <c r="HP110" s="628">
        <f t="shared" si="309"/>
        <v>15.820512820512821</v>
      </c>
      <c r="HR110" s="618">
        <v>5.3499999999999999E-2</v>
      </c>
      <c r="HS110" s="618">
        <f t="shared" si="457"/>
        <v>359.21428571428572</v>
      </c>
      <c r="HT110" s="618">
        <f t="shared" si="458"/>
        <v>1</v>
      </c>
      <c r="HU110" s="618">
        <f t="shared" si="466"/>
        <v>1.3626179289696123</v>
      </c>
      <c r="HW110" s="618">
        <f t="shared" si="413"/>
        <v>34.065082540863152</v>
      </c>
      <c r="HX110" s="618">
        <f t="shared" si="467"/>
        <v>1.3256568986589374</v>
      </c>
      <c r="HY110" s="618">
        <f t="shared" si="468"/>
        <v>5.3499999999999999E-2</v>
      </c>
      <c r="IB110" s="618">
        <f t="shared" si="414"/>
        <v>25.000350341399081</v>
      </c>
      <c r="IC110" s="618">
        <f t="shared" si="415"/>
        <v>1E-3</v>
      </c>
      <c r="IE110" s="618">
        <f t="shared" si="416"/>
        <v>0</v>
      </c>
      <c r="IF110" s="618">
        <f t="shared" si="417"/>
        <v>40.704999999999998</v>
      </c>
      <c r="IH110" s="618">
        <f t="shared" si="418"/>
        <v>0</v>
      </c>
      <c r="II110" s="618">
        <f t="shared" si="419"/>
        <v>40.704999999999998</v>
      </c>
      <c r="IK110" s="618">
        <f t="shared" si="420"/>
        <v>0</v>
      </c>
      <c r="IL110" s="618">
        <f t="shared" si="421"/>
        <v>40.704999999999998</v>
      </c>
      <c r="IN110" s="618">
        <f t="shared" si="422"/>
        <v>0</v>
      </c>
      <c r="IO110" s="618">
        <f t="shared" si="423"/>
        <v>40.704999999999998</v>
      </c>
      <c r="IQ110" s="618">
        <f t="shared" si="424"/>
        <v>0</v>
      </c>
      <c r="IR110" s="618">
        <f t="shared" si="425"/>
        <v>40.704999999999998</v>
      </c>
      <c r="IT110" s="660" t="str">
        <f t="shared" si="426"/>
        <v>S500D</v>
      </c>
      <c r="IU110" s="628"/>
      <c r="IV110" s="439">
        <f t="shared" si="580"/>
        <v>26.132399999999997</v>
      </c>
      <c r="IW110" s="440">
        <f t="shared" si="581"/>
        <v>20.0124</v>
      </c>
      <c r="IX110" s="439">
        <f t="shared" si="582"/>
        <v>-13.8924</v>
      </c>
      <c r="IY110" s="439">
        <f t="shared" si="583"/>
        <v>0</v>
      </c>
      <c r="IZ110" s="439">
        <f t="shared" si="584"/>
        <v>0</v>
      </c>
      <c r="JA110" s="439">
        <f t="shared" si="585"/>
        <v>0</v>
      </c>
      <c r="JB110" s="439">
        <f t="shared" si="586"/>
        <v>0</v>
      </c>
      <c r="JC110" s="439">
        <f t="shared" si="587"/>
        <v>0</v>
      </c>
      <c r="JD110" s="439">
        <f t="shared" si="588"/>
        <v>0</v>
      </c>
      <c r="JE110" s="439">
        <f t="shared" si="589"/>
        <v>0</v>
      </c>
      <c r="JF110" s="439">
        <f t="shared" si="590"/>
        <v>0</v>
      </c>
      <c r="JG110" s="439">
        <f t="shared" si="591"/>
        <v>0</v>
      </c>
      <c r="JH110" s="439">
        <f t="shared" si="592"/>
        <v>0</v>
      </c>
      <c r="JI110" s="439">
        <f t="shared" si="593"/>
        <v>0</v>
      </c>
      <c r="JJ110" s="442">
        <f t="shared" si="594"/>
        <v>0</v>
      </c>
      <c r="JK110" s="442">
        <f t="shared" si="595"/>
        <v>0</v>
      </c>
      <c r="JL110" s="439">
        <f t="shared" si="596"/>
        <v>0</v>
      </c>
      <c r="JM110" s="439">
        <f t="shared" si="597"/>
        <v>0</v>
      </c>
      <c r="JN110" s="661">
        <f t="shared" si="598"/>
        <v>0</v>
      </c>
      <c r="JO110" s="661">
        <f t="shared" si="599"/>
        <v>0</v>
      </c>
      <c r="JP110" s="439">
        <f t="shared" si="600"/>
        <v>0</v>
      </c>
      <c r="JQ110" s="439">
        <f t="shared" si="601"/>
        <v>0</v>
      </c>
      <c r="JR110" s="439">
        <f t="shared" si="602"/>
        <v>0</v>
      </c>
      <c r="JS110" s="439">
        <f t="shared" si="603"/>
        <v>0</v>
      </c>
      <c r="JT110" s="631" t="s">
        <v>92</v>
      </c>
      <c r="JU110" s="631">
        <f t="shared" si="459"/>
        <v>2.6615243541989435</v>
      </c>
      <c r="JW110" s="522"/>
      <c r="JX110" s="522"/>
      <c r="JY110" s="522"/>
      <c r="JZ110" s="522"/>
      <c r="KA110" s="522"/>
      <c r="KB110" s="522"/>
      <c r="KC110" s="522"/>
      <c r="KD110" s="522"/>
      <c r="KE110" s="522"/>
      <c r="KF110" s="522"/>
      <c r="KG110" s="522"/>
      <c r="KH110" s="522"/>
      <c r="KI110" s="522"/>
      <c r="KJ110" s="522"/>
      <c r="KK110" s="522"/>
      <c r="KL110" s="522"/>
    </row>
    <row r="111" spans="1:298">
      <c r="A111" s="77"/>
      <c r="B111" s="579"/>
      <c r="C111" s="579"/>
      <c r="D111" s="579"/>
      <c r="E111" s="579"/>
      <c r="F111" s="579"/>
      <c r="G111" s="579"/>
      <c r="H111" s="579"/>
      <c r="I111" s="579"/>
      <c r="J111" s="579"/>
      <c r="K111" s="579"/>
      <c r="L111" s="579"/>
      <c r="M111" s="579"/>
      <c r="N111" s="579"/>
      <c r="O111" s="579"/>
      <c r="P111" s="579"/>
      <c r="Q111" s="579"/>
      <c r="R111" s="579"/>
      <c r="S111" s="579"/>
      <c r="T111" s="579"/>
      <c r="U111" s="580"/>
      <c r="V111" s="580"/>
      <c r="W111" s="579"/>
      <c r="X111" s="579"/>
      <c r="Y111" s="579"/>
      <c r="Z111" s="579"/>
      <c r="AA111" s="579"/>
      <c r="AB111" s="579"/>
      <c r="AC111" s="580"/>
      <c r="AD111" s="580"/>
      <c r="AE111" s="579"/>
      <c r="AF111" s="579"/>
      <c r="AG111" s="579"/>
      <c r="AH111" s="579"/>
      <c r="AI111" s="579"/>
      <c r="AJ111" s="579"/>
      <c r="AK111" s="579"/>
      <c r="AL111" s="580"/>
      <c r="AM111" s="580"/>
      <c r="AN111" s="579"/>
      <c r="AO111" s="579"/>
      <c r="AP111" s="579"/>
      <c r="AQ111" s="579"/>
      <c r="AR111" s="579"/>
      <c r="AS111" s="579"/>
      <c r="AT111" s="580"/>
      <c r="AU111" s="580"/>
      <c r="AV111" s="581" t="e">
        <f>J85*$J$82</f>
        <v>#DIV/0!</v>
      </c>
      <c r="AW111" s="581" t="e">
        <f>IF($AY$32,'Data Sheet'!AA132,0)</f>
        <v>#DIV/0!</v>
      </c>
      <c r="AX111" s="581">
        <f t="shared" ref="AX111:AX119" si="612">AX110+$J$76</f>
        <v>40.704999999999998</v>
      </c>
      <c r="AY111" s="579"/>
      <c r="AZ111" s="579"/>
      <c r="BA111" s="579"/>
      <c r="BB111" s="579"/>
      <c r="BC111" s="579"/>
      <c r="BD111" s="579"/>
      <c r="BE111" s="579"/>
      <c r="BF111" s="579"/>
      <c r="BG111" s="379"/>
      <c r="BH111" s="379"/>
      <c r="BI111" s="379"/>
      <c r="BJ111" s="379"/>
      <c r="BK111" s="379"/>
      <c r="BL111" s="379"/>
      <c r="BM111" s="379"/>
      <c r="BN111" s="379"/>
      <c r="BO111" s="379"/>
      <c r="BP111" s="379"/>
      <c r="BQ111" s="379"/>
      <c r="BR111" s="379"/>
      <c r="BS111" s="379"/>
      <c r="BT111" s="379"/>
      <c r="BU111" s="379"/>
      <c r="BV111" s="379"/>
      <c r="BW111" s="379"/>
      <c r="BX111" s="379"/>
      <c r="BY111" s="379"/>
      <c r="BZ111" s="379"/>
      <c r="CA111" s="379"/>
      <c r="CB111" s="379"/>
      <c r="CC111" s="379"/>
      <c r="CD111" s="379"/>
      <c r="CE111" s="379"/>
      <c r="CF111" s="379"/>
      <c r="CG111" s="379"/>
      <c r="CH111" s="77"/>
      <c r="CI111" s="77"/>
      <c r="CJ111" s="380"/>
      <c r="CK111" s="380"/>
      <c r="CL111" s="381"/>
      <c r="CM111" s="381"/>
      <c r="CN111" s="445"/>
      <c r="CO111" s="694" t="str">
        <f ca="1"/>
        <v>S500T 3S</v>
      </c>
      <c r="CP111" s="632" t="str">
        <f>IF(OR(CQ111=0,CR111="",CS111&gt;120),"",IF(HLOOKUP(CQ111,Spec_Sheet!$F$3:$ED$19,17,FALSE)&lt;$AC$46,"",CQ111))</f>
        <v>S500D 2S</v>
      </c>
      <c r="CQ111" s="660" t="str">
        <f>IF(Spec_Sheet!A110="","",Spec_Sheet!A110)</f>
        <v>S500D 2S</v>
      </c>
      <c r="CR111" s="660">
        <f>IF(CQ111="",0,HLOOKUP(CQ111,Spec_Sheet!$F$3:$ED$19,2,FALSE))</f>
        <v>289.17999999999995</v>
      </c>
      <c r="CS111" s="660">
        <f t="shared" si="605"/>
        <v>2.1176997773200445E-3</v>
      </c>
      <c r="CT111" s="621">
        <f t="shared" si="606"/>
        <v>2.2015610141766263E-3</v>
      </c>
      <c r="CU111" s="621">
        <f t="shared" si="607"/>
        <v>2.1176997773200445E-3</v>
      </c>
      <c r="CV111" s="621">
        <f t="shared" si="608"/>
        <v>1.2639109674435008E-3</v>
      </c>
      <c r="CW111" s="621">
        <f t="shared" si="609"/>
        <v>1.2005672370799874E-3</v>
      </c>
      <c r="CX111" s="621">
        <f t="shared" si="610"/>
        <v>5.8478150252301022E-4</v>
      </c>
      <c r="CY111" s="619">
        <f>HLOOKUP(CQ111,Spec_Sheet!$F$3:$ED$19,13,FALSE)</f>
        <v>10</v>
      </c>
      <c r="CZ111" s="619">
        <f>VLOOKUP(HH111,'Shaft Weight'!$A$6:$CD$102,HJ111,TRUE)</f>
        <v>7.48</v>
      </c>
      <c r="DA111" s="619">
        <f>VLOOKUP(HI111,'Shaft Weight'!$A$6:$CD$102,HJ111,0)</f>
        <v>10.32</v>
      </c>
      <c r="DB111" s="619">
        <f>HLOOKUP(CQ111,Spec_Sheet!$F$3:$ED$19,6,FALSE)</f>
        <v>152.19999999999999</v>
      </c>
      <c r="DC111" s="439">
        <f t="shared" si="484"/>
        <v>13.322400000000002</v>
      </c>
      <c r="DD111" s="440">
        <f t="shared" si="485"/>
        <v>10.202400000000003</v>
      </c>
      <c r="DE111" s="439">
        <f t="shared" si="486"/>
        <v>-7.0824000000000025</v>
      </c>
      <c r="DF111" s="439">
        <f t="shared" si="487"/>
        <v>0</v>
      </c>
      <c r="DG111" s="439">
        <f t="shared" si="488"/>
        <v>0</v>
      </c>
      <c r="DH111" s="439">
        <f t="shared" si="489"/>
        <v>0</v>
      </c>
      <c r="DI111" s="439">
        <f t="shared" si="490"/>
        <v>0</v>
      </c>
      <c r="DJ111" s="439">
        <f t="shared" si="491"/>
        <v>0</v>
      </c>
      <c r="DK111" s="439">
        <f t="shared" si="492"/>
        <v>0</v>
      </c>
      <c r="DL111" s="439">
        <f t="shared" si="493"/>
        <v>0</v>
      </c>
      <c r="DM111" s="439">
        <f t="shared" si="494"/>
        <v>0</v>
      </c>
      <c r="DN111" s="439">
        <f t="shared" si="495"/>
        <v>0</v>
      </c>
      <c r="DO111" s="439">
        <f t="shared" si="496"/>
        <v>0</v>
      </c>
      <c r="DP111" s="439">
        <f t="shared" si="497"/>
        <v>0</v>
      </c>
      <c r="DQ111" s="442">
        <f t="shared" si="498"/>
        <v>0</v>
      </c>
      <c r="DR111" s="442">
        <f t="shared" si="499"/>
        <v>0</v>
      </c>
      <c r="DS111" s="439">
        <f t="shared" si="500"/>
        <v>0</v>
      </c>
      <c r="DT111" s="439">
        <f t="shared" si="501"/>
        <v>0</v>
      </c>
      <c r="DU111" s="661">
        <f t="shared" si="502"/>
        <v>0</v>
      </c>
      <c r="DV111" s="661">
        <f t="shared" si="503"/>
        <v>0</v>
      </c>
      <c r="DW111" s="439">
        <f t="shared" si="504"/>
        <v>0</v>
      </c>
      <c r="DX111" s="439">
        <f t="shared" si="505"/>
        <v>0</v>
      </c>
      <c r="DY111" s="439">
        <f t="shared" si="506"/>
        <v>0</v>
      </c>
      <c r="DZ111" s="439">
        <f t="shared" si="507"/>
        <v>0</v>
      </c>
      <c r="EA111" s="631" t="s">
        <v>92</v>
      </c>
      <c r="EB111" s="631">
        <f t="shared" si="451"/>
        <v>1.3568555531210305</v>
      </c>
      <c r="ED111" s="439">
        <f t="shared" si="508"/>
        <v>19.676160000000003</v>
      </c>
      <c r="EE111" s="440">
        <f t="shared" si="509"/>
        <v>15.068160000000004</v>
      </c>
      <c r="EF111" s="439">
        <f t="shared" si="510"/>
        <v>-10.460160000000004</v>
      </c>
      <c r="EG111" s="441">
        <f t="shared" si="511"/>
        <v>0</v>
      </c>
      <c r="EH111" s="439">
        <f t="shared" si="512"/>
        <v>0</v>
      </c>
      <c r="EI111" s="439">
        <f t="shared" si="513"/>
        <v>0</v>
      </c>
      <c r="EJ111" s="439">
        <f t="shared" si="514"/>
        <v>0</v>
      </c>
      <c r="EK111" s="439">
        <f t="shared" si="515"/>
        <v>0</v>
      </c>
      <c r="EL111" s="439">
        <f t="shared" si="516"/>
        <v>0</v>
      </c>
      <c r="EM111" s="439">
        <f t="shared" si="517"/>
        <v>0</v>
      </c>
      <c r="EN111" s="439">
        <f t="shared" si="518"/>
        <v>0</v>
      </c>
      <c r="EO111" s="439">
        <f t="shared" si="519"/>
        <v>0</v>
      </c>
      <c r="EP111" s="439">
        <f t="shared" si="520"/>
        <v>0</v>
      </c>
      <c r="EQ111" s="439">
        <f t="shared" si="521"/>
        <v>0</v>
      </c>
      <c r="ER111" s="442">
        <f t="shared" si="522"/>
        <v>0</v>
      </c>
      <c r="ES111" s="442">
        <f t="shared" si="523"/>
        <v>0</v>
      </c>
      <c r="ET111" s="439">
        <f t="shared" si="524"/>
        <v>0</v>
      </c>
      <c r="EU111" s="439">
        <f t="shared" si="525"/>
        <v>0</v>
      </c>
      <c r="EV111" s="661">
        <f t="shared" si="526"/>
        <v>0</v>
      </c>
      <c r="EW111" s="661">
        <f t="shared" si="527"/>
        <v>0</v>
      </c>
      <c r="EX111" s="439">
        <f t="shared" si="528"/>
        <v>0</v>
      </c>
      <c r="EY111" s="439">
        <f t="shared" si="529"/>
        <v>0</v>
      </c>
      <c r="EZ111" s="439">
        <f t="shared" si="530"/>
        <v>0</v>
      </c>
      <c r="FA111" s="439">
        <f t="shared" si="531"/>
        <v>0</v>
      </c>
      <c r="FB111" s="631" t="s">
        <v>92</v>
      </c>
      <c r="FC111" s="631">
        <f t="shared" si="452"/>
        <v>2.0039712784556758</v>
      </c>
      <c r="FE111" s="439">
        <f t="shared" si="532"/>
        <v>10.094280000000001</v>
      </c>
      <c r="FF111" s="440">
        <f t="shared" si="533"/>
        <v>7.7302800000000005</v>
      </c>
      <c r="FG111" s="439">
        <f t="shared" si="534"/>
        <v>-5.3662799999999997</v>
      </c>
      <c r="FH111" s="441">
        <f t="shared" si="535"/>
        <v>0</v>
      </c>
      <c r="FI111" s="439">
        <f t="shared" si="536"/>
        <v>0</v>
      </c>
      <c r="FJ111" s="439">
        <f t="shared" si="537"/>
        <v>0</v>
      </c>
      <c r="FK111" s="439">
        <f t="shared" si="538"/>
        <v>0</v>
      </c>
      <c r="FL111" s="439">
        <f t="shared" si="539"/>
        <v>0</v>
      </c>
      <c r="FM111" s="439">
        <f t="shared" si="540"/>
        <v>0</v>
      </c>
      <c r="FN111" s="439">
        <f t="shared" si="541"/>
        <v>0</v>
      </c>
      <c r="FO111" s="439">
        <f t="shared" si="542"/>
        <v>0</v>
      </c>
      <c r="FP111" s="439">
        <f t="shared" si="543"/>
        <v>0</v>
      </c>
      <c r="FQ111" s="439">
        <f t="shared" si="544"/>
        <v>0</v>
      </c>
      <c r="FR111" s="439">
        <f t="shared" si="545"/>
        <v>0</v>
      </c>
      <c r="FS111" s="442">
        <f t="shared" si="546"/>
        <v>0</v>
      </c>
      <c r="FT111" s="442">
        <f t="shared" si="547"/>
        <v>0</v>
      </c>
      <c r="FU111" s="439">
        <f t="shared" si="548"/>
        <v>0</v>
      </c>
      <c r="FV111" s="439">
        <f t="shared" si="549"/>
        <v>0</v>
      </c>
      <c r="FW111" s="661">
        <f t="shared" si="550"/>
        <v>0</v>
      </c>
      <c r="FX111" s="661">
        <f t="shared" si="551"/>
        <v>0</v>
      </c>
      <c r="FY111" s="439">
        <f t="shared" si="552"/>
        <v>0</v>
      </c>
      <c r="FZ111" s="439">
        <f t="shared" si="553"/>
        <v>0</v>
      </c>
      <c r="GA111" s="439">
        <f t="shared" si="554"/>
        <v>0</v>
      </c>
      <c r="GB111" s="439">
        <f t="shared" si="555"/>
        <v>0</v>
      </c>
      <c r="GC111" s="631" t="s">
        <v>92</v>
      </c>
      <c r="GD111" s="631">
        <f t="shared" si="453"/>
        <v>1.0280790152493959</v>
      </c>
      <c r="GF111" s="439">
        <f t="shared" si="556"/>
        <v>13.732320000000001</v>
      </c>
      <c r="GG111" s="440">
        <f t="shared" si="557"/>
        <v>10.516320000000002</v>
      </c>
      <c r="GH111" s="439">
        <f t="shared" si="558"/>
        <v>-7.3003200000000019</v>
      </c>
      <c r="GI111" s="439">
        <f t="shared" si="559"/>
        <v>0</v>
      </c>
      <c r="GJ111" s="439">
        <f t="shared" si="560"/>
        <v>0</v>
      </c>
      <c r="GK111" s="439">
        <f t="shared" si="561"/>
        <v>0</v>
      </c>
      <c r="GL111" s="439">
        <f t="shared" si="562"/>
        <v>0</v>
      </c>
      <c r="GM111" s="439">
        <f t="shared" si="563"/>
        <v>0</v>
      </c>
      <c r="GN111" s="439">
        <f t="shared" si="564"/>
        <v>0</v>
      </c>
      <c r="GO111" s="439">
        <f t="shared" si="565"/>
        <v>0</v>
      </c>
      <c r="GP111" s="439">
        <f t="shared" si="566"/>
        <v>0</v>
      </c>
      <c r="GQ111" s="439">
        <f t="shared" si="567"/>
        <v>0</v>
      </c>
      <c r="GR111" s="439">
        <f t="shared" si="568"/>
        <v>0</v>
      </c>
      <c r="GS111" s="439">
        <f t="shared" si="569"/>
        <v>0</v>
      </c>
      <c r="GT111" s="442">
        <f t="shared" si="570"/>
        <v>0</v>
      </c>
      <c r="GU111" s="442">
        <f t="shared" si="571"/>
        <v>0</v>
      </c>
      <c r="GV111" s="439">
        <f t="shared" si="572"/>
        <v>0</v>
      </c>
      <c r="GW111" s="439">
        <f t="shared" si="573"/>
        <v>0</v>
      </c>
      <c r="GX111" s="661">
        <f t="shared" si="574"/>
        <v>0</v>
      </c>
      <c r="GY111" s="661">
        <f t="shared" si="575"/>
        <v>0</v>
      </c>
      <c r="GZ111" s="439">
        <f t="shared" si="576"/>
        <v>0</v>
      </c>
      <c r="HA111" s="439">
        <f t="shared" si="577"/>
        <v>0</v>
      </c>
      <c r="HB111" s="439">
        <f t="shared" si="578"/>
        <v>0</v>
      </c>
      <c r="HC111" s="439">
        <f t="shared" si="579"/>
        <v>0</v>
      </c>
      <c r="HD111" s="631" t="s">
        <v>92</v>
      </c>
      <c r="HE111" s="631">
        <f t="shared" si="611"/>
        <v>1.3986049547555235</v>
      </c>
      <c r="HG111" s="618">
        <f>HLOOKUP(CQ111,Spec_Sheet!$F$3:$DV$19,11,FALSE)+HLOOKUP(CQ111,Spec_Sheet!$F$3:$DV$21,19,FALSE)</f>
        <v>270</v>
      </c>
      <c r="HH111" s="618">
        <f t="shared" si="454"/>
        <v>100</v>
      </c>
      <c r="HI111" s="634">
        <f t="shared" si="455"/>
        <v>300</v>
      </c>
      <c r="HJ111" s="634">
        <f>HLOOKUP(IF(LEN(CQ111)&gt;6,LEFT(CQ111,5),CQ111),'LSM List Pricing'!$B$1:$BW$2,2,0)</f>
        <v>67</v>
      </c>
      <c r="HK111" s="634">
        <f>HLOOKUP(HJ111,'LSM List Pricing'!$B$2:$BW$3,2)</f>
        <v>1220</v>
      </c>
      <c r="HL111" s="634">
        <f>VLOOKUP(HH111,'LSM List Pricing'!$A$7:$BW$87,HJ111,0)</f>
        <v>2670</v>
      </c>
      <c r="HM111" s="627">
        <f>VLOOKUP(HI111,'LSM List Pricing'!$A$7:$BW$87,HJ111,1)</f>
        <v>3730</v>
      </c>
      <c r="HN111" s="628">
        <f t="shared" si="307"/>
        <v>9.9743589743589745</v>
      </c>
      <c r="HO111" s="628">
        <f t="shared" si="308"/>
        <v>19.948717948717949</v>
      </c>
      <c r="HP111" s="628">
        <f t="shared" si="309"/>
        <v>15.820512820512821</v>
      </c>
      <c r="HR111" s="618">
        <v>5.3999999999999999E-2</v>
      </c>
      <c r="HS111" s="618">
        <f t="shared" si="457"/>
        <v>362.57142857142856</v>
      </c>
      <c r="HT111" s="618">
        <f t="shared" si="458"/>
        <v>1</v>
      </c>
      <c r="HU111" s="618">
        <f t="shared" si="466"/>
        <v>1.3753569729432371</v>
      </c>
      <c r="HW111" s="618">
        <f t="shared" si="413"/>
        <v>34.0469930984206</v>
      </c>
      <c r="HX111" s="618">
        <f t="shared" si="467"/>
        <v>1.3377048470547841</v>
      </c>
      <c r="HY111" s="618">
        <f t="shared" si="468"/>
        <v>5.3999999999999999E-2</v>
      </c>
      <c r="IB111" s="618">
        <f t="shared" si="414"/>
        <v>25.000350341399081</v>
      </c>
      <c r="IC111" s="618">
        <f t="shared" si="415"/>
        <v>1E-3</v>
      </c>
      <c r="IE111" s="618">
        <f t="shared" si="416"/>
        <v>0</v>
      </c>
      <c r="IF111" s="618">
        <f t="shared" si="417"/>
        <v>40.704999999999998</v>
      </c>
      <c r="IH111" s="618">
        <f t="shared" si="418"/>
        <v>0</v>
      </c>
      <c r="II111" s="618">
        <f t="shared" si="419"/>
        <v>40.704999999999998</v>
      </c>
      <c r="IK111" s="618">
        <f t="shared" si="420"/>
        <v>0</v>
      </c>
      <c r="IL111" s="618">
        <f t="shared" si="421"/>
        <v>40.704999999999998</v>
      </c>
      <c r="IN111" s="618">
        <f t="shared" si="422"/>
        <v>0</v>
      </c>
      <c r="IO111" s="618">
        <f t="shared" si="423"/>
        <v>40.704999999999998</v>
      </c>
      <c r="IQ111" s="618">
        <f t="shared" si="424"/>
        <v>0</v>
      </c>
      <c r="IR111" s="618">
        <f t="shared" si="425"/>
        <v>40.704999999999998</v>
      </c>
      <c r="IT111" s="660" t="str">
        <f t="shared" si="426"/>
        <v>S500D 2S</v>
      </c>
      <c r="IU111" s="628"/>
      <c r="IV111" s="439">
        <f t="shared" si="580"/>
        <v>26.132399999999997</v>
      </c>
      <c r="IW111" s="440">
        <f t="shared" si="581"/>
        <v>20.0124</v>
      </c>
      <c r="IX111" s="439">
        <f t="shared" si="582"/>
        <v>-13.8924</v>
      </c>
      <c r="IY111" s="439">
        <f t="shared" si="583"/>
        <v>0</v>
      </c>
      <c r="IZ111" s="439">
        <f t="shared" si="584"/>
        <v>0</v>
      </c>
      <c r="JA111" s="439">
        <f t="shared" si="585"/>
        <v>0</v>
      </c>
      <c r="JB111" s="439">
        <f t="shared" si="586"/>
        <v>0</v>
      </c>
      <c r="JC111" s="439">
        <f t="shared" si="587"/>
        <v>0</v>
      </c>
      <c r="JD111" s="439">
        <f t="shared" si="588"/>
        <v>0</v>
      </c>
      <c r="JE111" s="439">
        <f t="shared" si="589"/>
        <v>0</v>
      </c>
      <c r="JF111" s="439">
        <f t="shared" si="590"/>
        <v>0</v>
      </c>
      <c r="JG111" s="439">
        <f t="shared" si="591"/>
        <v>0</v>
      </c>
      <c r="JH111" s="439">
        <f t="shared" si="592"/>
        <v>0</v>
      </c>
      <c r="JI111" s="439">
        <f t="shared" si="593"/>
        <v>0</v>
      </c>
      <c r="JJ111" s="442">
        <f t="shared" si="594"/>
        <v>0</v>
      </c>
      <c r="JK111" s="442">
        <f t="shared" si="595"/>
        <v>0</v>
      </c>
      <c r="JL111" s="439">
        <f t="shared" si="596"/>
        <v>0</v>
      </c>
      <c r="JM111" s="439">
        <f t="shared" si="597"/>
        <v>0</v>
      </c>
      <c r="JN111" s="661">
        <f t="shared" si="598"/>
        <v>0</v>
      </c>
      <c r="JO111" s="661">
        <f t="shared" si="599"/>
        <v>0</v>
      </c>
      <c r="JP111" s="439">
        <f t="shared" si="600"/>
        <v>0</v>
      </c>
      <c r="JQ111" s="439">
        <f t="shared" si="601"/>
        <v>0</v>
      </c>
      <c r="JR111" s="439">
        <f t="shared" si="602"/>
        <v>0</v>
      </c>
      <c r="JS111" s="439">
        <f t="shared" si="603"/>
        <v>0</v>
      </c>
      <c r="JT111" s="631" t="s">
        <v>92</v>
      </c>
      <c r="JU111" s="631">
        <f t="shared" si="459"/>
        <v>2.6615243541989435</v>
      </c>
      <c r="JW111" s="522"/>
      <c r="JX111" s="522"/>
      <c r="JY111" s="522"/>
      <c r="JZ111" s="522"/>
      <c r="KA111" s="522"/>
      <c r="KB111" s="522"/>
      <c r="KC111" s="522"/>
      <c r="KD111" s="522"/>
      <c r="KE111" s="522"/>
      <c r="KF111" s="522"/>
      <c r="KG111" s="522"/>
      <c r="KH111" s="522"/>
      <c r="KI111" s="522"/>
      <c r="KJ111" s="522"/>
      <c r="KK111" s="522"/>
      <c r="KL111" s="522"/>
    </row>
    <row r="112" spans="1:298">
      <c r="A112" s="77"/>
      <c r="B112" s="579"/>
      <c r="C112" s="579"/>
      <c r="D112" s="579"/>
      <c r="E112" s="579"/>
      <c r="F112" s="579"/>
      <c r="G112" s="579"/>
      <c r="H112" s="579"/>
      <c r="I112" s="579"/>
      <c r="J112" s="579"/>
      <c r="K112" s="579"/>
      <c r="L112" s="579"/>
      <c r="M112" s="579"/>
      <c r="N112" s="579"/>
      <c r="O112" s="579"/>
      <c r="P112" s="579"/>
      <c r="Q112" s="579"/>
      <c r="R112" s="579"/>
      <c r="S112" s="579"/>
      <c r="T112" s="579"/>
      <c r="U112" s="580"/>
      <c r="V112" s="580"/>
      <c r="W112" s="579"/>
      <c r="X112" s="579"/>
      <c r="Y112" s="579"/>
      <c r="Z112" s="579"/>
      <c r="AA112" s="579"/>
      <c r="AB112" s="579"/>
      <c r="AC112" s="580"/>
      <c r="AD112" s="580"/>
      <c r="AE112" s="579"/>
      <c r="AF112" s="579"/>
      <c r="AG112" s="579"/>
      <c r="AH112" s="579"/>
      <c r="AI112" s="579"/>
      <c r="AJ112" s="579"/>
      <c r="AK112" s="579"/>
      <c r="AL112" s="580"/>
      <c r="AM112" s="580"/>
      <c r="AN112" s="579"/>
      <c r="AO112" s="579"/>
      <c r="AP112" s="579"/>
      <c r="AQ112" s="579"/>
      <c r="AR112" s="579"/>
      <c r="AS112" s="579"/>
      <c r="AT112" s="580"/>
      <c r="AU112" s="580"/>
      <c r="AV112" s="581">
        <f t="shared" ref="AV112:AV119" si="613">J86*$J$82</f>
        <v>0</v>
      </c>
      <c r="AW112" s="581">
        <f>IF($AY$32,'Data Sheet'!AA133,0)</f>
        <v>0</v>
      </c>
      <c r="AX112" s="581">
        <f t="shared" si="612"/>
        <v>40.704999999999998</v>
      </c>
      <c r="AY112" s="579"/>
      <c r="AZ112" s="579"/>
      <c r="BA112" s="579"/>
      <c r="BB112" s="579"/>
      <c r="BC112" s="579"/>
      <c r="BD112" s="579"/>
      <c r="BE112" s="579"/>
      <c r="BF112" s="579"/>
      <c r="BG112" s="379"/>
      <c r="BH112" s="379"/>
      <c r="BI112" s="379"/>
      <c r="BJ112" s="379"/>
      <c r="BK112" s="379"/>
      <c r="BL112" s="379"/>
      <c r="BM112" s="379"/>
      <c r="BN112" s="379"/>
      <c r="BO112" s="379"/>
      <c r="BP112" s="379"/>
      <c r="BQ112" s="379"/>
      <c r="BR112" s="379"/>
      <c r="BS112" s="379"/>
      <c r="BT112" s="379"/>
      <c r="BU112" s="379"/>
      <c r="BV112" s="379"/>
      <c r="BW112" s="379"/>
      <c r="BX112" s="379"/>
      <c r="BY112" s="379"/>
      <c r="BZ112" s="379"/>
      <c r="CA112" s="379"/>
      <c r="CB112" s="379"/>
      <c r="CC112" s="379"/>
      <c r="CD112" s="379"/>
      <c r="CE112" s="379"/>
      <c r="CF112" s="379"/>
      <c r="CG112" s="379"/>
      <c r="CH112" s="77"/>
      <c r="CI112" s="77"/>
      <c r="CJ112" s="380"/>
      <c r="CK112" s="380"/>
      <c r="CL112" s="381"/>
      <c r="CM112" s="381"/>
      <c r="CN112" s="381"/>
      <c r="CO112" s="694"/>
      <c r="CP112" s="632" t="str">
        <f>IF(OR(CQ112=0,CR112="",CS112&gt;120),"",IF(HLOOKUP(CQ112,Spec_Sheet!$F$3:$ED$19,17,FALSE)&lt;$AC$46,"",CQ112))</f>
        <v>S605D 1S</v>
      </c>
      <c r="CQ112" s="660" t="str">
        <f>IF(Spec_Sheet!A111="","",Spec_Sheet!A111)</f>
        <v>S605D 1S</v>
      </c>
      <c r="CR112" s="660">
        <f>IF(CQ112="",0,HLOOKUP(CQ112,Spec_Sheet!$F$3:$ED$19,2,FALSE))</f>
        <v>413.6</v>
      </c>
      <c r="CS112" s="660">
        <f t="shared" si="605"/>
        <v>2.6113766898376834E-3</v>
      </c>
      <c r="CT112" s="621">
        <f t="shared" si="606"/>
        <v>2.6762531416656878E-3</v>
      </c>
      <c r="CU112" s="621">
        <f t="shared" si="607"/>
        <v>2.6113766898376834E-3</v>
      </c>
      <c r="CV112" s="621">
        <f t="shared" si="608"/>
        <v>1.1778697943664149E-3</v>
      </c>
      <c r="CW112" s="621">
        <f t="shared" si="609"/>
        <v>1.1349637728507154E-3</v>
      </c>
      <c r="CX112" s="621">
        <f t="shared" si="610"/>
        <v>7.1132278124845223E-4</v>
      </c>
      <c r="CY112" s="619">
        <f>HLOOKUP(CQ112,Spec_Sheet!$F$3:$ED$19,13,FALSE)</f>
        <v>16</v>
      </c>
      <c r="CZ112" s="619">
        <f>VLOOKUP(HH112,'Shaft Weight'!$A$6:$CD$102,HJ112,TRUE)</f>
        <v>10.48</v>
      </c>
      <c r="DA112" s="619">
        <f>VLOOKUP(HI112,'Shaft Weight'!$A$6:$CD$102,HJ112,0)</f>
        <v>16.510000000000002</v>
      </c>
      <c r="DB112" s="619">
        <f>HLOOKUP(CQ112,Spec_Sheet!$F$3:$ED$19,6,FALSE)</f>
        <v>23.5</v>
      </c>
      <c r="DC112" s="439">
        <f t="shared" si="484"/>
        <v>21.008399999999998</v>
      </c>
      <c r="DD112" s="440">
        <f t="shared" si="485"/>
        <v>16.0884</v>
      </c>
      <c r="DE112" s="439">
        <f t="shared" si="486"/>
        <v>-11.168400000000002</v>
      </c>
      <c r="DF112" s="439">
        <f t="shared" si="487"/>
        <v>0</v>
      </c>
      <c r="DG112" s="439">
        <f t="shared" si="488"/>
        <v>0</v>
      </c>
      <c r="DH112" s="439">
        <f t="shared" si="489"/>
        <v>0</v>
      </c>
      <c r="DI112" s="439">
        <f t="shared" si="490"/>
        <v>0</v>
      </c>
      <c r="DJ112" s="439">
        <f t="shared" si="491"/>
        <v>0</v>
      </c>
      <c r="DK112" s="439">
        <f t="shared" si="492"/>
        <v>0</v>
      </c>
      <c r="DL112" s="439">
        <f t="shared" si="493"/>
        <v>0</v>
      </c>
      <c r="DM112" s="439">
        <f t="shared" si="494"/>
        <v>0</v>
      </c>
      <c r="DN112" s="439">
        <f t="shared" si="495"/>
        <v>0</v>
      </c>
      <c r="DO112" s="439">
        <f t="shared" si="496"/>
        <v>0</v>
      </c>
      <c r="DP112" s="439">
        <f t="shared" si="497"/>
        <v>0</v>
      </c>
      <c r="DQ112" s="442">
        <f t="shared" si="498"/>
        <v>0</v>
      </c>
      <c r="DR112" s="442">
        <f t="shared" si="499"/>
        <v>0</v>
      </c>
      <c r="DS112" s="439">
        <f t="shared" si="500"/>
        <v>0</v>
      </c>
      <c r="DT112" s="439">
        <f t="shared" si="501"/>
        <v>0</v>
      </c>
      <c r="DU112" s="661">
        <f t="shared" si="502"/>
        <v>0</v>
      </c>
      <c r="DV112" s="661">
        <f t="shared" si="503"/>
        <v>0</v>
      </c>
      <c r="DW112" s="439">
        <f t="shared" si="504"/>
        <v>0</v>
      </c>
      <c r="DX112" s="439">
        <f t="shared" si="505"/>
        <v>0</v>
      </c>
      <c r="DY112" s="439">
        <f t="shared" si="506"/>
        <v>0</v>
      </c>
      <c r="DZ112" s="439">
        <f t="shared" si="507"/>
        <v>0</v>
      </c>
      <c r="EA112" s="631" t="s">
        <v>92</v>
      </c>
      <c r="EB112" s="631">
        <f t="shared" ref="EB112:EB123" si="614">SQRT((((IF(DC112&gt;0,DC112,DC112*-1))^2*$D$38)+((IF(DD112&gt;0,DD112,DD112*-1))^2*$E$38)+((IF(DE112&gt;0,DE112,DE112*-1))^2*$F$38)+((IF(DF112&gt;0,DF112,DF112*-1))^2*$G$38)+((IF(DG112&gt;0,DG112,DG112*-1))^2*$H$38)+((IF(DH112&gt;0,DH112,DH112*-1))^2*$I$38)+((IF(DI112&gt;0,DI112,DI112*-1))^2*$J$38)+((IF(DJ112&gt;0,DJ112,DJ112*-1))^2*$K$38)+((IF(DK112&gt;0,DK112,DK112*-1))^2*$L$38)+((IF(DL112&gt;0,DL112,DL112*-1))^2*$M$38)+((IF(DM112&gt;0,DM112,DM112*-1))^2*$N$38)+((IF(DN112&gt;0,DN112,DN112*-1))^2*$O$38)+((IF(DO112&gt;0,DO112,DO112*-1))^2*$P$38)+((IF(DP112&gt;0,DP112,DP112*-1))^2*$Q$38)+((IF(DQ112&gt;0,DQ112,DQ112*-1))^2*$R$38)+((IF(DR112&gt;0,DR112,DR112*-1))^2*$S$38)+((IF(DS112&gt;0,DS112,DS112*-1))^2*$T$38)+((IF(DT112&gt;0,DT112,DT112*-1))^2*$U$38)+((IF(DU112&gt;0,DU112,DU112*-1))^2*$V$38)+((IF(DV112&gt;0,DV112,DV112*-1))^2*$W$38)+((IF(DW112&gt;0,DW112,DW112*-1))^2*$X$38)+((IF(DX112&gt;0,DX112,DX112*-1))^2*$Y$38)+((IF(DY112&gt;0,DY112,DY112*-1))^2*$Z$38)+((IF(DZ112&gt;0,DZ112,DZ112*-1))^2*$AA$38))/$AA$31)</f>
        <v>2.1396568337677784</v>
      </c>
      <c r="ED112" s="439">
        <f t="shared" si="508"/>
        <v>27.362160000000003</v>
      </c>
      <c r="EE112" s="440">
        <f t="shared" si="509"/>
        <v>20.954160000000002</v>
      </c>
      <c r="EF112" s="439">
        <f t="shared" si="510"/>
        <v>-14.546160000000002</v>
      </c>
      <c r="EG112" s="441">
        <f t="shared" si="511"/>
        <v>0</v>
      </c>
      <c r="EH112" s="439">
        <f t="shared" si="512"/>
        <v>0</v>
      </c>
      <c r="EI112" s="439">
        <f t="shared" si="513"/>
        <v>0</v>
      </c>
      <c r="EJ112" s="439">
        <f t="shared" si="514"/>
        <v>0</v>
      </c>
      <c r="EK112" s="439">
        <f t="shared" si="515"/>
        <v>0</v>
      </c>
      <c r="EL112" s="439">
        <f t="shared" si="516"/>
        <v>0</v>
      </c>
      <c r="EM112" s="439">
        <f t="shared" si="517"/>
        <v>0</v>
      </c>
      <c r="EN112" s="439">
        <f t="shared" si="518"/>
        <v>0</v>
      </c>
      <c r="EO112" s="439">
        <f t="shared" si="519"/>
        <v>0</v>
      </c>
      <c r="EP112" s="439">
        <f t="shared" si="520"/>
        <v>0</v>
      </c>
      <c r="EQ112" s="439">
        <f t="shared" si="521"/>
        <v>0</v>
      </c>
      <c r="ER112" s="442">
        <f t="shared" si="522"/>
        <v>0</v>
      </c>
      <c r="ES112" s="442">
        <f t="shared" si="523"/>
        <v>0</v>
      </c>
      <c r="ET112" s="439">
        <f t="shared" si="524"/>
        <v>0</v>
      </c>
      <c r="EU112" s="439">
        <f t="shared" si="525"/>
        <v>0</v>
      </c>
      <c r="EV112" s="661">
        <f t="shared" si="526"/>
        <v>0</v>
      </c>
      <c r="EW112" s="661">
        <f t="shared" si="527"/>
        <v>0</v>
      </c>
      <c r="EX112" s="439">
        <f t="shared" si="528"/>
        <v>0</v>
      </c>
      <c r="EY112" s="439">
        <f t="shared" si="529"/>
        <v>0</v>
      </c>
      <c r="EZ112" s="439">
        <f t="shared" si="530"/>
        <v>0</v>
      </c>
      <c r="FA112" s="439">
        <f t="shared" si="531"/>
        <v>0</v>
      </c>
      <c r="FB112" s="631" t="s">
        <v>92</v>
      </c>
      <c r="FC112" s="631">
        <f t="shared" ref="FC112:FC123" si="615">SQRT((((IF(ED112&gt;0,ED112,ED112*-1))^2*$D$38)+((IF(EE112&gt;0,EE112,EE112*-1))^2*$E$38)+((IF(EF112&gt;0,EF112,EF112*-1))^2*$F$38)+((IF(EG112&gt;0,EG112,EG112*-1))^2*$G$38)+((IF(EH112&gt;0,EH112,EH112*-1))^2*$H$38)+((IF(EI112&gt;0,EI112,EI112*-1))^2*$I$38)+((IF(EJ112&gt;0,EJ112,EJ112*-1))^2*$J$38)+((IF(EK112&gt;0,EK112,EK112*-1))^2*$K$38)+((IF(EL112&gt;0,EL112,EL112*-1))^2*$L$38)+((IF(EM112&gt;0,EM112,EM112*-1))^2*$M$38)+((IF(EN112&gt;0,EN112,EN112*-1))^2*$N$38)+((IF(EO112&gt;0,EO112,EO112*-1))^2*$O$38)+((IF(EP112&gt;0,EP112,EP112*-1))^2*$P$38)+((IF(EQ112&gt;0,EQ112,EQ112*-1))^2*$Q$38)+((IF(ER112&gt;0,ER112,ER112*-1))^2*$R$38)+((IF(ES112&gt;0,ES112,ES112*-1))^2*$S$38)+((IF(ET112&gt;0,ET112,ET112*-1))^2*$T$38)+((IF(EU112&gt;0,EU112,EU112*-1))^2*$U$38)+((IF(EV112&gt;0,EV112,EV112*-1))^2*$V$38)+((IF(EW112&gt;0,EW112,EW112*-1))^2*$W$38)+((IF(EX112&gt;0,EX112,EX112*-1))^2*$X$38)+((IF(EY112&gt;0,EY112,EY112*-1))^2*$Y$38)+((IF(EZ112&gt;0,EZ112,EZ112*-1))^2*$Z$38)+((IF(FA112&gt;0,FA112,FA112*-1))^2*$AA$38))/$AA$31)</f>
        <v>2.7867725591024235</v>
      </c>
      <c r="FE112" s="439">
        <f t="shared" si="532"/>
        <v>13.937280000000001</v>
      </c>
      <c r="FF112" s="440">
        <f t="shared" si="533"/>
        <v>10.673280000000002</v>
      </c>
      <c r="FG112" s="439">
        <f t="shared" si="534"/>
        <v>-7.4092800000000016</v>
      </c>
      <c r="FH112" s="441">
        <f t="shared" si="535"/>
        <v>0</v>
      </c>
      <c r="FI112" s="439">
        <f t="shared" si="536"/>
        <v>0</v>
      </c>
      <c r="FJ112" s="439">
        <f t="shared" si="537"/>
        <v>0</v>
      </c>
      <c r="FK112" s="439">
        <f t="shared" si="538"/>
        <v>0</v>
      </c>
      <c r="FL112" s="439">
        <f t="shared" si="539"/>
        <v>0</v>
      </c>
      <c r="FM112" s="439">
        <f t="shared" si="540"/>
        <v>0</v>
      </c>
      <c r="FN112" s="439">
        <f t="shared" si="541"/>
        <v>0</v>
      </c>
      <c r="FO112" s="439">
        <f t="shared" si="542"/>
        <v>0</v>
      </c>
      <c r="FP112" s="439">
        <f t="shared" si="543"/>
        <v>0</v>
      </c>
      <c r="FQ112" s="439">
        <f t="shared" si="544"/>
        <v>0</v>
      </c>
      <c r="FR112" s="439">
        <f t="shared" si="545"/>
        <v>0</v>
      </c>
      <c r="FS112" s="442">
        <f t="shared" si="546"/>
        <v>0</v>
      </c>
      <c r="FT112" s="442">
        <f t="shared" si="547"/>
        <v>0</v>
      </c>
      <c r="FU112" s="439">
        <f t="shared" si="548"/>
        <v>0</v>
      </c>
      <c r="FV112" s="439">
        <f t="shared" si="549"/>
        <v>0</v>
      </c>
      <c r="FW112" s="661">
        <f t="shared" si="550"/>
        <v>0</v>
      </c>
      <c r="FX112" s="661">
        <f t="shared" si="551"/>
        <v>0</v>
      </c>
      <c r="FY112" s="439">
        <f t="shared" si="552"/>
        <v>0</v>
      </c>
      <c r="FZ112" s="439">
        <f t="shared" si="553"/>
        <v>0</v>
      </c>
      <c r="GA112" s="439">
        <f t="shared" si="554"/>
        <v>0</v>
      </c>
      <c r="GB112" s="439">
        <f t="shared" si="555"/>
        <v>0</v>
      </c>
      <c r="GC112" s="631" t="s">
        <v>92</v>
      </c>
      <c r="GD112" s="631">
        <f t="shared" ref="GD112:GD123" si="616">SQRT((((IF(FE112&gt;0,FE112,FE112*-1))^2*$D$38)+((IF(FF112&gt;0,FF112,FF112*-1))^2*$E$38)+((IF(FG112&gt;0,FG112,FG112*-1))^2*$F$38)+((IF(FH112&gt;0,FH112,FH112*-1))^2*$G$38)+((IF(FI112&gt;0,FI112,FI112*-1))^2*$H$38)+((IF(FJ112&gt;0,FJ112,FJ112*-1))^2*$I$38)+((IF(FK112&gt;0,FK112,FK112*-1))^2*$J$38)+((IF(FL112&gt;0,FL112,FL112*-1))^2*$K$38)+((IF(FM112&gt;0,FM112,FM112*-1))^2*$L$38)+((IF(FN112&gt;0,FN112,FN112*-1))^2*$M$38)+((IF(FO112&gt;0,FO112,FO112*-1))^2*$N$38)+((IF(FP112&gt;0,FP112,FP112*-1))^2*$O$38)+((IF(FQ112&gt;0,FQ112,FQ112*-1))^2*$P$38)+((IF(FR112&gt;0,FR112,FR112*-1))^2*$Q$38)+((IF(FS112&gt;0,FS112,FS112*-1))^2*$R$38)+((IF(FT112&gt;0,FT112,FT112*-1))^2*$S$38)+((IF(FU112&gt;0,FU112,FU112*-1))^2*$T$38)+((IF(FV112&gt;0,FV112,FV112*-1))^2*$U$38)+((IF(FW112&gt;0,FW112,FW112*-1))^2*$V$38)+((IF(FX112&gt;0,FX112,FX112*-1))^2*$W$38)+((IF(FY112&gt;0,FY112,FY112*-1))^2*$X$38)+((IF(FZ112&gt;0,FZ112,FZ112*-1))^2*$Y$38)+((IF(GA112&gt;0,GA112,GA112*-1))^2*$Z$38)+((IF(GB112&gt;0,GB112,GB112*-1))^2*$AA$38))/$AA$31)</f>
        <v>1.4194796555727702</v>
      </c>
      <c r="GF112" s="439">
        <f t="shared" si="556"/>
        <v>21.661710000000003</v>
      </c>
      <c r="GG112" s="440">
        <f t="shared" si="557"/>
        <v>16.588710000000003</v>
      </c>
      <c r="GH112" s="439">
        <f t="shared" si="558"/>
        <v>-11.515710000000002</v>
      </c>
      <c r="GI112" s="439">
        <f t="shared" si="559"/>
        <v>0</v>
      </c>
      <c r="GJ112" s="439">
        <f t="shared" si="560"/>
        <v>0</v>
      </c>
      <c r="GK112" s="439">
        <f t="shared" si="561"/>
        <v>0</v>
      </c>
      <c r="GL112" s="439">
        <f t="shared" si="562"/>
        <v>0</v>
      </c>
      <c r="GM112" s="439">
        <f t="shared" si="563"/>
        <v>0</v>
      </c>
      <c r="GN112" s="439">
        <f t="shared" si="564"/>
        <v>0</v>
      </c>
      <c r="GO112" s="439">
        <f t="shared" si="565"/>
        <v>0</v>
      </c>
      <c r="GP112" s="439">
        <f t="shared" si="566"/>
        <v>0</v>
      </c>
      <c r="GQ112" s="439">
        <f t="shared" si="567"/>
        <v>0</v>
      </c>
      <c r="GR112" s="439">
        <f t="shared" si="568"/>
        <v>0</v>
      </c>
      <c r="GS112" s="439">
        <f t="shared" si="569"/>
        <v>0</v>
      </c>
      <c r="GT112" s="442">
        <f t="shared" si="570"/>
        <v>0</v>
      </c>
      <c r="GU112" s="442">
        <f t="shared" si="571"/>
        <v>0</v>
      </c>
      <c r="GV112" s="439">
        <f t="shared" si="572"/>
        <v>0</v>
      </c>
      <c r="GW112" s="439">
        <f t="shared" si="573"/>
        <v>0</v>
      </c>
      <c r="GX112" s="661">
        <f t="shared" si="574"/>
        <v>0</v>
      </c>
      <c r="GY112" s="661">
        <f t="shared" si="575"/>
        <v>0</v>
      </c>
      <c r="GZ112" s="439">
        <f t="shared" si="576"/>
        <v>0</v>
      </c>
      <c r="HA112" s="439">
        <f t="shared" si="577"/>
        <v>0</v>
      </c>
      <c r="HB112" s="439">
        <f t="shared" si="578"/>
        <v>0</v>
      </c>
      <c r="HC112" s="439">
        <f t="shared" si="579"/>
        <v>0</v>
      </c>
      <c r="HD112" s="631" t="s">
        <v>92</v>
      </c>
      <c r="HE112" s="631">
        <f t="shared" ref="HE112:HE123" si="617">SQRT((((IF(GF112&gt;0,GF112,GF112*-1))^2*$D$38)+((IF(GG112&gt;0,GG112,GG112*-1))^2*$E$38)+((IF(GH112&gt;0,GH112,GH112*-1))^2*$F$38)+((IF(GI112&gt;0,GI112,GI112*-1))^2*$G$38)+((IF(GJ112&gt;0,GJ112,GJ112*-1))^2*$H$38)+((IF(GK112&gt;0,GK112,GK112*-1))^2*$I$38)+((IF(GL112&gt;0,GL112,GL112*-1))^2*$J$38)+((IF(GM112&gt;0,GM112,GM112*-1))^2*$K$38)+((IF(GN112&gt;0,GN112,GN112*-1))^2*$L$38)+((IF(GO112&gt;0,GO112,GO112*-1))^2*$M$38)+((IF(GP112&gt;0,GP112,GP112*-1))^2*$N$38)+((IF(GQ112&gt;0,GQ112,GQ112*-1))^2*$O$38)+((IF(GR112&gt;0,GR112,GR112*-1))^2*$P$38)+((IF(GS112&gt;0,GS112,GS112*-1))^2*$Q$38)+((IF(GT112&gt;0,GT112,GT112*-1))^2*$R$38)+((IF(GU112&gt;0,GU112,GU112*-1))^2*$S$38)+((IF(GV112&gt;0,GV112,GV112*-1))^2*$T$38)+((IF(GW112&gt;0,GW112,GW112*-1))^2*$U$38)+((IF(GX112&gt;0,GX112,GX112*-1))^2*$V$38)+((IF(GY112&gt;0,GY112,GY112*-1))^2*$W$38)+((IF(GZ112&gt;0,GZ112,GZ112*-1))^2*$X$38)+((IF(HA112&gt;0,HA112,HA112*-1))^2*$Y$38)+((IF(HB112&gt;0,HB112,HB112*-1))^2*$Z$38)+((IF(HC112&gt;0,HC112,HC112*-1))^2*$AA$38))/$AA$31)</f>
        <v>2.2061949426227523</v>
      </c>
      <c r="HG112" s="618">
        <f>HLOOKUP(CQ112,Spec_Sheet!$F$3:$DV$19,11,FALSE)+HLOOKUP(CQ112,Spec_Sheet!$F$3:$DV$21,19,FALSE)</f>
        <v>360</v>
      </c>
      <c r="HH112" s="618">
        <f t="shared" ref="HH112:HH123" si="618">IF(VALUE(RIGHT(LEFT(CQ112,4),3))=40,$AC$46,IF(VALUE(RIGHT(LEFT(CQ112,4),3))&lt;120,$AC$47,IF(VALUE(RIGHT(LEFT(CQ112,4),3))=120,$AC$48,$AC$49)))</f>
        <v>100</v>
      </c>
      <c r="HI112" s="634">
        <f t="shared" ref="HI112:HI123" si="619">IF(AND((HH112+HG112)&lt;50,VALUE(RIGHT(LEFT(CQ112,4),3))=40),CEILING($AC$34+HG112,10),CEILING($AC$34+HG112,50))</f>
        <v>400</v>
      </c>
      <c r="HJ112" s="634">
        <f>HLOOKUP(IF(LEN(CQ112)&gt;6,LEFT(CQ112,5),CQ112),'LSM List Pricing'!$B$1:$BW$2,2,0)</f>
        <v>70</v>
      </c>
      <c r="HK112" s="634">
        <f>HLOOKUP(HJ112,'LSM List Pricing'!$B$2:$BW$3,2)</f>
        <v>2700</v>
      </c>
      <c r="HL112" s="634">
        <f>VLOOKUP(HH112,'LSM List Pricing'!$A$7:$BW$87,HJ112,0)</f>
        <v>3770</v>
      </c>
      <c r="HM112" s="627">
        <f>VLOOKUP(HI112,'LSM List Pricing'!$A$7:$BW$87,HJ112,1)</f>
        <v>5750</v>
      </c>
      <c r="HN112" s="628">
        <f t="shared" ref="HN112:HN123" si="620">(HK112+HL112)/$HN$3</f>
        <v>16.589743589743591</v>
      </c>
      <c r="HO112" s="628">
        <f t="shared" ref="HO112:HO123" si="621">((HK112+HL112)*2)/$HN$3</f>
        <v>33.179487179487182</v>
      </c>
      <c r="HP112" s="628">
        <f t="shared" ref="HP112:HP123" si="622">((HK112*2)+HM112)/$HN$3</f>
        <v>28.589743589743591</v>
      </c>
      <c r="HR112" s="618">
        <v>5.45E-2</v>
      </c>
      <c r="HS112" s="618">
        <f t="shared" si="457"/>
        <v>365.92857142857144</v>
      </c>
      <c r="HT112" s="618">
        <f t="shared" si="458"/>
        <v>1</v>
      </c>
      <c r="HU112" s="618">
        <f t="shared" si="466"/>
        <v>1.3880960169168619</v>
      </c>
      <c r="HW112" s="618">
        <f t="shared" si="413"/>
        <v>34.028903655978056</v>
      </c>
      <c r="HX112" s="618">
        <f t="shared" si="467"/>
        <v>1.3497463942783325</v>
      </c>
      <c r="HY112" s="618">
        <f t="shared" si="468"/>
        <v>5.45E-2</v>
      </c>
      <c r="IB112" s="618">
        <f t="shared" si="414"/>
        <v>25.000350341399081</v>
      </c>
      <c r="IC112" s="618">
        <f t="shared" si="415"/>
        <v>1E-3</v>
      </c>
      <c r="IE112" s="618">
        <f t="shared" si="416"/>
        <v>0</v>
      </c>
      <c r="IF112" s="618">
        <f t="shared" si="417"/>
        <v>40.704999999999998</v>
      </c>
      <c r="IH112" s="618">
        <f t="shared" si="418"/>
        <v>0</v>
      </c>
      <c r="II112" s="618">
        <f t="shared" si="419"/>
        <v>40.704999999999998</v>
      </c>
      <c r="IK112" s="618">
        <f t="shared" si="420"/>
        <v>0</v>
      </c>
      <c r="IL112" s="618">
        <f t="shared" si="421"/>
        <v>40.704999999999998</v>
      </c>
      <c r="IN112" s="618">
        <f t="shared" si="422"/>
        <v>0</v>
      </c>
      <c r="IO112" s="618">
        <f t="shared" si="423"/>
        <v>40.704999999999998</v>
      </c>
      <c r="IQ112" s="618">
        <f t="shared" si="424"/>
        <v>0</v>
      </c>
      <c r="IR112" s="618">
        <f t="shared" si="425"/>
        <v>40.704999999999998</v>
      </c>
      <c r="IT112" s="660" t="str">
        <f t="shared" ref="IT112:IT123" si="623">CQ112</f>
        <v>S605D 1S</v>
      </c>
      <c r="IU112" s="628"/>
      <c r="IV112" s="439">
        <f t="shared" si="580"/>
        <v>41.504400000000004</v>
      </c>
      <c r="IW112" s="440">
        <f t="shared" si="581"/>
        <v>31.784400000000002</v>
      </c>
      <c r="IX112" s="439">
        <f t="shared" si="582"/>
        <v>-22.064400000000003</v>
      </c>
      <c r="IY112" s="439">
        <f t="shared" si="583"/>
        <v>0</v>
      </c>
      <c r="IZ112" s="439">
        <f t="shared" si="584"/>
        <v>0</v>
      </c>
      <c r="JA112" s="439">
        <f t="shared" si="585"/>
        <v>0</v>
      </c>
      <c r="JB112" s="439">
        <f t="shared" si="586"/>
        <v>0</v>
      </c>
      <c r="JC112" s="439">
        <f t="shared" si="587"/>
        <v>0</v>
      </c>
      <c r="JD112" s="439">
        <f t="shared" si="588"/>
        <v>0</v>
      </c>
      <c r="JE112" s="439">
        <f t="shared" si="589"/>
        <v>0</v>
      </c>
      <c r="JF112" s="439">
        <f t="shared" si="590"/>
        <v>0</v>
      </c>
      <c r="JG112" s="439">
        <f t="shared" si="591"/>
        <v>0</v>
      </c>
      <c r="JH112" s="439">
        <f t="shared" si="592"/>
        <v>0</v>
      </c>
      <c r="JI112" s="439">
        <f t="shared" si="593"/>
        <v>0</v>
      </c>
      <c r="JJ112" s="442">
        <f t="shared" si="594"/>
        <v>0</v>
      </c>
      <c r="JK112" s="442">
        <f t="shared" si="595"/>
        <v>0</v>
      </c>
      <c r="JL112" s="439">
        <f t="shared" si="596"/>
        <v>0</v>
      </c>
      <c r="JM112" s="439">
        <f t="shared" si="597"/>
        <v>0</v>
      </c>
      <c r="JN112" s="661">
        <f t="shared" si="598"/>
        <v>0</v>
      </c>
      <c r="JO112" s="661">
        <f t="shared" si="599"/>
        <v>0</v>
      </c>
      <c r="JP112" s="439">
        <f t="shared" si="600"/>
        <v>0</v>
      </c>
      <c r="JQ112" s="439">
        <f t="shared" si="601"/>
        <v>0</v>
      </c>
      <c r="JR112" s="439">
        <f t="shared" si="602"/>
        <v>0</v>
      </c>
      <c r="JS112" s="439">
        <f t="shared" si="603"/>
        <v>0</v>
      </c>
      <c r="JT112" s="631" t="s">
        <v>92</v>
      </c>
      <c r="JU112" s="631">
        <f t="shared" ref="JU112:JU123" si="624">SQRT((((IF(IV112&gt;0,IV112,IV112*-1))^2*$D$38)+((IF(IW112&gt;0,IW112,IW112*-1))^2*$E$38)+((IF(IX112&gt;0,IX112,IX112*-1))^2*$F$38)+((IF(IY112&gt;0,IY112,IY112*-1))^2*$G$38)+((IF(IZ112&gt;0,IZ112,IZ112*-1))^2*$H$38)+((IF(JA112&gt;0,JA112,JA112*-1))^2*$I$38)+((IF(JB112&gt;0,JB112,JB112*-1))^2*$J$38)+((IF(JC112&gt;0,JC112,JC112*-1))^2*$K$38)+((IF(JD112&gt;0,JD112,JD112*-1))^2*$L$38)+((IF(JE112&gt;0,JE112,JE112*-1))^2*$M$38)+((IF(JF112&gt;0,JF112,JF112*-1))^2*$N$38)+((IF(JG112&gt;0,JG112,JG112*-1))^2*$O$38)+((IF(JH112&gt;0,JH112,JH112*-1))^2*$P$38)+((IF(JI112&gt;0,JI112,JI112*-1))^2*$Q$38)+((IF(JJ112&gt;0,JJ112,JJ112*-1))^2*$R$38)+((IF(JK112&gt;0,JK112,JK112*-1))^2*$S$38)+((IF(JL112&gt;0,JL112,JL112*-1))^2*$T$38)+((IF(JM112&gt;0,JM112,JM112*-1))^2*$U$38)+((IF(JN112&gt;0,JN112,JN112*-1))^2*$V$38)+((IF(JO112&gt;0,JO112,JO112*-1))^2*$W$38)+((IF(JP112&gt;0,JP112,JP112*-1))^2*$X$38)+((IF(JQ112&gt;0,JQ112,JQ112*-1))^2*$Y$38)+((IF(JR112&gt;0,JR112,JR112*-1))^2*$Z$38)+((IF(JS112&gt;0,JS112,JS112*-1))^2*$AA$38))/$AA$31)</f>
        <v>4.2271269154924402</v>
      </c>
      <c r="JW112" s="522"/>
      <c r="JX112" s="522"/>
      <c r="JY112" s="522"/>
      <c r="JZ112" s="522"/>
      <c r="KA112" s="522"/>
      <c r="KB112" s="522"/>
      <c r="KC112" s="522"/>
      <c r="KD112" s="522"/>
      <c r="KE112" s="522"/>
      <c r="KF112" s="522"/>
      <c r="KG112" s="522"/>
      <c r="KH112" s="522"/>
      <c r="KI112" s="522"/>
      <c r="KJ112" s="522"/>
      <c r="KK112" s="522"/>
      <c r="KL112" s="522"/>
    </row>
    <row r="113" spans="1:298">
      <c r="A113" s="77"/>
      <c r="B113" s="579"/>
      <c r="C113" s="579"/>
      <c r="D113" s="579"/>
      <c r="E113" s="579"/>
      <c r="F113" s="579"/>
      <c r="G113" s="579"/>
      <c r="H113" s="579"/>
      <c r="I113" s="579"/>
      <c r="J113" s="579"/>
      <c r="K113" s="579"/>
      <c r="L113" s="579"/>
      <c r="M113" s="579"/>
      <c r="N113" s="579"/>
      <c r="O113" s="579"/>
      <c r="P113" s="579"/>
      <c r="Q113" s="579"/>
      <c r="R113" s="579"/>
      <c r="S113" s="579"/>
      <c r="T113" s="579"/>
      <c r="U113" s="580"/>
      <c r="V113" s="580"/>
      <c r="W113" s="579"/>
      <c r="X113" s="579"/>
      <c r="Y113" s="579"/>
      <c r="Z113" s="579"/>
      <c r="AA113" s="579"/>
      <c r="AB113" s="579"/>
      <c r="AC113" s="580"/>
      <c r="AD113" s="580"/>
      <c r="AE113" s="579"/>
      <c r="AF113" s="579"/>
      <c r="AG113" s="579"/>
      <c r="AH113" s="579"/>
      <c r="AI113" s="579"/>
      <c r="AJ113" s="579"/>
      <c r="AK113" s="579"/>
      <c r="AL113" s="580"/>
      <c r="AM113" s="580"/>
      <c r="AN113" s="579"/>
      <c r="AO113" s="579"/>
      <c r="AP113" s="579"/>
      <c r="AQ113" s="579"/>
      <c r="AR113" s="579"/>
      <c r="AS113" s="579"/>
      <c r="AT113" s="580"/>
      <c r="AU113" s="580"/>
      <c r="AV113" s="581">
        <f t="shared" si="613"/>
        <v>0</v>
      </c>
      <c r="AW113" s="581">
        <f>IF($AY$32,'Data Sheet'!AA134,0)</f>
        <v>0</v>
      </c>
      <c r="AX113" s="581">
        <f t="shared" si="612"/>
        <v>40.704999999999998</v>
      </c>
      <c r="AY113" s="579"/>
      <c r="AZ113" s="579"/>
      <c r="BA113" s="579"/>
      <c r="BB113" s="579"/>
      <c r="BC113" s="579"/>
      <c r="BD113" s="579"/>
      <c r="BE113" s="579"/>
      <c r="BF113" s="579"/>
      <c r="BG113" s="379"/>
      <c r="BH113" s="379"/>
      <c r="BI113" s="379"/>
      <c r="BJ113" s="379"/>
      <c r="BK113" s="379"/>
      <c r="BL113" s="379"/>
      <c r="BM113" s="379"/>
      <c r="BN113" s="379"/>
      <c r="BO113" s="379"/>
      <c r="BP113" s="379"/>
      <c r="BQ113" s="379"/>
      <c r="BR113" s="379"/>
      <c r="BS113" s="379"/>
      <c r="BT113" s="379"/>
      <c r="BU113" s="379"/>
      <c r="BV113" s="379"/>
      <c r="BW113" s="379"/>
      <c r="BX113" s="379"/>
      <c r="BY113" s="379"/>
      <c r="BZ113" s="379"/>
      <c r="CA113" s="379"/>
      <c r="CB113" s="379"/>
      <c r="CC113" s="379"/>
      <c r="CD113" s="379"/>
      <c r="CE113" s="379"/>
      <c r="CF113" s="379"/>
      <c r="CG113" s="379"/>
      <c r="CH113" s="77"/>
      <c r="CI113" s="77"/>
      <c r="CJ113" s="380"/>
      <c r="CK113" s="380"/>
      <c r="CL113" s="381"/>
      <c r="CM113" s="381"/>
      <c r="CN113" s="445"/>
      <c r="CO113" s="694"/>
      <c r="CP113" s="632" t="str">
        <f>IF(OR(CQ113=0,CR113="",CS113&gt;120),"",IF(HLOOKUP(CQ113,Spec_Sheet!$F$3:$ED$19,17,FALSE)&lt;$AC$46,"",CQ113))</f>
        <v>S605D</v>
      </c>
      <c r="CQ113" s="660" t="str">
        <f>IF(Spec_Sheet!A112="","",Spec_Sheet!A112)</f>
        <v>S605D</v>
      </c>
      <c r="CR113" s="660">
        <f>IF(CQ113="",0,HLOOKUP(CQ113,Spec_Sheet!$F$3:$ED$19,2,FALSE))</f>
        <v>420</v>
      </c>
      <c r="CS113" s="660">
        <f t="shared" si="605"/>
        <v>2.5323982369161897E-3</v>
      </c>
      <c r="CT113" s="621">
        <f t="shared" si="606"/>
        <v>2.5953125659235574E-3</v>
      </c>
      <c r="CU113" s="621">
        <f t="shared" si="607"/>
        <v>2.5323982369161897E-3</v>
      </c>
      <c r="CV113" s="621">
        <f t="shared" si="608"/>
        <v>1.1422463109892235E-3</v>
      </c>
      <c r="CW113" s="621">
        <f t="shared" si="609"/>
        <v>1.100637938799075E-3</v>
      </c>
      <c r="CX113" s="621">
        <f t="shared" si="610"/>
        <v>6.8980954150428151E-4</v>
      </c>
      <c r="CY113" s="619">
        <f>HLOOKUP(CQ113,Spec_Sheet!$F$3:$ED$19,13,FALSE)</f>
        <v>16</v>
      </c>
      <c r="CZ113" s="619">
        <f>VLOOKUP(HH113,'Shaft Weight'!$A$6:$CD$102,HJ113,TRUE)</f>
        <v>10.48</v>
      </c>
      <c r="DA113" s="619">
        <f>VLOOKUP(HI113,'Shaft Weight'!$A$6:$CD$102,HJ113,0)</f>
        <v>16.510000000000002</v>
      </c>
      <c r="DB113" s="619">
        <f>HLOOKUP(CQ113,Spec_Sheet!$F$3:$ED$19,6,FALSE)</f>
        <v>47</v>
      </c>
      <c r="DC113" s="439">
        <f t="shared" si="484"/>
        <v>21.008399999999998</v>
      </c>
      <c r="DD113" s="440">
        <f t="shared" si="485"/>
        <v>16.0884</v>
      </c>
      <c r="DE113" s="439">
        <f t="shared" si="486"/>
        <v>-11.168400000000002</v>
      </c>
      <c r="DF113" s="439">
        <f t="shared" si="487"/>
        <v>0</v>
      </c>
      <c r="DG113" s="439">
        <f t="shared" si="488"/>
        <v>0</v>
      </c>
      <c r="DH113" s="439">
        <f t="shared" si="489"/>
        <v>0</v>
      </c>
      <c r="DI113" s="439">
        <f t="shared" si="490"/>
        <v>0</v>
      </c>
      <c r="DJ113" s="439">
        <f t="shared" si="491"/>
        <v>0</v>
      </c>
      <c r="DK113" s="439">
        <f t="shared" si="492"/>
        <v>0</v>
      </c>
      <c r="DL113" s="439">
        <f t="shared" si="493"/>
        <v>0</v>
      </c>
      <c r="DM113" s="439">
        <f t="shared" si="494"/>
        <v>0</v>
      </c>
      <c r="DN113" s="439">
        <f t="shared" si="495"/>
        <v>0</v>
      </c>
      <c r="DO113" s="439">
        <f t="shared" si="496"/>
        <v>0</v>
      </c>
      <c r="DP113" s="439">
        <f t="shared" si="497"/>
        <v>0</v>
      </c>
      <c r="DQ113" s="442">
        <f t="shared" si="498"/>
        <v>0</v>
      </c>
      <c r="DR113" s="442">
        <f t="shared" si="499"/>
        <v>0</v>
      </c>
      <c r="DS113" s="439">
        <f t="shared" si="500"/>
        <v>0</v>
      </c>
      <c r="DT113" s="439">
        <f t="shared" si="501"/>
        <v>0</v>
      </c>
      <c r="DU113" s="661">
        <f t="shared" si="502"/>
        <v>0</v>
      </c>
      <c r="DV113" s="661">
        <f t="shared" si="503"/>
        <v>0</v>
      </c>
      <c r="DW113" s="439">
        <f t="shared" si="504"/>
        <v>0</v>
      </c>
      <c r="DX113" s="439">
        <f t="shared" si="505"/>
        <v>0</v>
      </c>
      <c r="DY113" s="439">
        <f t="shared" si="506"/>
        <v>0</v>
      </c>
      <c r="DZ113" s="439">
        <f t="shared" si="507"/>
        <v>0</v>
      </c>
      <c r="EA113" s="631" t="s">
        <v>92</v>
      </c>
      <c r="EB113" s="631">
        <f t="shared" si="614"/>
        <v>2.1396568337677784</v>
      </c>
      <c r="ED113" s="439">
        <f t="shared" si="508"/>
        <v>27.362160000000003</v>
      </c>
      <c r="EE113" s="440">
        <f t="shared" si="509"/>
        <v>20.954160000000002</v>
      </c>
      <c r="EF113" s="439">
        <f t="shared" si="510"/>
        <v>-14.546160000000002</v>
      </c>
      <c r="EG113" s="441">
        <f t="shared" si="511"/>
        <v>0</v>
      </c>
      <c r="EH113" s="439">
        <f t="shared" si="512"/>
        <v>0</v>
      </c>
      <c r="EI113" s="439">
        <f t="shared" si="513"/>
        <v>0</v>
      </c>
      <c r="EJ113" s="439">
        <f t="shared" si="514"/>
        <v>0</v>
      </c>
      <c r="EK113" s="439">
        <f t="shared" si="515"/>
        <v>0</v>
      </c>
      <c r="EL113" s="439">
        <f t="shared" si="516"/>
        <v>0</v>
      </c>
      <c r="EM113" s="439">
        <f t="shared" si="517"/>
        <v>0</v>
      </c>
      <c r="EN113" s="439">
        <f t="shared" si="518"/>
        <v>0</v>
      </c>
      <c r="EO113" s="439">
        <f t="shared" si="519"/>
        <v>0</v>
      </c>
      <c r="EP113" s="439">
        <f t="shared" si="520"/>
        <v>0</v>
      </c>
      <c r="EQ113" s="439">
        <f t="shared" si="521"/>
        <v>0</v>
      </c>
      <c r="ER113" s="442">
        <f t="shared" si="522"/>
        <v>0</v>
      </c>
      <c r="ES113" s="442">
        <f t="shared" si="523"/>
        <v>0</v>
      </c>
      <c r="ET113" s="439">
        <f t="shared" si="524"/>
        <v>0</v>
      </c>
      <c r="EU113" s="439">
        <f t="shared" si="525"/>
        <v>0</v>
      </c>
      <c r="EV113" s="661">
        <f t="shared" si="526"/>
        <v>0</v>
      </c>
      <c r="EW113" s="661">
        <f t="shared" si="527"/>
        <v>0</v>
      </c>
      <c r="EX113" s="439">
        <f t="shared" si="528"/>
        <v>0</v>
      </c>
      <c r="EY113" s="439">
        <f t="shared" si="529"/>
        <v>0</v>
      </c>
      <c r="EZ113" s="439">
        <f t="shared" si="530"/>
        <v>0</v>
      </c>
      <c r="FA113" s="439">
        <f t="shared" si="531"/>
        <v>0</v>
      </c>
      <c r="FB113" s="631" t="s">
        <v>92</v>
      </c>
      <c r="FC113" s="631">
        <f t="shared" si="615"/>
        <v>2.7867725591024235</v>
      </c>
      <c r="FE113" s="439">
        <f t="shared" si="532"/>
        <v>13.937280000000001</v>
      </c>
      <c r="FF113" s="440">
        <f t="shared" si="533"/>
        <v>10.673280000000002</v>
      </c>
      <c r="FG113" s="439">
        <f t="shared" si="534"/>
        <v>-7.4092800000000016</v>
      </c>
      <c r="FH113" s="441">
        <f t="shared" si="535"/>
        <v>0</v>
      </c>
      <c r="FI113" s="439">
        <f t="shared" si="536"/>
        <v>0</v>
      </c>
      <c r="FJ113" s="439">
        <f t="shared" si="537"/>
        <v>0</v>
      </c>
      <c r="FK113" s="439">
        <f t="shared" si="538"/>
        <v>0</v>
      </c>
      <c r="FL113" s="439">
        <f t="shared" si="539"/>
        <v>0</v>
      </c>
      <c r="FM113" s="439">
        <f t="shared" si="540"/>
        <v>0</v>
      </c>
      <c r="FN113" s="439">
        <f t="shared" si="541"/>
        <v>0</v>
      </c>
      <c r="FO113" s="439">
        <f t="shared" si="542"/>
        <v>0</v>
      </c>
      <c r="FP113" s="439">
        <f t="shared" si="543"/>
        <v>0</v>
      </c>
      <c r="FQ113" s="439">
        <f t="shared" si="544"/>
        <v>0</v>
      </c>
      <c r="FR113" s="439">
        <f t="shared" si="545"/>
        <v>0</v>
      </c>
      <c r="FS113" s="442">
        <f t="shared" si="546"/>
        <v>0</v>
      </c>
      <c r="FT113" s="442">
        <f t="shared" si="547"/>
        <v>0</v>
      </c>
      <c r="FU113" s="439">
        <f t="shared" si="548"/>
        <v>0</v>
      </c>
      <c r="FV113" s="439">
        <f t="shared" si="549"/>
        <v>0</v>
      </c>
      <c r="FW113" s="661">
        <f t="shared" si="550"/>
        <v>0</v>
      </c>
      <c r="FX113" s="661">
        <f t="shared" si="551"/>
        <v>0</v>
      </c>
      <c r="FY113" s="439">
        <f t="shared" si="552"/>
        <v>0</v>
      </c>
      <c r="FZ113" s="439">
        <f t="shared" si="553"/>
        <v>0</v>
      </c>
      <c r="GA113" s="439">
        <f t="shared" si="554"/>
        <v>0</v>
      </c>
      <c r="GB113" s="439">
        <f t="shared" si="555"/>
        <v>0</v>
      </c>
      <c r="GC113" s="631" t="s">
        <v>92</v>
      </c>
      <c r="GD113" s="631">
        <f t="shared" si="616"/>
        <v>1.4194796555727702</v>
      </c>
      <c r="GF113" s="439">
        <f t="shared" si="556"/>
        <v>21.661710000000003</v>
      </c>
      <c r="GG113" s="440">
        <f t="shared" si="557"/>
        <v>16.588710000000003</v>
      </c>
      <c r="GH113" s="439">
        <f t="shared" si="558"/>
        <v>-11.515710000000002</v>
      </c>
      <c r="GI113" s="439">
        <f t="shared" si="559"/>
        <v>0</v>
      </c>
      <c r="GJ113" s="439">
        <f t="shared" si="560"/>
        <v>0</v>
      </c>
      <c r="GK113" s="439">
        <f t="shared" si="561"/>
        <v>0</v>
      </c>
      <c r="GL113" s="439">
        <f t="shared" si="562"/>
        <v>0</v>
      </c>
      <c r="GM113" s="439">
        <f t="shared" si="563"/>
        <v>0</v>
      </c>
      <c r="GN113" s="439">
        <f t="shared" si="564"/>
        <v>0</v>
      </c>
      <c r="GO113" s="439">
        <f t="shared" si="565"/>
        <v>0</v>
      </c>
      <c r="GP113" s="439">
        <f t="shared" si="566"/>
        <v>0</v>
      </c>
      <c r="GQ113" s="439">
        <f t="shared" si="567"/>
        <v>0</v>
      </c>
      <c r="GR113" s="439">
        <f t="shared" si="568"/>
        <v>0</v>
      </c>
      <c r="GS113" s="439">
        <f t="shared" si="569"/>
        <v>0</v>
      </c>
      <c r="GT113" s="442">
        <f t="shared" si="570"/>
        <v>0</v>
      </c>
      <c r="GU113" s="442">
        <f t="shared" si="571"/>
        <v>0</v>
      </c>
      <c r="GV113" s="439">
        <f t="shared" si="572"/>
        <v>0</v>
      </c>
      <c r="GW113" s="439">
        <f t="shared" si="573"/>
        <v>0</v>
      </c>
      <c r="GX113" s="661">
        <f t="shared" si="574"/>
        <v>0</v>
      </c>
      <c r="GY113" s="661">
        <f t="shared" si="575"/>
        <v>0</v>
      </c>
      <c r="GZ113" s="439">
        <f t="shared" si="576"/>
        <v>0</v>
      </c>
      <c r="HA113" s="439">
        <f t="shared" si="577"/>
        <v>0</v>
      </c>
      <c r="HB113" s="439">
        <f t="shared" si="578"/>
        <v>0</v>
      </c>
      <c r="HC113" s="439">
        <f t="shared" si="579"/>
        <v>0</v>
      </c>
      <c r="HD113" s="631" t="s">
        <v>92</v>
      </c>
      <c r="HE113" s="631">
        <f t="shared" si="617"/>
        <v>2.2061949426227523</v>
      </c>
      <c r="HG113" s="618">
        <f>HLOOKUP(CQ113,Spec_Sheet!$F$3:$DV$19,11,FALSE)+HLOOKUP(CQ113,Spec_Sheet!$F$3:$DV$21,19,FALSE)</f>
        <v>360</v>
      </c>
      <c r="HH113" s="618">
        <f t="shared" si="618"/>
        <v>100</v>
      </c>
      <c r="HI113" s="634">
        <f t="shared" si="619"/>
        <v>400</v>
      </c>
      <c r="HJ113" s="634">
        <f>HLOOKUP(IF(LEN(CQ113)&gt;6,LEFT(CQ113,5),CQ113),'LSM List Pricing'!$B$1:$BW$2,2,0)</f>
        <v>70</v>
      </c>
      <c r="HK113" s="634">
        <f>HLOOKUP(HJ113,'LSM List Pricing'!$B$2:$BW$3,2)</f>
        <v>2700</v>
      </c>
      <c r="HL113" s="634">
        <f>VLOOKUP(HH113,'LSM List Pricing'!$A$7:$BW$87,HJ113,0)</f>
        <v>3770</v>
      </c>
      <c r="HM113" s="627">
        <f>VLOOKUP(HI113,'LSM List Pricing'!$A$7:$BW$87,HJ113,1)</f>
        <v>5750</v>
      </c>
      <c r="HN113" s="628">
        <f t="shared" si="620"/>
        <v>16.589743589743591</v>
      </c>
      <c r="HO113" s="628">
        <f t="shared" si="621"/>
        <v>33.179487179487182</v>
      </c>
      <c r="HP113" s="628">
        <f t="shared" si="622"/>
        <v>28.589743589743591</v>
      </c>
      <c r="HR113" s="618">
        <v>5.5E-2</v>
      </c>
      <c r="HS113" s="618">
        <f t="shared" si="457"/>
        <v>369.28571428571428</v>
      </c>
      <c r="HT113" s="618">
        <f t="shared" si="458"/>
        <v>1</v>
      </c>
      <c r="HU113" s="618">
        <f t="shared" si="466"/>
        <v>1.4008350608904867</v>
      </c>
      <c r="HW113" s="618">
        <f t="shared" si="413"/>
        <v>34.010814213535511</v>
      </c>
      <c r="HX113" s="618">
        <f t="shared" si="467"/>
        <v>1.361781540329583</v>
      </c>
      <c r="HY113" s="618">
        <f t="shared" si="468"/>
        <v>5.5E-2</v>
      </c>
      <c r="IB113" s="618">
        <f t="shared" si="414"/>
        <v>25.000350341399081</v>
      </c>
      <c r="IC113" s="618">
        <f t="shared" si="415"/>
        <v>1E-3</v>
      </c>
      <c r="IE113" s="618">
        <f t="shared" si="416"/>
        <v>0</v>
      </c>
      <c r="IF113" s="618">
        <f t="shared" si="417"/>
        <v>40.704999999999998</v>
      </c>
      <c r="IH113" s="618">
        <f t="shared" si="418"/>
        <v>0</v>
      </c>
      <c r="II113" s="618">
        <f t="shared" si="419"/>
        <v>40.704999999999998</v>
      </c>
      <c r="IK113" s="618">
        <f t="shared" si="420"/>
        <v>0</v>
      </c>
      <c r="IL113" s="618">
        <f t="shared" si="421"/>
        <v>40.704999999999998</v>
      </c>
      <c r="IN113" s="618">
        <f t="shared" si="422"/>
        <v>0</v>
      </c>
      <c r="IO113" s="618">
        <f t="shared" si="423"/>
        <v>40.704999999999998</v>
      </c>
      <c r="IQ113" s="618">
        <f t="shared" si="424"/>
        <v>0</v>
      </c>
      <c r="IR113" s="618">
        <f t="shared" si="425"/>
        <v>40.704999999999998</v>
      </c>
      <c r="IT113" s="660" t="str">
        <f t="shared" si="623"/>
        <v>S605D</v>
      </c>
      <c r="IU113" s="628"/>
      <c r="IV113" s="439">
        <f t="shared" si="580"/>
        <v>41.504400000000004</v>
      </c>
      <c r="IW113" s="440">
        <f t="shared" si="581"/>
        <v>31.784400000000002</v>
      </c>
      <c r="IX113" s="439">
        <f t="shared" si="582"/>
        <v>-22.064400000000003</v>
      </c>
      <c r="IY113" s="439">
        <f t="shared" si="583"/>
        <v>0</v>
      </c>
      <c r="IZ113" s="439">
        <f t="shared" si="584"/>
        <v>0</v>
      </c>
      <c r="JA113" s="439">
        <f t="shared" si="585"/>
        <v>0</v>
      </c>
      <c r="JB113" s="439">
        <f t="shared" si="586"/>
        <v>0</v>
      </c>
      <c r="JC113" s="439">
        <f t="shared" si="587"/>
        <v>0</v>
      </c>
      <c r="JD113" s="439">
        <f t="shared" si="588"/>
        <v>0</v>
      </c>
      <c r="JE113" s="439">
        <f t="shared" si="589"/>
        <v>0</v>
      </c>
      <c r="JF113" s="439">
        <f t="shared" si="590"/>
        <v>0</v>
      </c>
      <c r="JG113" s="439">
        <f t="shared" si="591"/>
        <v>0</v>
      </c>
      <c r="JH113" s="439">
        <f t="shared" si="592"/>
        <v>0</v>
      </c>
      <c r="JI113" s="439">
        <f t="shared" si="593"/>
        <v>0</v>
      </c>
      <c r="JJ113" s="442">
        <f t="shared" si="594"/>
        <v>0</v>
      </c>
      <c r="JK113" s="442">
        <f t="shared" si="595"/>
        <v>0</v>
      </c>
      <c r="JL113" s="439">
        <f t="shared" si="596"/>
        <v>0</v>
      </c>
      <c r="JM113" s="439">
        <f t="shared" si="597"/>
        <v>0</v>
      </c>
      <c r="JN113" s="661">
        <f t="shared" si="598"/>
        <v>0</v>
      </c>
      <c r="JO113" s="661">
        <f t="shared" si="599"/>
        <v>0</v>
      </c>
      <c r="JP113" s="439">
        <f t="shared" si="600"/>
        <v>0</v>
      </c>
      <c r="JQ113" s="439">
        <f t="shared" si="601"/>
        <v>0</v>
      </c>
      <c r="JR113" s="439">
        <f t="shared" si="602"/>
        <v>0</v>
      </c>
      <c r="JS113" s="439">
        <f t="shared" si="603"/>
        <v>0</v>
      </c>
      <c r="JT113" s="631" t="s">
        <v>92</v>
      </c>
      <c r="JU113" s="631">
        <f t="shared" si="624"/>
        <v>4.2271269154924402</v>
      </c>
      <c r="JW113" s="522"/>
      <c r="JX113" s="522"/>
      <c r="JY113" s="522"/>
      <c r="JZ113" s="522"/>
      <c r="KA113" s="522"/>
      <c r="KB113" s="522"/>
      <c r="KC113" s="522"/>
      <c r="KD113" s="522"/>
      <c r="KE113" s="522"/>
      <c r="KF113" s="522"/>
      <c r="KG113" s="522"/>
      <c r="KH113" s="522"/>
      <c r="KI113" s="522"/>
      <c r="KJ113" s="522"/>
      <c r="KK113" s="522"/>
      <c r="KL113" s="522"/>
    </row>
    <row r="114" spans="1:298">
      <c r="A114" s="77"/>
      <c r="B114" s="579"/>
      <c r="C114" s="579"/>
      <c r="D114" s="579"/>
      <c r="E114" s="579"/>
      <c r="F114" s="579"/>
      <c r="G114" s="579"/>
      <c r="H114" s="579"/>
      <c r="I114" s="579"/>
      <c r="J114" s="579"/>
      <c r="K114" s="579"/>
      <c r="L114" s="579"/>
      <c r="M114" s="579"/>
      <c r="N114" s="579"/>
      <c r="O114" s="579"/>
      <c r="P114" s="579"/>
      <c r="Q114" s="579"/>
      <c r="R114" s="579"/>
      <c r="S114" s="579"/>
      <c r="T114" s="579"/>
      <c r="U114" s="580"/>
      <c r="V114" s="580"/>
      <c r="W114" s="579"/>
      <c r="X114" s="579"/>
      <c r="Y114" s="579"/>
      <c r="Z114" s="579"/>
      <c r="AA114" s="579"/>
      <c r="AB114" s="579"/>
      <c r="AC114" s="580"/>
      <c r="AD114" s="580"/>
      <c r="AE114" s="579"/>
      <c r="AF114" s="579"/>
      <c r="AG114" s="579"/>
      <c r="AH114" s="579"/>
      <c r="AI114" s="579"/>
      <c r="AJ114" s="579"/>
      <c r="AK114" s="579"/>
      <c r="AL114" s="580"/>
      <c r="AM114" s="580"/>
      <c r="AN114" s="579"/>
      <c r="AO114" s="579"/>
      <c r="AP114" s="579"/>
      <c r="AQ114" s="579"/>
      <c r="AR114" s="579"/>
      <c r="AS114" s="579"/>
      <c r="AT114" s="580"/>
      <c r="AU114" s="580"/>
      <c r="AV114" s="581">
        <f t="shared" si="613"/>
        <v>0</v>
      </c>
      <c r="AW114" s="581">
        <f>IF($AY$32,'Data Sheet'!AA135,0)</f>
        <v>0</v>
      </c>
      <c r="AX114" s="581">
        <f t="shared" si="612"/>
        <v>40.704999999999998</v>
      </c>
      <c r="AY114" s="579"/>
      <c r="AZ114" s="579"/>
      <c r="BA114" s="579"/>
      <c r="BB114" s="579"/>
      <c r="BC114" s="579"/>
      <c r="BD114" s="579"/>
      <c r="BE114" s="579"/>
      <c r="BF114" s="579"/>
      <c r="BG114" s="379"/>
      <c r="BH114" s="379"/>
      <c r="BI114" s="379"/>
      <c r="BJ114" s="379"/>
      <c r="BK114" s="379"/>
      <c r="BL114" s="379"/>
      <c r="BM114" s="379"/>
      <c r="BN114" s="379"/>
      <c r="BO114" s="379"/>
      <c r="BP114" s="379"/>
      <c r="BQ114" s="379"/>
      <c r="BR114" s="379"/>
      <c r="BS114" s="379"/>
      <c r="BT114" s="379"/>
      <c r="BU114" s="379"/>
      <c r="BV114" s="379"/>
      <c r="BW114" s="379"/>
      <c r="BX114" s="379"/>
      <c r="BY114" s="379"/>
      <c r="BZ114" s="379"/>
      <c r="CA114" s="379"/>
      <c r="CB114" s="379"/>
      <c r="CC114" s="379"/>
      <c r="CD114" s="379"/>
      <c r="CE114" s="379"/>
      <c r="CF114" s="379"/>
      <c r="CG114" s="379"/>
      <c r="CH114" s="77"/>
      <c r="CI114" s="77"/>
      <c r="CJ114" s="380"/>
      <c r="CK114" s="380"/>
      <c r="CL114" s="381"/>
      <c r="CM114" s="381"/>
      <c r="CN114" s="381"/>
      <c r="CO114" s="694"/>
      <c r="CP114" s="632" t="str">
        <f>IF(OR(CQ114=0,CR114="",CS114&gt;120),"",IF(HLOOKUP(CQ114,Spec_Sheet!$F$3:$ED$19,17,FALSE)&lt;$AC$46,"",CQ114))</f>
        <v>S500T 3S</v>
      </c>
      <c r="CQ114" s="660" t="str">
        <f>IF(Spec_Sheet!A113="","",Spec_Sheet!A113)</f>
        <v>S500T 3S</v>
      </c>
      <c r="CR114" s="660">
        <f>IF(CQ114="",0,HLOOKUP(CQ114,Spec_Sheet!$F$3:$ED$19,2,FALSE))</f>
        <v>439.988</v>
      </c>
      <c r="CS114" s="660">
        <f t="shared" si="605"/>
        <v>1.5320281764892097E-3</v>
      </c>
      <c r="CT114" s="621">
        <f t="shared" si="606"/>
        <v>1.5788049780211355E-3</v>
      </c>
      <c r="CU114" s="621">
        <f t="shared" si="607"/>
        <v>1.5320281764892097E-3</v>
      </c>
      <c r="CV114" s="621">
        <f t="shared" si="608"/>
        <v>7.3775105237163169E-4</v>
      </c>
      <c r="CW114" s="621">
        <f t="shared" si="609"/>
        <v>7.0588655448597458E-4</v>
      </c>
      <c r="CX114" s="621">
        <f t="shared" si="610"/>
        <v>3.9588033643863562E-4</v>
      </c>
      <c r="CY114" s="619">
        <f>HLOOKUP(CQ114,Spec_Sheet!$F$3:$ED$19,13,FALSE)</f>
        <v>13</v>
      </c>
      <c r="CZ114" s="619">
        <f>VLOOKUP(HH114,'Shaft Weight'!$A$6:$CD$102,HJ114,TRUE)</f>
        <v>8.76</v>
      </c>
      <c r="DA114" s="619">
        <f>VLOOKUP(HI114,'Shaft Weight'!$A$6:$CD$102,HJ114,0)</f>
        <v>13.02</v>
      </c>
      <c r="DB114" s="619">
        <f>HLOOKUP(CQ114,Spec_Sheet!$F$3:$ED$19,6,FALSE)</f>
        <v>227.57999999999998</v>
      </c>
      <c r="DC114" s="439">
        <f t="shared" si="484"/>
        <v>17.165400000000002</v>
      </c>
      <c r="DD114" s="440">
        <f t="shared" si="485"/>
        <v>13.145400000000002</v>
      </c>
      <c r="DE114" s="439">
        <f t="shared" si="486"/>
        <v>-9.1254000000000026</v>
      </c>
      <c r="DF114" s="439">
        <f t="shared" si="487"/>
        <v>0</v>
      </c>
      <c r="DG114" s="439">
        <f t="shared" si="488"/>
        <v>0</v>
      </c>
      <c r="DH114" s="439">
        <f t="shared" si="489"/>
        <v>0</v>
      </c>
      <c r="DI114" s="439">
        <f t="shared" si="490"/>
        <v>0</v>
      </c>
      <c r="DJ114" s="439">
        <f t="shared" si="491"/>
        <v>0</v>
      </c>
      <c r="DK114" s="439">
        <f t="shared" si="492"/>
        <v>0</v>
      </c>
      <c r="DL114" s="439">
        <f t="shared" si="493"/>
        <v>0</v>
      </c>
      <c r="DM114" s="439">
        <f t="shared" si="494"/>
        <v>0</v>
      </c>
      <c r="DN114" s="439">
        <f t="shared" si="495"/>
        <v>0</v>
      </c>
      <c r="DO114" s="439">
        <f t="shared" si="496"/>
        <v>0</v>
      </c>
      <c r="DP114" s="439">
        <f t="shared" si="497"/>
        <v>0</v>
      </c>
      <c r="DQ114" s="442">
        <f t="shared" si="498"/>
        <v>0</v>
      </c>
      <c r="DR114" s="442">
        <f t="shared" si="499"/>
        <v>0</v>
      </c>
      <c r="DS114" s="439">
        <f t="shared" si="500"/>
        <v>0</v>
      </c>
      <c r="DT114" s="439">
        <f t="shared" si="501"/>
        <v>0</v>
      </c>
      <c r="DU114" s="661">
        <f t="shared" si="502"/>
        <v>0</v>
      </c>
      <c r="DV114" s="661">
        <f t="shared" si="503"/>
        <v>0</v>
      </c>
      <c r="DW114" s="439">
        <f t="shared" si="504"/>
        <v>0</v>
      </c>
      <c r="DX114" s="439">
        <f t="shared" si="505"/>
        <v>0</v>
      </c>
      <c r="DY114" s="439">
        <f t="shared" si="506"/>
        <v>0</v>
      </c>
      <c r="DZ114" s="439">
        <f t="shared" si="507"/>
        <v>0</v>
      </c>
      <c r="EA114" s="631" t="s">
        <v>92</v>
      </c>
      <c r="EB114" s="631">
        <f t="shared" si="614"/>
        <v>1.7482561934444045</v>
      </c>
      <c r="ED114" s="439">
        <f t="shared" si="508"/>
        <v>22.95552</v>
      </c>
      <c r="EE114" s="440">
        <f t="shared" si="509"/>
        <v>17.579519999999999</v>
      </c>
      <c r="EF114" s="439">
        <f t="shared" si="510"/>
        <v>-12.203519999999999</v>
      </c>
      <c r="EG114" s="441">
        <f t="shared" si="511"/>
        <v>0</v>
      </c>
      <c r="EH114" s="439">
        <f t="shared" si="512"/>
        <v>0</v>
      </c>
      <c r="EI114" s="439">
        <f t="shared" si="513"/>
        <v>0</v>
      </c>
      <c r="EJ114" s="439">
        <f t="shared" si="514"/>
        <v>0</v>
      </c>
      <c r="EK114" s="439">
        <f t="shared" si="515"/>
        <v>0</v>
      </c>
      <c r="EL114" s="439">
        <f t="shared" si="516"/>
        <v>0</v>
      </c>
      <c r="EM114" s="439">
        <f t="shared" si="517"/>
        <v>0</v>
      </c>
      <c r="EN114" s="439">
        <f t="shared" si="518"/>
        <v>0</v>
      </c>
      <c r="EO114" s="439">
        <f t="shared" si="519"/>
        <v>0</v>
      </c>
      <c r="EP114" s="439">
        <f t="shared" si="520"/>
        <v>0</v>
      </c>
      <c r="EQ114" s="439">
        <f t="shared" si="521"/>
        <v>0</v>
      </c>
      <c r="ER114" s="442">
        <f t="shared" si="522"/>
        <v>0</v>
      </c>
      <c r="ES114" s="442">
        <f t="shared" si="523"/>
        <v>0</v>
      </c>
      <c r="ET114" s="439">
        <f t="shared" si="524"/>
        <v>0</v>
      </c>
      <c r="EU114" s="439">
        <f t="shared" si="525"/>
        <v>0</v>
      </c>
      <c r="EV114" s="661">
        <f t="shared" si="526"/>
        <v>0</v>
      </c>
      <c r="EW114" s="661">
        <f t="shared" si="527"/>
        <v>0</v>
      </c>
      <c r="EX114" s="439">
        <f t="shared" si="528"/>
        <v>0</v>
      </c>
      <c r="EY114" s="439">
        <f t="shared" si="529"/>
        <v>0</v>
      </c>
      <c r="EZ114" s="439">
        <f t="shared" si="530"/>
        <v>0</v>
      </c>
      <c r="FA114" s="439">
        <f t="shared" si="531"/>
        <v>0</v>
      </c>
      <c r="FB114" s="631" t="s">
        <v>92</v>
      </c>
      <c r="FC114" s="631">
        <f t="shared" si="615"/>
        <v>2.3379664915316214</v>
      </c>
      <c r="FE114" s="439">
        <f t="shared" si="532"/>
        <v>11.73396</v>
      </c>
      <c r="FF114" s="440">
        <f t="shared" si="533"/>
        <v>8.9859600000000004</v>
      </c>
      <c r="FG114" s="439">
        <f t="shared" si="534"/>
        <v>-6.2379600000000011</v>
      </c>
      <c r="FH114" s="441">
        <f t="shared" si="535"/>
        <v>0</v>
      </c>
      <c r="FI114" s="439">
        <f t="shared" si="536"/>
        <v>0</v>
      </c>
      <c r="FJ114" s="439">
        <f t="shared" si="537"/>
        <v>0</v>
      </c>
      <c r="FK114" s="439">
        <f t="shared" si="538"/>
        <v>0</v>
      </c>
      <c r="FL114" s="439">
        <f t="shared" si="539"/>
        <v>0</v>
      </c>
      <c r="FM114" s="439">
        <f t="shared" si="540"/>
        <v>0</v>
      </c>
      <c r="FN114" s="439">
        <f t="shared" si="541"/>
        <v>0</v>
      </c>
      <c r="FO114" s="439">
        <f t="shared" si="542"/>
        <v>0</v>
      </c>
      <c r="FP114" s="439">
        <f t="shared" si="543"/>
        <v>0</v>
      </c>
      <c r="FQ114" s="439">
        <f t="shared" si="544"/>
        <v>0</v>
      </c>
      <c r="FR114" s="439">
        <f t="shared" si="545"/>
        <v>0</v>
      </c>
      <c r="FS114" s="442">
        <f t="shared" si="546"/>
        <v>0</v>
      </c>
      <c r="FT114" s="442">
        <f t="shared" si="547"/>
        <v>0</v>
      </c>
      <c r="FU114" s="439">
        <f t="shared" si="548"/>
        <v>0</v>
      </c>
      <c r="FV114" s="439">
        <f t="shared" si="549"/>
        <v>0</v>
      </c>
      <c r="FW114" s="661">
        <f t="shared" si="550"/>
        <v>0</v>
      </c>
      <c r="FX114" s="661">
        <f t="shared" si="551"/>
        <v>0</v>
      </c>
      <c r="FY114" s="439">
        <f t="shared" si="552"/>
        <v>0</v>
      </c>
      <c r="FZ114" s="439">
        <f t="shared" si="553"/>
        <v>0</v>
      </c>
      <c r="GA114" s="439">
        <f t="shared" si="554"/>
        <v>0</v>
      </c>
      <c r="GB114" s="439">
        <f t="shared" si="555"/>
        <v>0</v>
      </c>
      <c r="GC114" s="631" t="s">
        <v>92</v>
      </c>
      <c r="GD114" s="631">
        <f t="shared" si="616"/>
        <v>1.195076621787369</v>
      </c>
      <c r="GF114" s="439">
        <f t="shared" si="556"/>
        <v>17.191020000000002</v>
      </c>
      <c r="GG114" s="440">
        <f t="shared" si="557"/>
        <v>13.165020000000002</v>
      </c>
      <c r="GH114" s="439">
        <f t="shared" si="558"/>
        <v>-9.1390200000000021</v>
      </c>
      <c r="GI114" s="439">
        <f t="shared" si="559"/>
        <v>0</v>
      </c>
      <c r="GJ114" s="439">
        <f t="shared" si="560"/>
        <v>0</v>
      </c>
      <c r="GK114" s="439">
        <f t="shared" si="561"/>
        <v>0</v>
      </c>
      <c r="GL114" s="439">
        <f t="shared" si="562"/>
        <v>0</v>
      </c>
      <c r="GM114" s="439">
        <f t="shared" si="563"/>
        <v>0</v>
      </c>
      <c r="GN114" s="439">
        <f t="shared" si="564"/>
        <v>0</v>
      </c>
      <c r="GO114" s="439">
        <f t="shared" si="565"/>
        <v>0</v>
      </c>
      <c r="GP114" s="439">
        <f t="shared" si="566"/>
        <v>0</v>
      </c>
      <c r="GQ114" s="439">
        <f t="shared" si="567"/>
        <v>0</v>
      </c>
      <c r="GR114" s="439">
        <f t="shared" si="568"/>
        <v>0</v>
      </c>
      <c r="GS114" s="439">
        <f t="shared" si="569"/>
        <v>0</v>
      </c>
      <c r="GT114" s="442">
        <f t="shared" si="570"/>
        <v>0</v>
      </c>
      <c r="GU114" s="442">
        <f t="shared" si="571"/>
        <v>0</v>
      </c>
      <c r="GV114" s="439">
        <f t="shared" si="572"/>
        <v>0</v>
      </c>
      <c r="GW114" s="439">
        <f t="shared" si="573"/>
        <v>0</v>
      </c>
      <c r="GX114" s="661">
        <f t="shared" si="574"/>
        <v>0</v>
      </c>
      <c r="GY114" s="661">
        <f t="shared" si="575"/>
        <v>0</v>
      </c>
      <c r="GZ114" s="439">
        <f t="shared" si="576"/>
        <v>0</v>
      </c>
      <c r="HA114" s="439">
        <f t="shared" si="577"/>
        <v>0</v>
      </c>
      <c r="HB114" s="439">
        <f t="shared" si="578"/>
        <v>0</v>
      </c>
      <c r="HC114" s="439">
        <f t="shared" si="579"/>
        <v>0</v>
      </c>
      <c r="HD114" s="631" t="s">
        <v>92</v>
      </c>
      <c r="HE114" s="631">
        <f t="shared" si="617"/>
        <v>1.7508655310465602</v>
      </c>
      <c r="HG114" s="618">
        <f>HLOOKUP(CQ114,Spec_Sheet!$F$3:$DV$19,11,FALSE)+HLOOKUP(CQ114,Spec_Sheet!$F$3:$DV$21,19,FALSE)</f>
        <v>360</v>
      </c>
      <c r="HH114" s="618">
        <f t="shared" si="618"/>
        <v>100</v>
      </c>
      <c r="HI114" s="634">
        <f t="shared" si="619"/>
        <v>400</v>
      </c>
      <c r="HJ114" s="634">
        <f>HLOOKUP(IF(LEN(CQ114)&gt;6,LEFT(CQ114,5),CQ114),'LSM List Pricing'!$B$1:$BW$2,2,0)</f>
        <v>68</v>
      </c>
      <c r="HK114" s="634">
        <f>HLOOKUP(HJ114,'LSM List Pricing'!$B$2:$BW$3,2)</f>
        <v>2000</v>
      </c>
      <c r="HL114" s="634">
        <f>VLOOKUP(HH114,'LSM List Pricing'!$A$7:$BW$87,HJ114,0)</f>
        <v>3150</v>
      </c>
      <c r="HM114" s="627">
        <f>VLOOKUP(HI114,'LSM List Pricing'!$A$7:$BW$87,HJ114,1)</f>
        <v>4750</v>
      </c>
      <c r="HN114" s="628">
        <f t="shared" si="620"/>
        <v>13.205128205128204</v>
      </c>
      <c r="HO114" s="628">
        <f t="shared" si="621"/>
        <v>26.410256410256409</v>
      </c>
      <c r="HP114" s="628">
        <f t="shared" si="622"/>
        <v>22.435897435897434</v>
      </c>
      <c r="HR114" s="618">
        <v>5.5500000000000001E-2</v>
      </c>
      <c r="HS114" s="618">
        <f t="shared" si="457"/>
        <v>372.64285714285717</v>
      </c>
      <c r="HT114" s="618">
        <f t="shared" si="458"/>
        <v>1</v>
      </c>
      <c r="HU114" s="618">
        <f t="shared" si="466"/>
        <v>1.4135741048641115</v>
      </c>
      <c r="HW114" s="618">
        <f t="shared" si="413"/>
        <v>33.992724771092959</v>
      </c>
      <c r="HX114" s="618">
        <f t="shared" si="467"/>
        <v>1.3738102852085352</v>
      </c>
      <c r="HY114" s="618">
        <f t="shared" si="468"/>
        <v>5.5500000000000001E-2</v>
      </c>
      <c r="IB114" s="618">
        <f t="shared" si="414"/>
        <v>25.000350341399081</v>
      </c>
      <c r="IC114" s="618">
        <f t="shared" si="415"/>
        <v>1E-3</v>
      </c>
      <c r="IE114" s="618">
        <f t="shared" si="416"/>
        <v>0</v>
      </c>
      <c r="IF114" s="618">
        <f t="shared" si="417"/>
        <v>40.704999999999998</v>
      </c>
      <c r="IH114" s="618">
        <f t="shared" si="418"/>
        <v>0</v>
      </c>
      <c r="II114" s="618">
        <f t="shared" si="419"/>
        <v>40.704999999999998</v>
      </c>
      <c r="IK114" s="618">
        <f t="shared" si="420"/>
        <v>0</v>
      </c>
      <c r="IL114" s="618">
        <f t="shared" si="421"/>
        <v>40.704999999999998</v>
      </c>
      <c r="IN114" s="618">
        <f t="shared" si="422"/>
        <v>0</v>
      </c>
      <c r="IO114" s="618">
        <f t="shared" si="423"/>
        <v>40.704999999999998</v>
      </c>
      <c r="IQ114" s="618">
        <f t="shared" si="424"/>
        <v>0</v>
      </c>
      <c r="IR114" s="618">
        <f t="shared" si="425"/>
        <v>40.704999999999998</v>
      </c>
      <c r="IT114" s="660" t="str">
        <f t="shared" si="623"/>
        <v>S500T 3S</v>
      </c>
      <c r="IU114" s="628"/>
      <c r="IV114" s="439">
        <f t="shared" si="580"/>
        <v>33.818399999999997</v>
      </c>
      <c r="IW114" s="440">
        <f t="shared" si="581"/>
        <v>25.898399999999999</v>
      </c>
      <c r="IX114" s="439">
        <f t="shared" si="582"/>
        <v>-17.978400000000001</v>
      </c>
      <c r="IY114" s="439">
        <f t="shared" si="583"/>
        <v>0</v>
      </c>
      <c r="IZ114" s="439">
        <f t="shared" si="584"/>
        <v>0</v>
      </c>
      <c r="JA114" s="439">
        <f t="shared" si="585"/>
        <v>0</v>
      </c>
      <c r="JB114" s="439">
        <f t="shared" si="586"/>
        <v>0</v>
      </c>
      <c r="JC114" s="439">
        <f t="shared" si="587"/>
        <v>0</v>
      </c>
      <c r="JD114" s="439">
        <f t="shared" si="588"/>
        <v>0</v>
      </c>
      <c r="JE114" s="439">
        <f t="shared" si="589"/>
        <v>0</v>
      </c>
      <c r="JF114" s="439">
        <f t="shared" si="590"/>
        <v>0</v>
      </c>
      <c r="JG114" s="439">
        <f t="shared" si="591"/>
        <v>0</v>
      </c>
      <c r="JH114" s="439">
        <f t="shared" si="592"/>
        <v>0</v>
      </c>
      <c r="JI114" s="439">
        <f t="shared" si="593"/>
        <v>0</v>
      </c>
      <c r="JJ114" s="442">
        <f t="shared" si="594"/>
        <v>0</v>
      </c>
      <c r="JK114" s="442">
        <f t="shared" si="595"/>
        <v>0</v>
      </c>
      <c r="JL114" s="439">
        <f t="shared" si="596"/>
        <v>0</v>
      </c>
      <c r="JM114" s="439">
        <f t="shared" si="597"/>
        <v>0</v>
      </c>
      <c r="JN114" s="661">
        <f t="shared" si="598"/>
        <v>0</v>
      </c>
      <c r="JO114" s="661">
        <f t="shared" si="599"/>
        <v>0</v>
      </c>
      <c r="JP114" s="439">
        <f t="shared" si="600"/>
        <v>0</v>
      </c>
      <c r="JQ114" s="439">
        <f t="shared" si="601"/>
        <v>0</v>
      </c>
      <c r="JR114" s="439">
        <f t="shared" si="602"/>
        <v>0</v>
      </c>
      <c r="JS114" s="439">
        <f t="shared" si="603"/>
        <v>0</v>
      </c>
      <c r="JT114" s="631" t="s">
        <v>92</v>
      </c>
      <c r="JU114" s="631">
        <f t="shared" si="624"/>
        <v>3.4443256348456912</v>
      </c>
      <c r="JW114" s="522"/>
      <c r="JX114" s="522"/>
      <c r="JY114" s="522"/>
      <c r="JZ114" s="522"/>
      <c r="KA114" s="522"/>
      <c r="KB114" s="522"/>
      <c r="KC114" s="522"/>
      <c r="KD114" s="522"/>
      <c r="KE114" s="522"/>
      <c r="KF114" s="522"/>
      <c r="KG114" s="522"/>
      <c r="KH114" s="522"/>
      <c r="KI114" s="522"/>
      <c r="KJ114" s="522"/>
      <c r="KK114" s="522"/>
      <c r="KL114" s="522"/>
    </row>
    <row r="115" spans="1:298">
      <c r="A115" s="77"/>
      <c r="B115" s="579"/>
      <c r="C115" s="579"/>
      <c r="D115" s="579"/>
      <c r="E115" s="579"/>
      <c r="F115" s="579"/>
      <c r="G115" s="579"/>
      <c r="H115" s="579"/>
      <c r="I115" s="579"/>
      <c r="J115" s="579"/>
      <c r="K115" s="579"/>
      <c r="L115" s="579"/>
      <c r="M115" s="579"/>
      <c r="N115" s="579"/>
      <c r="O115" s="579"/>
      <c r="P115" s="579"/>
      <c r="Q115" s="579"/>
      <c r="R115" s="579"/>
      <c r="S115" s="579"/>
      <c r="T115" s="579"/>
      <c r="U115" s="580"/>
      <c r="V115" s="580"/>
      <c r="W115" s="579"/>
      <c r="X115" s="579"/>
      <c r="Y115" s="579"/>
      <c r="Z115" s="579"/>
      <c r="AA115" s="579"/>
      <c r="AB115" s="579"/>
      <c r="AC115" s="580"/>
      <c r="AD115" s="580"/>
      <c r="AE115" s="579"/>
      <c r="AF115" s="579"/>
      <c r="AG115" s="579"/>
      <c r="AH115" s="579"/>
      <c r="AI115" s="579"/>
      <c r="AJ115" s="579"/>
      <c r="AK115" s="579"/>
      <c r="AL115" s="580"/>
      <c r="AM115" s="580"/>
      <c r="AN115" s="579"/>
      <c r="AO115" s="579"/>
      <c r="AP115" s="579"/>
      <c r="AQ115" s="579"/>
      <c r="AR115" s="579"/>
      <c r="AS115" s="579"/>
      <c r="AT115" s="580"/>
      <c r="AU115" s="580"/>
      <c r="AV115" s="581">
        <f t="shared" si="613"/>
        <v>0</v>
      </c>
      <c r="AW115" s="581">
        <f>IF($AY$32,'Data Sheet'!AA136,0)</f>
        <v>0</v>
      </c>
      <c r="AX115" s="581">
        <f t="shared" si="612"/>
        <v>40.704999999999998</v>
      </c>
      <c r="AY115" s="579"/>
      <c r="AZ115" s="579"/>
      <c r="BA115" s="579"/>
      <c r="BB115" s="579"/>
      <c r="BC115" s="579"/>
      <c r="BD115" s="579"/>
      <c r="BE115" s="579"/>
      <c r="BF115" s="579"/>
      <c r="BG115" s="379"/>
      <c r="BH115" s="379"/>
      <c r="BI115" s="379"/>
      <c r="BJ115" s="379"/>
      <c r="BK115" s="379"/>
      <c r="BL115" s="379"/>
      <c r="BM115" s="379"/>
      <c r="BN115" s="379"/>
      <c r="BO115" s="379"/>
      <c r="BP115" s="379"/>
      <c r="BQ115" s="379"/>
      <c r="BR115" s="379"/>
      <c r="BS115" s="379"/>
      <c r="BT115" s="379"/>
      <c r="BU115" s="379"/>
      <c r="BV115" s="379"/>
      <c r="BW115" s="379"/>
      <c r="BX115" s="379"/>
      <c r="BY115" s="379"/>
      <c r="BZ115" s="379"/>
      <c r="CA115" s="379"/>
      <c r="CB115" s="379"/>
      <c r="CC115" s="379"/>
      <c r="CD115" s="379"/>
      <c r="CE115" s="379"/>
      <c r="CF115" s="379"/>
      <c r="CG115" s="379"/>
      <c r="CH115" s="77"/>
      <c r="CI115" s="77"/>
      <c r="CJ115" s="380"/>
      <c r="CK115" s="380"/>
      <c r="CL115" s="381"/>
      <c r="CM115" s="381"/>
      <c r="CN115" s="445"/>
      <c r="CO115" s="694"/>
      <c r="CP115" s="632" t="str">
        <f>IF(OR(CQ115=0,CR115="",CS115&gt;120),"",IF(HLOOKUP(CQ115,Spec_Sheet!$F$3:$ED$19,17,FALSE)&lt;$AC$46,"",CQ115))</f>
        <v>S500T</v>
      </c>
      <c r="CQ115" s="660" t="str">
        <f>IF(Spec_Sheet!A114="","",Spec_Sheet!A114)</f>
        <v>S500T</v>
      </c>
      <c r="CR115" s="660">
        <f>IF(CQ115="",0,HLOOKUP(CQ115,Spec_Sheet!$F$3:$ED$19,2,FALSE))</f>
        <v>440</v>
      </c>
      <c r="CS115" s="660">
        <f t="shared" si="605"/>
        <v>1.5319446124554717E-3</v>
      </c>
      <c r="CT115" s="621">
        <f t="shared" si="606"/>
        <v>1.5787188625602886E-3</v>
      </c>
      <c r="CU115" s="621">
        <f t="shared" si="607"/>
        <v>1.5319446124554717E-3</v>
      </c>
      <c r="CV115" s="621">
        <f t="shared" si="608"/>
        <v>7.3771081195387917E-4</v>
      </c>
      <c r="CW115" s="621">
        <f t="shared" si="609"/>
        <v>7.058480521080423E-4</v>
      </c>
      <c r="CX115" s="621">
        <f t="shared" si="610"/>
        <v>3.9585874326019538E-4</v>
      </c>
      <c r="CY115" s="619">
        <f>HLOOKUP(CQ115,Spec_Sheet!$F$3:$ED$19,13,FALSE)</f>
        <v>13</v>
      </c>
      <c r="CZ115" s="619">
        <f>VLOOKUP(HH115,'Shaft Weight'!$A$6:$CD$102,HJ115,TRUE)</f>
        <v>8.76</v>
      </c>
      <c r="DA115" s="619">
        <f>VLOOKUP(HI115,'Shaft Weight'!$A$6:$CD$102,HJ115,0)</f>
        <v>13.02</v>
      </c>
      <c r="DB115" s="619">
        <f>HLOOKUP(CQ115,Spec_Sheet!$F$3:$ED$19,6,FALSE)</f>
        <v>75.86</v>
      </c>
      <c r="DC115" s="439">
        <f t="shared" si="484"/>
        <v>17.165400000000002</v>
      </c>
      <c r="DD115" s="440">
        <f t="shared" si="485"/>
        <v>13.145400000000002</v>
      </c>
      <c r="DE115" s="439">
        <f t="shared" si="486"/>
        <v>-9.1254000000000026</v>
      </c>
      <c r="DF115" s="439">
        <f t="shared" si="487"/>
        <v>0</v>
      </c>
      <c r="DG115" s="439">
        <f t="shared" si="488"/>
        <v>0</v>
      </c>
      <c r="DH115" s="439">
        <f t="shared" si="489"/>
        <v>0</v>
      </c>
      <c r="DI115" s="439">
        <f t="shared" si="490"/>
        <v>0</v>
      </c>
      <c r="DJ115" s="439">
        <f t="shared" si="491"/>
        <v>0</v>
      </c>
      <c r="DK115" s="439">
        <f t="shared" si="492"/>
        <v>0</v>
      </c>
      <c r="DL115" s="439">
        <f t="shared" si="493"/>
        <v>0</v>
      </c>
      <c r="DM115" s="439">
        <f t="shared" si="494"/>
        <v>0</v>
      </c>
      <c r="DN115" s="439">
        <f t="shared" si="495"/>
        <v>0</v>
      </c>
      <c r="DO115" s="439">
        <f t="shared" si="496"/>
        <v>0</v>
      </c>
      <c r="DP115" s="439">
        <f t="shared" si="497"/>
        <v>0</v>
      </c>
      <c r="DQ115" s="442">
        <f t="shared" si="498"/>
        <v>0</v>
      </c>
      <c r="DR115" s="442">
        <f t="shared" si="499"/>
        <v>0</v>
      </c>
      <c r="DS115" s="439">
        <f t="shared" si="500"/>
        <v>0</v>
      </c>
      <c r="DT115" s="439">
        <f t="shared" si="501"/>
        <v>0</v>
      </c>
      <c r="DU115" s="661">
        <f t="shared" si="502"/>
        <v>0</v>
      </c>
      <c r="DV115" s="661">
        <f t="shared" si="503"/>
        <v>0</v>
      </c>
      <c r="DW115" s="439">
        <f t="shared" si="504"/>
        <v>0</v>
      </c>
      <c r="DX115" s="439">
        <f t="shared" si="505"/>
        <v>0</v>
      </c>
      <c r="DY115" s="439">
        <f t="shared" si="506"/>
        <v>0</v>
      </c>
      <c r="DZ115" s="439">
        <f t="shared" si="507"/>
        <v>0</v>
      </c>
      <c r="EA115" s="631" t="s">
        <v>92</v>
      </c>
      <c r="EB115" s="631">
        <f t="shared" si="614"/>
        <v>1.7482561934444045</v>
      </c>
      <c r="ED115" s="439">
        <f t="shared" si="508"/>
        <v>22.95552</v>
      </c>
      <c r="EE115" s="440">
        <f t="shared" si="509"/>
        <v>17.579519999999999</v>
      </c>
      <c r="EF115" s="439">
        <f t="shared" si="510"/>
        <v>-12.203519999999999</v>
      </c>
      <c r="EG115" s="441">
        <f t="shared" si="511"/>
        <v>0</v>
      </c>
      <c r="EH115" s="439">
        <f t="shared" si="512"/>
        <v>0</v>
      </c>
      <c r="EI115" s="439">
        <f t="shared" si="513"/>
        <v>0</v>
      </c>
      <c r="EJ115" s="439">
        <f t="shared" si="514"/>
        <v>0</v>
      </c>
      <c r="EK115" s="439">
        <f t="shared" si="515"/>
        <v>0</v>
      </c>
      <c r="EL115" s="439">
        <f t="shared" si="516"/>
        <v>0</v>
      </c>
      <c r="EM115" s="439">
        <f t="shared" si="517"/>
        <v>0</v>
      </c>
      <c r="EN115" s="439">
        <f t="shared" si="518"/>
        <v>0</v>
      </c>
      <c r="EO115" s="439">
        <f t="shared" si="519"/>
        <v>0</v>
      </c>
      <c r="EP115" s="439">
        <f t="shared" si="520"/>
        <v>0</v>
      </c>
      <c r="EQ115" s="439">
        <f t="shared" si="521"/>
        <v>0</v>
      </c>
      <c r="ER115" s="442">
        <f t="shared" si="522"/>
        <v>0</v>
      </c>
      <c r="ES115" s="442">
        <f t="shared" si="523"/>
        <v>0</v>
      </c>
      <c r="ET115" s="439">
        <f t="shared" si="524"/>
        <v>0</v>
      </c>
      <c r="EU115" s="439">
        <f t="shared" si="525"/>
        <v>0</v>
      </c>
      <c r="EV115" s="661">
        <f t="shared" si="526"/>
        <v>0</v>
      </c>
      <c r="EW115" s="661">
        <f t="shared" si="527"/>
        <v>0</v>
      </c>
      <c r="EX115" s="439">
        <f t="shared" si="528"/>
        <v>0</v>
      </c>
      <c r="EY115" s="439">
        <f t="shared" si="529"/>
        <v>0</v>
      </c>
      <c r="EZ115" s="439">
        <f t="shared" si="530"/>
        <v>0</v>
      </c>
      <c r="FA115" s="439">
        <f t="shared" si="531"/>
        <v>0</v>
      </c>
      <c r="FB115" s="631" t="s">
        <v>92</v>
      </c>
      <c r="FC115" s="631">
        <f t="shared" si="615"/>
        <v>2.3379664915316214</v>
      </c>
      <c r="FE115" s="439">
        <f t="shared" si="532"/>
        <v>11.73396</v>
      </c>
      <c r="FF115" s="440">
        <f t="shared" si="533"/>
        <v>8.9859600000000004</v>
      </c>
      <c r="FG115" s="439">
        <f t="shared" si="534"/>
        <v>-6.2379600000000011</v>
      </c>
      <c r="FH115" s="441">
        <f t="shared" si="535"/>
        <v>0</v>
      </c>
      <c r="FI115" s="439">
        <f t="shared" si="536"/>
        <v>0</v>
      </c>
      <c r="FJ115" s="439">
        <f t="shared" si="537"/>
        <v>0</v>
      </c>
      <c r="FK115" s="439">
        <f t="shared" si="538"/>
        <v>0</v>
      </c>
      <c r="FL115" s="439">
        <f t="shared" si="539"/>
        <v>0</v>
      </c>
      <c r="FM115" s="439">
        <f t="shared" si="540"/>
        <v>0</v>
      </c>
      <c r="FN115" s="439">
        <f t="shared" si="541"/>
        <v>0</v>
      </c>
      <c r="FO115" s="439">
        <f t="shared" si="542"/>
        <v>0</v>
      </c>
      <c r="FP115" s="439">
        <f t="shared" si="543"/>
        <v>0</v>
      </c>
      <c r="FQ115" s="439">
        <f t="shared" si="544"/>
        <v>0</v>
      </c>
      <c r="FR115" s="439">
        <f t="shared" si="545"/>
        <v>0</v>
      </c>
      <c r="FS115" s="442">
        <f t="shared" si="546"/>
        <v>0</v>
      </c>
      <c r="FT115" s="442">
        <f t="shared" si="547"/>
        <v>0</v>
      </c>
      <c r="FU115" s="439">
        <f t="shared" si="548"/>
        <v>0</v>
      </c>
      <c r="FV115" s="439">
        <f t="shared" si="549"/>
        <v>0</v>
      </c>
      <c r="FW115" s="661">
        <f t="shared" si="550"/>
        <v>0</v>
      </c>
      <c r="FX115" s="661">
        <f t="shared" si="551"/>
        <v>0</v>
      </c>
      <c r="FY115" s="439">
        <f t="shared" si="552"/>
        <v>0</v>
      </c>
      <c r="FZ115" s="439">
        <f t="shared" si="553"/>
        <v>0</v>
      </c>
      <c r="GA115" s="439">
        <f t="shared" si="554"/>
        <v>0</v>
      </c>
      <c r="GB115" s="439">
        <f t="shared" si="555"/>
        <v>0</v>
      </c>
      <c r="GC115" s="631" t="s">
        <v>92</v>
      </c>
      <c r="GD115" s="631">
        <f t="shared" si="616"/>
        <v>1.195076621787369</v>
      </c>
      <c r="GF115" s="439">
        <f t="shared" si="556"/>
        <v>17.191020000000002</v>
      </c>
      <c r="GG115" s="440">
        <f t="shared" si="557"/>
        <v>13.165020000000002</v>
      </c>
      <c r="GH115" s="439">
        <f t="shared" si="558"/>
        <v>-9.1390200000000021</v>
      </c>
      <c r="GI115" s="439">
        <f t="shared" si="559"/>
        <v>0</v>
      </c>
      <c r="GJ115" s="439">
        <f t="shared" si="560"/>
        <v>0</v>
      </c>
      <c r="GK115" s="439">
        <f t="shared" si="561"/>
        <v>0</v>
      </c>
      <c r="GL115" s="439">
        <f t="shared" si="562"/>
        <v>0</v>
      </c>
      <c r="GM115" s="439">
        <f t="shared" si="563"/>
        <v>0</v>
      </c>
      <c r="GN115" s="439">
        <f t="shared" si="564"/>
        <v>0</v>
      </c>
      <c r="GO115" s="439">
        <f t="shared" si="565"/>
        <v>0</v>
      </c>
      <c r="GP115" s="439">
        <f t="shared" si="566"/>
        <v>0</v>
      </c>
      <c r="GQ115" s="439">
        <f t="shared" si="567"/>
        <v>0</v>
      </c>
      <c r="GR115" s="439">
        <f t="shared" si="568"/>
        <v>0</v>
      </c>
      <c r="GS115" s="439">
        <f t="shared" si="569"/>
        <v>0</v>
      </c>
      <c r="GT115" s="442">
        <f t="shared" si="570"/>
        <v>0</v>
      </c>
      <c r="GU115" s="442">
        <f t="shared" si="571"/>
        <v>0</v>
      </c>
      <c r="GV115" s="439">
        <f t="shared" si="572"/>
        <v>0</v>
      </c>
      <c r="GW115" s="439">
        <f t="shared" si="573"/>
        <v>0</v>
      </c>
      <c r="GX115" s="661">
        <f t="shared" si="574"/>
        <v>0</v>
      </c>
      <c r="GY115" s="661">
        <f t="shared" si="575"/>
        <v>0</v>
      </c>
      <c r="GZ115" s="439">
        <f t="shared" si="576"/>
        <v>0</v>
      </c>
      <c r="HA115" s="439">
        <f t="shared" si="577"/>
        <v>0</v>
      </c>
      <c r="HB115" s="439">
        <f t="shared" si="578"/>
        <v>0</v>
      </c>
      <c r="HC115" s="439">
        <f t="shared" si="579"/>
        <v>0</v>
      </c>
      <c r="HD115" s="631" t="s">
        <v>92</v>
      </c>
      <c r="HE115" s="631">
        <f t="shared" si="617"/>
        <v>1.7508655310465602</v>
      </c>
      <c r="HG115" s="618">
        <f>HLOOKUP(CQ115,Spec_Sheet!$F$3:$DV$19,11,FALSE)+HLOOKUP(CQ115,Spec_Sheet!$F$3:$DV$21,19,FALSE)</f>
        <v>360</v>
      </c>
      <c r="HH115" s="618">
        <f t="shared" si="618"/>
        <v>100</v>
      </c>
      <c r="HI115" s="634">
        <f t="shared" si="619"/>
        <v>400</v>
      </c>
      <c r="HJ115" s="634">
        <f>HLOOKUP(IF(LEN(CQ115)&gt;6,LEFT(CQ115,5),CQ115),'LSM List Pricing'!$B$1:$BW$2,2,0)</f>
        <v>68</v>
      </c>
      <c r="HK115" s="634">
        <f>HLOOKUP(HJ115,'LSM List Pricing'!$B$2:$BW$3,2)</f>
        <v>2000</v>
      </c>
      <c r="HL115" s="634">
        <f>VLOOKUP(HH115,'LSM List Pricing'!$A$7:$BW$87,HJ115,0)</f>
        <v>3150</v>
      </c>
      <c r="HM115" s="627">
        <f>VLOOKUP(HI115,'LSM List Pricing'!$A$7:$BW$87,HJ115,1)</f>
        <v>4750</v>
      </c>
      <c r="HN115" s="628">
        <f t="shared" si="620"/>
        <v>13.205128205128204</v>
      </c>
      <c r="HO115" s="628">
        <f t="shared" si="621"/>
        <v>26.410256410256409</v>
      </c>
      <c r="HP115" s="628">
        <f t="shared" si="622"/>
        <v>22.435897435897434</v>
      </c>
      <c r="HR115" s="618">
        <v>5.6000000000000001E-2</v>
      </c>
      <c r="HS115" s="618">
        <f t="shared" si="457"/>
        <v>376</v>
      </c>
      <c r="HT115" s="618">
        <f t="shared" si="458"/>
        <v>1</v>
      </c>
      <c r="HU115" s="618">
        <f t="shared" si="466"/>
        <v>1.4263131488377363</v>
      </c>
      <c r="HW115" s="618">
        <f t="shared" si="413"/>
        <v>33.974635328650415</v>
      </c>
      <c r="HX115" s="618">
        <f t="shared" si="467"/>
        <v>1.3858326289151892</v>
      </c>
      <c r="HY115" s="618">
        <f t="shared" si="468"/>
        <v>5.6000000000000001E-2</v>
      </c>
      <c r="IB115" s="618">
        <f t="shared" si="414"/>
        <v>25.000350341399081</v>
      </c>
      <c r="IC115" s="618">
        <f t="shared" si="415"/>
        <v>1E-3</v>
      </c>
      <c r="IE115" s="618">
        <f t="shared" si="416"/>
        <v>0</v>
      </c>
      <c r="IF115" s="618">
        <f t="shared" si="417"/>
        <v>40.704999999999998</v>
      </c>
      <c r="IH115" s="618">
        <f t="shared" si="418"/>
        <v>0</v>
      </c>
      <c r="II115" s="618">
        <f t="shared" si="419"/>
        <v>40.704999999999998</v>
      </c>
      <c r="IK115" s="618">
        <f t="shared" si="420"/>
        <v>0</v>
      </c>
      <c r="IL115" s="618">
        <f t="shared" si="421"/>
        <v>40.704999999999998</v>
      </c>
      <c r="IN115" s="618">
        <f t="shared" si="422"/>
        <v>0</v>
      </c>
      <c r="IO115" s="618">
        <f t="shared" si="423"/>
        <v>40.704999999999998</v>
      </c>
      <c r="IQ115" s="618">
        <f t="shared" si="424"/>
        <v>0</v>
      </c>
      <c r="IR115" s="618">
        <f t="shared" si="425"/>
        <v>40.704999999999998</v>
      </c>
      <c r="IT115" s="660" t="str">
        <f t="shared" si="623"/>
        <v>S500T</v>
      </c>
      <c r="IU115" s="628"/>
      <c r="IV115" s="439">
        <f t="shared" si="580"/>
        <v>33.818399999999997</v>
      </c>
      <c r="IW115" s="440">
        <f t="shared" si="581"/>
        <v>25.898399999999999</v>
      </c>
      <c r="IX115" s="439">
        <f t="shared" si="582"/>
        <v>-17.978400000000001</v>
      </c>
      <c r="IY115" s="439">
        <f t="shared" si="583"/>
        <v>0</v>
      </c>
      <c r="IZ115" s="439">
        <f t="shared" si="584"/>
        <v>0</v>
      </c>
      <c r="JA115" s="439">
        <f t="shared" si="585"/>
        <v>0</v>
      </c>
      <c r="JB115" s="439">
        <f t="shared" si="586"/>
        <v>0</v>
      </c>
      <c r="JC115" s="439">
        <f t="shared" si="587"/>
        <v>0</v>
      </c>
      <c r="JD115" s="439">
        <f t="shared" si="588"/>
        <v>0</v>
      </c>
      <c r="JE115" s="439">
        <f t="shared" si="589"/>
        <v>0</v>
      </c>
      <c r="JF115" s="439">
        <f t="shared" si="590"/>
        <v>0</v>
      </c>
      <c r="JG115" s="439">
        <f t="shared" si="591"/>
        <v>0</v>
      </c>
      <c r="JH115" s="439">
        <f t="shared" si="592"/>
        <v>0</v>
      </c>
      <c r="JI115" s="439">
        <f t="shared" si="593"/>
        <v>0</v>
      </c>
      <c r="JJ115" s="442">
        <f t="shared" si="594"/>
        <v>0</v>
      </c>
      <c r="JK115" s="442">
        <f t="shared" si="595"/>
        <v>0</v>
      </c>
      <c r="JL115" s="439">
        <f t="shared" si="596"/>
        <v>0</v>
      </c>
      <c r="JM115" s="439">
        <f t="shared" si="597"/>
        <v>0</v>
      </c>
      <c r="JN115" s="661">
        <f t="shared" si="598"/>
        <v>0</v>
      </c>
      <c r="JO115" s="661">
        <f t="shared" si="599"/>
        <v>0</v>
      </c>
      <c r="JP115" s="439">
        <f t="shared" si="600"/>
        <v>0</v>
      </c>
      <c r="JQ115" s="439">
        <f t="shared" si="601"/>
        <v>0</v>
      </c>
      <c r="JR115" s="439">
        <f t="shared" si="602"/>
        <v>0</v>
      </c>
      <c r="JS115" s="439">
        <f t="shared" si="603"/>
        <v>0</v>
      </c>
      <c r="JT115" s="631" t="s">
        <v>92</v>
      </c>
      <c r="JU115" s="631">
        <f t="shared" si="624"/>
        <v>3.4443256348456912</v>
      </c>
      <c r="JW115" s="522"/>
      <c r="JX115" s="522"/>
      <c r="JY115" s="522"/>
      <c r="JZ115" s="522"/>
      <c r="KA115" s="522"/>
      <c r="KB115" s="522"/>
      <c r="KC115" s="522"/>
      <c r="KD115" s="522"/>
      <c r="KE115" s="522"/>
      <c r="KF115" s="522"/>
      <c r="KG115" s="522"/>
      <c r="KH115" s="522"/>
      <c r="KI115" s="522"/>
      <c r="KJ115" s="522"/>
      <c r="KK115" s="522"/>
      <c r="KL115" s="522"/>
    </row>
    <row r="116" spans="1:298" s="579" customFormat="1">
      <c r="A116" s="334"/>
      <c r="U116" s="580"/>
      <c r="V116" s="580"/>
      <c r="AC116" s="580"/>
      <c r="AD116" s="580"/>
      <c r="AL116" s="580"/>
      <c r="AM116" s="580"/>
      <c r="AT116" s="580"/>
      <c r="AU116" s="580"/>
      <c r="AV116" s="581">
        <f t="shared" si="613"/>
        <v>0</v>
      </c>
      <c r="AW116" s="581">
        <f>IF($AY$32,'Data Sheet'!AA137,0)</f>
        <v>0</v>
      </c>
      <c r="AX116" s="581">
        <f t="shared" si="612"/>
        <v>40.704999999999998</v>
      </c>
      <c r="CH116" s="334"/>
      <c r="CI116" s="334"/>
      <c r="CO116" s="694"/>
      <c r="CP116" s="632" t="str">
        <f>IF(OR(CQ116=0,CR116="",CS116&gt;120),"",IF(HLOOKUP(CQ116,Spec_Sheet!$F$3:$ED$19,17,FALSE)&lt;$AC$46,"",CQ116))</f>
        <v>S500Q 2S</v>
      </c>
      <c r="CQ116" s="660" t="str">
        <f>IF(Spec_Sheet!A115="","",Spec_Sheet!A115)</f>
        <v>S500Q 2S</v>
      </c>
      <c r="CR116" s="660">
        <f>IF(CQ116="",0,HLOOKUP(CQ116,Spec_Sheet!$F$3:$ED$19,2,FALSE))</f>
        <v>584.96900000000005</v>
      </c>
      <c r="CS116" s="660">
        <f t="shared" si="605"/>
        <v>1.1492698854216399E-3</v>
      </c>
      <c r="CT116" s="621">
        <f t="shared" si="606"/>
        <v>1.1797128030929542E-3</v>
      </c>
      <c r="CU116" s="621">
        <f t="shared" si="607"/>
        <v>1.1492698854216399E-3</v>
      </c>
      <c r="CV116" s="621">
        <f t="shared" si="608"/>
        <v>5.4113231284022058E-4</v>
      </c>
      <c r="CW116" s="621">
        <f t="shared" si="609"/>
        <v>5.205783690791306E-4</v>
      </c>
      <c r="CX116" s="621">
        <f t="shared" si="610"/>
        <v>3.2274976933673554E-4</v>
      </c>
      <c r="CY116" s="619">
        <f>HLOOKUP(CQ116,Spec_Sheet!$F$3:$ED$19,13,FALSE)</f>
        <v>15</v>
      </c>
      <c r="CZ116" s="619">
        <f>VLOOKUP(HH116,'Shaft Weight'!$A$6:$CD$102,HJ116,TRUE)</f>
        <v>10.029999999999999</v>
      </c>
      <c r="DA116" s="619">
        <f>VLOOKUP(HI116,'Shaft Weight'!$A$6:$CD$102,HJ116,0)</f>
        <v>15.71</v>
      </c>
      <c r="DB116" s="619">
        <f>HLOOKUP(CQ116,Spec_Sheet!$F$3:$ED$19,6,FALSE)</f>
        <v>151.94</v>
      </c>
      <c r="DC116" s="439">
        <f t="shared" si="484"/>
        <v>19.727400000000003</v>
      </c>
      <c r="DD116" s="440">
        <f t="shared" si="485"/>
        <v>15.107400000000002</v>
      </c>
      <c r="DE116" s="439">
        <f t="shared" si="486"/>
        <v>-10.487400000000001</v>
      </c>
      <c r="DF116" s="439">
        <f t="shared" si="487"/>
        <v>0</v>
      </c>
      <c r="DG116" s="439">
        <f t="shared" si="488"/>
        <v>0</v>
      </c>
      <c r="DH116" s="439">
        <f t="shared" si="489"/>
        <v>0</v>
      </c>
      <c r="DI116" s="439">
        <f t="shared" si="490"/>
        <v>0</v>
      </c>
      <c r="DJ116" s="439">
        <f t="shared" si="491"/>
        <v>0</v>
      </c>
      <c r="DK116" s="439">
        <f t="shared" si="492"/>
        <v>0</v>
      </c>
      <c r="DL116" s="439">
        <f t="shared" si="493"/>
        <v>0</v>
      </c>
      <c r="DM116" s="439">
        <f t="shared" si="494"/>
        <v>0</v>
      </c>
      <c r="DN116" s="439">
        <f t="shared" si="495"/>
        <v>0</v>
      </c>
      <c r="DO116" s="439">
        <f t="shared" si="496"/>
        <v>0</v>
      </c>
      <c r="DP116" s="439">
        <f t="shared" si="497"/>
        <v>0</v>
      </c>
      <c r="DQ116" s="442">
        <f t="shared" si="498"/>
        <v>0</v>
      </c>
      <c r="DR116" s="442">
        <f t="shared" si="499"/>
        <v>0</v>
      </c>
      <c r="DS116" s="439">
        <f t="shared" si="500"/>
        <v>0</v>
      </c>
      <c r="DT116" s="439">
        <f t="shared" si="501"/>
        <v>0</v>
      </c>
      <c r="DU116" s="661">
        <f t="shared" si="502"/>
        <v>0</v>
      </c>
      <c r="DV116" s="661">
        <f t="shared" si="503"/>
        <v>0</v>
      </c>
      <c r="DW116" s="439">
        <f t="shared" si="504"/>
        <v>0</v>
      </c>
      <c r="DX116" s="439">
        <f t="shared" si="505"/>
        <v>0</v>
      </c>
      <c r="DY116" s="439">
        <f t="shared" si="506"/>
        <v>0</v>
      </c>
      <c r="DZ116" s="439">
        <f t="shared" si="507"/>
        <v>0</v>
      </c>
      <c r="EA116" s="631" t="s">
        <v>92</v>
      </c>
      <c r="EB116" s="631">
        <f t="shared" si="614"/>
        <v>2.0091899536599871</v>
      </c>
      <c r="EC116" s="618"/>
      <c r="ED116" s="439">
        <f t="shared" si="508"/>
        <v>26.209259999999997</v>
      </c>
      <c r="EE116" s="440">
        <f t="shared" si="509"/>
        <v>20.071259999999999</v>
      </c>
      <c r="EF116" s="439">
        <f t="shared" si="510"/>
        <v>-13.933260000000001</v>
      </c>
      <c r="EG116" s="441">
        <f t="shared" si="511"/>
        <v>0</v>
      </c>
      <c r="EH116" s="439">
        <f t="shared" si="512"/>
        <v>0</v>
      </c>
      <c r="EI116" s="439">
        <f t="shared" si="513"/>
        <v>0</v>
      </c>
      <c r="EJ116" s="439">
        <f t="shared" si="514"/>
        <v>0</v>
      </c>
      <c r="EK116" s="439">
        <f t="shared" si="515"/>
        <v>0</v>
      </c>
      <c r="EL116" s="439">
        <f t="shared" si="516"/>
        <v>0</v>
      </c>
      <c r="EM116" s="439">
        <f t="shared" si="517"/>
        <v>0</v>
      </c>
      <c r="EN116" s="439">
        <f t="shared" si="518"/>
        <v>0</v>
      </c>
      <c r="EO116" s="439">
        <f t="shared" si="519"/>
        <v>0</v>
      </c>
      <c r="EP116" s="439">
        <f t="shared" si="520"/>
        <v>0</v>
      </c>
      <c r="EQ116" s="439">
        <f t="shared" si="521"/>
        <v>0</v>
      </c>
      <c r="ER116" s="442">
        <f t="shared" si="522"/>
        <v>0</v>
      </c>
      <c r="ES116" s="442">
        <f t="shared" si="523"/>
        <v>0</v>
      </c>
      <c r="ET116" s="439">
        <f t="shared" si="524"/>
        <v>0</v>
      </c>
      <c r="EU116" s="439">
        <f t="shared" si="525"/>
        <v>0</v>
      </c>
      <c r="EV116" s="661">
        <f t="shared" si="526"/>
        <v>0</v>
      </c>
      <c r="EW116" s="661">
        <f t="shared" si="527"/>
        <v>0</v>
      </c>
      <c r="EX116" s="439">
        <f t="shared" si="528"/>
        <v>0</v>
      </c>
      <c r="EY116" s="439">
        <f t="shared" si="529"/>
        <v>0</v>
      </c>
      <c r="EZ116" s="439">
        <f t="shared" si="530"/>
        <v>0</v>
      </c>
      <c r="FA116" s="439">
        <f t="shared" si="531"/>
        <v>0</v>
      </c>
      <c r="FB116" s="631" t="s">
        <v>92</v>
      </c>
      <c r="FC116" s="631">
        <f t="shared" si="615"/>
        <v>2.6693523670054113</v>
      </c>
      <c r="FD116" s="618"/>
      <c r="FE116" s="439">
        <f t="shared" si="532"/>
        <v>13.360830000000002</v>
      </c>
      <c r="FF116" s="440">
        <f t="shared" si="533"/>
        <v>10.231830000000002</v>
      </c>
      <c r="FG116" s="439">
        <f t="shared" si="534"/>
        <v>-7.1028300000000026</v>
      </c>
      <c r="FH116" s="441">
        <f t="shared" si="535"/>
        <v>0</v>
      </c>
      <c r="FI116" s="439">
        <f t="shared" si="536"/>
        <v>0</v>
      </c>
      <c r="FJ116" s="439">
        <f t="shared" si="537"/>
        <v>0</v>
      </c>
      <c r="FK116" s="439">
        <f t="shared" si="538"/>
        <v>0</v>
      </c>
      <c r="FL116" s="439">
        <f t="shared" si="539"/>
        <v>0</v>
      </c>
      <c r="FM116" s="439">
        <f t="shared" si="540"/>
        <v>0</v>
      </c>
      <c r="FN116" s="439">
        <f t="shared" si="541"/>
        <v>0</v>
      </c>
      <c r="FO116" s="439">
        <f t="shared" si="542"/>
        <v>0</v>
      </c>
      <c r="FP116" s="439">
        <f t="shared" si="543"/>
        <v>0</v>
      </c>
      <c r="FQ116" s="439">
        <f t="shared" si="544"/>
        <v>0</v>
      </c>
      <c r="FR116" s="439">
        <f t="shared" si="545"/>
        <v>0</v>
      </c>
      <c r="FS116" s="442">
        <f t="shared" si="546"/>
        <v>0</v>
      </c>
      <c r="FT116" s="442">
        <f t="shared" si="547"/>
        <v>0</v>
      </c>
      <c r="FU116" s="439">
        <f t="shared" si="548"/>
        <v>0</v>
      </c>
      <c r="FV116" s="439">
        <f t="shared" si="549"/>
        <v>0</v>
      </c>
      <c r="FW116" s="661">
        <f t="shared" si="550"/>
        <v>0</v>
      </c>
      <c r="FX116" s="661">
        <f t="shared" si="551"/>
        <v>0</v>
      </c>
      <c r="FY116" s="439">
        <f t="shared" si="552"/>
        <v>0</v>
      </c>
      <c r="FZ116" s="439">
        <f t="shared" si="553"/>
        <v>0</v>
      </c>
      <c r="GA116" s="439">
        <f t="shared" si="554"/>
        <v>0</v>
      </c>
      <c r="GB116" s="439">
        <f t="shared" si="555"/>
        <v>0</v>
      </c>
      <c r="GC116" s="631" t="s">
        <v>92</v>
      </c>
      <c r="GD116" s="631">
        <f t="shared" si="616"/>
        <v>1.3607695595242641</v>
      </c>
      <c r="GE116" s="618"/>
      <c r="GF116" s="439">
        <f t="shared" si="556"/>
        <v>20.63691</v>
      </c>
      <c r="GG116" s="440">
        <f t="shared" si="557"/>
        <v>15.80391</v>
      </c>
      <c r="GH116" s="439">
        <f t="shared" si="558"/>
        <v>-10.97091</v>
      </c>
      <c r="GI116" s="439">
        <f t="shared" si="559"/>
        <v>0</v>
      </c>
      <c r="GJ116" s="439">
        <f t="shared" si="560"/>
        <v>0</v>
      </c>
      <c r="GK116" s="439">
        <f t="shared" si="561"/>
        <v>0</v>
      </c>
      <c r="GL116" s="439">
        <f t="shared" si="562"/>
        <v>0</v>
      </c>
      <c r="GM116" s="439">
        <f t="shared" si="563"/>
        <v>0</v>
      </c>
      <c r="GN116" s="439">
        <f t="shared" si="564"/>
        <v>0</v>
      </c>
      <c r="GO116" s="439">
        <f t="shared" si="565"/>
        <v>0</v>
      </c>
      <c r="GP116" s="439">
        <f t="shared" si="566"/>
        <v>0</v>
      </c>
      <c r="GQ116" s="439">
        <f t="shared" si="567"/>
        <v>0</v>
      </c>
      <c r="GR116" s="439">
        <f t="shared" si="568"/>
        <v>0</v>
      </c>
      <c r="GS116" s="439">
        <f t="shared" si="569"/>
        <v>0</v>
      </c>
      <c r="GT116" s="442">
        <f t="shared" si="570"/>
        <v>0</v>
      </c>
      <c r="GU116" s="442">
        <f t="shared" si="571"/>
        <v>0</v>
      </c>
      <c r="GV116" s="439">
        <f t="shared" si="572"/>
        <v>0</v>
      </c>
      <c r="GW116" s="439">
        <f t="shared" si="573"/>
        <v>0</v>
      </c>
      <c r="GX116" s="661">
        <f t="shared" si="574"/>
        <v>0</v>
      </c>
      <c r="GY116" s="661">
        <f t="shared" si="575"/>
        <v>0</v>
      </c>
      <c r="GZ116" s="439">
        <f t="shared" si="576"/>
        <v>0</v>
      </c>
      <c r="HA116" s="439">
        <f t="shared" si="577"/>
        <v>0</v>
      </c>
      <c r="HB116" s="439">
        <f t="shared" si="578"/>
        <v>0</v>
      </c>
      <c r="HC116" s="439">
        <f t="shared" si="579"/>
        <v>0</v>
      </c>
      <c r="HD116" s="631" t="s">
        <v>92</v>
      </c>
      <c r="HE116" s="631">
        <f t="shared" si="617"/>
        <v>2.1018214385365188</v>
      </c>
      <c r="HF116" s="639"/>
      <c r="HG116" s="618">
        <f>HLOOKUP(CQ116,Spec_Sheet!$F$3:$DV$19,11,FALSE)+HLOOKUP(CQ116,Spec_Sheet!$F$3:$DV$21,19,FALSE)</f>
        <v>450</v>
      </c>
      <c r="HH116" s="618">
        <f t="shared" si="618"/>
        <v>100</v>
      </c>
      <c r="HI116" s="634">
        <f t="shared" si="619"/>
        <v>500</v>
      </c>
      <c r="HJ116" s="634">
        <f>HLOOKUP(IF(LEN(CQ116)&gt;6,LEFT(CQ116,5),CQ116),'LSM List Pricing'!$B$1:$BW$2,2,0)</f>
        <v>69</v>
      </c>
      <c r="HK116" s="634">
        <f>HLOOKUP(HJ116,'LSM List Pricing'!$B$2:$BW$3,2)</f>
        <v>2780</v>
      </c>
      <c r="HL116" s="634">
        <f>VLOOKUP(HH116,'LSM List Pricing'!$A$7:$BW$87,HJ116,0)</f>
        <v>3630</v>
      </c>
      <c r="HM116" s="627">
        <f>VLOOKUP(HI116,'LSM List Pricing'!$A$7:$BW$87,HJ116,1)</f>
        <v>5760</v>
      </c>
      <c r="HN116" s="628">
        <f t="shared" si="620"/>
        <v>16.435897435897434</v>
      </c>
      <c r="HO116" s="628">
        <f t="shared" si="621"/>
        <v>32.871794871794869</v>
      </c>
      <c r="HP116" s="628">
        <f t="shared" si="622"/>
        <v>29.025641025641026</v>
      </c>
      <c r="HQ116" s="639"/>
      <c r="HR116" s="639">
        <v>5.6500000000000002E-2</v>
      </c>
      <c r="HS116" s="639">
        <f t="shared" si="457"/>
        <v>379.35714285714289</v>
      </c>
      <c r="HT116" s="639">
        <f t="shared" si="458"/>
        <v>1</v>
      </c>
      <c r="HU116" s="618">
        <f t="shared" si="466"/>
        <v>1.4390521928113611</v>
      </c>
      <c r="HV116" s="618"/>
      <c r="HW116" s="618">
        <f t="shared" si="413"/>
        <v>33.95654588620787</v>
      </c>
      <c r="HX116" s="618">
        <f t="shared" si="467"/>
        <v>1.397848571449545</v>
      </c>
      <c r="HY116" s="618">
        <f t="shared" si="468"/>
        <v>5.6500000000000002E-2</v>
      </c>
      <c r="HZ116" s="618"/>
      <c r="IA116" s="618"/>
      <c r="IB116" s="618">
        <f t="shared" si="414"/>
        <v>25.000350341399081</v>
      </c>
      <c r="IC116" s="618">
        <f t="shared" si="415"/>
        <v>1E-3</v>
      </c>
      <c r="ID116" s="618"/>
      <c r="IE116" s="618">
        <f t="shared" si="416"/>
        <v>0</v>
      </c>
      <c r="IF116" s="618">
        <f t="shared" si="417"/>
        <v>40.704999999999998</v>
      </c>
      <c r="IG116" s="618"/>
      <c r="IH116" s="618">
        <f t="shared" si="418"/>
        <v>0</v>
      </c>
      <c r="II116" s="618">
        <f t="shared" si="419"/>
        <v>40.704999999999998</v>
      </c>
      <c r="IJ116" s="618"/>
      <c r="IK116" s="618">
        <f t="shared" si="420"/>
        <v>0</v>
      </c>
      <c r="IL116" s="618">
        <f t="shared" si="421"/>
        <v>40.704999999999998</v>
      </c>
      <c r="IM116" s="618"/>
      <c r="IN116" s="618">
        <f t="shared" si="422"/>
        <v>0</v>
      </c>
      <c r="IO116" s="618">
        <f t="shared" si="423"/>
        <v>40.704999999999998</v>
      </c>
      <c r="IP116" s="618"/>
      <c r="IQ116" s="618">
        <f t="shared" si="424"/>
        <v>0</v>
      </c>
      <c r="IR116" s="618">
        <f t="shared" si="425"/>
        <v>40.704999999999998</v>
      </c>
      <c r="IS116" s="639"/>
      <c r="IT116" s="660" t="str">
        <f t="shared" si="623"/>
        <v>S500Q 2S</v>
      </c>
      <c r="IU116" s="628"/>
      <c r="IV116" s="439">
        <f t="shared" si="580"/>
        <v>38.942399999999999</v>
      </c>
      <c r="IW116" s="440">
        <f t="shared" si="581"/>
        <v>29.822400000000002</v>
      </c>
      <c r="IX116" s="439">
        <f t="shared" si="582"/>
        <v>-20.702400000000004</v>
      </c>
      <c r="IY116" s="439">
        <f t="shared" si="583"/>
        <v>0</v>
      </c>
      <c r="IZ116" s="439">
        <f t="shared" si="584"/>
        <v>0</v>
      </c>
      <c r="JA116" s="439">
        <f t="shared" si="585"/>
        <v>0</v>
      </c>
      <c r="JB116" s="439">
        <f t="shared" si="586"/>
        <v>0</v>
      </c>
      <c r="JC116" s="439">
        <f t="shared" si="587"/>
        <v>0</v>
      </c>
      <c r="JD116" s="439">
        <f t="shared" si="588"/>
        <v>0</v>
      </c>
      <c r="JE116" s="439">
        <f t="shared" si="589"/>
        <v>0</v>
      </c>
      <c r="JF116" s="439">
        <f t="shared" si="590"/>
        <v>0</v>
      </c>
      <c r="JG116" s="439">
        <f t="shared" si="591"/>
        <v>0</v>
      </c>
      <c r="JH116" s="439">
        <f t="shared" si="592"/>
        <v>0</v>
      </c>
      <c r="JI116" s="439">
        <f t="shared" si="593"/>
        <v>0</v>
      </c>
      <c r="JJ116" s="442">
        <f t="shared" si="594"/>
        <v>0</v>
      </c>
      <c r="JK116" s="442">
        <f t="shared" si="595"/>
        <v>0</v>
      </c>
      <c r="JL116" s="439">
        <f t="shared" si="596"/>
        <v>0</v>
      </c>
      <c r="JM116" s="439">
        <f t="shared" si="597"/>
        <v>0</v>
      </c>
      <c r="JN116" s="661">
        <f t="shared" si="598"/>
        <v>0</v>
      </c>
      <c r="JO116" s="661">
        <f t="shared" si="599"/>
        <v>0</v>
      </c>
      <c r="JP116" s="439">
        <f t="shared" si="600"/>
        <v>0</v>
      </c>
      <c r="JQ116" s="439">
        <f t="shared" si="601"/>
        <v>0</v>
      </c>
      <c r="JR116" s="439">
        <f t="shared" si="602"/>
        <v>0</v>
      </c>
      <c r="JS116" s="439">
        <f t="shared" si="603"/>
        <v>0</v>
      </c>
      <c r="JT116" s="631" t="s">
        <v>92</v>
      </c>
      <c r="JU116" s="631">
        <f t="shared" si="624"/>
        <v>3.9661931552768577</v>
      </c>
      <c r="JV116" s="652"/>
    </row>
    <row r="117" spans="1:298" s="579" customFormat="1">
      <c r="A117" s="334"/>
      <c r="U117" s="580"/>
      <c r="V117" s="580"/>
      <c r="AC117" s="580"/>
      <c r="AD117" s="580"/>
      <c r="AL117" s="580"/>
      <c r="AM117" s="580"/>
      <c r="AT117" s="580"/>
      <c r="AU117" s="580"/>
      <c r="AV117" s="581" t="e">
        <f t="shared" si="613"/>
        <v>#DIV/0!</v>
      </c>
      <c r="AW117" s="581" t="e">
        <f>IF($AY$32,'Data Sheet'!AA138,0)</f>
        <v>#DIV/0!</v>
      </c>
      <c r="AX117" s="581">
        <f t="shared" si="612"/>
        <v>40.704999999999998</v>
      </c>
      <c r="CH117" s="334"/>
      <c r="CI117" s="334"/>
      <c r="CO117" s="694"/>
      <c r="CP117" s="632" t="str">
        <f>IF(OR(CQ117=0,CR117="",CS117&gt;120),"",IF(HLOOKUP(CQ117,Spec_Sheet!$F$3:$ED$19,17,FALSE)&lt;$AC$46,"",CQ117))</f>
        <v>S500Q 4S</v>
      </c>
      <c r="CQ117" s="660" t="str">
        <f>IF(Spec_Sheet!A116="","",Spec_Sheet!A116)</f>
        <v>S500Q 4S</v>
      </c>
      <c r="CR117" s="660">
        <f>IF(CQ117="",0,HLOOKUP(CQ117,Spec_Sheet!$F$3:$ED$19,2,FALSE))</f>
        <v>584.96900000000005</v>
      </c>
      <c r="CS117" s="660">
        <f t="shared" si="605"/>
        <v>1.1492698854216399E-3</v>
      </c>
      <c r="CT117" s="621">
        <f t="shared" si="606"/>
        <v>1.1797128030929542E-3</v>
      </c>
      <c r="CU117" s="621">
        <f t="shared" si="607"/>
        <v>1.1492698854216399E-3</v>
      </c>
      <c r="CV117" s="621">
        <f t="shared" si="608"/>
        <v>5.4113231284022058E-4</v>
      </c>
      <c r="CW117" s="621">
        <f t="shared" si="609"/>
        <v>5.205783690791306E-4</v>
      </c>
      <c r="CX117" s="621">
        <f t="shared" si="610"/>
        <v>3.2274976933673554E-4</v>
      </c>
      <c r="CY117" s="619">
        <f>HLOOKUP(CQ117,Spec_Sheet!$F$3:$ED$19,13,FALSE)</f>
        <v>15</v>
      </c>
      <c r="CZ117" s="619">
        <f>VLOOKUP(HH117,'Shaft Weight'!$A$6:$CD$102,HJ117,TRUE)</f>
        <v>10.029999999999999</v>
      </c>
      <c r="DA117" s="619">
        <f>VLOOKUP(HI117,'Shaft Weight'!$A$6:$CD$102,HJ117,0)</f>
        <v>15.71</v>
      </c>
      <c r="DB117" s="619">
        <f>HLOOKUP(CQ117,Spec_Sheet!$F$3:$ED$19,6,FALSE)</f>
        <v>303.88</v>
      </c>
      <c r="DC117" s="439">
        <f t="shared" si="484"/>
        <v>19.727400000000003</v>
      </c>
      <c r="DD117" s="440">
        <f t="shared" si="485"/>
        <v>15.107400000000002</v>
      </c>
      <c r="DE117" s="439">
        <f t="shared" si="486"/>
        <v>-10.487400000000001</v>
      </c>
      <c r="DF117" s="439">
        <f t="shared" si="487"/>
        <v>0</v>
      </c>
      <c r="DG117" s="439">
        <f t="shared" si="488"/>
        <v>0</v>
      </c>
      <c r="DH117" s="439">
        <f t="shared" si="489"/>
        <v>0</v>
      </c>
      <c r="DI117" s="439">
        <f t="shared" si="490"/>
        <v>0</v>
      </c>
      <c r="DJ117" s="439">
        <f t="shared" si="491"/>
        <v>0</v>
      </c>
      <c r="DK117" s="439">
        <f t="shared" si="492"/>
        <v>0</v>
      </c>
      <c r="DL117" s="439">
        <f t="shared" si="493"/>
        <v>0</v>
      </c>
      <c r="DM117" s="439">
        <f t="shared" si="494"/>
        <v>0</v>
      </c>
      <c r="DN117" s="439">
        <f t="shared" si="495"/>
        <v>0</v>
      </c>
      <c r="DO117" s="439">
        <f t="shared" si="496"/>
        <v>0</v>
      </c>
      <c r="DP117" s="439">
        <f t="shared" si="497"/>
        <v>0</v>
      </c>
      <c r="DQ117" s="442">
        <f t="shared" si="498"/>
        <v>0</v>
      </c>
      <c r="DR117" s="442">
        <f t="shared" si="499"/>
        <v>0</v>
      </c>
      <c r="DS117" s="439">
        <f t="shared" si="500"/>
        <v>0</v>
      </c>
      <c r="DT117" s="439">
        <f t="shared" si="501"/>
        <v>0</v>
      </c>
      <c r="DU117" s="661">
        <f t="shared" si="502"/>
        <v>0</v>
      </c>
      <c r="DV117" s="661">
        <f t="shared" si="503"/>
        <v>0</v>
      </c>
      <c r="DW117" s="439">
        <f t="shared" si="504"/>
        <v>0</v>
      </c>
      <c r="DX117" s="439">
        <f t="shared" si="505"/>
        <v>0</v>
      </c>
      <c r="DY117" s="439">
        <f t="shared" si="506"/>
        <v>0</v>
      </c>
      <c r="DZ117" s="439">
        <f t="shared" si="507"/>
        <v>0</v>
      </c>
      <c r="EA117" s="631" t="s">
        <v>92</v>
      </c>
      <c r="EB117" s="631">
        <f t="shared" si="614"/>
        <v>2.0091899536599871</v>
      </c>
      <c r="EC117" s="618"/>
      <c r="ED117" s="439">
        <f t="shared" si="508"/>
        <v>26.209259999999997</v>
      </c>
      <c r="EE117" s="440">
        <f t="shared" si="509"/>
        <v>20.071259999999999</v>
      </c>
      <c r="EF117" s="439">
        <f t="shared" si="510"/>
        <v>-13.933260000000001</v>
      </c>
      <c r="EG117" s="441">
        <f t="shared" si="511"/>
        <v>0</v>
      </c>
      <c r="EH117" s="439">
        <f t="shared" si="512"/>
        <v>0</v>
      </c>
      <c r="EI117" s="439">
        <f t="shared" si="513"/>
        <v>0</v>
      </c>
      <c r="EJ117" s="439">
        <f t="shared" si="514"/>
        <v>0</v>
      </c>
      <c r="EK117" s="439">
        <f t="shared" si="515"/>
        <v>0</v>
      </c>
      <c r="EL117" s="439">
        <f t="shared" si="516"/>
        <v>0</v>
      </c>
      <c r="EM117" s="439">
        <f t="shared" si="517"/>
        <v>0</v>
      </c>
      <c r="EN117" s="439">
        <f t="shared" si="518"/>
        <v>0</v>
      </c>
      <c r="EO117" s="439">
        <f t="shared" si="519"/>
        <v>0</v>
      </c>
      <c r="EP117" s="439">
        <f t="shared" si="520"/>
        <v>0</v>
      </c>
      <c r="EQ117" s="439">
        <f t="shared" si="521"/>
        <v>0</v>
      </c>
      <c r="ER117" s="442">
        <f t="shared" si="522"/>
        <v>0</v>
      </c>
      <c r="ES117" s="442">
        <f t="shared" si="523"/>
        <v>0</v>
      </c>
      <c r="ET117" s="439">
        <f t="shared" si="524"/>
        <v>0</v>
      </c>
      <c r="EU117" s="439">
        <f t="shared" si="525"/>
        <v>0</v>
      </c>
      <c r="EV117" s="661">
        <f t="shared" si="526"/>
        <v>0</v>
      </c>
      <c r="EW117" s="661">
        <f t="shared" si="527"/>
        <v>0</v>
      </c>
      <c r="EX117" s="439">
        <f t="shared" si="528"/>
        <v>0</v>
      </c>
      <c r="EY117" s="439">
        <f t="shared" si="529"/>
        <v>0</v>
      </c>
      <c r="EZ117" s="439">
        <f t="shared" si="530"/>
        <v>0</v>
      </c>
      <c r="FA117" s="439">
        <f t="shared" si="531"/>
        <v>0</v>
      </c>
      <c r="FB117" s="631" t="s">
        <v>92</v>
      </c>
      <c r="FC117" s="631">
        <f t="shared" si="615"/>
        <v>2.6693523670054113</v>
      </c>
      <c r="FD117" s="618"/>
      <c r="FE117" s="439">
        <f t="shared" si="532"/>
        <v>13.360830000000002</v>
      </c>
      <c r="FF117" s="440">
        <f t="shared" si="533"/>
        <v>10.231830000000002</v>
      </c>
      <c r="FG117" s="439">
        <f t="shared" si="534"/>
        <v>-7.1028300000000026</v>
      </c>
      <c r="FH117" s="441">
        <f t="shared" si="535"/>
        <v>0</v>
      </c>
      <c r="FI117" s="439">
        <f t="shared" si="536"/>
        <v>0</v>
      </c>
      <c r="FJ117" s="439">
        <f t="shared" si="537"/>
        <v>0</v>
      </c>
      <c r="FK117" s="439">
        <f t="shared" si="538"/>
        <v>0</v>
      </c>
      <c r="FL117" s="439">
        <f t="shared" si="539"/>
        <v>0</v>
      </c>
      <c r="FM117" s="439">
        <f t="shared" si="540"/>
        <v>0</v>
      </c>
      <c r="FN117" s="439">
        <f t="shared" si="541"/>
        <v>0</v>
      </c>
      <c r="FO117" s="439">
        <f t="shared" si="542"/>
        <v>0</v>
      </c>
      <c r="FP117" s="439">
        <f t="shared" si="543"/>
        <v>0</v>
      </c>
      <c r="FQ117" s="439">
        <f t="shared" si="544"/>
        <v>0</v>
      </c>
      <c r="FR117" s="439">
        <f t="shared" si="545"/>
        <v>0</v>
      </c>
      <c r="FS117" s="442">
        <f t="shared" si="546"/>
        <v>0</v>
      </c>
      <c r="FT117" s="442">
        <f t="shared" si="547"/>
        <v>0</v>
      </c>
      <c r="FU117" s="439">
        <f t="shared" si="548"/>
        <v>0</v>
      </c>
      <c r="FV117" s="439">
        <f t="shared" si="549"/>
        <v>0</v>
      </c>
      <c r="FW117" s="661">
        <f t="shared" si="550"/>
        <v>0</v>
      </c>
      <c r="FX117" s="661">
        <f t="shared" si="551"/>
        <v>0</v>
      </c>
      <c r="FY117" s="439">
        <f t="shared" si="552"/>
        <v>0</v>
      </c>
      <c r="FZ117" s="439">
        <f t="shared" si="553"/>
        <v>0</v>
      </c>
      <c r="GA117" s="439">
        <f t="shared" si="554"/>
        <v>0</v>
      </c>
      <c r="GB117" s="439">
        <f t="shared" si="555"/>
        <v>0</v>
      </c>
      <c r="GC117" s="631" t="s">
        <v>92</v>
      </c>
      <c r="GD117" s="631">
        <f t="shared" si="616"/>
        <v>1.3607695595242641</v>
      </c>
      <c r="GE117" s="618"/>
      <c r="GF117" s="439">
        <f t="shared" si="556"/>
        <v>20.63691</v>
      </c>
      <c r="GG117" s="440">
        <f t="shared" si="557"/>
        <v>15.80391</v>
      </c>
      <c r="GH117" s="439">
        <f t="shared" si="558"/>
        <v>-10.97091</v>
      </c>
      <c r="GI117" s="439">
        <f t="shared" si="559"/>
        <v>0</v>
      </c>
      <c r="GJ117" s="439">
        <f t="shared" si="560"/>
        <v>0</v>
      </c>
      <c r="GK117" s="439">
        <f t="shared" si="561"/>
        <v>0</v>
      </c>
      <c r="GL117" s="439">
        <f t="shared" si="562"/>
        <v>0</v>
      </c>
      <c r="GM117" s="439">
        <f t="shared" si="563"/>
        <v>0</v>
      </c>
      <c r="GN117" s="439">
        <f t="shared" si="564"/>
        <v>0</v>
      </c>
      <c r="GO117" s="439">
        <f t="shared" si="565"/>
        <v>0</v>
      </c>
      <c r="GP117" s="439">
        <f t="shared" si="566"/>
        <v>0</v>
      </c>
      <c r="GQ117" s="439">
        <f t="shared" si="567"/>
        <v>0</v>
      </c>
      <c r="GR117" s="439">
        <f t="shared" si="568"/>
        <v>0</v>
      </c>
      <c r="GS117" s="439">
        <f t="shared" si="569"/>
        <v>0</v>
      </c>
      <c r="GT117" s="442">
        <f t="shared" si="570"/>
        <v>0</v>
      </c>
      <c r="GU117" s="442">
        <f t="shared" si="571"/>
        <v>0</v>
      </c>
      <c r="GV117" s="439">
        <f t="shared" si="572"/>
        <v>0</v>
      </c>
      <c r="GW117" s="439">
        <f t="shared" si="573"/>
        <v>0</v>
      </c>
      <c r="GX117" s="661">
        <f t="shared" si="574"/>
        <v>0</v>
      </c>
      <c r="GY117" s="661">
        <f t="shared" si="575"/>
        <v>0</v>
      </c>
      <c r="GZ117" s="439">
        <f t="shared" si="576"/>
        <v>0</v>
      </c>
      <c r="HA117" s="439">
        <f t="shared" si="577"/>
        <v>0</v>
      </c>
      <c r="HB117" s="439">
        <f t="shared" si="578"/>
        <v>0</v>
      </c>
      <c r="HC117" s="439">
        <f t="shared" si="579"/>
        <v>0</v>
      </c>
      <c r="HD117" s="631" t="s">
        <v>92</v>
      </c>
      <c r="HE117" s="631">
        <f t="shared" si="617"/>
        <v>2.1018214385365188</v>
      </c>
      <c r="HF117" s="639"/>
      <c r="HG117" s="618">
        <f>HLOOKUP(CQ117,Spec_Sheet!$F$3:$DV$19,11,FALSE)+HLOOKUP(CQ117,Spec_Sheet!$F$3:$DV$21,19,FALSE)</f>
        <v>450</v>
      </c>
      <c r="HH117" s="618">
        <f t="shared" si="618"/>
        <v>100</v>
      </c>
      <c r="HI117" s="634">
        <f t="shared" si="619"/>
        <v>500</v>
      </c>
      <c r="HJ117" s="634">
        <f>HLOOKUP(IF(LEN(CQ117)&gt;6,LEFT(CQ117,5),CQ117),'LSM List Pricing'!$B$1:$BW$2,2,0)</f>
        <v>69</v>
      </c>
      <c r="HK117" s="634">
        <f>HLOOKUP(HJ117,'LSM List Pricing'!$B$2:$BW$3,2)</f>
        <v>2780</v>
      </c>
      <c r="HL117" s="634">
        <f>VLOOKUP(HH117,'LSM List Pricing'!$A$7:$BW$87,HJ117,0)</f>
        <v>3630</v>
      </c>
      <c r="HM117" s="627">
        <f>VLOOKUP(HI117,'LSM List Pricing'!$A$7:$BW$87,HJ117,1)</f>
        <v>5760</v>
      </c>
      <c r="HN117" s="628">
        <f t="shared" si="620"/>
        <v>16.435897435897434</v>
      </c>
      <c r="HO117" s="628">
        <f t="shared" si="621"/>
        <v>32.871794871794869</v>
      </c>
      <c r="HP117" s="628">
        <f t="shared" si="622"/>
        <v>29.025641025641026</v>
      </c>
      <c r="HQ117" s="639"/>
      <c r="HR117" s="639">
        <v>5.7000000000000002E-2</v>
      </c>
      <c r="HS117" s="639">
        <f t="shared" si="457"/>
        <v>382.71428571428572</v>
      </c>
      <c r="HT117" s="639">
        <f t="shared" si="458"/>
        <v>1</v>
      </c>
      <c r="HU117" s="618">
        <f t="shared" si="466"/>
        <v>1.4517912367849859</v>
      </c>
      <c r="HV117" s="618"/>
      <c r="HW117" s="618">
        <f t="shared" si="413"/>
        <v>33.938456443765318</v>
      </c>
      <c r="HX117" s="618">
        <f t="shared" si="467"/>
        <v>1.4098581128116028</v>
      </c>
      <c r="HY117" s="618">
        <f t="shared" si="468"/>
        <v>5.7000000000000002E-2</v>
      </c>
      <c r="HZ117" s="618"/>
      <c r="IA117" s="618"/>
      <c r="IB117" s="618">
        <f t="shared" si="414"/>
        <v>25.000350341399081</v>
      </c>
      <c r="IC117" s="618">
        <f t="shared" si="415"/>
        <v>1E-3</v>
      </c>
      <c r="ID117" s="618"/>
      <c r="IE117" s="618">
        <f t="shared" si="416"/>
        <v>0</v>
      </c>
      <c r="IF117" s="618">
        <f t="shared" si="417"/>
        <v>40.704999999999998</v>
      </c>
      <c r="IG117" s="618"/>
      <c r="IH117" s="618">
        <f t="shared" si="418"/>
        <v>0</v>
      </c>
      <c r="II117" s="618">
        <f t="shared" si="419"/>
        <v>40.704999999999998</v>
      </c>
      <c r="IJ117" s="618"/>
      <c r="IK117" s="618">
        <f t="shared" si="420"/>
        <v>0</v>
      </c>
      <c r="IL117" s="618">
        <f t="shared" si="421"/>
        <v>40.704999999999998</v>
      </c>
      <c r="IM117" s="618"/>
      <c r="IN117" s="618">
        <f t="shared" si="422"/>
        <v>0</v>
      </c>
      <c r="IO117" s="618">
        <f t="shared" si="423"/>
        <v>40.704999999999998</v>
      </c>
      <c r="IP117" s="618"/>
      <c r="IQ117" s="618">
        <f t="shared" si="424"/>
        <v>0</v>
      </c>
      <c r="IR117" s="618">
        <f t="shared" si="425"/>
        <v>40.704999999999998</v>
      </c>
      <c r="IS117" s="639"/>
      <c r="IT117" s="660" t="str">
        <f t="shared" si="623"/>
        <v>S500Q 4S</v>
      </c>
      <c r="IU117" s="628"/>
      <c r="IV117" s="439">
        <f t="shared" si="580"/>
        <v>38.942399999999999</v>
      </c>
      <c r="IW117" s="440">
        <f t="shared" si="581"/>
        <v>29.822400000000002</v>
      </c>
      <c r="IX117" s="439">
        <f t="shared" si="582"/>
        <v>-20.702400000000004</v>
      </c>
      <c r="IY117" s="439">
        <f t="shared" si="583"/>
        <v>0</v>
      </c>
      <c r="IZ117" s="439">
        <f t="shared" si="584"/>
        <v>0</v>
      </c>
      <c r="JA117" s="439">
        <f t="shared" si="585"/>
        <v>0</v>
      </c>
      <c r="JB117" s="439">
        <f t="shared" si="586"/>
        <v>0</v>
      </c>
      <c r="JC117" s="439">
        <f t="shared" si="587"/>
        <v>0</v>
      </c>
      <c r="JD117" s="439">
        <f t="shared" si="588"/>
        <v>0</v>
      </c>
      <c r="JE117" s="439">
        <f t="shared" si="589"/>
        <v>0</v>
      </c>
      <c r="JF117" s="439">
        <f t="shared" si="590"/>
        <v>0</v>
      </c>
      <c r="JG117" s="439">
        <f t="shared" si="591"/>
        <v>0</v>
      </c>
      <c r="JH117" s="439">
        <f t="shared" si="592"/>
        <v>0</v>
      </c>
      <c r="JI117" s="439">
        <f t="shared" si="593"/>
        <v>0</v>
      </c>
      <c r="JJ117" s="442">
        <f t="shared" si="594"/>
        <v>0</v>
      </c>
      <c r="JK117" s="442">
        <f t="shared" si="595"/>
        <v>0</v>
      </c>
      <c r="JL117" s="439">
        <f t="shared" si="596"/>
        <v>0</v>
      </c>
      <c r="JM117" s="439">
        <f t="shared" si="597"/>
        <v>0</v>
      </c>
      <c r="JN117" s="661">
        <f t="shared" si="598"/>
        <v>0</v>
      </c>
      <c r="JO117" s="661">
        <f t="shared" si="599"/>
        <v>0</v>
      </c>
      <c r="JP117" s="439">
        <f t="shared" si="600"/>
        <v>0</v>
      </c>
      <c r="JQ117" s="439">
        <f t="shared" si="601"/>
        <v>0</v>
      </c>
      <c r="JR117" s="439">
        <f t="shared" si="602"/>
        <v>0</v>
      </c>
      <c r="JS117" s="439">
        <f t="shared" si="603"/>
        <v>0</v>
      </c>
      <c r="JT117" s="631" t="s">
        <v>92</v>
      </c>
      <c r="JU117" s="631">
        <f t="shared" si="624"/>
        <v>3.9661931552768577</v>
      </c>
      <c r="JV117" s="652"/>
    </row>
    <row r="118" spans="1:298" s="579" customFormat="1">
      <c r="A118" s="334"/>
      <c r="U118" s="580"/>
      <c r="V118" s="580"/>
      <c r="AC118" s="580"/>
      <c r="AD118" s="580"/>
      <c r="AL118" s="580"/>
      <c r="AM118" s="580"/>
      <c r="AT118" s="580"/>
      <c r="AU118" s="580"/>
      <c r="AV118" s="581" t="e">
        <f t="shared" si="613"/>
        <v>#DIV/0!</v>
      </c>
      <c r="AW118" s="581" t="e">
        <f>IF($AY$32,'Data Sheet'!AA139,0)</f>
        <v>#DIV/0!</v>
      </c>
      <c r="AX118" s="581">
        <f t="shared" si="612"/>
        <v>40.704999999999998</v>
      </c>
      <c r="CH118" s="334"/>
      <c r="CI118" s="334"/>
      <c r="CO118" s="694"/>
      <c r="CP118" s="632" t="str">
        <f>IF(OR(CQ118=0,CR118="",CS118&gt;120),"",IF(HLOOKUP(CQ118,Spec_Sheet!$F$3:$ED$19,17,FALSE)&lt;$AC$46,"",CQ118))</f>
        <v>S500Q</v>
      </c>
      <c r="CQ118" s="660" t="str">
        <f>IF(Spec_Sheet!A117="","",Spec_Sheet!A117)</f>
        <v>S500Q</v>
      </c>
      <c r="CR118" s="660">
        <f>IF(CQ118="",0,HLOOKUP(CQ118,Spec_Sheet!$F$3:$ED$19,2,FALSE))</f>
        <v>585</v>
      </c>
      <c r="CS118" s="660">
        <f t="shared" si="605"/>
        <v>1.1491480856866828E-3</v>
      </c>
      <c r="CT118" s="621">
        <f t="shared" si="606"/>
        <v>1.1795877770146021E-3</v>
      </c>
      <c r="CU118" s="621">
        <f t="shared" si="607"/>
        <v>1.1491480856866828E-3</v>
      </c>
      <c r="CV118" s="621">
        <f t="shared" si="608"/>
        <v>5.4107496358473512E-4</v>
      </c>
      <c r="CW118" s="621">
        <f t="shared" si="609"/>
        <v>5.2052319813261692E-4</v>
      </c>
      <c r="CX118" s="621">
        <f t="shared" si="610"/>
        <v>3.2271556428458781E-4</v>
      </c>
      <c r="CY118" s="619">
        <f>HLOOKUP(CQ118,Spec_Sheet!$F$3:$ED$19,13,FALSE)</f>
        <v>15</v>
      </c>
      <c r="CZ118" s="619">
        <f>VLOOKUP(HH118,'Shaft Weight'!$A$6:$CD$102,HJ118,TRUE)</f>
        <v>10.029999999999999</v>
      </c>
      <c r="DA118" s="619">
        <f>VLOOKUP(HI118,'Shaft Weight'!$A$6:$CD$102,HJ118,0)</f>
        <v>15.71</v>
      </c>
      <c r="DB118" s="619">
        <f>HLOOKUP(CQ118,Spec_Sheet!$F$3:$ED$19,6,FALSE)</f>
        <v>75.97</v>
      </c>
      <c r="DC118" s="439">
        <f t="shared" si="484"/>
        <v>19.727400000000003</v>
      </c>
      <c r="DD118" s="440">
        <f t="shared" si="485"/>
        <v>15.107400000000002</v>
      </c>
      <c r="DE118" s="439">
        <f t="shared" si="486"/>
        <v>-10.487400000000001</v>
      </c>
      <c r="DF118" s="439">
        <f t="shared" si="487"/>
        <v>0</v>
      </c>
      <c r="DG118" s="439">
        <f t="shared" si="488"/>
        <v>0</v>
      </c>
      <c r="DH118" s="439">
        <f t="shared" si="489"/>
        <v>0</v>
      </c>
      <c r="DI118" s="439">
        <f t="shared" si="490"/>
        <v>0</v>
      </c>
      <c r="DJ118" s="439">
        <f t="shared" si="491"/>
        <v>0</v>
      </c>
      <c r="DK118" s="439">
        <f t="shared" si="492"/>
        <v>0</v>
      </c>
      <c r="DL118" s="439">
        <f t="shared" si="493"/>
        <v>0</v>
      </c>
      <c r="DM118" s="439">
        <f t="shared" si="494"/>
        <v>0</v>
      </c>
      <c r="DN118" s="439">
        <f t="shared" si="495"/>
        <v>0</v>
      </c>
      <c r="DO118" s="439">
        <f t="shared" si="496"/>
        <v>0</v>
      </c>
      <c r="DP118" s="439">
        <f t="shared" si="497"/>
        <v>0</v>
      </c>
      <c r="DQ118" s="442">
        <f t="shared" si="498"/>
        <v>0</v>
      </c>
      <c r="DR118" s="442">
        <f t="shared" si="499"/>
        <v>0</v>
      </c>
      <c r="DS118" s="439">
        <f t="shared" si="500"/>
        <v>0</v>
      </c>
      <c r="DT118" s="439">
        <f t="shared" si="501"/>
        <v>0</v>
      </c>
      <c r="DU118" s="661">
        <f t="shared" si="502"/>
        <v>0</v>
      </c>
      <c r="DV118" s="661">
        <f t="shared" si="503"/>
        <v>0</v>
      </c>
      <c r="DW118" s="439">
        <f t="shared" si="504"/>
        <v>0</v>
      </c>
      <c r="DX118" s="439">
        <f t="shared" si="505"/>
        <v>0</v>
      </c>
      <c r="DY118" s="439">
        <f t="shared" si="506"/>
        <v>0</v>
      </c>
      <c r="DZ118" s="439">
        <f t="shared" si="507"/>
        <v>0</v>
      </c>
      <c r="EA118" s="631" t="s">
        <v>92</v>
      </c>
      <c r="EB118" s="631">
        <f t="shared" si="614"/>
        <v>2.0091899536599871</v>
      </c>
      <c r="EC118" s="618"/>
      <c r="ED118" s="439">
        <f t="shared" si="508"/>
        <v>26.209259999999997</v>
      </c>
      <c r="EE118" s="440">
        <f t="shared" si="509"/>
        <v>20.071259999999999</v>
      </c>
      <c r="EF118" s="439">
        <f t="shared" si="510"/>
        <v>-13.933260000000001</v>
      </c>
      <c r="EG118" s="441">
        <f t="shared" si="511"/>
        <v>0</v>
      </c>
      <c r="EH118" s="439">
        <f t="shared" si="512"/>
        <v>0</v>
      </c>
      <c r="EI118" s="439">
        <f t="shared" si="513"/>
        <v>0</v>
      </c>
      <c r="EJ118" s="439">
        <f t="shared" si="514"/>
        <v>0</v>
      </c>
      <c r="EK118" s="439">
        <f t="shared" si="515"/>
        <v>0</v>
      </c>
      <c r="EL118" s="439">
        <f t="shared" si="516"/>
        <v>0</v>
      </c>
      <c r="EM118" s="439">
        <f t="shared" si="517"/>
        <v>0</v>
      </c>
      <c r="EN118" s="439">
        <f t="shared" si="518"/>
        <v>0</v>
      </c>
      <c r="EO118" s="439">
        <f t="shared" si="519"/>
        <v>0</v>
      </c>
      <c r="EP118" s="439">
        <f t="shared" si="520"/>
        <v>0</v>
      </c>
      <c r="EQ118" s="439">
        <f t="shared" si="521"/>
        <v>0</v>
      </c>
      <c r="ER118" s="442">
        <f t="shared" si="522"/>
        <v>0</v>
      </c>
      <c r="ES118" s="442">
        <f t="shared" si="523"/>
        <v>0</v>
      </c>
      <c r="ET118" s="439">
        <f t="shared" si="524"/>
        <v>0</v>
      </c>
      <c r="EU118" s="439">
        <f t="shared" si="525"/>
        <v>0</v>
      </c>
      <c r="EV118" s="661">
        <f t="shared" si="526"/>
        <v>0</v>
      </c>
      <c r="EW118" s="661">
        <f t="shared" si="527"/>
        <v>0</v>
      </c>
      <c r="EX118" s="439">
        <f t="shared" si="528"/>
        <v>0</v>
      </c>
      <c r="EY118" s="439">
        <f t="shared" si="529"/>
        <v>0</v>
      </c>
      <c r="EZ118" s="439">
        <f t="shared" si="530"/>
        <v>0</v>
      </c>
      <c r="FA118" s="439">
        <f t="shared" si="531"/>
        <v>0</v>
      </c>
      <c r="FB118" s="631" t="s">
        <v>92</v>
      </c>
      <c r="FC118" s="631">
        <f t="shared" si="615"/>
        <v>2.6693523670054113</v>
      </c>
      <c r="FD118" s="618"/>
      <c r="FE118" s="439">
        <f t="shared" si="532"/>
        <v>13.360830000000002</v>
      </c>
      <c r="FF118" s="440">
        <f t="shared" si="533"/>
        <v>10.231830000000002</v>
      </c>
      <c r="FG118" s="439">
        <f t="shared" si="534"/>
        <v>-7.1028300000000026</v>
      </c>
      <c r="FH118" s="441">
        <f t="shared" si="535"/>
        <v>0</v>
      </c>
      <c r="FI118" s="439">
        <f t="shared" si="536"/>
        <v>0</v>
      </c>
      <c r="FJ118" s="439">
        <f t="shared" si="537"/>
        <v>0</v>
      </c>
      <c r="FK118" s="439">
        <f t="shared" si="538"/>
        <v>0</v>
      </c>
      <c r="FL118" s="439">
        <f t="shared" si="539"/>
        <v>0</v>
      </c>
      <c r="FM118" s="439">
        <f t="shared" si="540"/>
        <v>0</v>
      </c>
      <c r="FN118" s="439">
        <f t="shared" si="541"/>
        <v>0</v>
      </c>
      <c r="FO118" s="439">
        <f t="shared" si="542"/>
        <v>0</v>
      </c>
      <c r="FP118" s="439">
        <f t="shared" si="543"/>
        <v>0</v>
      </c>
      <c r="FQ118" s="439">
        <f t="shared" si="544"/>
        <v>0</v>
      </c>
      <c r="FR118" s="439">
        <f t="shared" si="545"/>
        <v>0</v>
      </c>
      <c r="FS118" s="442">
        <f t="shared" si="546"/>
        <v>0</v>
      </c>
      <c r="FT118" s="442">
        <f t="shared" si="547"/>
        <v>0</v>
      </c>
      <c r="FU118" s="439">
        <f t="shared" si="548"/>
        <v>0</v>
      </c>
      <c r="FV118" s="439">
        <f t="shared" si="549"/>
        <v>0</v>
      </c>
      <c r="FW118" s="661">
        <f t="shared" si="550"/>
        <v>0</v>
      </c>
      <c r="FX118" s="661">
        <f t="shared" si="551"/>
        <v>0</v>
      </c>
      <c r="FY118" s="439">
        <f t="shared" si="552"/>
        <v>0</v>
      </c>
      <c r="FZ118" s="439">
        <f t="shared" si="553"/>
        <v>0</v>
      </c>
      <c r="GA118" s="439">
        <f t="shared" si="554"/>
        <v>0</v>
      </c>
      <c r="GB118" s="439">
        <f t="shared" si="555"/>
        <v>0</v>
      </c>
      <c r="GC118" s="631" t="s">
        <v>92</v>
      </c>
      <c r="GD118" s="631">
        <f t="shared" si="616"/>
        <v>1.3607695595242641</v>
      </c>
      <c r="GE118" s="618"/>
      <c r="GF118" s="439">
        <f t="shared" si="556"/>
        <v>20.63691</v>
      </c>
      <c r="GG118" s="440">
        <f t="shared" si="557"/>
        <v>15.80391</v>
      </c>
      <c r="GH118" s="439">
        <f t="shared" si="558"/>
        <v>-10.97091</v>
      </c>
      <c r="GI118" s="439">
        <f t="shared" si="559"/>
        <v>0</v>
      </c>
      <c r="GJ118" s="439">
        <f t="shared" si="560"/>
        <v>0</v>
      </c>
      <c r="GK118" s="439">
        <f t="shared" si="561"/>
        <v>0</v>
      </c>
      <c r="GL118" s="439">
        <f t="shared" si="562"/>
        <v>0</v>
      </c>
      <c r="GM118" s="439">
        <f t="shared" si="563"/>
        <v>0</v>
      </c>
      <c r="GN118" s="439">
        <f t="shared" si="564"/>
        <v>0</v>
      </c>
      <c r="GO118" s="439">
        <f t="shared" si="565"/>
        <v>0</v>
      </c>
      <c r="GP118" s="439">
        <f t="shared" si="566"/>
        <v>0</v>
      </c>
      <c r="GQ118" s="439">
        <f t="shared" si="567"/>
        <v>0</v>
      </c>
      <c r="GR118" s="439">
        <f t="shared" si="568"/>
        <v>0</v>
      </c>
      <c r="GS118" s="439">
        <f t="shared" si="569"/>
        <v>0</v>
      </c>
      <c r="GT118" s="442">
        <f t="shared" si="570"/>
        <v>0</v>
      </c>
      <c r="GU118" s="442">
        <f t="shared" si="571"/>
        <v>0</v>
      </c>
      <c r="GV118" s="439">
        <f t="shared" si="572"/>
        <v>0</v>
      </c>
      <c r="GW118" s="439">
        <f t="shared" si="573"/>
        <v>0</v>
      </c>
      <c r="GX118" s="661">
        <f t="shared" si="574"/>
        <v>0</v>
      </c>
      <c r="GY118" s="661">
        <f t="shared" si="575"/>
        <v>0</v>
      </c>
      <c r="GZ118" s="439">
        <f t="shared" si="576"/>
        <v>0</v>
      </c>
      <c r="HA118" s="439">
        <f t="shared" si="577"/>
        <v>0</v>
      </c>
      <c r="HB118" s="439">
        <f t="shared" si="578"/>
        <v>0</v>
      </c>
      <c r="HC118" s="439">
        <f t="shared" si="579"/>
        <v>0</v>
      </c>
      <c r="HD118" s="631" t="s">
        <v>92</v>
      </c>
      <c r="HE118" s="631">
        <f t="shared" si="617"/>
        <v>2.1018214385365188</v>
      </c>
      <c r="HF118" s="639"/>
      <c r="HG118" s="618">
        <f>HLOOKUP(CQ118,Spec_Sheet!$F$3:$DV$19,11,FALSE)+HLOOKUP(CQ118,Spec_Sheet!$F$3:$DV$21,19,FALSE)</f>
        <v>450</v>
      </c>
      <c r="HH118" s="618">
        <f t="shared" si="618"/>
        <v>100</v>
      </c>
      <c r="HI118" s="634">
        <f t="shared" si="619"/>
        <v>500</v>
      </c>
      <c r="HJ118" s="634">
        <f>HLOOKUP(IF(LEN(CQ118)&gt;6,LEFT(CQ118,5),CQ118),'LSM List Pricing'!$B$1:$BW$2,2,0)</f>
        <v>69</v>
      </c>
      <c r="HK118" s="634">
        <f>HLOOKUP(HJ118,'LSM List Pricing'!$B$2:$BW$3,2)</f>
        <v>2780</v>
      </c>
      <c r="HL118" s="634">
        <f>VLOOKUP(HH118,'LSM List Pricing'!$A$7:$BW$87,HJ118,0)</f>
        <v>3630</v>
      </c>
      <c r="HM118" s="627">
        <f>VLOOKUP(HI118,'LSM List Pricing'!$A$7:$BW$87,HJ118,1)</f>
        <v>5760</v>
      </c>
      <c r="HN118" s="628">
        <f t="shared" si="620"/>
        <v>16.435897435897434</v>
      </c>
      <c r="HO118" s="628">
        <f t="shared" si="621"/>
        <v>32.871794871794869</v>
      </c>
      <c r="HP118" s="628">
        <f t="shared" si="622"/>
        <v>29.025641025641026</v>
      </c>
      <c r="HQ118" s="639"/>
      <c r="HR118" s="639">
        <v>5.7500000000000002E-2</v>
      </c>
      <c r="HS118" s="639">
        <f t="shared" si="457"/>
        <v>386.07142857142861</v>
      </c>
      <c r="HT118" s="639">
        <f t="shared" si="458"/>
        <v>1</v>
      </c>
      <c r="HU118" s="618">
        <f t="shared" si="466"/>
        <v>1.4645302807586107</v>
      </c>
      <c r="HV118" s="618"/>
      <c r="HW118" s="618">
        <f t="shared" si="413"/>
        <v>33.920367001322774</v>
      </c>
      <c r="HX118" s="618">
        <f t="shared" si="467"/>
        <v>1.4218612530013623</v>
      </c>
      <c r="HY118" s="618">
        <f t="shared" si="468"/>
        <v>5.7500000000000002E-2</v>
      </c>
      <c r="HZ118" s="618"/>
      <c r="IA118" s="618"/>
      <c r="IB118" s="618">
        <f t="shared" si="414"/>
        <v>25.000350341399081</v>
      </c>
      <c r="IC118" s="618">
        <f t="shared" si="415"/>
        <v>1E-3</v>
      </c>
      <c r="ID118" s="618"/>
      <c r="IE118" s="618">
        <f t="shared" si="416"/>
        <v>0</v>
      </c>
      <c r="IF118" s="618">
        <f t="shared" si="417"/>
        <v>40.704999999999998</v>
      </c>
      <c r="IG118" s="618"/>
      <c r="IH118" s="618">
        <f t="shared" si="418"/>
        <v>0</v>
      </c>
      <c r="II118" s="618">
        <f t="shared" si="419"/>
        <v>40.704999999999998</v>
      </c>
      <c r="IJ118" s="618"/>
      <c r="IK118" s="618">
        <f t="shared" si="420"/>
        <v>0</v>
      </c>
      <c r="IL118" s="618">
        <f t="shared" si="421"/>
        <v>40.704999999999998</v>
      </c>
      <c r="IM118" s="618"/>
      <c r="IN118" s="618">
        <f t="shared" si="422"/>
        <v>0</v>
      </c>
      <c r="IO118" s="618">
        <f t="shared" si="423"/>
        <v>40.704999999999998</v>
      </c>
      <c r="IP118" s="618"/>
      <c r="IQ118" s="618">
        <f t="shared" si="424"/>
        <v>0</v>
      </c>
      <c r="IR118" s="618">
        <f t="shared" si="425"/>
        <v>40.704999999999998</v>
      </c>
      <c r="IS118" s="639"/>
      <c r="IT118" s="660" t="str">
        <f t="shared" si="623"/>
        <v>S500Q</v>
      </c>
      <c r="IU118" s="628"/>
      <c r="IV118" s="439">
        <f t="shared" si="580"/>
        <v>38.942399999999999</v>
      </c>
      <c r="IW118" s="440">
        <f t="shared" si="581"/>
        <v>29.822400000000002</v>
      </c>
      <c r="IX118" s="439">
        <f t="shared" si="582"/>
        <v>-20.702400000000004</v>
      </c>
      <c r="IY118" s="439">
        <f t="shared" si="583"/>
        <v>0</v>
      </c>
      <c r="IZ118" s="439">
        <f t="shared" si="584"/>
        <v>0</v>
      </c>
      <c r="JA118" s="439">
        <f t="shared" si="585"/>
        <v>0</v>
      </c>
      <c r="JB118" s="439">
        <f t="shared" si="586"/>
        <v>0</v>
      </c>
      <c r="JC118" s="439">
        <f t="shared" si="587"/>
        <v>0</v>
      </c>
      <c r="JD118" s="439">
        <f t="shared" si="588"/>
        <v>0</v>
      </c>
      <c r="JE118" s="439">
        <f t="shared" si="589"/>
        <v>0</v>
      </c>
      <c r="JF118" s="439">
        <f t="shared" si="590"/>
        <v>0</v>
      </c>
      <c r="JG118" s="439">
        <f t="shared" si="591"/>
        <v>0</v>
      </c>
      <c r="JH118" s="439">
        <f t="shared" si="592"/>
        <v>0</v>
      </c>
      <c r="JI118" s="439">
        <f t="shared" si="593"/>
        <v>0</v>
      </c>
      <c r="JJ118" s="442">
        <f t="shared" si="594"/>
        <v>0</v>
      </c>
      <c r="JK118" s="442">
        <f t="shared" si="595"/>
        <v>0</v>
      </c>
      <c r="JL118" s="439">
        <f t="shared" si="596"/>
        <v>0</v>
      </c>
      <c r="JM118" s="439">
        <f t="shared" si="597"/>
        <v>0</v>
      </c>
      <c r="JN118" s="661">
        <f t="shared" si="598"/>
        <v>0</v>
      </c>
      <c r="JO118" s="661">
        <f t="shared" si="599"/>
        <v>0</v>
      </c>
      <c r="JP118" s="439">
        <f t="shared" si="600"/>
        <v>0</v>
      </c>
      <c r="JQ118" s="439">
        <f t="shared" si="601"/>
        <v>0</v>
      </c>
      <c r="JR118" s="439">
        <f t="shared" si="602"/>
        <v>0</v>
      </c>
      <c r="JS118" s="439">
        <f t="shared" si="603"/>
        <v>0</v>
      </c>
      <c r="JT118" s="631" t="s">
        <v>92</v>
      </c>
      <c r="JU118" s="631">
        <f t="shared" si="624"/>
        <v>3.9661931552768577</v>
      </c>
      <c r="JV118" s="652"/>
    </row>
    <row r="119" spans="1:298" s="579" customFormat="1">
      <c r="A119" s="334"/>
      <c r="U119" s="580"/>
      <c r="V119" s="580"/>
      <c r="AC119" s="580"/>
      <c r="AD119" s="580"/>
      <c r="AL119" s="580"/>
      <c r="AM119" s="580"/>
      <c r="AT119" s="580"/>
      <c r="AU119" s="580"/>
      <c r="AV119" s="581" t="e">
        <f t="shared" si="613"/>
        <v>#DIV/0!</v>
      </c>
      <c r="AW119" s="581" t="e">
        <f>IF($AY$32,'Data Sheet'!AA140,0)</f>
        <v>#DIV/0!</v>
      </c>
      <c r="AX119" s="581">
        <f t="shared" si="612"/>
        <v>40.704999999999998</v>
      </c>
      <c r="CH119" s="334"/>
      <c r="CI119" s="334"/>
      <c r="CO119" s="694"/>
      <c r="CP119" s="632" t="str">
        <f>IF(OR(CQ119=0,CR119="",CS119&gt;120),"",IF(HLOOKUP(CQ119,Spec_Sheet!$F$3:$ED$19,17,FALSE)&lt;$AC$46,"",CQ119))</f>
        <v>S605T</v>
      </c>
      <c r="CQ119" s="660" t="str">
        <f>IF(Spec_Sheet!A118="","",Spec_Sheet!A118)</f>
        <v>S605T</v>
      </c>
      <c r="CR119" s="660">
        <f>IF(CQ119="",0,HLOOKUP(CQ119,Spec_Sheet!$F$3:$ED$19,2,FALSE))</f>
        <v>610</v>
      </c>
      <c r="CS119" s="660">
        <f t="shared" si="605"/>
        <v>2.055950272095279E-3</v>
      </c>
      <c r="CT119" s="621">
        <f t="shared" si="606"/>
        <v>2.0949247655054144E-3</v>
      </c>
      <c r="CU119" s="621">
        <f t="shared" si="607"/>
        <v>2.055950272095279E-3</v>
      </c>
      <c r="CV119" s="621">
        <f t="shared" si="608"/>
        <v>8.0796183351188999E-4</v>
      </c>
      <c r="CW119" s="621">
        <f t="shared" si="609"/>
        <v>7.8382692421237303E-4</v>
      </c>
      <c r="CX119" s="621">
        <f t="shared" si="610"/>
        <v>5.2079849798137244E-4</v>
      </c>
      <c r="CY119" s="619">
        <f>HLOOKUP(CQ119,Spec_Sheet!$F$3:$ED$19,13,FALSE)</f>
        <v>21</v>
      </c>
      <c r="CZ119" s="619">
        <f>VLOOKUP(HH119,'Shaft Weight'!$A$6:$CD$102,HJ119,TRUE)</f>
        <v>12.89</v>
      </c>
      <c r="DA119" s="619">
        <f>VLOOKUP(HI119,'Shaft Weight'!$A$6:$CD$102,HJ119,0)</f>
        <v>20.94</v>
      </c>
      <c r="DB119" s="619">
        <f>HLOOKUP(CQ119,Spec_Sheet!$F$3:$ED$19,6,FALSE)</f>
        <v>71</v>
      </c>
      <c r="DC119" s="439">
        <f t="shared" si="484"/>
        <v>27.413399999999999</v>
      </c>
      <c r="DD119" s="440">
        <f t="shared" si="485"/>
        <v>20.993400000000001</v>
      </c>
      <c r="DE119" s="439">
        <f t="shared" si="486"/>
        <v>-14.573400000000003</v>
      </c>
      <c r="DF119" s="439">
        <f t="shared" si="487"/>
        <v>0</v>
      </c>
      <c r="DG119" s="439">
        <f t="shared" si="488"/>
        <v>0</v>
      </c>
      <c r="DH119" s="439">
        <f t="shared" si="489"/>
        <v>0</v>
      </c>
      <c r="DI119" s="439">
        <f t="shared" si="490"/>
        <v>0</v>
      </c>
      <c r="DJ119" s="439">
        <f t="shared" si="491"/>
        <v>0</v>
      </c>
      <c r="DK119" s="439">
        <f t="shared" si="492"/>
        <v>0</v>
      </c>
      <c r="DL119" s="439">
        <f t="shared" si="493"/>
        <v>0</v>
      </c>
      <c r="DM119" s="439">
        <f t="shared" si="494"/>
        <v>0</v>
      </c>
      <c r="DN119" s="439">
        <f t="shared" si="495"/>
        <v>0</v>
      </c>
      <c r="DO119" s="439">
        <f t="shared" si="496"/>
        <v>0</v>
      </c>
      <c r="DP119" s="439">
        <f t="shared" si="497"/>
        <v>0</v>
      </c>
      <c r="DQ119" s="442">
        <f t="shared" si="498"/>
        <v>0</v>
      </c>
      <c r="DR119" s="442">
        <f t="shared" si="499"/>
        <v>0</v>
      </c>
      <c r="DS119" s="439">
        <f t="shared" si="500"/>
        <v>0</v>
      </c>
      <c r="DT119" s="439">
        <f t="shared" si="501"/>
        <v>0</v>
      </c>
      <c r="DU119" s="661">
        <f t="shared" si="502"/>
        <v>0</v>
      </c>
      <c r="DV119" s="661">
        <f t="shared" si="503"/>
        <v>0</v>
      </c>
      <c r="DW119" s="439">
        <f t="shared" si="504"/>
        <v>0</v>
      </c>
      <c r="DX119" s="439">
        <f t="shared" si="505"/>
        <v>0</v>
      </c>
      <c r="DY119" s="439">
        <f t="shared" si="506"/>
        <v>0</v>
      </c>
      <c r="DZ119" s="439">
        <f t="shared" si="507"/>
        <v>0</v>
      </c>
      <c r="EA119" s="631" t="s">
        <v>92</v>
      </c>
      <c r="EB119" s="631">
        <f t="shared" si="614"/>
        <v>2.7919912343067352</v>
      </c>
      <c r="EC119" s="618"/>
      <c r="ED119" s="439">
        <f t="shared" si="508"/>
        <v>33.536580000000001</v>
      </c>
      <c r="EE119" s="440">
        <f t="shared" si="509"/>
        <v>25.682580000000002</v>
      </c>
      <c r="EF119" s="439">
        <f t="shared" si="510"/>
        <v>-17.828580000000002</v>
      </c>
      <c r="EG119" s="441">
        <f t="shared" si="511"/>
        <v>0</v>
      </c>
      <c r="EH119" s="439">
        <f t="shared" si="512"/>
        <v>0</v>
      </c>
      <c r="EI119" s="439">
        <f t="shared" si="513"/>
        <v>0</v>
      </c>
      <c r="EJ119" s="439">
        <f t="shared" si="514"/>
        <v>0</v>
      </c>
      <c r="EK119" s="439">
        <f t="shared" si="515"/>
        <v>0</v>
      </c>
      <c r="EL119" s="439">
        <f t="shared" si="516"/>
        <v>0</v>
      </c>
      <c r="EM119" s="439">
        <f t="shared" si="517"/>
        <v>0</v>
      </c>
      <c r="EN119" s="439">
        <f t="shared" si="518"/>
        <v>0</v>
      </c>
      <c r="EO119" s="439">
        <f t="shared" si="519"/>
        <v>0</v>
      </c>
      <c r="EP119" s="439">
        <f t="shared" si="520"/>
        <v>0</v>
      </c>
      <c r="EQ119" s="439">
        <f t="shared" si="521"/>
        <v>0</v>
      </c>
      <c r="ER119" s="442">
        <f t="shared" si="522"/>
        <v>0</v>
      </c>
      <c r="ES119" s="442">
        <f t="shared" si="523"/>
        <v>0</v>
      </c>
      <c r="ET119" s="439">
        <f t="shared" si="524"/>
        <v>0</v>
      </c>
      <c r="EU119" s="439">
        <f t="shared" si="525"/>
        <v>0</v>
      </c>
      <c r="EV119" s="661">
        <f t="shared" si="526"/>
        <v>0</v>
      </c>
      <c r="EW119" s="661">
        <f t="shared" si="527"/>
        <v>0</v>
      </c>
      <c r="EX119" s="439">
        <f t="shared" si="528"/>
        <v>0</v>
      </c>
      <c r="EY119" s="439">
        <f t="shared" si="529"/>
        <v>0</v>
      </c>
      <c r="EZ119" s="439">
        <f t="shared" si="530"/>
        <v>0</v>
      </c>
      <c r="FA119" s="439">
        <f t="shared" si="531"/>
        <v>0</v>
      </c>
      <c r="FB119" s="631" t="s">
        <v>92</v>
      </c>
      <c r="FC119" s="631">
        <f t="shared" si="615"/>
        <v>3.4156229212219782</v>
      </c>
      <c r="FD119" s="618"/>
      <c r="FE119" s="439">
        <f t="shared" si="532"/>
        <v>17.024490000000004</v>
      </c>
      <c r="FF119" s="440">
        <f t="shared" si="533"/>
        <v>13.037490000000004</v>
      </c>
      <c r="FG119" s="439">
        <f t="shared" si="534"/>
        <v>-9.0504900000000035</v>
      </c>
      <c r="FH119" s="441">
        <f t="shared" si="535"/>
        <v>0</v>
      </c>
      <c r="FI119" s="439">
        <f t="shared" si="536"/>
        <v>0</v>
      </c>
      <c r="FJ119" s="439">
        <f t="shared" si="537"/>
        <v>0</v>
      </c>
      <c r="FK119" s="439">
        <f t="shared" si="538"/>
        <v>0</v>
      </c>
      <c r="FL119" s="439">
        <f t="shared" si="539"/>
        <v>0</v>
      </c>
      <c r="FM119" s="439">
        <f t="shared" si="540"/>
        <v>0</v>
      </c>
      <c r="FN119" s="439">
        <f t="shared" si="541"/>
        <v>0</v>
      </c>
      <c r="FO119" s="439">
        <f t="shared" si="542"/>
        <v>0</v>
      </c>
      <c r="FP119" s="439">
        <f t="shared" si="543"/>
        <v>0</v>
      </c>
      <c r="FQ119" s="439">
        <f t="shared" si="544"/>
        <v>0</v>
      </c>
      <c r="FR119" s="439">
        <f t="shared" si="545"/>
        <v>0</v>
      </c>
      <c r="FS119" s="442">
        <f t="shared" si="546"/>
        <v>0</v>
      </c>
      <c r="FT119" s="442">
        <f t="shared" si="547"/>
        <v>0</v>
      </c>
      <c r="FU119" s="439">
        <f t="shared" si="548"/>
        <v>0</v>
      </c>
      <c r="FV119" s="439">
        <f t="shared" si="549"/>
        <v>0</v>
      </c>
      <c r="FW119" s="661">
        <f t="shared" si="550"/>
        <v>0</v>
      </c>
      <c r="FX119" s="661">
        <f t="shared" si="551"/>
        <v>0</v>
      </c>
      <c r="FY119" s="439">
        <f t="shared" si="552"/>
        <v>0</v>
      </c>
      <c r="FZ119" s="439">
        <f t="shared" si="553"/>
        <v>0</v>
      </c>
      <c r="GA119" s="439">
        <f t="shared" si="554"/>
        <v>0</v>
      </c>
      <c r="GB119" s="439">
        <f t="shared" si="555"/>
        <v>0</v>
      </c>
      <c r="GC119" s="631" t="s">
        <v>92</v>
      </c>
      <c r="GD119" s="631">
        <f t="shared" si="616"/>
        <v>1.7339048366325478</v>
      </c>
      <c r="GE119" s="618"/>
      <c r="GF119" s="439">
        <f t="shared" si="556"/>
        <v>27.336540000000003</v>
      </c>
      <c r="GG119" s="440">
        <f t="shared" si="557"/>
        <v>20.934540000000002</v>
      </c>
      <c r="GH119" s="439">
        <f t="shared" si="558"/>
        <v>-14.532540000000001</v>
      </c>
      <c r="GI119" s="439">
        <f t="shared" si="559"/>
        <v>0</v>
      </c>
      <c r="GJ119" s="439">
        <f t="shared" si="560"/>
        <v>0</v>
      </c>
      <c r="GK119" s="439">
        <f t="shared" si="561"/>
        <v>0</v>
      </c>
      <c r="GL119" s="439">
        <f t="shared" si="562"/>
        <v>0</v>
      </c>
      <c r="GM119" s="439">
        <f t="shared" si="563"/>
        <v>0</v>
      </c>
      <c r="GN119" s="439">
        <f t="shared" si="564"/>
        <v>0</v>
      </c>
      <c r="GO119" s="439">
        <f t="shared" si="565"/>
        <v>0</v>
      </c>
      <c r="GP119" s="439">
        <f t="shared" si="566"/>
        <v>0</v>
      </c>
      <c r="GQ119" s="439">
        <f t="shared" si="567"/>
        <v>0</v>
      </c>
      <c r="GR119" s="439">
        <f t="shared" si="568"/>
        <v>0</v>
      </c>
      <c r="GS119" s="439">
        <f t="shared" si="569"/>
        <v>0</v>
      </c>
      <c r="GT119" s="442">
        <f t="shared" si="570"/>
        <v>0</v>
      </c>
      <c r="GU119" s="442">
        <f t="shared" si="571"/>
        <v>0</v>
      </c>
      <c r="GV119" s="439">
        <f t="shared" si="572"/>
        <v>0</v>
      </c>
      <c r="GW119" s="439">
        <f t="shared" si="573"/>
        <v>0</v>
      </c>
      <c r="GX119" s="661">
        <f t="shared" si="574"/>
        <v>0</v>
      </c>
      <c r="GY119" s="661">
        <f t="shared" si="575"/>
        <v>0</v>
      </c>
      <c r="GZ119" s="439">
        <f t="shared" si="576"/>
        <v>0</v>
      </c>
      <c r="HA119" s="439">
        <f t="shared" si="577"/>
        <v>0</v>
      </c>
      <c r="HB119" s="439">
        <f t="shared" si="578"/>
        <v>0</v>
      </c>
      <c r="HC119" s="439">
        <f t="shared" si="579"/>
        <v>0</v>
      </c>
      <c r="HD119" s="631" t="s">
        <v>92</v>
      </c>
      <c r="HE119" s="631">
        <f t="shared" si="617"/>
        <v>2.7841632215002678</v>
      </c>
      <c r="HF119" s="639"/>
      <c r="HG119" s="618">
        <f>HLOOKUP(CQ119,Spec_Sheet!$F$3:$DV$19,11,FALSE)+HLOOKUP(CQ119,Spec_Sheet!$F$3:$DV$21,19,FALSE)</f>
        <v>480</v>
      </c>
      <c r="HH119" s="618">
        <f t="shared" si="618"/>
        <v>100</v>
      </c>
      <c r="HI119" s="634">
        <f t="shared" si="619"/>
        <v>500</v>
      </c>
      <c r="HJ119" s="634">
        <f>HLOOKUP(IF(LEN(CQ119)&gt;6,LEFT(CQ119,5),CQ119),'LSM List Pricing'!$B$1:$BW$2,2,0)</f>
        <v>71</v>
      </c>
      <c r="HK119" s="634">
        <f>HLOOKUP(HJ119,'LSM List Pricing'!$B$2:$BW$3,2)</f>
        <v>3420</v>
      </c>
      <c r="HL119" s="634">
        <f>VLOOKUP(HH119,'LSM List Pricing'!$A$7:$BW$87,HJ119,0)</f>
        <v>4560</v>
      </c>
      <c r="HM119" s="627">
        <f>VLOOKUP(HI119,'LSM List Pricing'!$A$7:$BW$87,HJ119,1)</f>
        <v>7210</v>
      </c>
      <c r="HN119" s="628">
        <f t="shared" si="620"/>
        <v>20.46153846153846</v>
      </c>
      <c r="HO119" s="628">
        <f t="shared" si="621"/>
        <v>40.92307692307692</v>
      </c>
      <c r="HP119" s="628">
        <f t="shared" si="622"/>
        <v>36.025641025641029</v>
      </c>
      <c r="HQ119" s="639"/>
      <c r="HR119" s="639">
        <v>5.8000000000000003E-2</v>
      </c>
      <c r="HS119" s="639">
        <f t="shared" si="457"/>
        <v>389.42857142857144</v>
      </c>
      <c r="HT119" s="639">
        <f t="shared" si="458"/>
        <v>1</v>
      </c>
      <c r="HU119" s="618">
        <f t="shared" si="466"/>
        <v>1.4772693247322355</v>
      </c>
      <c r="HV119" s="618"/>
      <c r="HW119" s="618">
        <f t="shared" si="413"/>
        <v>33.902277558880229</v>
      </c>
      <c r="HX119" s="618">
        <f t="shared" si="467"/>
        <v>1.4338579920188237</v>
      </c>
      <c r="HY119" s="618">
        <f t="shared" si="468"/>
        <v>5.8000000000000003E-2</v>
      </c>
      <c r="HZ119" s="618"/>
      <c r="IA119" s="618"/>
      <c r="IB119" s="618">
        <f t="shared" si="414"/>
        <v>25.000350341399081</v>
      </c>
      <c r="IC119" s="618">
        <f t="shared" si="415"/>
        <v>1E-3</v>
      </c>
      <c r="ID119" s="618"/>
      <c r="IE119" s="618">
        <f t="shared" si="416"/>
        <v>0</v>
      </c>
      <c r="IF119" s="618">
        <f t="shared" si="417"/>
        <v>40.704999999999998</v>
      </c>
      <c r="IG119" s="618"/>
      <c r="IH119" s="618">
        <f t="shared" si="418"/>
        <v>0</v>
      </c>
      <c r="II119" s="618">
        <f t="shared" si="419"/>
        <v>40.704999999999998</v>
      </c>
      <c r="IJ119" s="618"/>
      <c r="IK119" s="618">
        <f t="shared" si="420"/>
        <v>0</v>
      </c>
      <c r="IL119" s="618">
        <f t="shared" si="421"/>
        <v>40.704999999999998</v>
      </c>
      <c r="IM119" s="618"/>
      <c r="IN119" s="618">
        <f t="shared" si="422"/>
        <v>0</v>
      </c>
      <c r="IO119" s="618">
        <f t="shared" si="423"/>
        <v>40.704999999999998</v>
      </c>
      <c r="IP119" s="618"/>
      <c r="IQ119" s="618">
        <f t="shared" si="424"/>
        <v>0</v>
      </c>
      <c r="IR119" s="618">
        <f t="shared" si="425"/>
        <v>40.704999999999998</v>
      </c>
      <c r="IS119" s="639"/>
      <c r="IT119" s="660" t="str">
        <f t="shared" si="623"/>
        <v>S605T</v>
      </c>
      <c r="IU119" s="628"/>
      <c r="IV119" s="439">
        <f t="shared" si="580"/>
        <v>54.314400000000006</v>
      </c>
      <c r="IW119" s="440">
        <f t="shared" si="581"/>
        <v>41.594400000000007</v>
      </c>
      <c r="IX119" s="439">
        <f t="shared" si="582"/>
        <v>-28.874400000000009</v>
      </c>
      <c r="IY119" s="439">
        <f t="shared" si="583"/>
        <v>0</v>
      </c>
      <c r="IZ119" s="439">
        <f t="shared" si="584"/>
        <v>0</v>
      </c>
      <c r="JA119" s="439">
        <f t="shared" si="585"/>
        <v>0</v>
      </c>
      <c r="JB119" s="439">
        <f t="shared" si="586"/>
        <v>0</v>
      </c>
      <c r="JC119" s="439">
        <f t="shared" si="587"/>
        <v>0</v>
      </c>
      <c r="JD119" s="439">
        <f t="shared" si="588"/>
        <v>0</v>
      </c>
      <c r="JE119" s="439">
        <f t="shared" si="589"/>
        <v>0</v>
      </c>
      <c r="JF119" s="439">
        <f t="shared" si="590"/>
        <v>0</v>
      </c>
      <c r="JG119" s="439">
        <f t="shared" si="591"/>
        <v>0</v>
      </c>
      <c r="JH119" s="439">
        <f t="shared" si="592"/>
        <v>0</v>
      </c>
      <c r="JI119" s="439">
        <f t="shared" si="593"/>
        <v>0</v>
      </c>
      <c r="JJ119" s="442">
        <f t="shared" si="594"/>
        <v>0</v>
      </c>
      <c r="JK119" s="442">
        <f t="shared" si="595"/>
        <v>0</v>
      </c>
      <c r="JL119" s="439">
        <f t="shared" si="596"/>
        <v>0</v>
      </c>
      <c r="JM119" s="439">
        <f t="shared" si="597"/>
        <v>0</v>
      </c>
      <c r="JN119" s="661">
        <f t="shared" si="598"/>
        <v>0</v>
      </c>
      <c r="JO119" s="661">
        <f t="shared" si="599"/>
        <v>0</v>
      </c>
      <c r="JP119" s="439">
        <f t="shared" si="600"/>
        <v>0</v>
      </c>
      <c r="JQ119" s="439">
        <f t="shared" si="601"/>
        <v>0</v>
      </c>
      <c r="JR119" s="439">
        <f t="shared" si="602"/>
        <v>0</v>
      </c>
      <c r="JS119" s="439">
        <f t="shared" si="603"/>
        <v>0</v>
      </c>
      <c r="JT119" s="631" t="s">
        <v>92</v>
      </c>
      <c r="JU119" s="631">
        <f t="shared" si="624"/>
        <v>5.5317957165703548</v>
      </c>
      <c r="JV119" s="652"/>
    </row>
    <row r="120" spans="1:298" s="579" customFormat="1">
      <c r="A120" s="334"/>
      <c r="U120" s="580"/>
      <c r="V120" s="580"/>
      <c r="AC120" s="580"/>
      <c r="AD120" s="580"/>
      <c r="AL120" s="580"/>
      <c r="AM120" s="580"/>
      <c r="AT120" s="580"/>
      <c r="AU120" s="580"/>
      <c r="AV120" s="581" t="str">
        <f>IF($AY$30,P32,0)</f>
        <v/>
      </c>
      <c r="AW120" s="581">
        <f>IF($AY$32,'Data Sheet'!AA141,0)</f>
        <v>0</v>
      </c>
      <c r="AX120" s="581">
        <f>P31-AY42</f>
        <v>40.704999999999998</v>
      </c>
      <c r="CH120" s="334"/>
      <c r="CI120" s="334"/>
      <c r="CO120" s="694"/>
      <c r="CP120" s="632" t="str">
        <f>IF(OR(CQ120=0,CR120="",CS120&gt;120),"",IF(HLOOKUP(CQ120,Spec_Sheet!$F$3:$ED$19,17,FALSE)&lt;$AC$46,"",CQ120))</f>
        <v>S605T 1S</v>
      </c>
      <c r="CQ120" s="660" t="str">
        <f>IF(Spec_Sheet!A119="","",Spec_Sheet!A119)</f>
        <v>S605T 1S</v>
      </c>
      <c r="CR120" s="660">
        <f>IF(CQ120="",0,HLOOKUP(CQ120,Spec_Sheet!$F$3:$ED$19,2,FALSE))</f>
        <v>610.59999999999991</v>
      </c>
      <c r="CS120" s="660">
        <f t="shared" si="605"/>
        <v>2.0519117392241741E-3</v>
      </c>
      <c r="CT120" s="621">
        <f t="shared" si="606"/>
        <v>2.0908096744729045E-3</v>
      </c>
      <c r="CU120" s="621">
        <f t="shared" si="607"/>
        <v>2.0519117392241741E-3</v>
      </c>
      <c r="CV120" s="621">
        <f t="shared" si="608"/>
        <v>8.0637474239031817E-4</v>
      </c>
      <c r="CW120" s="621">
        <f t="shared" si="609"/>
        <v>7.8228724164239424E-4</v>
      </c>
      <c r="CX120" s="621">
        <f t="shared" si="610"/>
        <v>5.1977548595531992E-4</v>
      </c>
      <c r="CY120" s="619">
        <f>HLOOKUP(CQ120,Spec_Sheet!$F$3:$ED$19,13,FALSE)</f>
        <v>21</v>
      </c>
      <c r="CZ120" s="619">
        <f>VLOOKUP(HH120,'Shaft Weight'!$A$6:$CD$102,HJ120,TRUE)</f>
        <v>12.89</v>
      </c>
      <c r="DA120" s="619">
        <f>VLOOKUP(HI120,'Shaft Weight'!$A$6:$CD$102,HJ120,0)</f>
        <v>20.94</v>
      </c>
      <c r="DB120" s="619">
        <f>HLOOKUP(CQ120,Spec_Sheet!$F$3:$ED$19,6,FALSE)</f>
        <v>23.666666666666668</v>
      </c>
      <c r="DC120" s="439">
        <f t="shared" si="484"/>
        <v>27.413399999999999</v>
      </c>
      <c r="DD120" s="440">
        <f t="shared" si="485"/>
        <v>20.993400000000001</v>
      </c>
      <c r="DE120" s="439">
        <f t="shared" si="486"/>
        <v>-14.573400000000003</v>
      </c>
      <c r="DF120" s="439">
        <f t="shared" si="487"/>
        <v>0</v>
      </c>
      <c r="DG120" s="439">
        <f t="shared" si="488"/>
        <v>0</v>
      </c>
      <c r="DH120" s="439">
        <f t="shared" si="489"/>
        <v>0</v>
      </c>
      <c r="DI120" s="439">
        <f t="shared" si="490"/>
        <v>0</v>
      </c>
      <c r="DJ120" s="439">
        <f t="shared" si="491"/>
        <v>0</v>
      </c>
      <c r="DK120" s="439">
        <f t="shared" si="492"/>
        <v>0</v>
      </c>
      <c r="DL120" s="439">
        <f t="shared" si="493"/>
        <v>0</v>
      </c>
      <c r="DM120" s="439">
        <f t="shared" si="494"/>
        <v>0</v>
      </c>
      <c r="DN120" s="439">
        <f t="shared" si="495"/>
        <v>0</v>
      </c>
      <c r="DO120" s="439">
        <f t="shared" si="496"/>
        <v>0</v>
      </c>
      <c r="DP120" s="439">
        <f t="shared" si="497"/>
        <v>0</v>
      </c>
      <c r="DQ120" s="442">
        <f t="shared" si="498"/>
        <v>0</v>
      </c>
      <c r="DR120" s="442">
        <f t="shared" si="499"/>
        <v>0</v>
      </c>
      <c r="DS120" s="439">
        <f t="shared" si="500"/>
        <v>0</v>
      </c>
      <c r="DT120" s="439">
        <f t="shared" si="501"/>
        <v>0</v>
      </c>
      <c r="DU120" s="661">
        <f t="shared" si="502"/>
        <v>0</v>
      </c>
      <c r="DV120" s="661">
        <f t="shared" si="503"/>
        <v>0</v>
      </c>
      <c r="DW120" s="439">
        <f t="shared" si="504"/>
        <v>0</v>
      </c>
      <c r="DX120" s="439">
        <f t="shared" si="505"/>
        <v>0</v>
      </c>
      <c r="DY120" s="439">
        <f t="shared" si="506"/>
        <v>0</v>
      </c>
      <c r="DZ120" s="439">
        <f t="shared" si="507"/>
        <v>0</v>
      </c>
      <c r="EA120" s="631" t="s">
        <v>92</v>
      </c>
      <c r="EB120" s="631">
        <f t="shared" si="614"/>
        <v>2.7919912343067352</v>
      </c>
      <c r="EC120" s="618"/>
      <c r="ED120" s="439">
        <f t="shared" si="508"/>
        <v>33.536580000000001</v>
      </c>
      <c r="EE120" s="440">
        <f t="shared" si="509"/>
        <v>25.682580000000002</v>
      </c>
      <c r="EF120" s="439">
        <f t="shared" si="510"/>
        <v>-17.828580000000002</v>
      </c>
      <c r="EG120" s="441">
        <f t="shared" si="511"/>
        <v>0</v>
      </c>
      <c r="EH120" s="439">
        <f t="shared" si="512"/>
        <v>0</v>
      </c>
      <c r="EI120" s="439">
        <f t="shared" si="513"/>
        <v>0</v>
      </c>
      <c r="EJ120" s="439">
        <f t="shared" si="514"/>
        <v>0</v>
      </c>
      <c r="EK120" s="439">
        <f t="shared" si="515"/>
        <v>0</v>
      </c>
      <c r="EL120" s="439">
        <f t="shared" si="516"/>
        <v>0</v>
      </c>
      <c r="EM120" s="439">
        <f t="shared" si="517"/>
        <v>0</v>
      </c>
      <c r="EN120" s="439">
        <f t="shared" si="518"/>
        <v>0</v>
      </c>
      <c r="EO120" s="439">
        <f t="shared" si="519"/>
        <v>0</v>
      </c>
      <c r="EP120" s="439">
        <f t="shared" si="520"/>
        <v>0</v>
      </c>
      <c r="EQ120" s="439">
        <f t="shared" si="521"/>
        <v>0</v>
      </c>
      <c r="ER120" s="442">
        <f t="shared" si="522"/>
        <v>0</v>
      </c>
      <c r="ES120" s="442">
        <f t="shared" si="523"/>
        <v>0</v>
      </c>
      <c r="ET120" s="439">
        <f t="shared" si="524"/>
        <v>0</v>
      </c>
      <c r="EU120" s="439">
        <f t="shared" si="525"/>
        <v>0</v>
      </c>
      <c r="EV120" s="661">
        <f t="shared" si="526"/>
        <v>0</v>
      </c>
      <c r="EW120" s="661">
        <f t="shared" si="527"/>
        <v>0</v>
      </c>
      <c r="EX120" s="439">
        <f t="shared" si="528"/>
        <v>0</v>
      </c>
      <c r="EY120" s="439">
        <f t="shared" si="529"/>
        <v>0</v>
      </c>
      <c r="EZ120" s="439">
        <f t="shared" si="530"/>
        <v>0</v>
      </c>
      <c r="FA120" s="439">
        <f t="shared" si="531"/>
        <v>0</v>
      </c>
      <c r="FB120" s="631" t="s">
        <v>92</v>
      </c>
      <c r="FC120" s="631">
        <f t="shared" si="615"/>
        <v>3.4156229212219782</v>
      </c>
      <c r="FD120" s="618"/>
      <c r="FE120" s="439">
        <f t="shared" si="532"/>
        <v>17.024490000000004</v>
      </c>
      <c r="FF120" s="440">
        <f t="shared" si="533"/>
        <v>13.037490000000004</v>
      </c>
      <c r="FG120" s="439">
        <f t="shared" si="534"/>
        <v>-9.0504900000000035</v>
      </c>
      <c r="FH120" s="441">
        <f t="shared" si="535"/>
        <v>0</v>
      </c>
      <c r="FI120" s="439">
        <f t="shared" si="536"/>
        <v>0</v>
      </c>
      <c r="FJ120" s="439">
        <f t="shared" si="537"/>
        <v>0</v>
      </c>
      <c r="FK120" s="439">
        <f t="shared" si="538"/>
        <v>0</v>
      </c>
      <c r="FL120" s="439">
        <f t="shared" si="539"/>
        <v>0</v>
      </c>
      <c r="FM120" s="439">
        <f t="shared" si="540"/>
        <v>0</v>
      </c>
      <c r="FN120" s="439">
        <f t="shared" si="541"/>
        <v>0</v>
      </c>
      <c r="FO120" s="439">
        <f t="shared" si="542"/>
        <v>0</v>
      </c>
      <c r="FP120" s="439">
        <f t="shared" si="543"/>
        <v>0</v>
      </c>
      <c r="FQ120" s="439">
        <f t="shared" si="544"/>
        <v>0</v>
      </c>
      <c r="FR120" s="439">
        <f t="shared" si="545"/>
        <v>0</v>
      </c>
      <c r="FS120" s="442">
        <f t="shared" si="546"/>
        <v>0</v>
      </c>
      <c r="FT120" s="442">
        <f t="shared" si="547"/>
        <v>0</v>
      </c>
      <c r="FU120" s="439">
        <f t="shared" si="548"/>
        <v>0</v>
      </c>
      <c r="FV120" s="439">
        <f t="shared" si="549"/>
        <v>0</v>
      </c>
      <c r="FW120" s="661">
        <f t="shared" si="550"/>
        <v>0</v>
      </c>
      <c r="FX120" s="661">
        <f t="shared" si="551"/>
        <v>0</v>
      </c>
      <c r="FY120" s="439">
        <f t="shared" si="552"/>
        <v>0</v>
      </c>
      <c r="FZ120" s="439">
        <f t="shared" si="553"/>
        <v>0</v>
      </c>
      <c r="GA120" s="439">
        <f t="shared" si="554"/>
        <v>0</v>
      </c>
      <c r="GB120" s="439">
        <f t="shared" si="555"/>
        <v>0</v>
      </c>
      <c r="GC120" s="631" t="s">
        <v>92</v>
      </c>
      <c r="GD120" s="631">
        <f t="shared" si="616"/>
        <v>1.7339048366325478</v>
      </c>
      <c r="GE120" s="618"/>
      <c r="GF120" s="439">
        <f t="shared" si="556"/>
        <v>27.336540000000003</v>
      </c>
      <c r="GG120" s="440">
        <f t="shared" si="557"/>
        <v>20.934540000000002</v>
      </c>
      <c r="GH120" s="439">
        <f t="shared" si="558"/>
        <v>-14.532540000000001</v>
      </c>
      <c r="GI120" s="439">
        <f t="shared" si="559"/>
        <v>0</v>
      </c>
      <c r="GJ120" s="439">
        <f t="shared" si="560"/>
        <v>0</v>
      </c>
      <c r="GK120" s="439">
        <f t="shared" si="561"/>
        <v>0</v>
      </c>
      <c r="GL120" s="439">
        <f t="shared" si="562"/>
        <v>0</v>
      </c>
      <c r="GM120" s="439">
        <f t="shared" si="563"/>
        <v>0</v>
      </c>
      <c r="GN120" s="439">
        <f t="shared" si="564"/>
        <v>0</v>
      </c>
      <c r="GO120" s="439">
        <f t="shared" si="565"/>
        <v>0</v>
      </c>
      <c r="GP120" s="439">
        <f t="shared" si="566"/>
        <v>0</v>
      </c>
      <c r="GQ120" s="439">
        <f t="shared" si="567"/>
        <v>0</v>
      </c>
      <c r="GR120" s="439">
        <f t="shared" si="568"/>
        <v>0</v>
      </c>
      <c r="GS120" s="439">
        <f t="shared" si="569"/>
        <v>0</v>
      </c>
      <c r="GT120" s="442">
        <f t="shared" si="570"/>
        <v>0</v>
      </c>
      <c r="GU120" s="442">
        <f t="shared" si="571"/>
        <v>0</v>
      </c>
      <c r="GV120" s="439">
        <f t="shared" si="572"/>
        <v>0</v>
      </c>
      <c r="GW120" s="439">
        <f t="shared" si="573"/>
        <v>0</v>
      </c>
      <c r="GX120" s="661">
        <f t="shared" si="574"/>
        <v>0</v>
      </c>
      <c r="GY120" s="661">
        <f t="shared" si="575"/>
        <v>0</v>
      </c>
      <c r="GZ120" s="439">
        <f t="shared" si="576"/>
        <v>0</v>
      </c>
      <c r="HA120" s="439">
        <f t="shared" si="577"/>
        <v>0</v>
      </c>
      <c r="HB120" s="439">
        <f t="shared" si="578"/>
        <v>0</v>
      </c>
      <c r="HC120" s="439">
        <f t="shared" si="579"/>
        <v>0</v>
      </c>
      <c r="HD120" s="631" t="s">
        <v>92</v>
      </c>
      <c r="HE120" s="631">
        <f t="shared" si="617"/>
        <v>2.7841632215002678</v>
      </c>
      <c r="HF120" s="639"/>
      <c r="HG120" s="618">
        <f>HLOOKUP(CQ120,Spec_Sheet!$F$3:$DV$19,11,FALSE)+HLOOKUP(CQ120,Spec_Sheet!$F$3:$DV$21,19,FALSE)</f>
        <v>480</v>
      </c>
      <c r="HH120" s="618">
        <f t="shared" si="618"/>
        <v>100</v>
      </c>
      <c r="HI120" s="634">
        <f t="shared" si="619"/>
        <v>500</v>
      </c>
      <c r="HJ120" s="634">
        <f>HLOOKUP(IF(LEN(CQ120)&gt;6,LEFT(CQ120,5),CQ120),'LSM List Pricing'!$B$1:$BW$2,2,0)</f>
        <v>71</v>
      </c>
      <c r="HK120" s="634">
        <f>HLOOKUP(HJ120,'LSM List Pricing'!$B$2:$BW$3,2)</f>
        <v>3420</v>
      </c>
      <c r="HL120" s="634">
        <f>VLOOKUP(HH120,'LSM List Pricing'!$A$7:$BW$87,HJ120,0)</f>
        <v>4560</v>
      </c>
      <c r="HM120" s="627">
        <f>VLOOKUP(HI120,'LSM List Pricing'!$A$7:$BW$87,HJ120,1)</f>
        <v>7210</v>
      </c>
      <c r="HN120" s="628">
        <f t="shared" si="620"/>
        <v>20.46153846153846</v>
      </c>
      <c r="HO120" s="628">
        <f t="shared" si="621"/>
        <v>40.92307692307692</v>
      </c>
      <c r="HP120" s="628">
        <f t="shared" si="622"/>
        <v>36.025641025641029</v>
      </c>
      <c r="HQ120" s="639"/>
      <c r="HR120" s="639">
        <v>5.8500000000000003E-2</v>
      </c>
      <c r="HS120" s="639">
        <f t="shared" si="457"/>
        <v>392.78571428571428</v>
      </c>
      <c r="HT120" s="639">
        <f t="shared" si="458"/>
        <v>1</v>
      </c>
      <c r="HU120" s="618">
        <f t="shared" si="466"/>
        <v>1.4900083687058603</v>
      </c>
      <c r="HV120" s="618"/>
      <c r="HW120" s="618">
        <f t="shared" si="413"/>
        <v>33.884188116437677</v>
      </c>
      <c r="HX120" s="618">
        <f t="shared" si="467"/>
        <v>1.4458483298639868</v>
      </c>
      <c r="HY120" s="618">
        <f t="shared" si="468"/>
        <v>5.8500000000000003E-2</v>
      </c>
      <c r="HZ120" s="618"/>
      <c r="IA120" s="618"/>
      <c r="IB120" s="618">
        <f t="shared" si="414"/>
        <v>25.000350341399081</v>
      </c>
      <c r="IC120" s="618">
        <f t="shared" si="415"/>
        <v>1E-3</v>
      </c>
      <c r="ID120" s="618"/>
      <c r="IE120" s="618">
        <f t="shared" si="416"/>
        <v>0</v>
      </c>
      <c r="IF120" s="618">
        <f t="shared" si="417"/>
        <v>40.704999999999998</v>
      </c>
      <c r="IG120" s="618"/>
      <c r="IH120" s="618">
        <f t="shared" si="418"/>
        <v>0</v>
      </c>
      <c r="II120" s="618">
        <f t="shared" si="419"/>
        <v>40.704999999999998</v>
      </c>
      <c r="IJ120" s="618"/>
      <c r="IK120" s="618">
        <f t="shared" si="420"/>
        <v>0</v>
      </c>
      <c r="IL120" s="618">
        <f t="shared" si="421"/>
        <v>40.704999999999998</v>
      </c>
      <c r="IM120" s="618"/>
      <c r="IN120" s="618">
        <f t="shared" si="422"/>
        <v>0</v>
      </c>
      <c r="IO120" s="618">
        <f t="shared" si="423"/>
        <v>40.704999999999998</v>
      </c>
      <c r="IP120" s="618"/>
      <c r="IQ120" s="618">
        <f t="shared" si="424"/>
        <v>0</v>
      </c>
      <c r="IR120" s="618">
        <f t="shared" si="425"/>
        <v>40.704999999999998</v>
      </c>
      <c r="IS120" s="639"/>
      <c r="IT120" s="660" t="str">
        <f t="shared" si="623"/>
        <v>S605T 1S</v>
      </c>
      <c r="IU120" s="628"/>
      <c r="IV120" s="439">
        <f t="shared" si="580"/>
        <v>54.314400000000006</v>
      </c>
      <c r="IW120" s="440">
        <f t="shared" si="581"/>
        <v>41.594400000000007</v>
      </c>
      <c r="IX120" s="439">
        <f t="shared" si="582"/>
        <v>-28.874400000000009</v>
      </c>
      <c r="IY120" s="439">
        <f t="shared" si="583"/>
        <v>0</v>
      </c>
      <c r="IZ120" s="439">
        <f t="shared" si="584"/>
        <v>0</v>
      </c>
      <c r="JA120" s="439">
        <f t="shared" si="585"/>
        <v>0</v>
      </c>
      <c r="JB120" s="439">
        <f t="shared" si="586"/>
        <v>0</v>
      </c>
      <c r="JC120" s="439">
        <f t="shared" si="587"/>
        <v>0</v>
      </c>
      <c r="JD120" s="439">
        <f t="shared" si="588"/>
        <v>0</v>
      </c>
      <c r="JE120" s="439">
        <f t="shared" si="589"/>
        <v>0</v>
      </c>
      <c r="JF120" s="439">
        <f t="shared" si="590"/>
        <v>0</v>
      </c>
      <c r="JG120" s="439">
        <f t="shared" si="591"/>
        <v>0</v>
      </c>
      <c r="JH120" s="439">
        <f t="shared" si="592"/>
        <v>0</v>
      </c>
      <c r="JI120" s="439">
        <f t="shared" si="593"/>
        <v>0</v>
      </c>
      <c r="JJ120" s="442">
        <f t="shared" si="594"/>
        <v>0</v>
      </c>
      <c r="JK120" s="442">
        <f t="shared" si="595"/>
        <v>0</v>
      </c>
      <c r="JL120" s="439">
        <f t="shared" si="596"/>
        <v>0</v>
      </c>
      <c r="JM120" s="439">
        <f t="shared" si="597"/>
        <v>0</v>
      </c>
      <c r="JN120" s="661">
        <f t="shared" si="598"/>
        <v>0</v>
      </c>
      <c r="JO120" s="661">
        <f t="shared" si="599"/>
        <v>0</v>
      </c>
      <c r="JP120" s="439">
        <f t="shared" si="600"/>
        <v>0</v>
      </c>
      <c r="JQ120" s="439">
        <f t="shared" si="601"/>
        <v>0</v>
      </c>
      <c r="JR120" s="439">
        <f t="shared" si="602"/>
        <v>0</v>
      </c>
      <c r="JS120" s="439">
        <f t="shared" si="603"/>
        <v>0</v>
      </c>
      <c r="JT120" s="631" t="s">
        <v>92</v>
      </c>
      <c r="JU120" s="631">
        <f t="shared" si="624"/>
        <v>5.5317957165703548</v>
      </c>
      <c r="JV120" s="652"/>
    </row>
    <row r="121" spans="1:298" s="579" customFormat="1">
      <c r="A121" s="334"/>
      <c r="U121" s="580"/>
      <c r="V121" s="580"/>
      <c r="AC121" s="580"/>
      <c r="AD121" s="580"/>
      <c r="AL121" s="580"/>
      <c r="AM121" s="580"/>
      <c r="AT121" s="580"/>
      <c r="AU121" s="580"/>
      <c r="AV121" s="581" t="str">
        <f>IF($AY$30,Q32,0)</f>
        <v/>
      </c>
      <c r="AW121" s="581">
        <f>IF($AY$32,'Data Sheet'!AA142,0)</f>
        <v>0</v>
      </c>
      <c r="AX121" s="581">
        <f>Q31-AY42</f>
        <v>40.704999999999998</v>
      </c>
      <c r="CH121" s="334"/>
      <c r="CI121" s="334"/>
      <c r="CO121" s="694"/>
      <c r="CP121" s="632" t="str">
        <f>IF(OR(CQ121=0,CR121="",CS121&gt;120),"",IF(HLOOKUP(CQ121,Spec_Sheet!$F$3:$ED$19,17,FALSE)&lt;$AC$46,"",CQ121))</f>
        <v>S605Q</v>
      </c>
      <c r="CQ121" s="660" t="str">
        <f>IF(Spec_Sheet!A120="","",Spec_Sheet!A120)</f>
        <v>S605Q</v>
      </c>
      <c r="CR121" s="660">
        <f>IF(CQ121="",0,HLOOKUP(CQ121,Spec_Sheet!$F$3:$ED$19,2,FALSE))</f>
        <v>780</v>
      </c>
      <c r="CS121" s="660">
        <f t="shared" si="605"/>
        <v>2.069899010298519E-3</v>
      </c>
      <c r="CT121" s="621">
        <f t="shared" si="606"/>
        <v>2.1004506122563201E-3</v>
      </c>
      <c r="CU121" s="621">
        <f t="shared" si="607"/>
        <v>2.069899010298519E-3</v>
      </c>
      <c r="CV121" s="621">
        <f t="shared" si="608"/>
        <v>6.9050005721185215E-4</v>
      </c>
      <c r="CW121" s="621">
        <f t="shared" si="609"/>
        <v>6.7303080788726319E-4</v>
      </c>
      <c r="CX121" s="621">
        <f t="shared" si="610"/>
        <v>5.0124274520753039E-4</v>
      </c>
      <c r="CY121" s="619">
        <f>HLOOKUP(CQ121,Spec_Sheet!$F$3:$ED$19,13,FALSE)</f>
        <v>27</v>
      </c>
      <c r="CZ121" s="619">
        <f>VLOOKUP(HH121,'Shaft Weight'!$A$6:$CD$102,HJ121,TRUE)</f>
        <v>15.31</v>
      </c>
      <c r="DA121" s="619">
        <f>VLOOKUP(HI121,'Shaft Weight'!$A$6:$CD$102,HJ121,0)</f>
        <v>26.37</v>
      </c>
      <c r="DB121" s="619">
        <f>HLOOKUP(CQ121,Spec_Sheet!$F$3:$ED$19,6,FALSE)</f>
        <v>93</v>
      </c>
      <c r="DC121" s="439">
        <f t="shared" si="484"/>
        <v>35.099400000000003</v>
      </c>
      <c r="DD121" s="440">
        <f t="shared" si="485"/>
        <v>26.8794</v>
      </c>
      <c r="DE121" s="439">
        <f t="shared" si="486"/>
        <v>-18.659400000000002</v>
      </c>
      <c r="DF121" s="439">
        <f t="shared" si="487"/>
        <v>0</v>
      </c>
      <c r="DG121" s="439">
        <f t="shared" si="488"/>
        <v>0</v>
      </c>
      <c r="DH121" s="439">
        <f t="shared" si="489"/>
        <v>0</v>
      </c>
      <c r="DI121" s="439">
        <f t="shared" si="490"/>
        <v>0</v>
      </c>
      <c r="DJ121" s="439">
        <f t="shared" si="491"/>
        <v>0</v>
      </c>
      <c r="DK121" s="439">
        <f t="shared" si="492"/>
        <v>0</v>
      </c>
      <c r="DL121" s="439">
        <f t="shared" si="493"/>
        <v>0</v>
      </c>
      <c r="DM121" s="439">
        <f t="shared" si="494"/>
        <v>0</v>
      </c>
      <c r="DN121" s="439">
        <f t="shared" si="495"/>
        <v>0</v>
      </c>
      <c r="DO121" s="439">
        <f t="shared" si="496"/>
        <v>0</v>
      </c>
      <c r="DP121" s="439">
        <f t="shared" si="497"/>
        <v>0</v>
      </c>
      <c r="DQ121" s="442">
        <f t="shared" si="498"/>
        <v>0</v>
      </c>
      <c r="DR121" s="442">
        <f t="shared" si="499"/>
        <v>0</v>
      </c>
      <c r="DS121" s="439">
        <f t="shared" si="500"/>
        <v>0</v>
      </c>
      <c r="DT121" s="439">
        <f t="shared" si="501"/>
        <v>0</v>
      </c>
      <c r="DU121" s="661">
        <f t="shared" si="502"/>
        <v>0</v>
      </c>
      <c r="DV121" s="661">
        <f t="shared" si="503"/>
        <v>0</v>
      </c>
      <c r="DW121" s="439">
        <f t="shared" si="504"/>
        <v>0</v>
      </c>
      <c r="DX121" s="439">
        <f t="shared" si="505"/>
        <v>0</v>
      </c>
      <c r="DY121" s="439">
        <f t="shared" si="506"/>
        <v>0</v>
      </c>
      <c r="DZ121" s="439">
        <f t="shared" si="507"/>
        <v>0</v>
      </c>
      <c r="EA121" s="631" t="s">
        <v>92</v>
      </c>
      <c r="EB121" s="631">
        <f t="shared" si="614"/>
        <v>3.5747925149534834</v>
      </c>
      <c r="EC121" s="618"/>
      <c r="ED121" s="439">
        <f t="shared" si="508"/>
        <v>39.736620000000002</v>
      </c>
      <c r="EE121" s="440">
        <f t="shared" si="509"/>
        <v>30.430620000000001</v>
      </c>
      <c r="EF121" s="439">
        <f t="shared" si="510"/>
        <v>-21.12462</v>
      </c>
      <c r="EG121" s="441">
        <f t="shared" si="511"/>
        <v>0</v>
      </c>
      <c r="EH121" s="439">
        <f t="shared" si="512"/>
        <v>0</v>
      </c>
      <c r="EI121" s="439">
        <f t="shared" si="513"/>
        <v>0</v>
      </c>
      <c r="EJ121" s="439">
        <f t="shared" si="514"/>
        <v>0</v>
      </c>
      <c r="EK121" s="439">
        <f t="shared" si="515"/>
        <v>0</v>
      </c>
      <c r="EL121" s="439">
        <f t="shared" si="516"/>
        <v>0</v>
      </c>
      <c r="EM121" s="439">
        <f t="shared" si="517"/>
        <v>0</v>
      </c>
      <c r="EN121" s="439">
        <f t="shared" si="518"/>
        <v>0</v>
      </c>
      <c r="EO121" s="439">
        <f t="shared" si="519"/>
        <v>0</v>
      </c>
      <c r="EP121" s="439">
        <f t="shared" si="520"/>
        <v>0</v>
      </c>
      <c r="EQ121" s="439">
        <f t="shared" si="521"/>
        <v>0</v>
      </c>
      <c r="ER121" s="442">
        <f t="shared" si="522"/>
        <v>0</v>
      </c>
      <c r="ES121" s="442">
        <f t="shared" si="523"/>
        <v>0</v>
      </c>
      <c r="ET121" s="439">
        <f t="shared" si="524"/>
        <v>0</v>
      </c>
      <c r="EU121" s="439">
        <f t="shared" si="525"/>
        <v>0</v>
      </c>
      <c r="EV121" s="661">
        <f t="shared" si="526"/>
        <v>0</v>
      </c>
      <c r="EW121" s="661">
        <f t="shared" si="527"/>
        <v>0</v>
      </c>
      <c r="EX121" s="439">
        <f t="shared" si="528"/>
        <v>0</v>
      </c>
      <c r="EY121" s="439">
        <f t="shared" si="529"/>
        <v>0</v>
      </c>
      <c r="EZ121" s="439">
        <f t="shared" si="530"/>
        <v>0</v>
      </c>
      <c r="FA121" s="439">
        <f t="shared" si="531"/>
        <v>0</v>
      </c>
      <c r="FB121" s="631" t="s">
        <v>92</v>
      </c>
      <c r="FC121" s="631">
        <f t="shared" si="615"/>
        <v>4.0470826209436881</v>
      </c>
      <c r="FD121" s="618"/>
      <c r="FE121" s="439">
        <f t="shared" si="532"/>
        <v>20.124510000000001</v>
      </c>
      <c r="FF121" s="440">
        <f t="shared" si="533"/>
        <v>15.411510000000002</v>
      </c>
      <c r="FG121" s="439">
        <f t="shared" si="534"/>
        <v>-10.698510000000002</v>
      </c>
      <c r="FH121" s="441">
        <f t="shared" si="535"/>
        <v>0</v>
      </c>
      <c r="FI121" s="439">
        <f t="shared" si="536"/>
        <v>0</v>
      </c>
      <c r="FJ121" s="439">
        <f t="shared" si="537"/>
        <v>0</v>
      </c>
      <c r="FK121" s="439">
        <f t="shared" si="538"/>
        <v>0</v>
      </c>
      <c r="FL121" s="439">
        <f t="shared" si="539"/>
        <v>0</v>
      </c>
      <c r="FM121" s="439">
        <f t="shared" si="540"/>
        <v>0</v>
      </c>
      <c r="FN121" s="439">
        <f t="shared" si="541"/>
        <v>0</v>
      </c>
      <c r="FO121" s="439">
        <f t="shared" si="542"/>
        <v>0</v>
      </c>
      <c r="FP121" s="439">
        <f t="shared" si="543"/>
        <v>0</v>
      </c>
      <c r="FQ121" s="439">
        <f t="shared" si="544"/>
        <v>0</v>
      </c>
      <c r="FR121" s="439">
        <f t="shared" si="545"/>
        <v>0</v>
      </c>
      <c r="FS121" s="442">
        <f t="shared" si="546"/>
        <v>0</v>
      </c>
      <c r="FT121" s="442">
        <f t="shared" si="547"/>
        <v>0</v>
      </c>
      <c r="FU121" s="439">
        <f t="shared" si="548"/>
        <v>0</v>
      </c>
      <c r="FV121" s="439">
        <f t="shared" si="549"/>
        <v>0</v>
      </c>
      <c r="FW121" s="661">
        <f t="shared" si="550"/>
        <v>0</v>
      </c>
      <c r="FX121" s="661">
        <f t="shared" si="551"/>
        <v>0</v>
      </c>
      <c r="FY121" s="439">
        <f t="shared" si="552"/>
        <v>0</v>
      </c>
      <c r="FZ121" s="439">
        <f t="shared" si="553"/>
        <v>0</v>
      </c>
      <c r="GA121" s="439">
        <f t="shared" si="554"/>
        <v>0</v>
      </c>
      <c r="GB121" s="439">
        <f t="shared" si="555"/>
        <v>0</v>
      </c>
      <c r="GC121" s="631" t="s">
        <v>92</v>
      </c>
      <c r="GD121" s="631">
        <f t="shared" si="616"/>
        <v>2.0496346864934023</v>
      </c>
      <c r="GE121" s="618"/>
      <c r="GF121" s="439">
        <f t="shared" si="556"/>
        <v>34.292369999999998</v>
      </c>
      <c r="GG121" s="440">
        <f t="shared" si="557"/>
        <v>26.261369999999999</v>
      </c>
      <c r="GH121" s="439">
        <f t="shared" si="558"/>
        <v>-18.230370000000001</v>
      </c>
      <c r="GI121" s="439">
        <f t="shared" si="559"/>
        <v>0</v>
      </c>
      <c r="GJ121" s="439">
        <f t="shared" si="560"/>
        <v>0</v>
      </c>
      <c r="GK121" s="439">
        <f t="shared" si="561"/>
        <v>0</v>
      </c>
      <c r="GL121" s="439">
        <f t="shared" si="562"/>
        <v>0</v>
      </c>
      <c r="GM121" s="439">
        <f t="shared" si="563"/>
        <v>0</v>
      </c>
      <c r="GN121" s="439">
        <f t="shared" si="564"/>
        <v>0</v>
      </c>
      <c r="GO121" s="439">
        <f t="shared" si="565"/>
        <v>0</v>
      </c>
      <c r="GP121" s="439">
        <f t="shared" si="566"/>
        <v>0</v>
      </c>
      <c r="GQ121" s="439">
        <f t="shared" si="567"/>
        <v>0</v>
      </c>
      <c r="GR121" s="439">
        <f t="shared" si="568"/>
        <v>0</v>
      </c>
      <c r="GS121" s="439">
        <f t="shared" si="569"/>
        <v>0</v>
      </c>
      <c r="GT121" s="442">
        <f t="shared" si="570"/>
        <v>0</v>
      </c>
      <c r="GU121" s="442">
        <f t="shared" si="571"/>
        <v>0</v>
      </c>
      <c r="GV121" s="439">
        <f t="shared" si="572"/>
        <v>0</v>
      </c>
      <c r="GW121" s="439">
        <f t="shared" si="573"/>
        <v>0</v>
      </c>
      <c r="GX121" s="661">
        <f t="shared" si="574"/>
        <v>0</v>
      </c>
      <c r="GY121" s="661">
        <f t="shared" si="575"/>
        <v>0</v>
      </c>
      <c r="GZ121" s="439">
        <f t="shared" si="576"/>
        <v>0</v>
      </c>
      <c r="HA121" s="439">
        <f t="shared" si="577"/>
        <v>0</v>
      </c>
      <c r="HB121" s="439">
        <f t="shared" si="578"/>
        <v>0</v>
      </c>
      <c r="HC121" s="439">
        <f t="shared" si="579"/>
        <v>0</v>
      </c>
      <c r="HD121" s="631" t="s">
        <v>92</v>
      </c>
      <c r="HE121" s="631">
        <f t="shared" si="617"/>
        <v>3.4925983804855747</v>
      </c>
      <c r="HF121" s="639"/>
      <c r="HG121" s="618">
        <f>HLOOKUP(CQ121,Spec_Sheet!$F$3:$DV$19,11,FALSE)+HLOOKUP(CQ121,Spec_Sheet!$F$3:$DV$21,19,FALSE)</f>
        <v>600</v>
      </c>
      <c r="HH121" s="618">
        <f t="shared" si="618"/>
        <v>100</v>
      </c>
      <c r="HI121" s="634">
        <f t="shared" si="619"/>
        <v>650</v>
      </c>
      <c r="HJ121" s="634">
        <f>HLOOKUP(IF(LEN(CQ121)&gt;6,LEFT(CQ121,5),CQ121),'LSM List Pricing'!$B$1:$BW$2,2,0)</f>
        <v>72</v>
      </c>
      <c r="HK121" s="634">
        <f>HLOOKUP(HJ121,'LSM List Pricing'!$B$2:$BW$3,2)</f>
        <v>3790</v>
      </c>
      <c r="HL121" s="634">
        <f>VLOOKUP(HH121,'LSM List Pricing'!$A$7:$BW$87,HJ121,0)</f>
        <v>5350</v>
      </c>
      <c r="HM121" s="627">
        <f>VLOOKUP(HI121,'LSM List Pricing'!$A$7:$BW$87,HJ121,1)</f>
        <v>8990</v>
      </c>
      <c r="HN121" s="628">
        <f t="shared" si="620"/>
        <v>23.435897435897434</v>
      </c>
      <c r="HO121" s="628">
        <f t="shared" si="621"/>
        <v>46.871794871794869</v>
      </c>
      <c r="HP121" s="628">
        <f t="shared" si="622"/>
        <v>42.487179487179489</v>
      </c>
      <c r="HQ121" s="639"/>
      <c r="HR121" s="639">
        <v>5.8999999999999997E-2</v>
      </c>
      <c r="HS121" s="639">
        <f t="shared" si="457"/>
        <v>396.14285714285711</v>
      </c>
      <c r="HT121" s="639">
        <f t="shared" si="458"/>
        <v>1</v>
      </c>
      <c r="HU121" s="618">
        <f t="shared" si="466"/>
        <v>1.5027474126794849</v>
      </c>
      <c r="HV121" s="618"/>
      <c r="HW121" s="618">
        <f t="shared" si="413"/>
        <v>33.866098673995133</v>
      </c>
      <c r="HX121" s="618">
        <f t="shared" si="467"/>
        <v>1.4578322665368517</v>
      </c>
      <c r="HY121" s="618">
        <f t="shared" si="468"/>
        <v>5.8999999999999997E-2</v>
      </c>
      <c r="HZ121" s="618"/>
      <c r="IA121" s="618"/>
      <c r="IB121" s="618">
        <f t="shared" si="414"/>
        <v>25.000350341399081</v>
      </c>
      <c r="IC121" s="618">
        <f t="shared" si="415"/>
        <v>1E-3</v>
      </c>
      <c r="ID121" s="618"/>
      <c r="IE121" s="618">
        <f t="shared" si="416"/>
        <v>0</v>
      </c>
      <c r="IF121" s="618">
        <f t="shared" si="417"/>
        <v>40.704999999999998</v>
      </c>
      <c r="IG121" s="618"/>
      <c r="IH121" s="618">
        <f t="shared" si="418"/>
        <v>0</v>
      </c>
      <c r="II121" s="618">
        <f t="shared" si="419"/>
        <v>40.704999999999998</v>
      </c>
      <c r="IJ121" s="618"/>
      <c r="IK121" s="618">
        <f t="shared" si="420"/>
        <v>0</v>
      </c>
      <c r="IL121" s="618">
        <f t="shared" si="421"/>
        <v>40.704999999999998</v>
      </c>
      <c r="IM121" s="618"/>
      <c r="IN121" s="618">
        <f t="shared" si="422"/>
        <v>0</v>
      </c>
      <c r="IO121" s="618">
        <f t="shared" si="423"/>
        <v>40.704999999999998</v>
      </c>
      <c r="IP121" s="618"/>
      <c r="IQ121" s="618">
        <f t="shared" si="424"/>
        <v>0</v>
      </c>
      <c r="IR121" s="618">
        <f t="shared" si="425"/>
        <v>40.704999999999998</v>
      </c>
      <c r="IS121" s="639"/>
      <c r="IT121" s="660" t="str">
        <f t="shared" si="623"/>
        <v>S605Q</v>
      </c>
      <c r="IU121" s="628"/>
      <c r="IV121" s="439">
        <f t="shared" si="580"/>
        <v>69.686399999999992</v>
      </c>
      <c r="IW121" s="440">
        <f t="shared" si="581"/>
        <v>53.366399999999999</v>
      </c>
      <c r="IX121" s="439">
        <f t="shared" si="582"/>
        <v>-37.046399999999998</v>
      </c>
      <c r="IY121" s="439">
        <f t="shared" si="583"/>
        <v>0</v>
      </c>
      <c r="IZ121" s="439">
        <f t="shared" si="584"/>
        <v>0</v>
      </c>
      <c r="JA121" s="439">
        <f t="shared" si="585"/>
        <v>0</v>
      </c>
      <c r="JB121" s="439">
        <f t="shared" si="586"/>
        <v>0</v>
      </c>
      <c r="JC121" s="439">
        <f t="shared" si="587"/>
        <v>0</v>
      </c>
      <c r="JD121" s="439">
        <f t="shared" si="588"/>
        <v>0</v>
      </c>
      <c r="JE121" s="439">
        <f t="shared" si="589"/>
        <v>0</v>
      </c>
      <c r="JF121" s="439">
        <f t="shared" si="590"/>
        <v>0</v>
      </c>
      <c r="JG121" s="439">
        <f t="shared" si="591"/>
        <v>0</v>
      </c>
      <c r="JH121" s="439">
        <f t="shared" si="592"/>
        <v>0</v>
      </c>
      <c r="JI121" s="439">
        <f t="shared" si="593"/>
        <v>0</v>
      </c>
      <c r="JJ121" s="442">
        <f t="shared" si="594"/>
        <v>0</v>
      </c>
      <c r="JK121" s="442">
        <f t="shared" si="595"/>
        <v>0</v>
      </c>
      <c r="JL121" s="439">
        <f t="shared" si="596"/>
        <v>0</v>
      </c>
      <c r="JM121" s="439">
        <f t="shared" si="597"/>
        <v>0</v>
      </c>
      <c r="JN121" s="661">
        <f t="shared" si="598"/>
        <v>0</v>
      </c>
      <c r="JO121" s="661">
        <f t="shared" si="599"/>
        <v>0</v>
      </c>
      <c r="JP121" s="439">
        <f t="shared" si="600"/>
        <v>0</v>
      </c>
      <c r="JQ121" s="439">
        <f t="shared" si="601"/>
        <v>0</v>
      </c>
      <c r="JR121" s="439">
        <f t="shared" si="602"/>
        <v>0</v>
      </c>
      <c r="JS121" s="439">
        <f t="shared" si="603"/>
        <v>0</v>
      </c>
      <c r="JT121" s="631" t="s">
        <v>92</v>
      </c>
      <c r="JU121" s="631">
        <f t="shared" si="624"/>
        <v>7.0973982778638494</v>
      </c>
      <c r="JV121" s="652"/>
    </row>
    <row r="122" spans="1:298" s="579" customFormat="1">
      <c r="A122" s="334"/>
      <c r="U122" s="580"/>
      <c r="V122" s="580"/>
      <c r="AC122" s="580"/>
      <c r="AD122" s="580"/>
      <c r="AL122" s="580"/>
      <c r="AM122" s="580"/>
      <c r="AT122" s="580"/>
      <c r="AU122" s="580"/>
      <c r="AV122" s="581" t="e">
        <f>K93*$K$82</f>
        <v>#DIV/0!</v>
      </c>
      <c r="AW122" s="581" t="e">
        <f>IF($AY$32,'Data Sheet'!AA143,0)</f>
        <v>#DIV/0!</v>
      </c>
      <c r="AX122" s="581">
        <f>AX121</f>
        <v>40.704999999999998</v>
      </c>
      <c r="CH122" s="334"/>
      <c r="CI122" s="334"/>
      <c r="CO122" s="694"/>
      <c r="CP122" s="632" t="str">
        <f>IF(OR(CQ122=0,CR122="",CS122&gt;120),"",IF(HLOOKUP(CQ122,Spec_Sheet!$F$3:$ED$19,17,FALSE)&lt;$AC$46,"",CQ122))</f>
        <v>S605Q 1S</v>
      </c>
      <c r="CQ122" s="660" t="str">
        <f>IF(Spec_Sheet!A121="","",Spec_Sheet!A121)</f>
        <v>S605Q 1S</v>
      </c>
      <c r="CR122" s="660">
        <f>IF(CQ122="",0,HLOOKUP(CQ122,Spec_Sheet!$F$3:$ED$19,2,FALSE))</f>
        <v>781.2</v>
      </c>
      <c r="CS122" s="660">
        <f t="shared" si="605"/>
        <v>2.0635447576837331E-3</v>
      </c>
      <c r="CT122" s="621">
        <f t="shared" si="606"/>
        <v>2.0940025712027463E-3</v>
      </c>
      <c r="CU122" s="621">
        <f t="shared" si="607"/>
        <v>2.0635447576837331E-3</v>
      </c>
      <c r="CV122" s="621">
        <f t="shared" si="608"/>
        <v>6.8838033457213979E-4</v>
      </c>
      <c r="CW122" s="621">
        <f t="shared" si="609"/>
        <v>6.7096471299588404E-4</v>
      </c>
      <c r="CX122" s="621">
        <f t="shared" si="610"/>
        <v>4.9970401167100033E-4</v>
      </c>
      <c r="CY122" s="619">
        <f>HLOOKUP(CQ122,Spec_Sheet!$F$3:$ED$19,13,FALSE)</f>
        <v>27</v>
      </c>
      <c r="CZ122" s="619">
        <f>VLOOKUP(HH122,'Shaft Weight'!$A$6:$CD$102,HJ122,TRUE)</f>
        <v>15.31</v>
      </c>
      <c r="DA122" s="619">
        <f>VLOOKUP(HI122,'Shaft Weight'!$A$6:$CD$102,HJ122,0)</f>
        <v>26.37</v>
      </c>
      <c r="DB122" s="619">
        <f>HLOOKUP(CQ122,Spec_Sheet!$F$3:$ED$19,6,FALSE)</f>
        <v>23.25</v>
      </c>
      <c r="DC122" s="439">
        <f t="shared" si="484"/>
        <v>35.099400000000003</v>
      </c>
      <c r="DD122" s="440">
        <f t="shared" si="485"/>
        <v>26.8794</v>
      </c>
      <c r="DE122" s="439">
        <f t="shared" si="486"/>
        <v>-18.659400000000002</v>
      </c>
      <c r="DF122" s="439">
        <f t="shared" si="487"/>
        <v>0</v>
      </c>
      <c r="DG122" s="439">
        <f t="shared" si="488"/>
        <v>0</v>
      </c>
      <c r="DH122" s="439">
        <f t="shared" si="489"/>
        <v>0</v>
      </c>
      <c r="DI122" s="439">
        <f t="shared" si="490"/>
        <v>0</v>
      </c>
      <c r="DJ122" s="439">
        <f t="shared" si="491"/>
        <v>0</v>
      </c>
      <c r="DK122" s="439">
        <f t="shared" si="492"/>
        <v>0</v>
      </c>
      <c r="DL122" s="439">
        <f t="shared" si="493"/>
        <v>0</v>
      </c>
      <c r="DM122" s="439">
        <f t="shared" si="494"/>
        <v>0</v>
      </c>
      <c r="DN122" s="439">
        <f t="shared" si="495"/>
        <v>0</v>
      </c>
      <c r="DO122" s="439">
        <f t="shared" si="496"/>
        <v>0</v>
      </c>
      <c r="DP122" s="439">
        <f t="shared" si="497"/>
        <v>0</v>
      </c>
      <c r="DQ122" s="442">
        <f t="shared" si="498"/>
        <v>0</v>
      </c>
      <c r="DR122" s="442">
        <f t="shared" si="499"/>
        <v>0</v>
      </c>
      <c r="DS122" s="439">
        <f t="shared" si="500"/>
        <v>0</v>
      </c>
      <c r="DT122" s="439">
        <f t="shared" si="501"/>
        <v>0</v>
      </c>
      <c r="DU122" s="661">
        <f t="shared" si="502"/>
        <v>0</v>
      </c>
      <c r="DV122" s="661">
        <f t="shared" si="503"/>
        <v>0</v>
      </c>
      <c r="DW122" s="439">
        <f t="shared" si="504"/>
        <v>0</v>
      </c>
      <c r="DX122" s="439">
        <f t="shared" si="505"/>
        <v>0</v>
      </c>
      <c r="DY122" s="439">
        <f t="shared" si="506"/>
        <v>0</v>
      </c>
      <c r="DZ122" s="439">
        <f t="shared" si="507"/>
        <v>0</v>
      </c>
      <c r="EA122" s="631" t="s">
        <v>92</v>
      </c>
      <c r="EB122" s="631">
        <f t="shared" si="614"/>
        <v>3.5747925149534834</v>
      </c>
      <c r="EC122" s="618"/>
      <c r="ED122" s="439">
        <f t="shared" si="508"/>
        <v>39.736620000000002</v>
      </c>
      <c r="EE122" s="440">
        <f t="shared" si="509"/>
        <v>30.430620000000001</v>
      </c>
      <c r="EF122" s="439">
        <f t="shared" si="510"/>
        <v>-21.12462</v>
      </c>
      <c r="EG122" s="441">
        <f t="shared" si="511"/>
        <v>0</v>
      </c>
      <c r="EH122" s="439">
        <f t="shared" si="512"/>
        <v>0</v>
      </c>
      <c r="EI122" s="439">
        <f t="shared" si="513"/>
        <v>0</v>
      </c>
      <c r="EJ122" s="439">
        <f t="shared" si="514"/>
        <v>0</v>
      </c>
      <c r="EK122" s="439">
        <f t="shared" si="515"/>
        <v>0</v>
      </c>
      <c r="EL122" s="439">
        <f t="shared" si="516"/>
        <v>0</v>
      </c>
      <c r="EM122" s="439">
        <f t="shared" si="517"/>
        <v>0</v>
      </c>
      <c r="EN122" s="439">
        <f t="shared" si="518"/>
        <v>0</v>
      </c>
      <c r="EO122" s="439">
        <f t="shared" si="519"/>
        <v>0</v>
      </c>
      <c r="EP122" s="439">
        <f t="shared" si="520"/>
        <v>0</v>
      </c>
      <c r="EQ122" s="439">
        <f t="shared" si="521"/>
        <v>0</v>
      </c>
      <c r="ER122" s="442">
        <f t="shared" si="522"/>
        <v>0</v>
      </c>
      <c r="ES122" s="442">
        <f t="shared" si="523"/>
        <v>0</v>
      </c>
      <c r="ET122" s="439">
        <f t="shared" si="524"/>
        <v>0</v>
      </c>
      <c r="EU122" s="439">
        <f t="shared" si="525"/>
        <v>0</v>
      </c>
      <c r="EV122" s="661">
        <f t="shared" si="526"/>
        <v>0</v>
      </c>
      <c r="EW122" s="661">
        <f t="shared" si="527"/>
        <v>0</v>
      </c>
      <c r="EX122" s="439">
        <f t="shared" si="528"/>
        <v>0</v>
      </c>
      <c r="EY122" s="439">
        <f t="shared" si="529"/>
        <v>0</v>
      </c>
      <c r="EZ122" s="439">
        <f t="shared" si="530"/>
        <v>0</v>
      </c>
      <c r="FA122" s="439">
        <f t="shared" si="531"/>
        <v>0</v>
      </c>
      <c r="FB122" s="631" t="s">
        <v>92</v>
      </c>
      <c r="FC122" s="631">
        <f t="shared" si="615"/>
        <v>4.0470826209436881</v>
      </c>
      <c r="FD122" s="618"/>
      <c r="FE122" s="439">
        <f t="shared" si="532"/>
        <v>20.124510000000001</v>
      </c>
      <c r="FF122" s="440">
        <f t="shared" si="533"/>
        <v>15.411510000000002</v>
      </c>
      <c r="FG122" s="439">
        <f t="shared" si="534"/>
        <v>-10.698510000000002</v>
      </c>
      <c r="FH122" s="441">
        <f t="shared" si="535"/>
        <v>0</v>
      </c>
      <c r="FI122" s="439">
        <f t="shared" si="536"/>
        <v>0</v>
      </c>
      <c r="FJ122" s="439">
        <f t="shared" si="537"/>
        <v>0</v>
      </c>
      <c r="FK122" s="439">
        <f t="shared" si="538"/>
        <v>0</v>
      </c>
      <c r="FL122" s="439">
        <f t="shared" si="539"/>
        <v>0</v>
      </c>
      <c r="FM122" s="439">
        <f t="shared" si="540"/>
        <v>0</v>
      </c>
      <c r="FN122" s="439">
        <f t="shared" si="541"/>
        <v>0</v>
      </c>
      <c r="FO122" s="439">
        <f t="shared" si="542"/>
        <v>0</v>
      </c>
      <c r="FP122" s="439">
        <f t="shared" si="543"/>
        <v>0</v>
      </c>
      <c r="FQ122" s="439">
        <f t="shared" si="544"/>
        <v>0</v>
      </c>
      <c r="FR122" s="439">
        <f t="shared" si="545"/>
        <v>0</v>
      </c>
      <c r="FS122" s="442">
        <f t="shared" si="546"/>
        <v>0</v>
      </c>
      <c r="FT122" s="442">
        <f t="shared" si="547"/>
        <v>0</v>
      </c>
      <c r="FU122" s="439">
        <f t="shared" si="548"/>
        <v>0</v>
      </c>
      <c r="FV122" s="439">
        <f t="shared" si="549"/>
        <v>0</v>
      </c>
      <c r="FW122" s="661">
        <f t="shared" si="550"/>
        <v>0</v>
      </c>
      <c r="FX122" s="661">
        <f t="shared" si="551"/>
        <v>0</v>
      </c>
      <c r="FY122" s="439">
        <f t="shared" si="552"/>
        <v>0</v>
      </c>
      <c r="FZ122" s="439">
        <f t="shared" si="553"/>
        <v>0</v>
      </c>
      <c r="GA122" s="439">
        <f t="shared" si="554"/>
        <v>0</v>
      </c>
      <c r="GB122" s="439">
        <f t="shared" si="555"/>
        <v>0</v>
      </c>
      <c r="GC122" s="631" t="s">
        <v>92</v>
      </c>
      <c r="GD122" s="631">
        <f t="shared" si="616"/>
        <v>2.0496346864934023</v>
      </c>
      <c r="GE122" s="618"/>
      <c r="GF122" s="439">
        <f t="shared" si="556"/>
        <v>34.292369999999998</v>
      </c>
      <c r="GG122" s="440">
        <f t="shared" si="557"/>
        <v>26.261369999999999</v>
      </c>
      <c r="GH122" s="439">
        <f t="shared" si="558"/>
        <v>-18.230370000000001</v>
      </c>
      <c r="GI122" s="439">
        <f t="shared" si="559"/>
        <v>0</v>
      </c>
      <c r="GJ122" s="439">
        <f t="shared" si="560"/>
        <v>0</v>
      </c>
      <c r="GK122" s="439">
        <f t="shared" si="561"/>
        <v>0</v>
      </c>
      <c r="GL122" s="439">
        <f t="shared" si="562"/>
        <v>0</v>
      </c>
      <c r="GM122" s="439">
        <f t="shared" si="563"/>
        <v>0</v>
      </c>
      <c r="GN122" s="439">
        <f t="shared" si="564"/>
        <v>0</v>
      </c>
      <c r="GO122" s="439">
        <f t="shared" si="565"/>
        <v>0</v>
      </c>
      <c r="GP122" s="439">
        <f t="shared" si="566"/>
        <v>0</v>
      </c>
      <c r="GQ122" s="439">
        <f t="shared" si="567"/>
        <v>0</v>
      </c>
      <c r="GR122" s="439">
        <f t="shared" si="568"/>
        <v>0</v>
      </c>
      <c r="GS122" s="439">
        <f t="shared" si="569"/>
        <v>0</v>
      </c>
      <c r="GT122" s="442">
        <f t="shared" si="570"/>
        <v>0</v>
      </c>
      <c r="GU122" s="442">
        <f t="shared" si="571"/>
        <v>0</v>
      </c>
      <c r="GV122" s="439">
        <f t="shared" si="572"/>
        <v>0</v>
      </c>
      <c r="GW122" s="439">
        <f t="shared" si="573"/>
        <v>0</v>
      </c>
      <c r="GX122" s="661">
        <f t="shared" si="574"/>
        <v>0</v>
      </c>
      <c r="GY122" s="661">
        <f t="shared" si="575"/>
        <v>0</v>
      </c>
      <c r="GZ122" s="439">
        <f t="shared" si="576"/>
        <v>0</v>
      </c>
      <c r="HA122" s="439">
        <f t="shared" si="577"/>
        <v>0</v>
      </c>
      <c r="HB122" s="439">
        <f t="shared" si="578"/>
        <v>0</v>
      </c>
      <c r="HC122" s="439">
        <f t="shared" si="579"/>
        <v>0</v>
      </c>
      <c r="HD122" s="631" t="s">
        <v>92</v>
      </c>
      <c r="HE122" s="631">
        <f t="shared" si="617"/>
        <v>3.4925983804855747</v>
      </c>
      <c r="HF122" s="639"/>
      <c r="HG122" s="618">
        <f>HLOOKUP(CQ122,Spec_Sheet!$F$3:$DV$19,11,FALSE)+HLOOKUP(CQ122,Spec_Sheet!$F$3:$DV$21,19,FALSE)</f>
        <v>600</v>
      </c>
      <c r="HH122" s="618">
        <f t="shared" si="618"/>
        <v>100</v>
      </c>
      <c r="HI122" s="634">
        <f t="shared" si="619"/>
        <v>650</v>
      </c>
      <c r="HJ122" s="634">
        <f>HLOOKUP(IF(LEN(CQ122)&gt;6,LEFT(CQ122,5),CQ122),'LSM List Pricing'!$B$1:$BW$2,2,0)</f>
        <v>72</v>
      </c>
      <c r="HK122" s="634">
        <f>HLOOKUP(HJ122,'LSM List Pricing'!$B$2:$BW$3,2)</f>
        <v>3790</v>
      </c>
      <c r="HL122" s="634">
        <f>VLOOKUP(HH122,'LSM List Pricing'!$A$7:$BW$87,HJ122,0)</f>
        <v>5350</v>
      </c>
      <c r="HM122" s="627">
        <f>VLOOKUP(HI122,'LSM List Pricing'!$A$7:$BW$87,HJ122,1)</f>
        <v>8990</v>
      </c>
      <c r="HN122" s="628">
        <f t="shared" si="620"/>
        <v>23.435897435897434</v>
      </c>
      <c r="HO122" s="628">
        <f t="shared" si="621"/>
        <v>46.871794871794869</v>
      </c>
      <c r="HP122" s="628">
        <f t="shared" si="622"/>
        <v>42.487179487179489</v>
      </c>
      <c r="HQ122" s="639"/>
      <c r="HR122" s="639">
        <v>5.9499999999999997E-2</v>
      </c>
      <c r="HS122" s="639">
        <f t="shared" si="457"/>
        <v>399.5</v>
      </c>
      <c r="HT122" s="639">
        <f t="shared" si="458"/>
        <v>1</v>
      </c>
      <c r="HU122" s="618">
        <f t="shared" si="466"/>
        <v>1.5154864566531097</v>
      </c>
      <c r="HV122" s="618"/>
      <c r="HW122" s="618">
        <f t="shared" si="413"/>
        <v>33.848009231552581</v>
      </c>
      <c r="HX122" s="618">
        <f t="shared" si="467"/>
        <v>1.4698098020374186</v>
      </c>
      <c r="HY122" s="618">
        <f t="shared" si="468"/>
        <v>5.9499999999999997E-2</v>
      </c>
      <c r="HZ122" s="618"/>
      <c r="IA122" s="618"/>
      <c r="IB122" s="618">
        <f t="shared" si="414"/>
        <v>25.000350341399081</v>
      </c>
      <c r="IC122" s="618">
        <f t="shared" si="415"/>
        <v>1E-3</v>
      </c>
      <c r="ID122" s="618"/>
      <c r="IE122" s="618">
        <f t="shared" si="416"/>
        <v>0</v>
      </c>
      <c r="IF122" s="618">
        <f t="shared" si="417"/>
        <v>40.704999999999998</v>
      </c>
      <c r="IG122" s="618"/>
      <c r="IH122" s="618">
        <f t="shared" si="418"/>
        <v>0</v>
      </c>
      <c r="II122" s="618">
        <f t="shared" si="419"/>
        <v>40.704999999999998</v>
      </c>
      <c r="IJ122" s="618"/>
      <c r="IK122" s="618">
        <f t="shared" si="420"/>
        <v>0</v>
      </c>
      <c r="IL122" s="618">
        <f t="shared" si="421"/>
        <v>40.704999999999998</v>
      </c>
      <c r="IM122" s="618"/>
      <c r="IN122" s="618">
        <f t="shared" si="422"/>
        <v>0</v>
      </c>
      <c r="IO122" s="618">
        <f t="shared" si="423"/>
        <v>40.704999999999998</v>
      </c>
      <c r="IP122" s="618"/>
      <c r="IQ122" s="618">
        <f t="shared" si="424"/>
        <v>0</v>
      </c>
      <c r="IR122" s="618">
        <f t="shared" si="425"/>
        <v>40.704999999999998</v>
      </c>
      <c r="IS122" s="639"/>
      <c r="IT122" s="660" t="str">
        <f t="shared" si="623"/>
        <v>S605Q 1S</v>
      </c>
      <c r="IU122" s="628"/>
      <c r="IV122" s="439">
        <f t="shared" si="580"/>
        <v>69.686399999999992</v>
      </c>
      <c r="IW122" s="440">
        <f t="shared" si="581"/>
        <v>53.366399999999999</v>
      </c>
      <c r="IX122" s="439">
        <f t="shared" si="582"/>
        <v>-37.046399999999998</v>
      </c>
      <c r="IY122" s="439">
        <f t="shared" si="583"/>
        <v>0</v>
      </c>
      <c r="IZ122" s="439">
        <f t="shared" si="584"/>
        <v>0</v>
      </c>
      <c r="JA122" s="439">
        <f t="shared" si="585"/>
        <v>0</v>
      </c>
      <c r="JB122" s="439">
        <f t="shared" si="586"/>
        <v>0</v>
      </c>
      <c r="JC122" s="439">
        <f t="shared" si="587"/>
        <v>0</v>
      </c>
      <c r="JD122" s="439">
        <f t="shared" si="588"/>
        <v>0</v>
      </c>
      <c r="JE122" s="439">
        <f t="shared" si="589"/>
        <v>0</v>
      </c>
      <c r="JF122" s="439">
        <f t="shared" si="590"/>
        <v>0</v>
      </c>
      <c r="JG122" s="439">
        <f t="shared" si="591"/>
        <v>0</v>
      </c>
      <c r="JH122" s="439">
        <f t="shared" si="592"/>
        <v>0</v>
      </c>
      <c r="JI122" s="439">
        <f t="shared" si="593"/>
        <v>0</v>
      </c>
      <c r="JJ122" s="442">
        <f t="shared" si="594"/>
        <v>0</v>
      </c>
      <c r="JK122" s="442">
        <f t="shared" si="595"/>
        <v>0</v>
      </c>
      <c r="JL122" s="439">
        <f t="shared" si="596"/>
        <v>0</v>
      </c>
      <c r="JM122" s="439">
        <f t="shared" si="597"/>
        <v>0</v>
      </c>
      <c r="JN122" s="661">
        <f t="shared" si="598"/>
        <v>0</v>
      </c>
      <c r="JO122" s="661">
        <f t="shared" si="599"/>
        <v>0</v>
      </c>
      <c r="JP122" s="439">
        <f t="shared" si="600"/>
        <v>0</v>
      </c>
      <c r="JQ122" s="439">
        <f t="shared" si="601"/>
        <v>0</v>
      </c>
      <c r="JR122" s="439">
        <f t="shared" si="602"/>
        <v>0</v>
      </c>
      <c r="JS122" s="439">
        <f t="shared" si="603"/>
        <v>0</v>
      </c>
      <c r="JT122" s="631" t="s">
        <v>92</v>
      </c>
      <c r="JU122" s="631">
        <f t="shared" si="624"/>
        <v>7.0973982778638494</v>
      </c>
      <c r="JV122" s="652"/>
    </row>
    <row r="123" spans="1:298" s="579" customFormat="1">
      <c r="A123" s="334"/>
      <c r="U123" s="580"/>
      <c r="V123" s="580"/>
      <c r="AC123" s="580"/>
      <c r="AD123" s="580"/>
      <c r="AL123" s="580"/>
      <c r="AM123" s="580"/>
      <c r="AT123" s="580"/>
      <c r="AU123" s="580"/>
      <c r="AV123" s="581" t="e">
        <f>K92*$K$82</f>
        <v>#DIV/0!</v>
      </c>
      <c r="AW123" s="581" t="e">
        <f>IF($AY$32,'Data Sheet'!AA144,0)</f>
        <v>#DIV/0!</v>
      </c>
      <c r="AX123" s="581">
        <f>AX122+$K$76</f>
        <v>40.704999999999998</v>
      </c>
      <c r="CH123" s="334"/>
      <c r="CI123" s="334"/>
      <c r="CO123" s="694"/>
      <c r="CP123" s="632" t="str">
        <f>IF(OR(CQ123=0,CR123="",CS123&gt;120),"",IF(HLOOKUP(CQ123,Spec_Sheet!$F$3:$ED$19,17,FALSE)&lt;$AC$46,"",CQ123))</f>
        <v>S605Q 2S</v>
      </c>
      <c r="CQ123" s="660" t="str">
        <f>IF(Spec_Sheet!A122="","",Spec_Sheet!A122)</f>
        <v>S605Q 2S</v>
      </c>
      <c r="CR123" s="660">
        <f>IF(CQ123="",0,HLOOKUP(CQ123,Spec_Sheet!$F$3:$ED$19,2,FALSE))</f>
        <v>781.2</v>
      </c>
      <c r="CS123" s="660">
        <f t="shared" si="605"/>
        <v>2.0635447576837331E-3</v>
      </c>
      <c r="CT123" s="621">
        <f t="shared" si="606"/>
        <v>2.0940025712027463E-3</v>
      </c>
      <c r="CU123" s="621">
        <f t="shared" si="607"/>
        <v>2.0635447576837331E-3</v>
      </c>
      <c r="CV123" s="621">
        <f t="shared" si="608"/>
        <v>6.8838033457213979E-4</v>
      </c>
      <c r="CW123" s="621">
        <f t="shared" si="609"/>
        <v>6.7096471299588404E-4</v>
      </c>
      <c r="CX123" s="621">
        <f t="shared" si="610"/>
        <v>4.9970401167100033E-4</v>
      </c>
      <c r="CY123" s="619">
        <f>HLOOKUP(CQ123,Spec_Sheet!$F$3:$ED$19,13,FALSE)</f>
        <v>27</v>
      </c>
      <c r="CZ123" s="619">
        <f>VLOOKUP(HH123,'Shaft Weight'!$A$6:$CD$102,HJ123,TRUE)</f>
        <v>15.31</v>
      </c>
      <c r="DA123" s="619">
        <f>VLOOKUP(HI123,'Shaft Weight'!$A$6:$CD$102,HJ123,0)</f>
        <v>26.37</v>
      </c>
      <c r="DB123" s="619">
        <f>HLOOKUP(CQ123,Spec_Sheet!$F$3:$ED$19,6,FALSE)</f>
        <v>46.5</v>
      </c>
      <c r="DC123" s="439">
        <f t="shared" si="484"/>
        <v>35.099400000000003</v>
      </c>
      <c r="DD123" s="440">
        <f t="shared" si="485"/>
        <v>26.8794</v>
      </c>
      <c r="DE123" s="439">
        <f t="shared" si="486"/>
        <v>-18.659400000000002</v>
      </c>
      <c r="DF123" s="439">
        <f t="shared" si="487"/>
        <v>0</v>
      </c>
      <c r="DG123" s="439">
        <f t="shared" si="488"/>
        <v>0</v>
      </c>
      <c r="DH123" s="439">
        <f t="shared" si="489"/>
        <v>0</v>
      </c>
      <c r="DI123" s="439">
        <f t="shared" si="490"/>
        <v>0</v>
      </c>
      <c r="DJ123" s="439">
        <f t="shared" si="491"/>
        <v>0</v>
      </c>
      <c r="DK123" s="439">
        <f t="shared" si="492"/>
        <v>0</v>
      </c>
      <c r="DL123" s="439">
        <f t="shared" si="493"/>
        <v>0</v>
      </c>
      <c r="DM123" s="439">
        <f t="shared" si="494"/>
        <v>0</v>
      </c>
      <c r="DN123" s="439">
        <f t="shared" si="495"/>
        <v>0</v>
      </c>
      <c r="DO123" s="439">
        <f t="shared" si="496"/>
        <v>0</v>
      </c>
      <c r="DP123" s="439">
        <f t="shared" si="497"/>
        <v>0</v>
      </c>
      <c r="DQ123" s="442">
        <f t="shared" si="498"/>
        <v>0</v>
      </c>
      <c r="DR123" s="442">
        <f t="shared" si="499"/>
        <v>0</v>
      </c>
      <c r="DS123" s="439">
        <f t="shared" si="500"/>
        <v>0</v>
      </c>
      <c r="DT123" s="439">
        <f t="shared" si="501"/>
        <v>0</v>
      </c>
      <c r="DU123" s="661">
        <f t="shared" si="502"/>
        <v>0</v>
      </c>
      <c r="DV123" s="661">
        <f t="shared" si="503"/>
        <v>0</v>
      </c>
      <c r="DW123" s="439">
        <f t="shared" si="504"/>
        <v>0</v>
      </c>
      <c r="DX123" s="439">
        <f t="shared" si="505"/>
        <v>0</v>
      </c>
      <c r="DY123" s="439">
        <f t="shared" si="506"/>
        <v>0</v>
      </c>
      <c r="DZ123" s="439">
        <f t="shared" si="507"/>
        <v>0</v>
      </c>
      <c r="EA123" s="631" t="s">
        <v>92</v>
      </c>
      <c r="EB123" s="631">
        <f t="shared" si="614"/>
        <v>3.5747925149534834</v>
      </c>
      <c r="EC123" s="618"/>
      <c r="ED123" s="439">
        <f t="shared" si="508"/>
        <v>39.736620000000002</v>
      </c>
      <c r="EE123" s="440">
        <f t="shared" si="509"/>
        <v>30.430620000000001</v>
      </c>
      <c r="EF123" s="439">
        <f t="shared" si="510"/>
        <v>-21.12462</v>
      </c>
      <c r="EG123" s="441">
        <f t="shared" si="511"/>
        <v>0</v>
      </c>
      <c r="EH123" s="439">
        <f t="shared" si="512"/>
        <v>0</v>
      </c>
      <c r="EI123" s="439">
        <f t="shared" si="513"/>
        <v>0</v>
      </c>
      <c r="EJ123" s="439">
        <f t="shared" si="514"/>
        <v>0</v>
      </c>
      <c r="EK123" s="439">
        <f t="shared" si="515"/>
        <v>0</v>
      </c>
      <c r="EL123" s="439">
        <f t="shared" si="516"/>
        <v>0</v>
      </c>
      <c r="EM123" s="439">
        <f t="shared" si="517"/>
        <v>0</v>
      </c>
      <c r="EN123" s="439">
        <f t="shared" si="518"/>
        <v>0</v>
      </c>
      <c r="EO123" s="439">
        <f t="shared" si="519"/>
        <v>0</v>
      </c>
      <c r="EP123" s="439">
        <f t="shared" si="520"/>
        <v>0</v>
      </c>
      <c r="EQ123" s="439">
        <f t="shared" si="521"/>
        <v>0</v>
      </c>
      <c r="ER123" s="442">
        <f t="shared" si="522"/>
        <v>0</v>
      </c>
      <c r="ES123" s="442">
        <f t="shared" si="523"/>
        <v>0</v>
      </c>
      <c r="ET123" s="439">
        <f t="shared" si="524"/>
        <v>0</v>
      </c>
      <c r="EU123" s="439">
        <f t="shared" si="525"/>
        <v>0</v>
      </c>
      <c r="EV123" s="661">
        <f t="shared" si="526"/>
        <v>0</v>
      </c>
      <c r="EW123" s="661">
        <f t="shared" si="527"/>
        <v>0</v>
      </c>
      <c r="EX123" s="439">
        <f t="shared" si="528"/>
        <v>0</v>
      </c>
      <c r="EY123" s="439">
        <f t="shared" si="529"/>
        <v>0</v>
      </c>
      <c r="EZ123" s="439">
        <f t="shared" si="530"/>
        <v>0</v>
      </c>
      <c r="FA123" s="439">
        <f t="shared" si="531"/>
        <v>0</v>
      </c>
      <c r="FB123" s="631" t="s">
        <v>92</v>
      </c>
      <c r="FC123" s="631">
        <f t="shared" si="615"/>
        <v>4.0470826209436881</v>
      </c>
      <c r="FD123" s="618"/>
      <c r="FE123" s="439">
        <f t="shared" si="532"/>
        <v>20.124510000000001</v>
      </c>
      <c r="FF123" s="440">
        <f t="shared" si="533"/>
        <v>15.411510000000002</v>
      </c>
      <c r="FG123" s="439">
        <f t="shared" si="534"/>
        <v>-10.698510000000002</v>
      </c>
      <c r="FH123" s="441">
        <f t="shared" si="535"/>
        <v>0</v>
      </c>
      <c r="FI123" s="439">
        <f t="shared" si="536"/>
        <v>0</v>
      </c>
      <c r="FJ123" s="439">
        <f t="shared" si="537"/>
        <v>0</v>
      </c>
      <c r="FK123" s="439">
        <f t="shared" si="538"/>
        <v>0</v>
      </c>
      <c r="FL123" s="439">
        <f t="shared" si="539"/>
        <v>0</v>
      </c>
      <c r="FM123" s="439">
        <f t="shared" si="540"/>
        <v>0</v>
      </c>
      <c r="FN123" s="439">
        <f t="shared" si="541"/>
        <v>0</v>
      </c>
      <c r="FO123" s="439">
        <f t="shared" si="542"/>
        <v>0</v>
      </c>
      <c r="FP123" s="439">
        <f t="shared" si="543"/>
        <v>0</v>
      </c>
      <c r="FQ123" s="439">
        <f t="shared" si="544"/>
        <v>0</v>
      </c>
      <c r="FR123" s="439">
        <f t="shared" si="545"/>
        <v>0</v>
      </c>
      <c r="FS123" s="442">
        <f t="shared" si="546"/>
        <v>0</v>
      </c>
      <c r="FT123" s="442">
        <f t="shared" si="547"/>
        <v>0</v>
      </c>
      <c r="FU123" s="439">
        <f t="shared" si="548"/>
        <v>0</v>
      </c>
      <c r="FV123" s="439">
        <f t="shared" si="549"/>
        <v>0</v>
      </c>
      <c r="FW123" s="661">
        <f t="shared" si="550"/>
        <v>0</v>
      </c>
      <c r="FX123" s="661">
        <f t="shared" si="551"/>
        <v>0</v>
      </c>
      <c r="FY123" s="439">
        <f t="shared" si="552"/>
        <v>0</v>
      </c>
      <c r="FZ123" s="439">
        <f t="shared" si="553"/>
        <v>0</v>
      </c>
      <c r="GA123" s="439">
        <f t="shared" si="554"/>
        <v>0</v>
      </c>
      <c r="GB123" s="439">
        <f t="shared" si="555"/>
        <v>0</v>
      </c>
      <c r="GC123" s="631" t="s">
        <v>92</v>
      </c>
      <c r="GD123" s="631">
        <f t="shared" si="616"/>
        <v>2.0496346864934023</v>
      </c>
      <c r="GE123" s="618"/>
      <c r="GF123" s="439">
        <f t="shared" si="556"/>
        <v>34.292369999999998</v>
      </c>
      <c r="GG123" s="440">
        <f t="shared" si="557"/>
        <v>26.261369999999999</v>
      </c>
      <c r="GH123" s="439">
        <f t="shared" si="558"/>
        <v>-18.230370000000001</v>
      </c>
      <c r="GI123" s="439">
        <f t="shared" si="559"/>
        <v>0</v>
      </c>
      <c r="GJ123" s="439">
        <f t="shared" si="560"/>
        <v>0</v>
      </c>
      <c r="GK123" s="439">
        <f t="shared" si="561"/>
        <v>0</v>
      </c>
      <c r="GL123" s="439">
        <f t="shared" si="562"/>
        <v>0</v>
      </c>
      <c r="GM123" s="439">
        <f t="shared" si="563"/>
        <v>0</v>
      </c>
      <c r="GN123" s="439">
        <f t="shared" si="564"/>
        <v>0</v>
      </c>
      <c r="GO123" s="439">
        <f t="shared" si="565"/>
        <v>0</v>
      </c>
      <c r="GP123" s="439">
        <f t="shared" si="566"/>
        <v>0</v>
      </c>
      <c r="GQ123" s="439">
        <f t="shared" si="567"/>
        <v>0</v>
      </c>
      <c r="GR123" s="439">
        <f t="shared" si="568"/>
        <v>0</v>
      </c>
      <c r="GS123" s="439">
        <f t="shared" si="569"/>
        <v>0</v>
      </c>
      <c r="GT123" s="442">
        <f t="shared" si="570"/>
        <v>0</v>
      </c>
      <c r="GU123" s="442">
        <f t="shared" si="571"/>
        <v>0</v>
      </c>
      <c r="GV123" s="439">
        <f t="shared" si="572"/>
        <v>0</v>
      </c>
      <c r="GW123" s="439">
        <f t="shared" si="573"/>
        <v>0</v>
      </c>
      <c r="GX123" s="661">
        <f t="shared" si="574"/>
        <v>0</v>
      </c>
      <c r="GY123" s="661">
        <f t="shared" si="575"/>
        <v>0</v>
      </c>
      <c r="GZ123" s="439">
        <f t="shared" si="576"/>
        <v>0</v>
      </c>
      <c r="HA123" s="439">
        <f t="shared" si="577"/>
        <v>0</v>
      </c>
      <c r="HB123" s="439">
        <f t="shared" si="578"/>
        <v>0</v>
      </c>
      <c r="HC123" s="439">
        <f t="shared" si="579"/>
        <v>0</v>
      </c>
      <c r="HD123" s="631" t="s">
        <v>92</v>
      </c>
      <c r="HE123" s="631">
        <f t="shared" si="617"/>
        <v>3.4925983804855747</v>
      </c>
      <c r="HF123" s="639"/>
      <c r="HG123" s="618">
        <f>HLOOKUP(CQ123,Spec_Sheet!$F$3:$DV$19,11,FALSE)+HLOOKUP(CQ123,Spec_Sheet!$F$3:$DV$21,19,FALSE)</f>
        <v>600</v>
      </c>
      <c r="HH123" s="618">
        <f t="shared" si="618"/>
        <v>100</v>
      </c>
      <c r="HI123" s="634">
        <f t="shared" si="619"/>
        <v>650</v>
      </c>
      <c r="HJ123" s="634">
        <f>HLOOKUP(IF(LEN(CQ123)&gt;6,LEFT(CQ123,5),CQ123),'LSM List Pricing'!$B$1:$BW$2,2,0)</f>
        <v>72</v>
      </c>
      <c r="HK123" s="634">
        <f>HLOOKUP(HJ123,'LSM List Pricing'!$B$2:$BW$3,2)</f>
        <v>3790</v>
      </c>
      <c r="HL123" s="634">
        <f>VLOOKUP(HH123,'LSM List Pricing'!$A$7:$BW$87,HJ123,0)</f>
        <v>5350</v>
      </c>
      <c r="HM123" s="627">
        <f>VLOOKUP(HI123,'LSM List Pricing'!$A$7:$BW$87,HJ123,1)</f>
        <v>8990</v>
      </c>
      <c r="HN123" s="628">
        <f t="shared" si="620"/>
        <v>23.435897435897434</v>
      </c>
      <c r="HO123" s="628">
        <f t="shared" si="621"/>
        <v>46.871794871794869</v>
      </c>
      <c r="HP123" s="628">
        <f t="shared" si="622"/>
        <v>42.487179487179489</v>
      </c>
      <c r="HQ123" s="639"/>
      <c r="HR123" s="639">
        <v>0.06</v>
      </c>
      <c r="HS123" s="639">
        <f t="shared" si="457"/>
        <v>402.85714285714283</v>
      </c>
      <c r="HT123" s="639">
        <f t="shared" si="458"/>
        <v>1</v>
      </c>
      <c r="HU123" s="618">
        <f t="shared" si="466"/>
        <v>1.5282255006267345</v>
      </c>
      <c r="HV123" s="618"/>
      <c r="HW123" s="618">
        <f t="shared" si="413"/>
        <v>33.829919789110036</v>
      </c>
      <c r="HX123" s="618">
        <f t="shared" si="467"/>
        <v>1.4817809363656873</v>
      </c>
      <c r="HY123" s="618">
        <f t="shared" si="468"/>
        <v>0.06</v>
      </c>
      <c r="HZ123" s="618"/>
      <c r="IA123" s="618"/>
      <c r="IB123" s="618">
        <f t="shared" si="414"/>
        <v>25.000350341399081</v>
      </c>
      <c r="IC123" s="618">
        <f t="shared" si="415"/>
        <v>1E-3</v>
      </c>
      <c r="ID123" s="618"/>
      <c r="IE123" s="618">
        <f t="shared" si="416"/>
        <v>0</v>
      </c>
      <c r="IF123" s="618">
        <f t="shared" si="417"/>
        <v>40.704999999999998</v>
      </c>
      <c r="IG123" s="618"/>
      <c r="IH123" s="618">
        <f t="shared" si="418"/>
        <v>0</v>
      </c>
      <c r="II123" s="618">
        <f t="shared" si="419"/>
        <v>40.704999999999998</v>
      </c>
      <c r="IJ123" s="618"/>
      <c r="IK123" s="618">
        <f t="shared" si="420"/>
        <v>0</v>
      </c>
      <c r="IL123" s="618">
        <f t="shared" si="421"/>
        <v>40.704999999999998</v>
      </c>
      <c r="IM123" s="618"/>
      <c r="IN123" s="618">
        <f t="shared" si="422"/>
        <v>0</v>
      </c>
      <c r="IO123" s="618">
        <f t="shared" si="423"/>
        <v>40.704999999999998</v>
      </c>
      <c r="IP123" s="618"/>
      <c r="IQ123" s="618">
        <f t="shared" si="424"/>
        <v>0</v>
      </c>
      <c r="IR123" s="618">
        <f t="shared" si="425"/>
        <v>40.704999999999998</v>
      </c>
      <c r="IS123" s="639"/>
      <c r="IT123" s="660" t="str">
        <f t="shared" si="623"/>
        <v>S605Q 2S</v>
      </c>
      <c r="IU123" s="628"/>
      <c r="IV123" s="439">
        <f t="shared" si="580"/>
        <v>69.686399999999992</v>
      </c>
      <c r="IW123" s="440">
        <f t="shared" si="581"/>
        <v>53.366399999999999</v>
      </c>
      <c r="IX123" s="439">
        <f t="shared" si="582"/>
        <v>-37.046399999999998</v>
      </c>
      <c r="IY123" s="439">
        <f t="shared" si="583"/>
        <v>0</v>
      </c>
      <c r="IZ123" s="439">
        <f t="shared" si="584"/>
        <v>0</v>
      </c>
      <c r="JA123" s="439">
        <f t="shared" si="585"/>
        <v>0</v>
      </c>
      <c r="JB123" s="439">
        <f t="shared" si="586"/>
        <v>0</v>
      </c>
      <c r="JC123" s="439">
        <f t="shared" si="587"/>
        <v>0</v>
      </c>
      <c r="JD123" s="439">
        <f t="shared" si="588"/>
        <v>0</v>
      </c>
      <c r="JE123" s="439">
        <f t="shared" si="589"/>
        <v>0</v>
      </c>
      <c r="JF123" s="439">
        <f t="shared" si="590"/>
        <v>0</v>
      </c>
      <c r="JG123" s="439">
        <f t="shared" si="591"/>
        <v>0</v>
      </c>
      <c r="JH123" s="439">
        <f t="shared" si="592"/>
        <v>0</v>
      </c>
      <c r="JI123" s="439">
        <f t="shared" si="593"/>
        <v>0</v>
      </c>
      <c r="JJ123" s="442">
        <f t="shared" si="594"/>
        <v>0</v>
      </c>
      <c r="JK123" s="442">
        <f t="shared" si="595"/>
        <v>0</v>
      </c>
      <c r="JL123" s="439">
        <f t="shared" si="596"/>
        <v>0</v>
      </c>
      <c r="JM123" s="439">
        <f t="shared" si="597"/>
        <v>0</v>
      </c>
      <c r="JN123" s="661">
        <f t="shared" si="598"/>
        <v>0</v>
      </c>
      <c r="JO123" s="661">
        <f t="shared" si="599"/>
        <v>0</v>
      </c>
      <c r="JP123" s="439">
        <f t="shared" si="600"/>
        <v>0</v>
      </c>
      <c r="JQ123" s="439">
        <f t="shared" si="601"/>
        <v>0</v>
      </c>
      <c r="JR123" s="439">
        <f t="shared" si="602"/>
        <v>0</v>
      </c>
      <c r="JS123" s="439">
        <f t="shared" si="603"/>
        <v>0</v>
      </c>
      <c r="JT123" s="631" t="s">
        <v>92</v>
      </c>
      <c r="JU123" s="631">
        <f t="shared" si="624"/>
        <v>7.0973982778638494</v>
      </c>
      <c r="JV123" s="652"/>
    </row>
    <row r="124" spans="1:298" s="579" customFormat="1">
      <c r="A124" s="334"/>
      <c r="U124" s="580"/>
      <c r="V124" s="580"/>
      <c r="AC124" s="580"/>
      <c r="AD124" s="580"/>
      <c r="AL124" s="580"/>
      <c r="AM124" s="580"/>
      <c r="AT124" s="580"/>
      <c r="AU124" s="580"/>
      <c r="AV124" s="581" t="e">
        <f>K91*$K$82</f>
        <v>#DIV/0!</v>
      </c>
      <c r="AW124" s="581" t="e">
        <f>IF($AY$32,'Data Sheet'!AA145,0)</f>
        <v>#DIV/0!</v>
      </c>
      <c r="AX124" s="581">
        <f t="shared" ref="AX124:AX132" si="625">AX123+$K$76</f>
        <v>40.704999999999998</v>
      </c>
      <c r="CH124" s="334"/>
      <c r="CI124" s="334"/>
      <c r="CO124" s="694" t="s">
        <v>627</v>
      </c>
      <c r="CP124" s="639"/>
      <c r="CQ124" s="663"/>
      <c r="CR124" s="663"/>
      <c r="CS124" s="663"/>
      <c r="CT124" s="636"/>
      <c r="CU124" s="636"/>
      <c r="CV124" s="636"/>
      <c r="CW124" s="636"/>
      <c r="CX124" s="636"/>
      <c r="CY124" s="622"/>
      <c r="CZ124" s="622"/>
      <c r="DA124" s="622"/>
      <c r="DB124" s="622"/>
      <c r="DC124" s="500"/>
      <c r="DD124" s="501"/>
      <c r="DE124" s="500"/>
      <c r="DF124" s="500"/>
      <c r="DG124" s="500"/>
      <c r="DH124" s="500"/>
      <c r="DI124" s="500"/>
      <c r="DJ124" s="500"/>
      <c r="DK124" s="500"/>
      <c r="DL124" s="500"/>
      <c r="DM124" s="500"/>
      <c r="DN124" s="500"/>
      <c r="DO124" s="500"/>
      <c r="DP124" s="500"/>
      <c r="DQ124" s="503"/>
      <c r="DR124" s="503"/>
      <c r="DS124" s="500"/>
      <c r="DT124" s="500"/>
      <c r="DU124" s="664"/>
      <c r="DV124" s="664"/>
      <c r="DW124" s="500"/>
      <c r="DX124" s="500"/>
      <c r="DY124" s="500"/>
      <c r="DZ124" s="500"/>
      <c r="EA124" s="637"/>
      <c r="EB124" s="637"/>
      <c r="EC124" s="638"/>
      <c r="ED124" s="500"/>
      <c r="EE124" s="501"/>
      <c r="EF124" s="500"/>
      <c r="EG124" s="502"/>
      <c r="EH124" s="500"/>
      <c r="EI124" s="500"/>
      <c r="EJ124" s="500"/>
      <c r="EK124" s="500"/>
      <c r="EL124" s="500"/>
      <c r="EM124" s="500"/>
      <c r="EN124" s="500"/>
      <c r="EO124" s="500"/>
      <c r="EP124" s="500"/>
      <c r="EQ124" s="500"/>
      <c r="ER124" s="503"/>
      <c r="ES124" s="503"/>
      <c r="ET124" s="500"/>
      <c r="EU124" s="500"/>
      <c r="EV124" s="664"/>
      <c r="EW124" s="664"/>
      <c r="EX124" s="500"/>
      <c r="EY124" s="500"/>
      <c r="EZ124" s="500"/>
      <c r="FA124" s="500"/>
      <c r="FB124" s="637"/>
      <c r="FC124" s="637"/>
      <c r="FD124" s="638"/>
      <c r="FE124" s="500"/>
      <c r="FF124" s="501"/>
      <c r="FG124" s="500"/>
      <c r="FH124" s="502"/>
      <c r="FI124" s="500"/>
      <c r="FJ124" s="500"/>
      <c r="FK124" s="500"/>
      <c r="FL124" s="500"/>
      <c r="FM124" s="500"/>
      <c r="FN124" s="500"/>
      <c r="FO124" s="500"/>
      <c r="FP124" s="500"/>
      <c r="FQ124" s="500"/>
      <c r="FR124" s="500"/>
      <c r="FS124" s="503"/>
      <c r="FT124" s="503"/>
      <c r="FU124" s="500"/>
      <c r="FV124" s="500"/>
      <c r="FW124" s="664"/>
      <c r="FX124" s="664"/>
      <c r="FY124" s="500"/>
      <c r="FZ124" s="500"/>
      <c r="GA124" s="500"/>
      <c r="GB124" s="500"/>
      <c r="GC124" s="637"/>
      <c r="GD124" s="637"/>
      <c r="GE124" s="638"/>
      <c r="GF124" s="500"/>
      <c r="GG124" s="501"/>
      <c r="GH124" s="500"/>
      <c r="GI124" s="500"/>
      <c r="GJ124" s="500"/>
      <c r="GK124" s="500"/>
      <c r="GL124" s="500"/>
      <c r="GM124" s="500"/>
      <c r="GN124" s="500"/>
      <c r="GO124" s="500"/>
      <c r="GP124" s="500"/>
      <c r="GQ124" s="500"/>
      <c r="GR124" s="500"/>
      <c r="GS124" s="500"/>
      <c r="GT124" s="503"/>
      <c r="GU124" s="503"/>
      <c r="GV124" s="500"/>
      <c r="GW124" s="500"/>
      <c r="GX124" s="664"/>
      <c r="GY124" s="664"/>
      <c r="GZ124" s="500"/>
      <c r="HA124" s="500"/>
      <c r="HB124" s="500"/>
      <c r="HC124" s="500"/>
      <c r="HD124" s="637"/>
      <c r="HE124" s="637"/>
      <c r="HF124" s="639"/>
      <c r="HG124" s="639"/>
      <c r="HH124" s="639"/>
      <c r="HI124" s="639"/>
      <c r="HJ124" s="639"/>
      <c r="HK124" s="639"/>
      <c r="HL124" s="639"/>
      <c r="HM124" s="639"/>
      <c r="HN124" s="639"/>
      <c r="HO124" s="639"/>
      <c r="HP124" s="639"/>
      <c r="HQ124" s="639"/>
      <c r="HR124" s="639">
        <v>6.0499999999999998E-2</v>
      </c>
      <c r="HS124" s="639">
        <f t="shared" si="457"/>
        <v>406.21428571428572</v>
      </c>
      <c r="HT124" s="639">
        <f t="shared" si="458"/>
        <v>1</v>
      </c>
      <c r="HU124" s="618">
        <f t="shared" si="466"/>
        <v>1.5409645446003593</v>
      </c>
      <c r="HV124" s="618"/>
      <c r="HW124" s="618">
        <f t="shared" si="413"/>
        <v>33.811830346667492</v>
      </c>
      <c r="HX124" s="618">
        <f t="shared" si="467"/>
        <v>1.4937456695216578</v>
      </c>
      <c r="HY124" s="618">
        <f t="shared" si="468"/>
        <v>6.0499999999999998E-2</v>
      </c>
      <c r="HZ124" s="618"/>
      <c r="IA124" s="618"/>
      <c r="IB124" s="618">
        <f t="shared" si="414"/>
        <v>25.000350341399081</v>
      </c>
      <c r="IC124" s="618">
        <f t="shared" si="415"/>
        <v>1E-3</v>
      </c>
      <c r="ID124" s="618"/>
      <c r="IE124" s="618">
        <f t="shared" si="416"/>
        <v>0</v>
      </c>
      <c r="IF124" s="618">
        <f t="shared" si="417"/>
        <v>40.704999999999998</v>
      </c>
      <c r="IG124" s="618"/>
      <c r="IH124" s="618">
        <f t="shared" si="418"/>
        <v>0</v>
      </c>
      <c r="II124" s="618">
        <f t="shared" si="419"/>
        <v>40.704999999999998</v>
      </c>
      <c r="IJ124" s="618"/>
      <c r="IK124" s="618">
        <f t="shared" si="420"/>
        <v>0</v>
      </c>
      <c r="IL124" s="618">
        <f t="shared" si="421"/>
        <v>40.704999999999998</v>
      </c>
      <c r="IM124" s="618"/>
      <c r="IN124" s="618">
        <f t="shared" si="422"/>
        <v>0</v>
      </c>
      <c r="IO124" s="618">
        <f t="shared" si="423"/>
        <v>40.704999999999998</v>
      </c>
      <c r="IP124" s="618"/>
      <c r="IQ124" s="618">
        <f t="shared" si="424"/>
        <v>0</v>
      </c>
      <c r="IR124" s="618">
        <f t="shared" si="425"/>
        <v>40.704999999999998</v>
      </c>
      <c r="IS124" s="639"/>
      <c r="IT124" s="660">
        <f t="shared" ref="IT124:IT125" si="626">CQ124</f>
        <v>0</v>
      </c>
      <c r="IU124" s="628"/>
      <c r="IV124" s="439">
        <f t="shared" si="580"/>
        <v>0.51240000000000008</v>
      </c>
      <c r="IW124" s="440">
        <f t="shared" si="581"/>
        <v>0.39240000000000008</v>
      </c>
      <c r="IX124" s="439">
        <f t="shared" si="582"/>
        <v>-0.27240000000000009</v>
      </c>
      <c r="IY124" s="439">
        <f t="shared" si="583"/>
        <v>0</v>
      </c>
      <c r="IZ124" s="439">
        <f t="shared" si="584"/>
        <v>0</v>
      </c>
      <c r="JA124" s="439">
        <f t="shared" si="585"/>
        <v>0</v>
      </c>
      <c r="JB124" s="439">
        <f t="shared" si="586"/>
        <v>0</v>
      </c>
      <c r="JC124" s="439">
        <f t="shared" si="587"/>
        <v>0</v>
      </c>
      <c r="JD124" s="439">
        <f t="shared" si="588"/>
        <v>0</v>
      </c>
      <c r="JE124" s="439">
        <f t="shared" si="589"/>
        <v>0</v>
      </c>
      <c r="JF124" s="439">
        <f t="shared" si="590"/>
        <v>0</v>
      </c>
      <c r="JG124" s="439">
        <f t="shared" si="591"/>
        <v>0</v>
      </c>
      <c r="JH124" s="439">
        <f t="shared" si="592"/>
        <v>0</v>
      </c>
      <c r="JI124" s="439">
        <f t="shared" si="593"/>
        <v>0</v>
      </c>
      <c r="JJ124" s="442">
        <f t="shared" si="594"/>
        <v>0</v>
      </c>
      <c r="JK124" s="442">
        <f t="shared" si="595"/>
        <v>0</v>
      </c>
      <c r="JL124" s="439">
        <f t="shared" si="596"/>
        <v>0</v>
      </c>
      <c r="JM124" s="439">
        <f t="shared" si="597"/>
        <v>0</v>
      </c>
      <c r="JN124" s="661">
        <f t="shared" si="598"/>
        <v>0</v>
      </c>
      <c r="JO124" s="661">
        <f t="shared" si="599"/>
        <v>0</v>
      </c>
      <c r="JP124" s="439">
        <f t="shared" si="600"/>
        <v>0</v>
      </c>
      <c r="JQ124" s="439">
        <f t="shared" si="601"/>
        <v>0</v>
      </c>
      <c r="JR124" s="439">
        <f t="shared" si="602"/>
        <v>0</v>
      </c>
      <c r="JS124" s="439">
        <f t="shared" si="603"/>
        <v>0</v>
      </c>
      <c r="JT124" s="631" t="s">
        <v>92</v>
      </c>
      <c r="JU124" s="631">
        <f t="shared" ref="JU124:JU125" si="627">SQRT((((IF(IV124&gt;0,IV124,IV124*-1))^2*$D$38)+((IF(IW124&gt;0,IW124,IW124*-1))^2*$E$38)+((IF(IX124&gt;0,IX124,IX124*-1))^2*$F$38)+((IF(IY124&gt;0,IY124,IY124*-1))^2*$G$38)+((IF(IZ124&gt;0,IZ124,IZ124*-1))^2*$H$38)+((IF(JA124&gt;0,JA124,JA124*-1))^2*$I$38)+((IF(JB124&gt;0,JB124,JB124*-1))^2*$J$38)+((IF(JC124&gt;0,JC124,JC124*-1))^2*$K$38)+((IF(JD124&gt;0,JD124,JD124*-1))^2*$L$38)+((IF(JE124&gt;0,JE124,JE124*-1))^2*$M$38)+((IF(JF124&gt;0,JF124,JF124*-1))^2*$N$38)+((IF(JG124&gt;0,JG124,JG124*-1))^2*$O$38)+((IF(JH124&gt;0,JH124,JH124*-1))^2*$P$38)+((IF(JI124&gt;0,JI124,JI124*-1))^2*$Q$38)+((IF(JJ124&gt;0,JJ124,JJ124*-1))^2*$R$38)+((IF(JK124&gt;0,JK124,JK124*-1))^2*$S$38)+((IF(JL124&gt;0,JL124,JL124*-1))^2*$T$38)+((IF(JM124&gt;0,JM124,JM124*-1))^2*$U$38)+((IF(JN124&gt;0,JN124,JN124*-1))^2*$V$38)+((IF(JO124&gt;0,JO124,JO124*-1))^2*$W$38)+((IF(JP124&gt;0,JP124,JP124*-1))^2*$X$38)+((IF(JQ124&gt;0,JQ124,JQ124*-1))^2*$Y$38)+((IF(JR124&gt;0,JR124,JR124*-1))^2*$Z$38)+((IF(JS124&gt;0,JS124,JS124*-1))^2*$AA$38))/$AA$31)</f>
        <v>5.2186752043116555E-2</v>
      </c>
      <c r="JV124" s="652"/>
    </row>
    <row r="125" spans="1:298" s="579" customFormat="1">
      <c r="A125" s="334"/>
      <c r="U125" s="580"/>
      <c r="V125" s="580"/>
      <c r="AC125" s="580"/>
      <c r="AD125" s="580"/>
      <c r="AL125" s="580"/>
      <c r="AM125" s="580"/>
      <c r="AT125" s="580"/>
      <c r="AU125" s="580"/>
      <c r="AV125" s="581">
        <f>K90*$K$82</f>
        <v>0</v>
      </c>
      <c r="AW125" s="581">
        <f>IF($AY$32,'Data Sheet'!AA146,0)</f>
        <v>0</v>
      </c>
      <c r="AX125" s="581">
        <f t="shared" si="625"/>
        <v>40.704999999999998</v>
      </c>
      <c r="CH125" s="334"/>
      <c r="CI125" s="334"/>
      <c r="CO125" s="694" t="str">
        <f>BB56</f>
        <v/>
      </c>
      <c r="CP125" s="639"/>
      <c r="CQ125" s="663"/>
      <c r="CR125" s="663"/>
      <c r="CS125" s="663"/>
      <c r="CT125" s="636"/>
      <c r="CU125" s="636"/>
      <c r="CV125" s="636"/>
      <c r="CW125" s="636"/>
      <c r="CX125" s="636"/>
      <c r="CY125" s="622"/>
      <c r="CZ125" s="622"/>
      <c r="DA125" s="622"/>
      <c r="DB125" s="622"/>
      <c r="DC125" s="500"/>
      <c r="DD125" s="501"/>
      <c r="DE125" s="500"/>
      <c r="DF125" s="500"/>
      <c r="DG125" s="500"/>
      <c r="DH125" s="500"/>
      <c r="DI125" s="500"/>
      <c r="DJ125" s="500"/>
      <c r="DK125" s="500"/>
      <c r="DL125" s="500"/>
      <c r="DM125" s="500"/>
      <c r="DN125" s="500"/>
      <c r="DO125" s="500"/>
      <c r="DP125" s="500"/>
      <c r="DQ125" s="503"/>
      <c r="DR125" s="503"/>
      <c r="DS125" s="500"/>
      <c r="DT125" s="500"/>
      <c r="DU125" s="664"/>
      <c r="DV125" s="664"/>
      <c r="DW125" s="500"/>
      <c r="DX125" s="500"/>
      <c r="DY125" s="500"/>
      <c r="DZ125" s="500"/>
      <c r="EA125" s="637"/>
      <c r="EB125" s="637"/>
      <c r="EC125" s="638"/>
      <c r="ED125" s="500"/>
      <c r="EE125" s="501"/>
      <c r="EF125" s="500"/>
      <c r="EG125" s="502"/>
      <c r="EH125" s="500"/>
      <c r="EI125" s="500"/>
      <c r="EJ125" s="500"/>
      <c r="EK125" s="500"/>
      <c r="EL125" s="500"/>
      <c r="EM125" s="500"/>
      <c r="EN125" s="500"/>
      <c r="EO125" s="500"/>
      <c r="EP125" s="500"/>
      <c r="EQ125" s="500"/>
      <c r="ER125" s="503"/>
      <c r="ES125" s="503"/>
      <c r="ET125" s="500"/>
      <c r="EU125" s="500"/>
      <c r="EV125" s="664"/>
      <c r="EW125" s="664"/>
      <c r="EX125" s="500"/>
      <c r="EY125" s="500"/>
      <c r="EZ125" s="500"/>
      <c r="FA125" s="500"/>
      <c r="FB125" s="637"/>
      <c r="FC125" s="637"/>
      <c r="FD125" s="638"/>
      <c r="FE125" s="500"/>
      <c r="FF125" s="501"/>
      <c r="FG125" s="500"/>
      <c r="FH125" s="502"/>
      <c r="FI125" s="500"/>
      <c r="FJ125" s="500"/>
      <c r="FK125" s="500"/>
      <c r="FL125" s="500"/>
      <c r="FM125" s="500"/>
      <c r="FN125" s="500"/>
      <c r="FO125" s="500"/>
      <c r="FP125" s="500"/>
      <c r="FQ125" s="500"/>
      <c r="FR125" s="500"/>
      <c r="FS125" s="503"/>
      <c r="FT125" s="503"/>
      <c r="FU125" s="500"/>
      <c r="FV125" s="500"/>
      <c r="FW125" s="664"/>
      <c r="FX125" s="664"/>
      <c r="FY125" s="500"/>
      <c r="FZ125" s="500"/>
      <c r="GA125" s="500"/>
      <c r="GB125" s="500"/>
      <c r="GC125" s="637"/>
      <c r="GD125" s="637"/>
      <c r="GE125" s="638"/>
      <c r="GF125" s="500"/>
      <c r="GG125" s="501"/>
      <c r="GH125" s="500"/>
      <c r="GI125" s="500"/>
      <c r="GJ125" s="500"/>
      <c r="GK125" s="500"/>
      <c r="GL125" s="500"/>
      <c r="GM125" s="500"/>
      <c r="GN125" s="500"/>
      <c r="GO125" s="500"/>
      <c r="GP125" s="500"/>
      <c r="GQ125" s="500"/>
      <c r="GR125" s="500"/>
      <c r="GS125" s="500"/>
      <c r="GT125" s="503"/>
      <c r="GU125" s="503"/>
      <c r="GV125" s="500"/>
      <c r="GW125" s="500"/>
      <c r="GX125" s="664"/>
      <c r="GY125" s="664"/>
      <c r="GZ125" s="500"/>
      <c r="HA125" s="500"/>
      <c r="HB125" s="500"/>
      <c r="HC125" s="500"/>
      <c r="HD125" s="637"/>
      <c r="HE125" s="637"/>
      <c r="HF125" s="639"/>
      <c r="HG125" s="639"/>
      <c r="HH125" s="639"/>
      <c r="HI125" s="639"/>
      <c r="HJ125" s="639"/>
      <c r="HK125" s="639"/>
      <c r="HL125" s="639"/>
      <c r="HM125" s="639"/>
      <c r="HN125" s="639"/>
      <c r="HO125" s="639"/>
      <c r="HP125" s="639"/>
      <c r="HQ125" s="639"/>
      <c r="HR125" s="639">
        <v>6.0999999999999999E-2</v>
      </c>
      <c r="HS125" s="639">
        <f t="shared" si="457"/>
        <v>409.57142857142856</v>
      </c>
      <c r="HT125" s="639">
        <f t="shared" si="458"/>
        <v>1</v>
      </c>
      <c r="HU125" s="618">
        <f t="shared" si="466"/>
        <v>1.5537035885739841</v>
      </c>
      <c r="HV125" s="618"/>
      <c r="HW125" s="618">
        <f t="shared" si="413"/>
        <v>33.79374090422494</v>
      </c>
      <c r="HX125" s="618">
        <f t="shared" si="467"/>
        <v>1.5057040015053302</v>
      </c>
      <c r="HY125" s="618">
        <f t="shared" si="468"/>
        <v>6.0999999999999999E-2</v>
      </c>
      <c r="HZ125" s="618"/>
      <c r="IA125" s="618"/>
      <c r="IB125" s="618">
        <f t="shared" si="414"/>
        <v>25.000350341399081</v>
      </c>
      <c r="IC125" s="618">
        <f t="shared" si="415"/>
        <v>1E-3</v>
      </c>
      <c r="ID125" s="618"/>
      <c r="IE125" s="618">
        <f t="shared" si="416"/>
        <v>0</v>
      </c>
      <c r="IF125" s="618">
        <f t="shared" si="417"/>
        <v>40.704999999999998</v>
      </c>
      <c r="IG125" s="618"/>
      <c r="IH125" s="618">
        <f t="shared" si="418"/>
        <v>0</v>
      </c>
      <c r="II125" s="618">
        <f t="shared" si="419"/>
        <v>40.704999999999998</v>
      </c>
      <c r="IJ125" s="618"/>
      <c r="IK125" s="618">
        <f t="shared" si="420"/>
        <v>0</v>
      </c>
      <c r="IL125" s="618">
        <f t="shared" si="421"/>
        <v>40.704999999999998</v>
      </c>
      <c r="IM125" s="618"/>
      <c r="IN125" s="618">
        <f t="shared" si="422"/>
        <v>0</v>
      </c>
      <c r="IO125" s="618">
        <f t="shared" si="423"/>
        <v>40.704999999999998</v>
      </c>
      <c r="IP125" s="618"/>
      <c r="IQ125" s="618">
        <f t="shared" si="424"/>
        <v>0</v>
      </c>
      <c r="IR125" s="618">
        <f t="shared" si="425"/>
        <v>40.704999999999998</v>
      </c>
      <c r="IS125" s="639"/>
      <c r="IT125" s="660">
        <f t="shared" si="626"/>
        <v>0</v>
      </c>
      <c r="IU125" s="628"/>
      <c r="IV125" s="439">
        <f t="shared" si="580"/>
        <v>0.51240000000000008</v>
      </c>
      <c r="IW125" s="440">
        <f t="shared" si="581"/>
        <v>0.39240000000000008</v>
      </c>
      <c r="IX125" s="439">
        <f t="shared" si="582"/>
        <v>-0.27240000000000009</v>
      </c>
      <c r="IY125" s="439">
        <f t="shared" si="583"/>
        <v>0</v>
      </c>
      <c r="IZ125" s="439">
        <f t="shared" si="584"/>
        <v>0</v>
      </c>
      <c r="JA125" s="439">
        <f t="shared" si="585"/>
        <v>0</v>
      </c>
      <c r="JB125" s="439">
        <f t="shared" si="586"/>
        <v>0</v>
      </c>
      <c r="JC125" s="439">
        <f t="shared" si="587"/>
        <v>0</v>
      </c>
      <c r="JD125" s="439">
        <f t="shared" si="588"/>
        <v>0</v>
      </c>
      <c r="JE125" s="439">
        <f t="shared" si="589"/>
        <v>0</v>
      </c>
      <c r="JF125" s="439">
        <f t="shared" si="590"/>
        <v>0</v>
      </c>
      <c r="JG125" s="439">
        <f t="shared" si="591"/>
        <v>0</v>
      </c>
      <c r="JH125" s="439">
        <f t="shared" si="592"/>
        <v>0</v>
      </c>
      <c r="JI125" s="439">
        <f t="shared" si="593"/>
        <v>0</v>
      </c>
      <c r="JJ125" s="442">
        <f t="shared" si="594"/>
        <v>0</v>
      </c>
      <c r="JK125" s="442">
        <f t="shared" si="595"/>
        <v>0</v>
      </c>
      <c r="JL125" s="439">
        <f t="shared" si="596"/>
        <v>0</v>
      </c>
      <c r="JM125" s="439">
        <f t="shared" si="597"/>
        <v>0</v>
      </c>
      <c r="JN125" s="661">
        <f t="shared" si="598"/>
        <v>0</v>
      </c>
      <c r="JO125" s="661">
        <f t="shared" si="599"/>
        <v>0</v>
      </c>
      <c r="JP125" s="439">
        <f t="shared" si="600"/>
        <v>0</v>
      </c>
      <c r="JQ125" s="439">
        <f t="shared" si="601"/>
        <v>0</v>
      </c>
      <c r="JR125" s="439">
        <f t="shared" si="602"/>
        <v>0</v>
      </c>
      <c r="JS125" s="439">
        <f t="shared" si="603"/>
        <v>0</v>
      </c>
      <c r="JT125" s="631" t="s">
        <v>92</v>
      </c>
      <c r="JU125" s="631">
        <f t="shared" si="627"/>
        <v>5.2186752043116555E-2</v>
      </c>
      <c r="JV125" s="652"/>
    </row>
    <row r="126" spans="1:298" s="579" customFormat="1">
      <c r="A126" s="334"/>
      <c r="U126" s="580"/>
      <c r="V126" s="580"/>
      <c r="AC126" s="580"/>
      <c r="AD126" s="580"/>
      <c r="AL126" s="580"/>
      <c r="AM126" s="580"/>
      <c r="AT126" s="580"/>
      <c r="AU126" s="580"/>
      <c r="AV126" s="581">
        <f>K89*$K$82</f>
        <v>0</v>
      </c>
      <c r="AW126" s="581">
        <f>IF($AY$32,'Data Sheet'!AA147,0)</f>
        <v>0</v>
      </c>
      <c r="AX126" s="581">
        <f t="shared" si="625"/>
        <v>40.704999999999998</v>
      </c>
      <c r="CH126" s="334"/>
      <c r="CI126" s="334"/>
      <c r="CO126" s="694" t="s">
        <v>628</v>
      </c>
      <c r="CP126" s="639"/>
      <c r="CQ126" s="660" t="s">
        <v>311</v>
      </c>
      <c r="CR126" s="660">
        <f>HLOOKUP(CQ126,Spec_Sheet!$F$3:$ED$19,2,FALSE)</f>
        <v>17</v>
      </c>
      <c r="CS126" s="660"/>
      <c r="CT126" s="621">
        <f t="shared" ref="CT126:CT134" si="628">((EB126/DB126)/(CR126/DB126))^2*100</f>
        <v>4.7707617688924776E-3</v>
      </c>
      <c r="CU126" s="621">
        <f t="shared" ref="CU126:CU131" si="629">((JU127/DB126)/((CR126*2)/DB126))^2*100</f>
        <v>4.9533464785661403E-2</v>
      </c>
      <c r="CV126" s="621">
        <f t="shared" ref="CV126:CV134" si="630">((GD126/DB126)/(CR126/DB126))^2*100</f>
        <v>9.4237269508987197E-4</v>
      </c>
      <c r="CW126" s="621">
        <f t="shared" ref="CW126:CW134" si="631">((FC126/DB126)/((CR126*2)/DB126))^2*100</f>
        <v>2.3559317377246799E-4</v>
      </c>
      <c r="CX126" s="621">
        <f t="shared" ref="CX126:CX134" si="632">((HE126/DB126)/((CR126*2)/DB126))^2*100</f>
        <v>2.3559317377246799E-4</v>
      </c>
      <c r="CY126" s="619">
        <f>HLOOKUP(CQ126,Spec_Sheet!$F$3:$ED$19,13,FALSE)</f>
        <v>0.5</v>
      </c>
      <c r="CZ126" s="619">
        <f>VLOOKUP(AC$46,'Shaft Weight'!$A$6:$CD$102,HLOOKUP(CQ126,'Shaft Weight'!$B$2:$CD$5,4),TRUE)</f>
        <v>0</v>
      </c>
      <c r="DA126" s="619"/>
      <c r="DB126" s="619">
        <f>HLOOKUP(CQ126,Spec_Sheet!$F$3:$ED$19,6,FALSE)</f>
        <v>33</v>
      </c>
      <c r="DC126" s="439">
        <f t="shared" ref="DC126:DC134" si="633">(ML+$CY126)*$AC$7+$DD126-IF(AND($Z$4,$V$11),Fl,0)</f>
        <v>1.1529000000000003</v>
      </c>
      <c r="DD126" s="440">
        <f t="shared" ref="DD126:DD134" si="634">(ML+$CY126)*(9.81*IF($W$11&gt;0,1,-1))*((SIN(a)*IF($W$11&gt;0,1,-1))+u*COS(a))+IF($V$11,Fl,0)+Fr</f>
        <v>0.88290000000000013</v>
      </c>
      <c r="DE126" s="439">
        <f t="shared" ref="DE126:DE134" si="635">(ML+$CY126)*$AC$10-$DD126+IF(AND($Z$4,$V$11),Fl,0)</f>
        <v>-0.61290000000000011</v>
      </c>
      <c r="DF126" s="439">
        <f t="shared" ref="DF126:DF134" si="636">(ML+$CY126)*9.81*SIN(a)+IF($V$11,Fl,0)-IF(AND($Z$4,$V$11),Fl,0)</f>
        <v>0</v>
      </c>
      <c r="DG126" s="439">
        <f t="shared" ref="DG126:DG134" si="637">IF($P$13,(ML+$CY126)*$AC$15+$DH126,0)</f>
        <v>0</v>
      </c>
      <c r="DH126" s="439">
        <f t="shared" ref="DH126:DH134" si="638">IF($P$13,(ML+$CY126)*(9.81*IF($W$19&gt;0,1,-1))*((SIN(a)*IF($W$19&gt;0,1,-1))+u*COS(a))+IF($V$19,Fl,0)+Fr,0)</f>
        <v>0</v>
      </c>
      <c r="DI126" s="439">
        <f t="shared" ref="DI126:DI134" si="639">IF($P$13,(ML+$CY126)*$AC$18-$DH126,0)</f>
        <v>0</v>
      </c>
      <c r="DJ126" s="439">
        <f t="shared" ref="DJ126:DJ134" si="640">IF($P$13,(ML+$CY126)*9.81*SIN(a)+IF($V$19,Fl,0),0)</f>
        <v>0</v>
      </c>
      <c r="DK126" s="439">
        <f t="shared" ref="DK126:DK134" si="641">IF($P$21,(ML+$CY126)*$AC$23+$DL126,0)</f>
        <v>0</v>
      </c>
      <c r="DL126" s="439">
        <f t="shared" ref="DL126:DL134" si="642">IF($P$21,(ML+$CY126)*(9.81*IF($W$27&gt;0,1,-1))*((SIN(a)*IF($W$27&gt;0,1,-1))+u*COS(a))+IF($V$27,Fl,0)+Fr,0)</f>
        <v>0</v>
      </c>
      <c r="DM126" s="439">
        <f t="shared" ref="DM126:DM134" si="643">IF($P$21,(ML+$CY126)*$AC$26-$DL126,0)</f>
        <v>0</v>
      </c>
      <c r="DN126" s="439">
        <f t="shared" ref="DN126:DN134" si="644">IF($P$21,(ML+$CY126)*9.81*SIN(a)+IF($V$27,Fl,0),0)</f>
        <v>0</v>
      </c>
      <c r="DO126" s="439">
        <f t="shared" ref="DO126:DO134" si="645">IF($AG$5,(ML+$CY126)*$AT$7+$DP126,0)</f>
        <v>0</v>
      </c>
      <c r="DP126" s="439">
        <f t="shared" ref="DP126:DP134" si="646">IF($AG$5,(ML+$CY126)*(9.81*IF($AN$11&gt;0,1,-1))*((SIN(a)*IF($AN$11&gt;0,1,-1))+u*COS(a))+IF($AM$11,Fl,0)+Fr,0)</f>
        <v>0</v>
      </c>
      <c r="DQ126" s="442">
        <f t="shared" ref="DQ126:DQ134" si="647">IF($AG$5,(ML+$CY126)*$AT$10-$DP126,0)</f>
        <v>0</v>
      </c>
      <c r="DR126" s="442">
        <f t="shared" ref="DR126:DR134" si="648">IF($AG$5,(ML+$CY126)*9.81*SIN(a)+IF($AM$11,Fl,0),0)</f>
        <v>0</v>
      </c>
      <c r="DS126" s="439">
        <f t="shared" ref="DS126:DS134" si="649">IF($AG$13,(ML+$CY126)*$AT$15+$DT126,0)</f>
        <v>0</v>
      </c>
      <c r="DT126" s="439">
        <f t="shared" ref="DT126:DT134" si="650">IF($AG$13,(ML+$CY126)*(9.81*IF($AN$19&gt;0,1,-1))*((SIN(a)*IF($AN$19&gt;0,1,-1))+u*COS(a))+IF($AM$19,Fl,0)+Fr,0)</f>
        <v>0</v>
      </c>
      <c r="DU126" s="661">
        <f t="shared" ref="DU126:DU134" si="651">IF($AG$13,(ML+$CY126)*$AT$18-$DT126,0)</f>
        <v>0</v>
      </c>
      <c r="DV126" s="661">
        <f t="shared" ref="DV126:DV134" si="652">IF($AG$13,(ML+$CY126)*9.81*SIN(a)+IF($AM$19,Fl,0),0)</f>
        <v>0</v>
      </c>
      <c r="DW126" s="439">
        <f t="shared" ref="DW126:DW134" si="653">IF($AG$21,(ML+$CY126)*$AT$23+$DX126,0)</f>
        <v>0</v>
      </c>
      <c r="DX126" s="439">
        <f t="shared" ref="DX126:DX134" si="654">IF($AG$21,(ML+$CY126)*(9.81*IF($AN$27&gt;0,1,-1))*((SIN(a)*IF($AN$27&gt;0,1,-1))+u*COS(a))+IF($AM$27,Fl,0)+Fr,0)</f>
        <v>0</v>
      </c>
      <c r="DY126" s="439">
        <f t="shared" ref="DY126:DY134" si="655">IF($AG$21,(ML+$CY126)*$AT$26-$DX126,0)</f>
        <v>0</v>
      </c>
      <c r="DZ126" s="439">
        <f t="shared" ref="DZ126:DZ134" si="656">IF($AG$21,(ML+$CY126)*9.81*SIN(a)+IF($AM$27,Fl,0),0)</f>
        <v>0</v>
      </c>
      <c r="EA126" s="631" t="s">
        <v>92</v>
      </c>
      <c r="EB126" s="631">
        <f t="shared" ref="EB126:EB134" si="657">SQRT((((IF(DC126&gt;0,DC126,DC126*-1))^2*$D$38)+((IF(DD126&gt;0,DD126,DD126*-1))^2*$E$38)+((IF(DE126&gt;0,DE126,DE126*-1))^2*$F$38)+((IF(DF126&gt;0,DF126,DF126*-1))^2*$G$38)+((IF(DG126&gt;0,DG126,DG126*-1))^2*$H$38)+((IF(DH126&gt;0,DH126,DH126*-1))^2*$I$38)+((IF(DI126&gt;0,DI126,DI126*-1))^2*$J$38)+((IF(DJ126&gt;0,DJ126,DJ126*-1))^2*$K$38)+((IF(DK126&gt;0,DK126,DK126*-1))^2*$L$38)+((IF(DL126&gt;0,DL126,DL126*-1))^2*$M$38)+((IF(DM126&gt;0,DM126,DM126*-1))^2*$N$38)+((IF(DN126&gt;0,DN126,DN126*-1))^2*$O$38)+((IF(DO126&gt;0,DO126,DO126*-1))^2*$P$38)+((IF(DP126&gt;0,DP126,DP126*-1))^2*$Q$38)+((IF(DQ126&gt;0,DQ126,DQ126*-1))^2*$R$38)+((IF(DR126&gt;0,DR126,DR126*-1))^2*$S$38)+((IF(DS126&gt;0,DS126,DS126*-1))^2*$T$38)+((IF(DT126&gt;0,DT126,DT126*-1))^2*$U$38)+((IF(DU126&gt;0,DU126,DU126*-1))^2*$V$38)+((IF(DV126&gt;0,DV126,DV126*-1))^2*$W$38)+((IF(DW126&gt;0,DW126,DW126*-1))^2*$X$38)+((IF(DX126&gt;0,DX126,DX126*-1))^2*$Y$38)+((IF(DY126&gt;0,DY126,DY126*-1))^2*$Z$38)+((IF(DZ126&gt;0,DZ126,DZ126*-1))^2*$AA$38))/$AA$31)</f>
        <v>0.11742019209701225</v>
      </c>
      <c r="EC126" s="618"/>
      <c r="ED126" s="439">
        <f t="shared" ref="ED126:ED135" si="658">(ML+($CZ126*2))*$AC$7+$EE126-IF(AND($Z$4,$V$11),Fl,0)</f>
        <v>0.51240000000000008</v>
      </c>
      <c r="EE126" s="440">
        <f t="shared" ref="EE126:EE135" si="659">(ML+($CZ126*2))*(9.81*IF($W$11&gt;0,1,-1))*((SIN(a)*IF($W$11&gt;0,1,-1))+u*COS(a))+IF($V$11,Fl,0)+Fr</f>
        <v>0.39240000000000008</v>
      </c>
      <c r="EF126" s="439">
        <f t="shared" ref="EF126:EF135" si="660">(ML+($CZ126*2))*$AC$10-$EE126+IF(AND($Z$4,$V$11),Fl,0)</f>
        <v>-0.27240000000000009</v>
      </c>
      <c r="EG126" s="441">
        <f t="shared" ref="EG126:EG135" si="661">(ML+($CZ126*2))*9.81*SIN(a)+IF($V$11,Fl,0)-IF(AND($Z$4,$V$11),Fl,0)</f>
        <v>0</v>
      </c>
      <c r="EH126" s="439">
        <f t="shared" ref="EH126:EH135" si="662">IF($P$13,(ML+($CZ126*2))*$AC$15+$EI126,0)</f>
        <v>0</v>
      </c>
      <c r="EI126" s="439">
        <f t="shared" ref="EI126:EI135" si="663">IF($P$13,(ML+($CZ126*2))*(9.81*IF($W$19&gt;0,1,-1))*((SIN(a)*IF($W$19&gt;0,1,-1))+u*COS(a))+IF($V$19,Fl,0)+Fr,0)</f>
        <v>0</v>
      </c>
      <c r="EJ126" s="439">
        <f t="shared" ref="EJ126:EJ135" si="664">IF($P$13,(ML+($CZ126*2))*$AC$18-$EI126,0)</f>
        <v>0</v>
      </c>
      <c r="EK126" s="439">
        <f t="shared" ref="EK126:EK135" si="665">IF($P$13,(ML+($CZ126*2))*9.81*SIN(a)+IF($V$19,Fl,0),0)</f>
        <v>0</v>
      </c>
      <c r="EL126" s="439">
        <f t="shared" ref="EL126:EL135" si="666">IF($P$21,(ML+($CZ126*2))*$AC$23+$EM126,0)</f>
        <v>0</v>
      </c>
      <c r="EM126" s="439">
        <f t="shared" ref="EM126:EM135" si="667">IF($P$21,(ML+($CZ126*2))*(9.81*IF($W$27&gt;0,1,-1))*((SIN(a)*IF($W$27&gt;0,1,-1))+u*COS(a))+IF($V$27,Fl,0)+Fr,0)</f>
        <v>0</v>
      </c>
      <c r="EN126" s="439">
        <f t="shared" ref="EN126:EN135" si="668">IF($P$21,(ML+($CZ126*2))*$AC$26-$EM126,0)</f>
        <v>0</v>
      </c>
      <c r="EO126" s="439">
        <f t="shared" ref="EO126:EO135" si="669">IF($P$21,(ML+($CZ126*2))*9.81*SIN(a)+IF($V$27,Fl,0),0)</f>
        <v>0</v>
      </c>
      <c r="EP126" s="439">
        <f t="shared" ref="EP126:EP135" si="670">IF($AG$5,(ML+($CZ126*2))*$AT$7+$EQ126,0)</f>
        <v>0</v>
      </c>
      <c r="EQ126" s="439">
        <f t="shared" ref="EQ126:EQ135" si="671">IF($AG$5,(ML+($CZ126*2))*(9.81*IF($AN$11&gt;0,1,-1))*((SIN(a)*IF($AN$11&gt;0,1,-1))+u*COS(a))+IF($AM$11,Fl,0)+Fr,0)</f>
        <v>0</v>
      </c>
      <c r="ER126" s="442">
        <f t="shared" ref="ER126:ER135" si="672">IF($AG$5,(ML+($CZ126*2))*$AT$10-$EQ126,0)</f>
        <v>0</v>
      </c>
      <c r="ES126" s="442">
        <f t="shared" ref="ES126:ES135" si="673">IF($AG$5,(ML+($CZ126*2))*9.81*SIN(a)+IF($AM$11,Fl,0),0)</f>
        <v>0</v>
      </c>
      <c r="ET126" s="439">
        <f t="shared" ref="ET126:ET135" si="674">IF($AG$13,(ML+($CZ126*2))*$AT$15+$EU126,0)</f>
        <v>0</v>
      </c>
      <c r="EU126" s="439">
        <f t="shared" ref="EU126:EU135" si="675">IF($AG$13,(ML+($CZ126*2))*(9.81*IF($AN$19&gt;0,1,-1))*((SIN(a)*IF($AN$19&gt;0,1,-1))+u*COS(a))+IF($AM$19,Fl,0)+Fr,0)</f>
        <v>0</v>
      </c>
      <c r="EV126" s="661">
        <f t="shared" ref="EV126:EV135" si="676">IF($AG$13,(ML+($CZ126*2))*$AT$18-$EU126,0)</f>
        <v>0</v>
      </c>
      <c r="EW126" s="661">
        <f t="shared" ref="EW126:EW135" si="677">IF($AG$13,(ML+($CZ126*2))*9.81*SIN(a)+IF($AM$19,Fl,0),0)</f>
        <v>0</v>
      </c>
      <c r="EX126" s="439">
        <f t="shared" ref="EX126:EX135" si="678">IF($AG$21,(ML+($CZ126*2))*$AT$23+$EY126,0)</f>
        <v>0</v>
      </c>
      <c r="EY126" s="439">
        <f t="shared" ref="EY126:EY135" si="679">IF($AG$21,(ML+($CZ126*2))*(9.81*IF($AN$27&gt;0,1,-1))*((SIN(a)*IF($AN$27&gt;0,1,-1))+u*COS(a))+IF($AM$27,Fl,0)+Fr,0)</f>
        <v>0</v>
      </c>
      <c r="EZ126" s="439">
        <f t="shared" ref="EZ126:EZ135" si="680">IF($AG$21,(ML+($CZ126*2))*$AT$26-$EY126,0)</f>
        <v>0</v>
      </c>
      <c r="FA126" s="439">
        <f t="shared" ref="FA126:FA135" si="681">IF($AG$21,(ML+($CZ126*2))*9.81*SIN(a)+IF($AM$27,Fl,0),0)</f>
        <v>0</v>
      </c>
      <c r="FB126" s="631" t="s">
        <v>92</v>
      </c>
      <c r="FC126" s="631">
        <f t="shared" ref="FC126:FC135" si="682">SQRT((((IF(ED126&gt;0,ED126,ED126*-1))^2*$D$38)+((IF(EE126&gt;0,EE126,EE126*-1))^2*$E$38)+((IF(EF126&gt;0,EF126,EF126*-1))^2*$F$38)+((IF(EG126&gt;0,EG126,EG126*-1))^2*$G$38)+((IF(EH126&gt;0,EH126,EH126*-1))^2*$H$38)+((IF(EI126&gt;0,EI126,EI126*-1))^2*$I$38)+((IF(EJ126&gt;0,EJ126,EJ126*-1))^2*$J$38)+((IF(EK126&gt;0,EK126,EK126*-1))^2*$K$38)+((IF(EL126&gt;0,EL126,EL126*-1))^2*$L$38)+((IF(EM126&gt;0,EM126,EM126*-1))^2*$M$38)+((IF(EN126&gt;0,EN126,EN126*-1))^2*$N$38)+((IF(EO126&gt;0,EO126,EO126*-1))^2*$O$38)+((IF(EP126&gt;0,EP126,EP126*-1))^2*$P$38)+((IF(EQ126&gt;0,EQ126,EQ126*-1))^2*$Q$38)+((IF(ER126&gt;0,ER126,ER126*-1))^2*$R$38)+((IF(ES126&gt;0,ES126,ES126*-1))^2*$S$38)+((IF(ET126&gt;0,ET126,ET126*-1))^2*$T$38)+((IF(EU126&gt;0,EU126,EU126*-1))^2*$U$38)+((IF(EV126&gt;0,EV126,EV126*-1))^2*$V$38)+((IF(EW126&gt;0,EW126,EW126*-1))^2*$W$38)+((IF(EX126&gt;0,EX126,EX126*-1))^2*$X$38)+((IF(EY126&gt;0,EY126,EY126*-1))^2*$Y$38)+((IF(EZ126&gt;0,EZ126,EZ126*-1))^2*$Z$38)+((IF(FA126&gt;0,FA126,FA126*-1))^2*$AA$38))/$AA$31)</f>
        <v>5.2186752043116555E-2</v>
      </c>
      <c r="FD126" s="618"/>
      <c r="FE126" s="439">
        <f t="shared" ref="FE126:FE135" si="683">(ML+$CZ126)*$AC$7+$FF126-IF(AND($Z$4,$V$11),Fl,0)</f>
        <v>0.51240000000000008</v>
      </c>
      <c r="FF126" s="440">
        <f t="shared" ref="FF126:FF135" si="684">(ML+$CZ126)*(9.81*IF($W$11&gt;0,1,-1))*((SIN(a)*IF($W$11&gt;0,1,-1))+u*COS(a))+IF($V$11,Fl,0)+Fr</f>
        <v>0.39240000000000008</v>
      </c>
      <c r="FG126" s="439">
        <f t="shared" ref="FG126:FG135" si="685">(ML+$CZ126)*$AC$10-$FF126+IF(AND($Z$4,$V$11),Fl,0)</f>
        <v>-0.27240000000000009</v>
      </c>
      <c r="FH126" s="441">
        <f t="shared" ref="FH126:FH135" si="686">(ML+$CZ126)*9.81*SIN(a)+IF($V$11,Fl,0)-IF(AND($Z$4,$V$11),Fl,0)</f>
        <v>0</v>
      </c>
      <c r="FI126" s="439">
        <f t="shared" ref="FI126:FI135" si="687">IF($P$13,(ML+$CZ126)*$AC$15+$FJ126,0)</f>
        <v>0</v>
      </c>
      <c r="FJ126" s="439">
        <f t="shared" ref="FJ126:FJ135" si="688">IF($P$13,(ML+$CZ126)*(9.81*IF($W$19&gt;0,1,-1))*((SIN(a)*IF($W$19&gt;0,1,-1))+u*COS(a))+IF($V$19,Fl,0)+Fr,0)</f>
        <v>0</v>
      </c>
      <c r="FK126" s="439">
        <f t="shared" ref="FK126:FK135" si="689">IF($P$13,(ML+$CZ126)*$AC$18-$FJ126,0)</f>
        <v>0</v>
      </c>
      <c r="FL126" s="439">
        <f t="shared" ref="FL126:FL135" si="690">IF($P$13,(ML+$CZ126)*9.81*SIN(a)+IF($V$19,Fl,0),0)</f>
        <v>0</v>
      </c>
      <c r="FM126" s="439">
        <f t="shared" ref="FM126:FM135" si="691">IF($P$21,(ML+$CZ126)*$AC$23+$FN126,0)</f>
        <v>0</v>
      </c>
      <c r="FN126" s="439">
        <f t="shared" ref="FN126:FN135" si="692">IF($P$21,(ML+$CZ126)*(9.81*IF($W$27&gt;0,1,-1))*((SIN(a)*IF($W$27&gt;0,1,-1))+u*COS(a))+IF($V$27,Fl,0)+Fr,0)</f>
        <v>0</v>
      </c>
      <c r="FO126" s="439">
        <f t="shared" ref="FO126:FO135" si="693">IF($P$21,(ML+$CZ126)*$AC$26-$FN126,0)</f>
        <v>0</v>
      </c>
      <c r="FP126" s="439">
        <f t="shared" ref="FP126:FP135" si="694">IF($P$21,(ML+$CZ126)*9.81*SIN(a)+IF($V$27,Fl,0),0)</f>
        <v>0</v>
      </c>
      <c r="FQ126" s="439">
        <f t="shared" ref="FQ126:FQ135" si="695">IF($AG$5,(ML+$CZ126)*$AT$7+$FR126,0)</f>
        <v>0</v>
      </c>
      <c r="FR126" s="439">
        <f t="shared" ref="FR126:FR135" si="696">IF($AG$5,(ML+$CZ126)*(9.81*IF($AN$11&gt;0,1,-1))*((SIN(a)*IF($AN$11&gt;0,1,-1))+u*COS(a))+IF($AM$11,Fl,0)+Fr,0)</f>
        <v>0</v>
      </c>
      <c r="FS126" s="442">
        <f t="shared" ref="FS126:FS135" si="697">IF($AG$5,(ML+$CZ126)*$AT$10-$FR126,0)</f>
        <v>0</v>
      </c>
      <c r="FT126" s="442">
        <f t="shared" ref="FT126:FT135" si="698">IF($AG$5,(ML+$CZ126)*9.81*SIN(a)+IF($AM$11,Fl,0),0)</f>
        <v>0</v>
      </c>
      <c r="FU126" s="439">
        <f t="shared" ref="FU126:FU135" si="699">IF($AG$13,(ML+$CZ126)*$AT$15+$FV126,0)</f>
        <v>0</v>
      </c>
      <c r="FV126" s="439">
        <f t="shared" ref="FV126:FV135" si="700">IF($AG$13,(ML+$CZ126)*(9.81*IF($AN$19&gt;0,1,-1))*((SIN(a)*IF($AN$19&gt;0,1,-1))+u*COS(a))+IF($AM$19,Fl,0)+Fr,0)</f>
        <v>0</v>
      </c>
      <c r="FW126" s="661">
        <f t="shared" ref="FW126:FW135" si="701">IF($AG$13,(ML+$CZ126)*$AT$18-$FV126,0)</f>
        <v>0</v>
      </c>
      <c r="FX126" s="661">
        <f t="shared" ref="FX126:FX135" si="702">IF($AG$13,(ML+$CZ126)*9.81*SIN(a)+IF($AM$19,Fl,0),0)</f>
        <v>0</v>
      </c>
      <c r="FY126" s="439">
        <f t="shared" ref="FY126:FY135" si="703">IF($AG$21,(ML+$CZ126)*$AT$23+$FZ126,0)</f>
        <v>0</v>
      </c>
      <c r="FZ126" s="439">
        <f t="shared" ref="FZ126:FZ135" si="704">IF($AG$21,(ML+$CZ126)*(9.81*IF($AN$27&gt;0,1,-1))*((SIN(a)*IF($AN$27&gt;0,1,-1))+u*COS(a))+IF($AM$27,Fl,0)+Fr,0)</f>
        <v>0</v>
      </c>
      <c r="GA126" s="439">
        <f t="shared" ref="GA126:GA135" si="705">IF($AG$21,(ML+$CZ126)*$AT$26-$FZ126,0)</f>
        <v>0</v>
      </c>
      <c r="GB126" s="439">
        <f t="shared" ref="GB126:GB135" si="706">IF($AG$21,(ML+$CZ126)*9.81*SIN(a)+IF($AM$27,Fl,0),0)</f>
        <v>0</v>
      </c>
      <c r="GC126" s="631" t="s">
        <v>92</v>
      </c>
      <c r="GD126" s="631">
        <f t="shared" ref="GD126:GD135" si="707">SQRT((((IF(FE126&gt;0,FE126,FE126*-1))^2*$D$38)+((IF(FF126&gt;0,FF126,FF126*-1))^2*$E$38)+((IF(FG126&gt;0,FG126,FG126*-1))^2*$F$38)+((IF(FH126&gt;0,FH126,FH126*-1))^2*$G$38)+((IF(FI126&gt;0,FI126,FI126*-1))^2*$H$38)+((IF(FJ126&gt;0,FJ126,FJ126*-1))^2*$I$38)+((IF(FK126&gt;0,FK126,FK126*-1))^2*$J$38)+((IF(FL126&gt;0,FL126,FL126*-1))^2*$K$38)+((IF(FM126&gt;0,FM126,FM126*-1))^2*$L$38)+((IF(FN126&gt;0,FN126,FN126*-1))^2*$M$38)+((IF(FO126&gt;0,FO126,FO126*-1))^2*$N$38)+((IF(FP126&gt;0,FP126,FP126*-1))^2*$O$38)+((IF(FQ126&gt;0,FQ126,FQ126*-1))^2*$P$38)+((IF(FR126&gt;0,FR126,FR126*-1))^2*$Q$38)+((IF(FS126&gt;0,FS126,FS126*-1))^2*$R$38)+((IF(FT126&gt;0,FT126,FT126*-1))^2*$S$38)+((IF(FU126&gt;0,FU126,FU126*-1))^2*$T$38)+((IF(FV126&gt;0,FV126,FV126*-1))^2*$U$38)+((IF(FW126&gt;0,FW126,FW126*-1))^2*$V$38)+((IF(FX126&gt;0,FX126,FX126*-1))^2*$W$38)+((IF(FY126&gt;0,FY126,FY126*-1))^2*$X$38)+((IF(FZ126&gt;0,FZ126,FZ126*-1))^2*$Y$38)+((IF(GA126&gt;0,GA126,GA126*-1))^2*$Z$38)+((IF(GB126&gt;0,GB126,GB126*-1))^2*$AA$38))/$AA$31)</f>
        <v>5.2186752043116555E-2</v>
      </c>
      <c r="GE126" s="618"/>
      <c r="GF126" s="439">
        <f t="shared" ref="GF126:GF135" si="708">(ML+DA126)*$AC$7+$GG126-IF(AND($Z$4,$V$11),Fl,0)</f>
        <v>0.51240000000000008</v>
      </c>
      <c r="GG126" s="440">
        <f t="shared" ref="GG126:GG135" si="709">(ML+$DA126)*(9.81*IF($W$11&gt;0,1,-1))*((SIN(a)*IF($W$11&gt;0,1,-1))+u*COS(a))+IF($V$11,Fl,0)+Fr</f>
        <v>0.39240000000000008</v>
      </c>
      <c r="GH126" s="439">
        <f t="shared" ref="GH126:GH135" si="710">(ML+$DA126)*$AC$10-$GG126+IF(AND($Z$4,$V$11),Fl,0)</f>
        <v>-0.27240000000000009</v>
      </c>
      <c r="GI126" s="439">
        <f t="shared" ref="GI126:GI135" si="711">(ML+$DA126)*9.81*SIN(a)+IF($V$11,Fl,0)-IF(AND($Z$4,$V$11),Fl,0)</f>
        <v>0</v>
      </c>
      <c r="GJ126" s="439">
        <f t="shared" ref="GJ126:GJ135" si="712">IF($P$13,(ML+$DA126)*$AC$15+$GK126,0)</f>
        <v>0</v>
      </c>
      <c r="GK126" s="439">
        <f t="shared" ref="GK126:GK135" si="713">IF($P$13,(ML+$DA126)*(9.81*IF($W$19&gt;0,1,-1))*((SIN(a)*IF($W$19&gt;0,1,-1))+u*COS(a))+IF($V$19,Fl,0)+Fr,0)</f>
        <v>0</v>
      </c>
      <c r="GL126" s="439">
        <f t="shared" ref="GL126:GL135" si="714">IF($P$13,(ML+$DA126)*$AC$18-$GK126,0)</f>
        <v>0</v>
      </c>
      <c r="GM126" s="439">
        <f t="shared" ref="GM126:GM135" si="715">IF($P$13,(ML+$DA126)*9.81*SIN(a)+IF($V$19,Fl,0),0)</f>
        <v>0</v>
      </c>
      <c r="GN126" s="439">
        <f t="shared" ref="GN126:GN135" si="716">IF($P$21,(ML+$DA126)*$AC$23+$GO126,0)</f>
        <v>0</v>
      </c>
      <c r="GO126" s="439">
        <f t="shared" ref="GO126:GO135" si="717">IF($P$21,(ML+$DA126)*(9.81*IF($W$27&gt;0,1,-1))*((SIN(a)*IF($W$27&gt;0,1,-1))+u*COS(a))+IF($V$27,Fl,0)+Fr,0)</f>
        <v>0</v>
      </c>
      <c r="GP126" s="439">
        <f t="shared" ref="GP126:GP135" si="718">IF($P$21,(ML+$DA126)*$AC$26-$GO126,0)</f>
        <v>0</v>
      </c>
      <c r="GQ126" s="439">
        <f t="shared" ref="GQ126:GQ135" si="719">IF($P$21,(ML+$DA126)*9.81*SIN(a)+IF($V$27,Fl,0),0)</f>
        <v>0</v>
      </c>
      <c r="GR126" s="439">
        <f t="shared" ref="GR126:GR135" si="720">IF($AG$5,(ML+$DA126)*$AT$7+$GS126,0)</f>
        <v>0</v>
      </c>
      <c r="GS126" s="439">
        <f t="shared" ref="GS126:GS135" si="721">IF($AG$5,(ML+$DA126)*(9.81*IF($AN$11&gt;0,1,-1))*((SIN(a)*IF($AN$11&gt;0,1,-1))+u*COS(a))+IF($AM$11,Fl,0)+Fr,0)</f>
        <v>0</v>
      </c>
      <c r="GT126" s="442">
        <f t="shared" ref="GT126:GT135" si="722">IF($AG$5,(ML+$DA126)*$AT$10-$GS126,0)</f>
        <v>0</v>
      </c>
      <c r="GU126" s="442">
        <f t="shared" ref="GU126:GU135" si="723">IF($AG$5,(ML+$DA126)*9.81*SIN(a)+IF($AM$11,Fl,0),0)</f>
        <v>0</v>
      </c>
      <c r="GV126" s="439">
        <f t="shared" ref="GV126:GV135" si="724">IF($AG$13,(ML+$DA126)*$AT$15+$GW126,0)</f>
        <v>0</v>
      </c>
      <c r="GW126" s="439">
        <f t="shared" ref="GW126:GW135" si="725">IF($AG$13,(ML+$DA126)*(9.81*IF($AN$19&gt;0,1,-1))*((SIN(a)*IF($AN$19&gt;0,1,-1))+u*COS(a))+IF($AM$19,Fl,0)+Fr,0)</f>
        <v>0</v>
      </c>
      <c r="GX126" s="661">
        <f t="shared" ref="GX126:GX135" si="726">IF($AG$13,(ML+$DA126)*$AT$18-$GW126,0)</f>
        <v>0</v>
      </c>
      <c r="GY126" s="661">
        <f t="shared" ref="GY126:GY135" si="727">IF($AG$13,(ML+$DA126)*9.81*SIN(a)+IF($AM$19,Fl,0),0)</f>
        <v>0</v>
      </c>
      <c r="GZ126" s="439">
        <f t="shared" ref="GZ126:GZ135" si="728">IF($AG$21,(ML+$DA126)*$AT$23+$HA126,0)</f>
        <v>0</v>
      </c>
      <c r="HA126" s="439">
        <f t="shared" ref="HA126:HA135" si="729">IF($AG$21,(ML+$DA126)*(9.81*IF($AN$27&gt;0,1,-1))*((SIN(a)*IF($AN$27&gt;0,1,-1))+u*COS(a))+IF($AM$27,Fl,0)+Fr,0)</f>
        <v>0</v>
      </c>
      <c r="HB126" s="439">
        <f t="shared" ref="HB126:HB135" si="730">IF($AG$21,(ML+$DA126)*$AT$26-$HA126,0)</f>
        <v>0</v>
      </c>
      <c r="HC126" s="439">
        <f t="shared" ref="HC126:HC135" si="731">IF($AG$21,(ML+$DA126)*9.81*SIN(a)+IF($AM$27,Fl,0),0)</f>
        <v>0</v>
      </c>
      <c r="HD126" s="631" t="s">
        <v>92</v>
      </c>
      <c r="HE126" s="631">
        <f t="shared" ref="HE126:HE135" si="732">SQRT((((IF(GF126&gt;0,GF126,GF126*-1))^2*$D$38)+((IF(GG126&gt;0,GG126,GG126*-1))^2*$E$38)+((IF(GH126&gt;0,GH126,GH126*-1))^2*$F$38)+((IF(GI126&gt;0,GI126,GI126*-1))^2*$G$38)+((IF(GJ126&gt;0,GJ126,GJ126*-1))^2*$H$38)+((IF(GK126&gt;0,GK126,GK126*-1))^2*$I$38)+((IF(GL126&gt;0,GL126,GL126*-1))^2*$J$38)+((IF(GM126&gt;0,GM126,GM126*-1))^2*$K$38)+((IF(GN126&gt;0,GN126,GN126*-1))^2*$L$38)+((IF(GO126&gt;0,GO126,GO126*-1))^2*$M$38)+((IF(GP126&gt;0,GP126,GP126*-1))^2*$N$38)+((IF(GQ126&gt;0,GQ126,GQ126*-1))^2*$O$38)+((IF(GR126&gt;0,GR126,GR126*-1))^2*$P$38)+((IF(GS126&gt;0,GS126,GS126*-1))^2*$Q$38)+((IF(GT126&gt;0,GT126,GT126*-1))^2*$R$38)+((IF(GU126&gt;0,GU126,GU126*-1))^2*$S$38)+((IF(GV126&gt;0,GV126,GV126*-1))^2*$T$38)+((IF(GW126&gt;0,GW126,GW126*-1))^2*$U$38)+((IF(GX126&gt;0,GX126,GX126*-1))^2*$V$38)+((IF(GY126&gt;0,GY126,GY126*-1))^2*$W$38)+((IF(GZ126&gt;0,GZ126,GZ126*-1))^2*$X$38)+((IF(HA126&gt;0,HA126,HA126*-1))^2*$Y$38)+((IF(HB126&gt;0,HB126,HB126*-1))^2*$Z$38)+((IF(HC126&gt;0,HC126,HC126*-1))^2*$AA$38))/$AA$31)</f>
        <v>5.2186752043116555E-2</v>
      </c>
      <c r="HF126" s="639"/>
      <c r="HG126" s="639"/>
      <c r="HH126" s="639"/>
      <c r="HI126" s="639"/>
      <c r="HJ126" s="639"/>
      <c r="HK126" s="639"/>
      <c r="HL126" s="639"/>
      <c r="HM126" s="639"/>
      <c r="HN126" s="639"/>
      <c r="HO126" s="639"/>
      <c r="HP126" s="639"/>
      <c r="HQ126" s="639"/>
      <c r="HR126" s="639">
        <v>6.1499999999999999E-2</v>
      </c>
      <c r="HS126" s="639">
        <f t="shared" si="457"/>
        <v>412.92857142857144</v>
      </c>
      <c r="HT126" s="639">
        <f t="shared" si="458"/>
        <v>1</v>
      </c>
      <c r="HU126" s="618">
        <f t="shared" si="466"/>
        <v>1.5664426325476088</v>
      </c>
      <c r="HV126" s="618"/>
      <c r="HW126" s="618">
        <f t="shared" si="413"/>
        <v>33.775651461782395</v>
      </c>
      <c r="HX126" s="618">
        <f t="shared" si="467"/>
        <v>1.5176559323167045</v>
      </c>
      <c r="HY126" s="618">
        <f t="shared" si="468"/>
        <v>6.1499999999999999E-2</v>
      </c>
      <c r="HZ126" s="618"/>
      <c r="IA126" s="618"/>
      <c r="IB126" s="618">
        <f t="shared" si="414"/>
        <v>25.000350341399081</v>
      </c>
      <c r="IC126" s="618">
        <f t="shared" si="415"/>
        <v>1E-3</v>
      </c>
      <c r="ID126" s="618"/>
      <c r="IE126" s="618">
        <f t="shared" si="416"/>
        <v>0</v>
      </c>
      <c r="IF126" s="618">
        <f t="shared" si="417"/>
        <v>40.704999999999998</v>
      </c>
      <c r="IG126" s="618"/>
      <c r="IH126" s="618">
        <f t="shared" si="418"/>
        <v>0</v>
      </c>
      <c r="II126" s="618">
        <f t="shared" si="419"/>
        <v>40.704999999999998</v>
      </c>
      <c r="IJ126" s="618"/>
      <c r="IK126" s="618">
        <f t="shared" si="420"/>
        <v>0</v>
      </c>
      <c r="IL126" s="618">
        <f t="shared" si="421"/>
        <v>40.704999999999998</v>
      </c>
      <c r="IM126" s="618"/>
      <c r="IN126" s="618">
        <f t="shared" si="422"/>
        <v>0</v>
      </c>
      <c r="IO126" s="618">
        <f t="shared" si="423"/>
        <v>40.704999999999998</v>
      </c>
      <c r="IP126" s="618"/>
      <c r="IQ126" s="618">
        <f t="shared" si="424"/>
        <v>0</v>
      </c>
      <c r="IR126" s="618">
        <f t="shared" si="425"/>
        <v>40.704999999999998</v>
      </c>
      <c r="IS126" s="639"/>
      <c r="IT126" s="660" t="str">
        <f t="shared" ref="IT126:IT132" si="733">CQ126</f>
        <v>SLP15</v>
      </c>
      <c r="IU126" s="628"/>
      <c r="IV126" s="439">
        <f t="shared" si="580"/>
        <v>1.7934000000000001</v>
      </c>
      <c r="IW126" s="440">
        <f t="shared" si="581"/>
        <v>1.3734000000000002</v>
      </c>
      <c r="IX126" s="439">
        <f t="shared" si="582"/>
        <v>-0.95340000000000025</v>
      </c>
      <c r="IY126" s="439">
        <f t="shared" si="583"/>
        <v>0</v>
      </c>
      <c r="IZ126" s="439">
        <f t="shared" si="584"/>
        <v>0</v>
      </c>
      <c r="JA126" s="439">
        <f t="shared" si="585"/>
        <v>0</v>
      </c>
      <c r="JB126" s="439">
        <f t="shared" si="586"/>
        <v>0</v>
      </c>
      <c r="JC126" s="439">
        <f t="shared" si="587"/>
        <v>0</v>
      </c>
      <c r="JD126" s="439">
        <f t="shared" si="588"/>
        <v>0</v>
      </c>
      <c r="JE126" s="439">
        <f t="shared" si="589"/>
        <v>0</v>
      </c>
      <c r="JF126" s="439">
        <f t="shared" si="590"/>
        <v>0</v>
      </c>
      <c r="JG126" s="439">
        <f t="shared" si="591"/>
        <v>0</v>
      </c>
      <c r="JH126" s="439">
        <f t="shared" si="592"/>
        <v>0</v>
      </c>
      <c r="JI126" s="439">
        <f t="shared" si="593"/>
        <v>0</v>
      </c>
      <c r="JJ126" s="442">
        <f t="shared" si="594"/>
        <v>0</v>
      </c>
      <c r="JK126" s="442">
        <f t="shared" si="595"/>
        <v>0</v>
      </c>
      <c r="JL126" s="439">
        <f t="shared" si="596"/>
        <v>0</v>
      </c>
      <c r="JM126" s="439">
        <f t="shared" si="597"/>
        <v>0</v>
      </c>
      <c r="JN126" s="661">
        <f t="shared" si="598"/>
        <v>0</v>
      </c>
      <c r="JO126" s="661">
        <f t="shared" si="599"/>
        <v>0</v>
      </c>
      <c r="JP126" s="439">
        <f t="shared" si="600"/>
        <v>0</v>
      </c>
      <c r="JQ126" s="439">
        <f t="shared" si="601"/>
        <v>0</v>
      </c>
      <c r="JR126" s="439">
        <f t="shared" si="602"/>
        <v>0</v>
      </c>
      <c r="JS126" s="439">
        <f t="shared" si="603"/>
        <v>0</v>
      </c>
      <c r="JT126" s="631" t="s">
        <v>92</v>
      </c>
      <c r="JU126" s="631">
        <f t="shared" si="459"/>
        <v>0.18265363215090794</v>
      </c>
      <c r="JV126" s="652"/>
    </row>
    <row r="127" spans="1:298" s="579" customFormat="1">
      <c r="A127" s="334"/>
      <c r="U127" s="580"/>
      <c r="V127" s="580"/>
      <c r="AC127" s="580"/>
      <c r="AD127" s="580"/>
      <c r="AL127" s="580"/>
      <c r="AM127" s="580"/>
      <c r="AT127" s="580"/>
      <c r="AU127" s="580"/>
      <c r="AV127" s="581">
        <f>K88*$K$82</f>
        <v>0</v>
      </c>
      <c r="AW127" s="581">
        <f>IF($AY$32,'Data Sheet'!AA148,0)</f>
        <v>0</v>
      </c>
      <c r="AX127" s="581">
        <f t="shared" si="625"/>
        <v>40.704999999999998</v>
      </c>
      <c r="CH127" s="334"/>
      <c r="CI127" s="334"/>
      <c r="CO127" s="694" t="str">
        <f>BB55</f>
        <v>S350X-1S</v>
      </c>
      <c r="CP127" s="639"/>
      <c r="CQ127" s="660" t="s">
        <v>312</v>
      </c>
      <c r="CR127" s="660">
        <f>HLOOKUP(CQ127,Spec_Sheet!$F$3:$ED$19,2,FALSE)</f>
        <v>80</v>
      </c>
      <c r="CS127" s="660"/>
      <c r="CT127" s="621">
        <f t="shared" si="628"/>
        <v>2.5559006468224114E-3</v>
      </c>
      <c r="CU127" s="621">
        <f t="shared" si="629"/>
        <v>5.6277687499232294E-3</v>
      </c>
      <c r="CV127" s="621">
        <f t="shared" si="630"/>
        <v>4.2554017012652022E-5</v>
      </c>
      <c r="CW127" s="621">
        <f t="shared" si="631"/>
        <v>1.0638504253163006E-5</v>
      </c>
      <c r="CX127" s="621">
        <f t="shared" si="632"/>
        <v>1.0638504253163006E-5</v>
      </c>
      <c r="CY127" s="619">
        <f>HLOOKUP(CQ127,Spec_Sheet!$F$3:$ED$19,13,FALSE)</f>
        <v>2.7</v>
      </c>
      <c r="CZ127" s="619">
        <f>VLOOKUP(AC$46,'Shaft Weight'!$A$6:$CD$102,HLOOKUP(CQ127,'Shaft Weight'!$B$2:$CD$5,4),TRUE)</f>
        <v>0</v>
      </c>
      <c r="DA127" s="619"/>
      <c r="DB127" s="619">
        <f>HLOOKUP(CQ127,Spec_Sheet!$F$3:$ED$19,6,FALSE)</f>
        <v>66</v>
      </c>
      <c r="DC127" s="439">
        <f t="shared" si="633"/>
        <v>3.9710999999999999</v>
      </c>
      <c r="DD127" s="440">
        <f t="shared" si="634"/>
        <v>3.0411000000000001</v>
      </c>
      <c r="DE127" s="439">
        <f t="shared" si="635"/>
        <v>-2.1111000000000004</v>
      </c>
      <c r="DF127" s="439">
        <f t="shared" si="636"/>
        <v>0</v>
      </c>
      <c r="DG127" s="439">
        <f t="shared" si="637"/>
        <v>0</v>
      </c>
      <c r="DH127" s="439">
        <f t="shared" si="638"/>
        <v>0</v>
      </c>
      <c r="DI127" s="439">
        <f t="shared" si="639"/>
        <v>0</v>
      </c>
      <c r="DJ127" s="439">
        <f t="shared" si="640"/>
        <v>0</v>
      </c>
      <c r="DK127" s="439">
        <f t="shared" si="641"/>
        <v>0</v>
      </c>
      <c r="DL127" s="439">
        <f t="shared" si="642"/>
        <v>0</v>
      </c>
      <c r="DM127" s="439">
        <f t="shared" si="643"/>
        <v>0</v>
      </c>
      <c r="DN127" s="439">
        <f t="shared" si="644"/>
        <v>0</v>
      </c>
      <c r="DO127" s="439">
        <f t="shared" si="645"/>
        <v>0</v>
      </c>
      <c r="DP127" s="439">
        <f t="shared" si="646"/>
        <v>0</v>
      </c>
      <c r="DQ127" s="442">
        <f t="shared" si="647"/>
        <v>0</v>
      </c>
      <c r="DR127" s="442">
        <f t="shared" si="648"/>
        <v>0</v>
      </c>
      <c r="DS127" s="439">
        <f t="shared" si="649"/>
        <v>0</v>
      </c>
      <c r="DT127" s="439">
        <f t="shared" si="650"/>
        <v>0</v>
      </c>
      <c r="DU127" s="661">
        <f t="shared" si="651"/>
        <v>0</v>
      </c>
      <c r="DV127" s="661">
        <f t="shared" si="652"/>
        <v>0</v>
      </c>
      <c r="DW127" s="439">
        <f t="shared" si="653"/>
        <v>0</v>
      </c>
      <c r="DX127" s="439">
        <f t="shared" si="654"/>
        <v>0</v>
      </c>
      <c r="DY127" s="439">
        <f t="shared" si="655"/>
        <v>0</v>
      </c>
      <c r="DZ127" s="439">
        <f t="shared" si="656"/>
        <v>0</v>
      </c>
      <c r="EA127" s="631" t="s">
        <v>92</v>
      </c>
      <c r="EB127" s="631">
        <f t="shared" si="657"/>
        <v>0.4044473283341532</v>
      </c>
      <c r="EC127" s="618"/>
      <c r="ED127" s="439">
        <f t="shared" si="658"/>
        <v>0.51240000000000008</v>
      </c>
      <c r="EE127" s="440">
        <f t="shared" si="659"/>
        <v>0.39240000000000008</v>
      </c>
      <c r="EF127" s="439">
        <f t="shared" si="660"/>
        <v>-0.27240000000000009</v>
      </c>
      <c r="EG127" s="441">
        <f t="shared" si="661"/>
        <v>0</v>
      </c>
      <c r="EH127" s="439">
        <f t="shared" si="662"/>
        <v>0</v>
      </c>
      <c r="EI127" s="439">
        <f t="shared" si="663"/>
        <v>0</v>
      </c>
      <c r="EJ127" s="439">
        <f t="shared" si="664"/>
        <v>0</v>
      </c>
      <c r="EK127" s="439">
        <f t="shared" si="665"/>
        <v>0</v>
      </c>
      <c r="EL127" s="439">
        <f t="shared" si="666"/>
        <v>0</v>
      </c>
      <c r="EM127" s="439">
        <f t="shared" si="667"/>
        <v>0</v>
      </c>
      <c r="EN127" s="439">
        <f t="shared" si="668"/>
        <v>0</v>
      </c>
      <c r="EO127" s="439">
        <f t="shared" si="669"/>
        <v>0</v>
      </c>
      <c r="EP127" s="439">
        <f t="shared" si="670"/>
        <v>0</v>
      </c>
      <c r="EQ127" s="439">
        <f t="shared" si="671"/>
        <v>0</v>
      </c>
      <c r="ER127" s="442">
        <f t="shared" si="672"/>
        <v>0</v>
      </c>
      <c r="ES127" s="442">
        <f t="shared" si="673"/>
        <v>0</v>
      </c>
      <c r="ET127" s="439">
        <f t="shared" si="674"/>
        <v>0</v>
      </c>
      <c r="EU127" s="439">
        <f t="shared" si="675"/>
        <v>0</v>
      </c>
      <c r="EV127" s="661">
        <f t="shared" si="676"/>
        <v>0</v>
      </c>
      <c r="EW127" s="661">
        <f t="shared" si="677"/>
        <v>0</v>
      </c>
      <c r="EX127" s="439">
        <f t="shared" si="678"/>
        <v>0</v>
      </c>
      <c r="EY127" s="439">
        <f t="shared" si="679"/>
        <v>0</v>
      </c>
      <c r="EZ127" s="439">
        <f t="shared" si="680"/>
        <v>0</v>
      </c>
      <c r="FA127" s="439">
        <f t="shared" si="681"/>
        <v>0</v>
      </c>
      <c r="FB127" s="631" t="s">
        <v>92</v>
      </c>
      <c r="FC127" s="631">
        <f t="shared" si="682"/>
        <v>5.2186752043116555E-2</v>
      </c>
      <c r="FD127" s="618"/>
      <c r="FE127" s="439">
        <f t="shared" si="683"/>
        <v>0.51240000000000008</v>
      </c>
      <c r="FF127" s="440">
        <f t="shared" si="684"/>
        <v>0.39240000000000008</v>
      </c>
      <c r="FG127" s="439">
        <f t="shared" si="685"/>
        <v>-0.27240000000000009</v>
      </c>
      <c r="FH127" s="441">
        <f t="shared" si="686"/>
        <v>0</v>
      </c>
      <c r="FI127" s="439">
        <f t="shared" si="687"/>
        <v>0</v>
      </c>
      <c r="FJ127" s="439">
        <f t="shared" si="688"/>
        <v>0</v>
      </c>
      <c r="FK127" s="439">
        <f t="shared" si="689"/>
        <v>0</v>
      </c>
      <c r="FL127" s="439">
        <f t="shared" si="690"/>
        <v>0</v>
      </c>
      <c r="FM127" s="439">
        <f t="shared" si="691"/>
        <v>0</v>
      </c>
      <c r="FN127" s="439">
        <f t="shared" si="692"/>
        <v>0</v>
      </c>
      <c r="FO127" s="439">
        <f t="shared" si="693"/>
        <v>0</v>
      </c>
      <c r="FP127" s="439">
        <f t="shared" si="694"/>
        <v>0</v>
      </c>
      <c r="FQ127" s="439">
        <f t="shared" si="695"/>
        <v>0</v>
      </c>
      <c r="FR127" s="439">
        <f t="shared" si="696"/>
        <v>0</v>
      </c>
      <c r="FS127" s="442">
        <f t="shared" si="697"/>
        <v>0</v>
      </c>
      <c r="FT127" s="442">
        <f t="shared" si="698"/>
        <v>0</v>
      </c>
      <c r="FU127" s="439">
        <f t="shared" si="699"/>
        <v>0</v>
      </c>
      <c r="FV127" s="439">
        <f t="shared" si="700"/>
        <v>0</v>
      </c>
      <c r="FW127" s="661">
        <f t="shared" si="701"/>
        <v>0</v>
      </c>
      <c r="FX127" s="661">
        <f t="shared" si="702"/>
        <v>0</v>
      </c>
      <c r="FY127" s="439">
        <f t="shared" si="703"/>
        <v>0</v>
      </c>
      <c r="FZ127" s="439">
        <f t="shared" si="704"/>
        <v>0</v>
      </c>
      <c r="GA127" s="439">
        <f t="shared" si="705"/>
        <v>0</v>
      </c>
      <c r="GB127" s="439">
        <f t="shared" si="706"/>
        <v>0</v>
      </c>
      <c r="GC127" s="631" t="s">
        <v>92</v>
      </c>
      <c r="GD127" s="631">
        <f t="shared" si="707"/>
        <v>5.2186752043116555E-2</v>
      </c>
      <c r="GE127" s="618"/>
      <c r="GF127" s="439">
        <f t="shared" si="708"/>
        <v>0.51240000000000008</v>
      </c>
      <c r="GG127" s="440">
        <f t="shared" si="709"/>
        <v>0.39240000000000008</v>
      </c>
      <c r="GH127" s="439">
        <f t="shared" si="710"/>
        <v>-0.27240000000000009</v>
      </c>
      <c r="GI127" s="439">
        <f t="shared" si="711"/>
        <v>0</v>
      </c>
      <c r="GJ127" s="439">
        <f t="shared" si="712"/>
        <v>0</v>
      </c>
      <c r="GK127" s="439">
        <f t="shared" si="713"/>
        <v>0</v>
      </c>
      <c r="GL127" s="439">
        <f t="shared" si="714"/>
        <v>0</v>
      </c>
      <c r="GM127" s="439">
        <f t="shared" si="715"/>
        <v>0</v>
      </c>
      <c r="GN127" s="439">
        <f t="shared" si="716"/>
        <v>0</v>
      </c>
      <c r="GO127" s="439">
        <f t="shared" si="717"/>
        <v>0</v>
      </c>
      <c r="GP127" s="439">
        <f t="shared" si="718"/>
        <v>0</v>
      </c>
      <c r="GQ127" s="439">
        <f t="shared" si="719"/>
        <v>0</v>
      </c>
      <c r="GR127" s="439">
        <f t="shared" si="720"/>
        <v>0</v>
      </c>
      <c r="GS127" s="439">
        <f t="shared" si="721"/>
        <v>0</v>
      </c>
      <c r="GT127" s="442">
        <f t="shared" si="722"/>
        <v>0</v>
      </c>
      <c r="GU127" s="442">
        <f t="shared" si="723"/>
        <v>0</v>
      </c>
      <c r="GV127" s="439">
        <f t="shared" si="724"/>
        <v>0</v>
      </c>
      <c r="GW127" s="439">
        <f t="shared" si="725"/>
        <v>0</v>
      </c>
      <c r="GX127" s="661">
        <f t="shared" si="726"/>
        <v>0</v>
      </c>
      <c r="GY127" s="661">
        <f t="shared" si="727"/>
        <v>0</v>
      </c>
      <c r="GZ127" s="439">
        <f t="shared" si="728"/>
        <v>0</v>
      </c>
      <c r="HA127" s="439">
        <f t="shared" si="729"/>
        <v>0</v>
      </c>
      <c r="HB127" s="439">
        <f t="shared" si="730"/>
        <v>0</v>
      </c>
      <c r="HC127" s="439">
        <f t="shared" si="731"/>
        <v>0</v>
      </c>
      <c r="HD127" s="631" t="s">
        <v>92</v>
      </c>
      <c r="HE127" s="631">
        <f t="shared" si="732"/>
        <v>5.2186752043116555E-2</v>
      </c>
      <c r="HF127" s="639"/>
      <c r="HG127" s="639"/>
      <c r="HH127" s="639"/>
      <c r="HI127" s="639"/>
      <c r="HJ127" s="639"/>
      <c r="HK127" s="639"/>
      <c r="HL127" s="639"/>
      <c r="HM127" s="639"/>
      <c r="HN127" s="639"/>
      <c r="HO127" s="639"/>
      <c r="HP127" s="639"/>
      <c r="HQ127" s="639"/>
      <c r="HR127" s="639">
        <v>6.2E-2</v>
      </c>
      <c r="HS127" s="639">
        <f t="shared" si="457"/>
        <v>416.28571428571428</v>
      </c>
      <c r="HT127" s="639">
        <f t="shared" si="458"/>
        <v>1</v>
      </c>
      <c r="HU127" s="618">
        <f t="shared" si="466"/>
        <v>1.5791816765212336</v>
      </c>
      <c r="HV127" s="618"/>
      <c r="HW127" s="618">
        <f t="shared" si="413"/>
        <v>33.757562019339851</v>
      </c>
      <c r="HX127" s="618">
        <f t="shared" si="467"/>
        <v>1.5296014619557805</v>
      </c>
      <c r="HY127" s="618">
        <f t="shared" si="468"/>
        <v>6.2E-2</v>
      </c>
      <c r="HZ127" s="618"/>
      <c r="IA127" s="618"/>
      <c r="IB127" s="618">
        <f t="shared" si="414"/>
        <v>25.000350341399081</v>
      </c>
      <c r="IC127" s="618">
        <f t="shared" si="415"/>
        <v>1E-3</v>
      </c>
      <c r="ID127" s="618"/>
      <c r="IE127" s="618">
        <f t="shared" si="416"/>
        <v>0</v>
      </c>
      <c r="IF127" s="618">
        <f t="shared" si="417"/>
        <v>40.704999999999998</v>
      </c>
      <c r="IG127" s="618"/>
      <c r="IH127" s="618">
        <f t="shared" si="418"/>
        <v>0</v>
      </c>
      <c r="II127" s="618">
        <f t="shared" si="419"/>
        <v>40.704999999999998</v>
      </c>
      <c r="IJ127" s="618"/>
      <c r="IK127" s="618">
        <f t="shared" si="420"/>
        <v>0</v>
      </c>
      <c r="IL127" s="618">
        <f t="shared" si="421"/>
        <v>40.704999999999998</v>
      </c>
      <c r="IM127" s="618"/>
      <c r="IN127" s="618">
        <f t="shared" si="422"/>
        <v>0</v>
      </c>
      <c r="IO127" s="618">
        <f t="shared" si="423"/>
        <v>40.704999999999998</v>
      </c>
      <c r="IP127" s="618"/>
      <c r="IQ127" s="618">
        <f t="shared" si="424"/>
        <v>0</v>
      </c>
      <c r="IR127" s="618">
        <f t="shared" si="425"/>
        <v>40.704999999999998</v>
      </c>
      <c r="IS127" s="639"/>
      <c r="IT127" s="660" t="str">
        <f t="shared" si="733"/>
        <v>SLP25</v>
      </c>
      <c r="IU127" s="628"/>
      <c r="IV127" s="439">
        <f t="shared" si="580"/>
        <v>7.429800000000002</v>
      </c>
      <c r="IW127" s="440">
        <f t="shared" si="581"/>
        <v>5.6898000000000017</v>
      </c>
      <c r="IX127" s="439">
        <f t="shared" si="582"/>
        <v>-3.9498000000000015</v>
      </c>
      <c r="IY127" s="439">
        <f t="shared" si="583"/>
        <v>0</v>
      </c>
      <c r="IZ127" s="439">
        <f t="shared" si="584"/>
        <v>0</v>
      </c>
      <c r="JA127" s="439">
        <f t="shared" si="585"/>
        <v>0</v>
      </c>
      <c r="JB127" s="439">
        <f t="shared" si="586"/>
        <v>0</v>
      </c>
      <c r="JC127" s="439">
        <f t="shared" si="587"/>
        <v>0</v>
      </c>
      <c r="JD127" s="439">
        <f t="shared" si="588"/>
        <v>0</v>
      </c>
      <c r="JE127" s="439">
        <f t="shared" si="589"/>
        <v>0</v>
      </c>
      <c r="JF127" s="439">
        <f t="shared" si="590"/>
        <v>0</v>
      </c>
      <c r="JG127" s="439">
        <f t="shared" si="591"/>
        <v>0</v>
      </c>
      <c r="JH127" s="439">
        <f t="shared" si="592"/>
        <v>0</v>
      </c>
      <c r="JI127" s="439">
        <f t="shared" si="593"/>
        <v>0</v>
      </c>
      <c r="JJ127" s="442">
        <f t="shared" si="594"/>
        <v>0</v>
      </c>
      <c r="JK127" s="442">
        <f t="shared" si="595"/>
        <v>0</v>
      </c>
      <c r="JL127" s="439">
        <f t="shared" si="596"/>
        <v>0</v>
      </c>
      <c r="JM127" s="439">
        <f t="shared" si="597"/>
        <v>0</v>
      </c>
      <c r="JN127" s="661">
        <f t="shared" si="598"/>
        <v>0</v>
      </c>
      <c r="JO127" s="661">
        <f t="shared" si="599"/>
        <v>0</v>
      </c>
      <c r="JP127" s="439">
        <f t="shared" si="600"/>
        <v>0</v>
      </c>
      <c r="JQ127" s="439">
        <f t="shared" si="601"/>
        <v>0</v>
      </c>
      <c r="JR127" s="439">
        <f t="shared" si="602"/>
        <v>0</v>
      </c>
      <c r="JS127" s="439">
        <f t="shared" si="603"/>
        <v>0</v>
      </c>
      <c r="JT127" s="631" t="s">
        <v>92</v>
      </c>
      <c r="JU127" s="631">
        <f t="shared" si="459"/>
        <v>0.75670790462519011</v>
      </c>
      <c r="JV127" s="652"/>
    </row>
    <row r="128" spans="1:298" s="579" customFormat="1">
      <c r="A128" s="334"/>
      <c r="U128" s="580"/>
      <c r="V128" s="580"/>
      <c r="AC128" s="580"/>
      <c r="AD128" s="580"/>
      <c r="AL128" s="580"/>
      <c r="AM128" s="580"/>
      <c r="AT128" s="580"/>
      <c r="AU128" s="580"/>
      <c r="AV128" s="581">
        <f>K87*$K$82</f>
        <v>0</v>
      </c>
      <c r="AW128" s="581">
        <f>IF($AY$32,'Data Sheet'!AA149,0)</f>
        <v>0</v>
      </c>
      <c r="AX128" s="581">
        <f t="shared" si="625"/>
        <v>40.704999999999998</v>
      </c>
      <c r="CH128" s="334"/>
      <c r="CI128" s="334"/>
      <c r="CO128" s="694" t="s">
        <v>318</v>
      </c>
      <c r="CP128" s="639"/>
      <c r="CQ128" s="660" t="s">
        <v>313</v>
      </c>
      <c r="CR128" s="660">
        <f>HLOOKUP(CQ128,Spec_Sheet!$F$3:$ED$19,2,FALSE)</f>
        <v>185</v>
      </c>
      <c r="CS128" s="660"/>
      <c r="CT128" s="621">
        <f t="shared" si="628"/>
        <v>1.1458811418220633E-3</v>
      </c>
      <c r="CU128" s="621">
        <f t="shared" si="629"/>
        <v>4.9348982767922816E-6</v>
      </c>
      <c r="CV128" s="621">
        <f t="shared" si="630"/>
        <v>7.9575079293198827E-6</v>
      </c>
      <c r="CW128" s="621">
        <f t="shared" si="631"/>
        <v>1.9893769823299707E-6</v>
      </c>
      <c r="CX128" s="621">
        <f t="shared" si="632"/>
        <v>1.9893769823299707E-6</v>
      </c>
      <c r="CY128" s="619">
        <f>HLOOKUP(CQ128,Spec_Sheet!$F$3:$ED$19,13,FALSE)</f>
        <v>4.4000000000000004</v>
      </c>
      <c r="CZ128" s="619">
        <f>VLOOKUP(AC$46,'Shaft Weight'!$A$6:$CD$102,HLOOKUP(CQ128,'Shaft Weight'!$B$2:$CD$5,4),TRUE)</f>
        <v>0</v>
      </c>
      <c r="DA128" s="619"/>
      <c r="DB128" s="619">
        <f>HLOOKUP(CQ128,Spec_Sheet!$F$3:$ED$19,6,FALSE)</f>
        <v>68</v>
      </c>
      <c r="DC128" s="439">
        <f t="shared" si="633"/>
        <v>6.1488000000000014</v>
      </c>
      <c r="DD128" s="440">
        <f t="shared" si="634"/>
        <v>4.708800000000001</v>
      </c>
      <c r="DE128" s="439">
        <f t="shared" si="635"/>
        <v>-3.2688000000000006</v>
      </c>
      <c r="DF128" s="439">
        <f t="shared" si="636"/>
        <v>0</v>
      </c>
      <c r="DG128" s="439">
        <f t="shared" si="637"/>
        <v>0</v>
      </c>
      <c r="DH128" s="439">
        <f t="shared" si="638"/>
        <v>0</v>
      </c>
      <c r="DI128" s="439">
        <f t="shared" si="639"/>
        <v>0</v>
      </c>
      <c r="DJ128" s="439">
        <f t="shared" si="640"/>
        <v>0</v>
      </c>
      <c r="DK128" s="439">
        <f t="shared" si="641"/>
        <v>0</v>
      </c>
      <c r="DL128" s="439">
        <f t="shared" si="642"/>
        <v>0</v>
      </c>
      <c r="DM128" s="439">
        <f t="shared" si="643"/>
        <v>0</v>
      </c>
      <c r="DN128" s="439">
        <f t="shared" si="644"/>
        <v>0</v>
      </c>
      <c r="DO128" s="439">
        <f t="shared" si="645"/>
        <v>0</v>
      </c>
      <c r="DP128" s="439">
        <f t="shared" si="646"/>
        <v>0</v>
      </c>
      <c r="DQ128" s="442">
        <f t="shared" si="647"/>
        <v>0</v>
      </c>
      <c r="DR128" s="442">
        <f t="shared" si="648"/>
        <v>0</v>
      </c>
      <c r="DS128" s="439">
        <f t="shared" si="649"/>
        <v>0</v>
      </c>
      <c r="DT128" s="439">
        <f t="shared" si="650"/>
        <v>0</v>
      </c>
      <c r="DU128" s="661">
        <f t="shared" si="651"/>
        <v>0</v>
      </c>
      <c r="DV128" s="661">
        <f t="shared" si="652"/>
        <v>0</v>
      </c>
      <c r="DW128" s="439">
        <f t="shared" si="653"/>
        <v>0</v>
      </c>
      <c r="DX128" s="439">
        <f t="shared" si="654"/>
        <v>0</v>
      </c>
      <c r="DY128" s="439">
        <f t="shared" si="655"/>
        <v>0</v>
      </c>
      <c r="DZ128" s="439">
        <f t="shared" si="656"/>
        <v>0</v>
      </c>
      <c r="EA128" s="631" t="s">
        <v>92</v>
      </c>
      <c r="EB128" s="631">
        <f t="shared" si="657"/>
        <v>0.62624102451739871</v>
      </c>
      <c r="EC128" s="618"/>
      <c r="ED128" s="439">
        <f t="shared" si="658"/>
        <v>0.51240000000000008</v>
      </c>
      <c r="EE128" s="440">
        <f t="shared" si="659"/>
        <v>0.39240000000000008</v>
      </c>
      <c r="EF128" s="439">
        <f t="shared" si="660"/>
        <v>-0.27240000000000009</v>
      </c>
      <c r="EG128" s="441">
        <f t="shared" si="661"/>
        <v>0</v>
      </c>
      <c r="EH128" s="439">
        <f t="shared" si="662"/>
        <v>0</v>
      </c>
      <c r="EI128" s="439">
        <f t="shared" si="663"/>
        <v>0</v>
      </c>
      <c r="EJ128" s="439">
        <f t="shared" si="664"/>
        <v>0</v>
      </c>
      <c r="EK128" s="439">
        <f t="shared" si="665"/>
        <v>0</v>
      </c>
      <c r="EL128" s="439">
        <f t="shared" si="666"/>
        <v>0</v>
      </c>
      <c r="EM128" s="439">
        <f t="shared" si="667"/>
        <v>0</v>
      </c>
      <c r="EN128" s="439">
        <f t="shared" si="668"/>
        <v>0</v>
      </c>
      <c r="EO128" s="439">
        <f t="shared" si="669"/>
        <v>0</v>
      </c>
      <c r="EP128" s="439">
        <f t="shared" si="670"/>
        <v>0</v>
      </c>
      <c r="EQ128" s="439">
        <f t="shared" si="671"/>
        <v>0</v>
      </c>
      <c r="ER128" s="442">
        <f t="shared" si="672"/>
        <v>0</v>
      </c>
      <c r="ES128" s="442">
        <f t="shared" si="673"/>
        <v>0</v>
      </c>
      <c r="ET128" s="439">
        <f t="shared" si="674"/>
        <v>0</v>
      </c>
      <c r="EU128" s="439">
        <f t="shared" si="675"/>
        <v>0</v>
      </c>
      <c r="EV128" s="661">
        <f t="shared" si="676"/>
        <v>0</v>
      </c>
      <c r="EW128" s="661">
        <f t="shared" si="677"/>
        <v>0</v>
      </c>
      <c r="EX128" s="439">
        <f t="shared" si="678"/>
        <v>0</v>
      </c>
      <c r="EY128" s="439">
        <f t="shared" si="679"/>
        <v>0</v>
      </c>
      <c r="EZ128" s="439">
        <f t="shared" si="680"/>
        <v>0</v>
      </c>
      <c r="FA128" s="439">
        <f t="shared" si="681"/>
        <v>0</v>
      </c>
      <c r="FB128" s="631" t="s">
        <v>92</v>
      </c>
      <c r="FC128" s="631">
        <f t="shared" si="682"/>
        <v>5.2186752043116555E-2</v>
      </c>
      <c r="FD128" s="618"/>
      <c r="FE128" s="439">
        <f t="shared" si="683"/>
        <v>0.51240000000000008</v>
      </c>
      <c r="FF128" s="440">
        <f t="shared" si="684"/>
        <v>0.39240000000000008</v>
      </c>
      <c r="FG128" s="439">
        <f t="shared" si="685"/>
        <v>-0.27240000000000009</v>
      </c>
      <c r="FH128" s="441">
        <f t="shared" si="686"/>
        <v>0</v>
      </c>
      <c r="FI128" s="439">
        <f t="shared" si="687"/>
        <v>0</v>
      </c>
      <c r="FJ128" s="439">
        <f t="shared" si="688"/>
        <v>0</v>
      </c>
      <c r="FK128" s="439">
        <f t="shared" si="689"/>
        <v>0</v>
      </c>
      <c r="FL128" s="439">
        <f t="shared" si="690"/>
        <v>0</v>
      </c>
      <c r="FM128" s="439">
        <f t="shared" si="691"/>
        <v>0</v>
      </c>
      <c r="FN128" s="439">
        <f t="shared" si="692"/>
        <v>0</v>
      </c>
      <c r="FO128" s="439">
        <f t="shared" si="693"/>
        <v>0</v>
      </c>
      <c r="FP128" s="439">
        <f t="shared" si="694"/>
        <v>0</v>
      </c>
      <c r="FQ128" s="439">
        <f t="shared" si="695"/>
        <v>0</v>
      </c>
      <c r="FR128" s="439">
        <f t="shared" si="696"/>
        <v>0</v>
      </c>
      <c r="FS128" s="442">
        <f t="shared" si="697"/>
        <v>0</v>
      </c>
      <c r="FT128" s="442">
        <f t="shared" si="698"/>
        <v>0</v>
      </c>
      <c r="FU128" s="439">
        <f t="shared" si="699"/>
        <v>0</v>
      </c>
      <c r="FV128" s="439">
        <f t="shared" si="700"/>
        <v>0</v>
      </c>
      <c r="FW128" s="661">
        <f t="shared" si="701"/>
        <v>0</v>
      </c>
      <c r="FX128" s="661">
        <f t="shared" si="702"/>
        <v>0</v>
      </c>
      <c r="FY128" s="439">
        <f t="shared" si="703"/>
        <v>0</v>
      </c>
      <c r="FZ128" s="439">
        <f t="shared" si="704"/>
        <v>0</v>
      </c>
      <c r="GA128" s="439">
        <f t="shared" si="705"/>
        <v>0</v>
      </c>
      <c r="GB128" s="439">
        <f t="shared" si="706"/>
        <v>0</v>
      </c>
      <c r="GC128" s="631" t="s">
        <v>92</v>
      </c>
      <c r="GD128" s="631">
        <f t="shared" si="707"/>
        <v>5.2186752043116555E-2</v>
      </c>
      <c r="GE128" s="618"/>
      <c r="GF128" s="439">
        <f t="shared" si="708"/>
        <v>0.51240000000000008</v>
      </c>
      <c r="GG128" s="440">
        <f t="shared" si="709"/>
        <v>0.39240000000000008</v>
      </c>
      <c r="GH128" s="439">
        <f t="shared" si="710"/>
        <v>-0.27240000000000009</v>
      </c>
      <c r="GI128" s="439">
        <f t="shared" si="711"/>
        <v>0</v>
      </c>
      <c r="GJ128" s="439">
        <f t="shared" si="712"/>
        <v>0</v>
      </c>
      <c r="GK128" s="439">
        <f t="shared" si="713"/>
        <v>0</v>
      </c>
      <c r="GL128" s="439">
        <f t="shared" si="714"/>
        <v>0</v>
      </c>
      <c r="GM128" s="439">
        <f t="shared" si="715"/>
        <v>0</v>
      </c>
      <c r="GN128" s="439">
        <f t="shared" si="716"/>
        <v>0</v>
      </c>
      <c r="GO128" s="439">
        <f t="shared" si="717"/>
        <v>0</v>
      </c>
      <c r="GP128" s="439">
        <f t="shared" si="718"/>
        <v>0</v>
      </c>
      <c r="GQ128" s="439">
        <f t="shared" si="719"/>
        <v>0</v>
      </c>
      <c r="GR128" s="439">
        <f t="shared" si="720"/>
        <v>0</v>
      </c>
      <c r="GS128" s="439">
        <f t="shared" si="721"/>
        <v>0</v>
      </c>
      <c r="GT128" s="442">
        <f t="shared" si="722"/>
        <v>0</v>
      </c>
      <c r="GU128" s="442">
        <f t="shared" si="723"/>
        <v>0</v>
      </c>
      <c r="GV128" s="439">
        <f t="shared" si="724"/>
        <v>0</v>
      </c>
      <c r="GW128" s="439">
        <f t="shared" si="725"/>
        <v>0</v>
      </c>
      <c r="GX128" s="661">
        <f t="shared" si="726"/>
        <v>0</v>
      </c>
      <c r="GY128" s="661">
        <f t="shared" si="727"/>
        <v>0</v>
      </c>
      <c r="GZ128" s="439">
        <f t="shared" si="728"/>
        <v>0</v>
      </c>
      <c r="HA128" s="439">
        <f t="shared" si="729"/>
        <v>0</v>
      </c>
      <c r="HB128" s="439">
        <f t="shared" si="730"/>
        <v>0</v>
      </c>
      <c r="HC128" s="439">
        <f t="shared" si="731"/>
        <v>0</v>
      </c>
      <c r="HD128" s="631" t="s">
        <v>92</v>
      </c>
      <c r="HE128" s="631">
        <f t="shared" si="732"/>
        <v>5.2186752043116555E-2</v>
      </c>
      <c r="HF128" s="639"/>
      <c r="HG128" s="639"/>
      <c r="HH128" s="639"/>
      <c r="HI128" s="639"/>
      <c r="HJ128" s="639"/>
      <c r="HK128" s="639"/>
      <c r="HL128" s="639"/>
      <c r="HM128" s="639"/>
      <c r="HN128" s="639"/>
      <c r="HO128" s="639"/>
      <c r="HP128" s="639"/>
      <c r="HQ128" s="639"/>
      <c r="HR128" s="639">
        <v>6.25E-2</v>
      </c>
      <c r="HS128" s="639">
        <f t="shared" si="457"/>
        <v>419.64285714285717</v>
      </c>
      <c r="HT128" s="639">
        <f t="shared" si="458"/>
        <v>1</v>
      </c>
      <c r="HU128" s="618">
        <f t="shared" si="466"/>
        <v>1.5919207204948584</v>
      </c>
      <c r="HV128" s="618"/>
      <c r="HW128" s="618">
        <f t="shared" si="413"/>
        <v>33.739472576897299</v>
      </c>
      <c r="HX128" s="618">
        <f t="shared" si="467"/>
        <v>1.5415405904225583</v>
      </c>
      <c r="HY128" s="618">
        <f t="shared" si="468"/>
        <v>6.25E-2</v>
      </c>
      <c r="HZ128" s="618"/>
      <c r="IA128" s="618"/>
      <c r="IB128" s="618">
        <f t="shared" si="414"/>
        <v>25.000350341399081</v>
      </c>
      <c r="IC128" s="618">
        <f t="shared" si="415"/>
        <v>1E-3</v>
      </c>
      <c r="ID128" s="618"/>
      <c r="IE128" s="618">
        <f t="shared" si="416"/>
        <v>0</v>
      </c>
      <c r="IF128" s="618">
        <f t="shared" si="417"/>
        <v>40.704999999999998</v>
      </c>
      <c r="IG128" s="618"/>
      <c r="IH128" s="618">
        <f t="shared" si="418"/>
        <v>0</v>
      </c>
      <c r="II128" s="618">
        <f t="shared" si="419"/>
        <v>40.704999999999998</v>
      </c>
      <c r="IJ128" s="618"/>
      <c r="IK128" s="618">
        <f t="shared" si="420"/>
        <v>0</v>
      </c>
      <c r="IL128" s="618">
        <f t="shared" si="421"/>
        <v>40.704999999999998</v>
      </c>
      <c r="IM128" s="618"/>
      <c r="IN128" s="618">
        <f t="shared" si="422"/>
        <v>0</v>
      </c>
      <c r="IO128" s="618">
        <f t="shared" si="423"/>
        <v>40.704999999999998</v>
      </c>
      <c r="IP128" s="618"/>
      <c r="IQ128" s="618">
        <f t="shared" si="424"/>
        <v>0</v>
      </c>
      <c r="IR128" s="618">
        <f t="shared" si="425"/>
        <v>40.704999999999998</v>
      </c>
      <c r="IS128" s="639"/>
      <c r="IT128" s="660" t="str">
        <f t="shared" si="733"/>
        <v>SLP35</v>
      </c>
      <c r="IU128" s="628"/>
      <c r="IV128" s="439">
        <f t="shared" si="580"/>
        <v>11.785200000000001</v>
      </c>
      <c r="IW128" s="440">
        <f t="shared" si="581"/>
        <v>9.0252000000000017</v>
      </c>
      <c r="IX128" s="439">
        <f t="shared" si="582"/>
        <v>-6.2652000000000019</v>
      </c>
      <c r="IY128" s="439">
        <f t="shared" si="583"/>
        <v>0</v>
      </c>
      <c r="IZ128" s="439">
        <f t="shared" si="584"/>
        <v>0</v>
      </c>
      <c r="JA128" s="439">
        <f t="shared" si="585"/>
        <v>0</v>
      </c>
      <c r="JB128" s="439">
        <f t="shared" si="586"/>
        <v>0</v>
      </c>
      <c r="JC128" s="439">
        <f t="shared" si="587"/>
        <v>0</v>
      </c>
      <c r="JD128" s="439">
        <f t="shared" si="588"/>
        <v>0</v>
      </c>
      <c r="JE128" s="439">
        <f t="shared" si="589"/>
        <v>0</v>
      </c>
      <c r="JF128" s="439">
        <f t="shared" si="590"/>
        <v>0</v>
      </c>
      <c r="JG128" s="439">
        <f t="shared" si="591"/>
        <v>0</v>
      </c>
      <c r="JH128" s="439">
        <f t="shared" si="592"/>
        <v>0</v>
      </c>
      <c r="JI128" s="439">
        <f t="shared" si="593"/>
        <v>0</v>
      </c>
      <c r="JJ128" s="442">
        <f t="shared" si="594"/>
        <v>0</v>
      </c>
      <c r="JK128" s="442">
        <f t="shared" si="595"/>
        <v>0</v>
      </c>
      <c r="JL128" s="439">
        <f t="shared" si="596"/>
        <v>0</v>
      </c>
      <c r="JM128" s="439">
        <f t="shared" si="597"/>
        <v>0</v>
      </c>
      <c r="JN128" s="661">
        <f t="shared" si="598"/>
        <v>0</v>
      </c>
      <c r="JO128" s="661">
        <f t="shared" si="599"/>
        <v>0</v>
      </c>
      <c r="JP128" s="439">
        <f t="shared" si="600"/>
        <v>0</v>
      </c>
      <c r="JQ128" s="439">
        <f t="shared" si="601"/>
        <v>0</v>
      </c>
      <c r="JR128" s="439">
        <f t="shared" si="602"/>
        <v>0</v>
      </c>
      <c r="JS128" s="439">
        <f t="shared" si="603"/>
        <v>0</v>
      </c>
      <c r="JT128" s="631" t="s">
        <v>92</v>
      </c>
      <c r="JU128" s="631">
        <f t="shared" si="459"/>
        <v>1.2002952969916807</v>
      </c>
      <c r="JV128" s="652"/>
    </row>
    <row r="129" spans="1:282" s="579" customFormat="1">
      <c r="A129" s="334"/>
      <c r="U129" s="580"/>
      <c r="V129" s="580"/>
      <c r="AC129" s="580"/>
      <c r="AD129" s="580"/>
      <c r="AL129" s="580"/>
      <c r="AM129" s="580"/>
      <c r="AT129" s="580"/>
      <c r="AU129" s="580"/>
      <c r="AV129" s="581">
        <f>K86*$K$82</f>
        <v>0</v>
      </c>
      <c r="AW129" s="581">
        <f>IF($AY$32,'Data Sheet'!AA150,0)</f>
        <v>0</v>
      </c>
      <c r="AX129" s="581">
        <f t="shared" si="625"/>
        <v>40.704999999999998</v>
      </c>
      <c r="CH129" s="334"/>
      <c r="CI129" s="334"/>
      <c r="CO129" s="694" t="str">
        <f>CQ126</f>
        <v>SLP15</v>
      </c>
      <c r="CP129" s="639"/>
      <c r="CQ129" s="665" t="s">
        <v>314</v>
      </c>
      <c r="CR129" s="660">
        <f>HLOOKUP(CQ129,Spec_Sheet!$F$3:$ED$19,2,FALSE)</f>
        <v>1.0349999999999999</v>
      </c>
      <c r="CS129" s="660"/>
      <c r="CT129" s="621">
        <f t="shared" si="628"/>
        <v>0.42143860205580097</v>
      </c>
      <c r="CU129" s="621">
        <f t="shared" si="629"/>
        <v>1.0169505337570466</v>
      </c>
      <c r="CV129" s="621">
        <f t="shared" si="630"/>
        <v>0.42143860205580097</v>
      </c>
      <c r="CW129" s="621">
        <f t="shared" si="631"/>
        <v>0.15766705736256706</v>
      </c>
      <c r="CX129" s="621">
        <f t="shared" si="632"/>
        <v>6.3559408359815411E-2</v>
      </c>
      <c r="CY129" s="619">
        <f>HLOOKUP(CQ129,Spec_Sheet!$F$3:$ED$19,13,FALSE)</f>
        <v>0.115</v>
      </c>
      <c r="CZ129" s="619">
        <f>VLOOKUP(AC$46,'Shaft Weight'!$A$6:$CD$102,HLOOKUP(CQ129,'Shaft Weight'!$B$2:$CD$5,4),TRUE)</f>
        <v>0.115</v>
      </c>
      <c r="DA129" s="619"/>
      <c r="DB129" s="619">
        <f>HLOOKUP(CQ129,Spec_Sheet!$F$3:$ED$19,6,FALSE)</f>
        <v>2.0699999999999998</v>
      </c>
      <c r="DC129" s="439">
        <f t="shared" si="633"/>
        <v>0.65971500000000005</v>
      </c>
      <c r="DD129" s="440">
        <f t="shared" si="634"/>
        <v>0.50521500000000008</v>
      </c>
      <c r="DE129" s="439">
        <f t="shared" si="635"/>
        <v>-0.35071500000000011</v>
      </c>
      <c r="DF129" s="439">
        <f t="shared" si="636"/>
        <v>0</v>
      </c>
      <c r="DG129" s="439">
        <f t="shared" si="637"/>
        <v>0</v>
      </c>
      <c r="DH129" s="439">
        <f t="shared" si="638"/>
        <v>0</v>
      </c>
      <c r="DI129" s="439">
        <f t="shared" si="639"/>
        <v>0</v>
      </c>
      <c r="DJ129" s="439">
        <f t="shared" si="640"/>
        <v>0</v>
      </c>
      <c r="DK129" s="439">
        <f t="shared" si="641"/>
        <v>0</v>
      </c>
      <c r="DL129" s="439">
        <f t="shared" si="642"/>
        <v>0</v>
      </c>
      <c r="DM129" s="439">
        <f t="shared" si="643"/>
        <v>0</v>
      </c>
      <c r="DN129" s="439">
        <f t="shared" si="644"/>
        <v>0</v>
      </c>
      <c r="DO129" s="439">
        <f t="shared" si="645"/>
        <v>0</v>
      </c>
      <c r="DP129" s="439">
        <f t="shared" si="646"/>
        <v>0</v>
      </c>
      <c r="DQ129" s="442">
        <f t="shared" si="647"/>
        <v>0</v>
      </c>
      <c r="DR129" s="442">
        <f t="shared" si="648"/>
        <v>0</v>
      </c>
      <c r="DS129" s="439">
        <f t="shared" si="649"/>
        <v>0</v>
      </c>
      <c r="DT129" s="439">
        <f t="shared" si="650"/>
        <v>0</v>
      </c>
      <c r="DU129" s="661">
        <f t="shared" si="651"/>
        <v>0</v>
      </c>
      <c r="DV129" s="661">
        <f t="shared" si="652"/>
        <v>0</v>
      </c>
      <c r="DW129" s="439">
        <f t="shared" si="653"/>
        <v>0</v>
      </c>
      <c r="DX129" s="439">
        <f t="shared" si="654"/>
        <v>0</v>
      </c>
      <c r="DY129" s="439">
        <f t="shared" si="655"/>
        <v>0</v>
      </c>
      <c r="DZ129" s="439">
        <f t="shared" si="656"/>
        <v>0</v>
      </c>
      <c r="EA129" s="631" t="s">
        <v>92</v>
      </c>
      <c r="EB129" s="631">
        <f t="shared" si="657"/>
        <v>6.7190443255512558E-2</v>
      </c>
      <c r="EC129" s="618"/>
      <c r="ED129" s="439">
        <f t="shared" si="658"/>
        <v>0.80703000000000014</v>
      </c>
      <c r="EE129" s="440">
        <f t="shared" si="659"/>
        <v>0.61803000000000008</v>
      </c>
      <c r="EF129" s="439">
        <f t="shared" si="660"/>
        <v>-0.42903000000000008</v>
      </c>
      <c r="EG129" s="441">
        <f t="shared" si="661"/>
        <v>0</v>
      </c>
      <c r="EH129" s="439">
        <f t="shared" si="662"/>
        <v>0</v>
      </c>
      <c r="EI129" s="439">
        <f t="shared" si="663"/>
        <v>0</v>
      </c>
      <c r="EJ129" s="439">
        <f t="shared" si="664"/>
        <v>0</v>
      </c>
      <c r="EK129" s="439">
        <f t="shared" si="665"/>
        <v>0</v>
      </c>
      <c r="EL129" s="439">
        <f t="shared" si="666"/>
        <v>0</v>
      </c>
      <c r="EM129" s="439">
        <f t="shared" si="667"/>
        <v>0</v>
      </c>
      <c r="EN129" s="439">
        <f t="shared" si="668"/>
        <v>0</v>
      </c>
      <c r="EO129" s="439">
        <f t="shared" si="669"/>
        <v>0</v>
      </c>
      <c r="EP129" s="439">
        <f t="shared" si="670"/>
        <v>0</v>
      </c>
      <c r="EQ129" s="439">
        <f t="shared" si="671"/>
        <v>0</v>
      </c>
      <c r="ER129" s="442">
        <f t="shared" si="672"/>
        <v>0</v>
      </c>
      <c r="ES129" s="442">
        <f t="shared" si="673"/>
        <v>0</v>
      </c>
      <c r="ET129" s="439">
        <f t="shared" si="674"/>
        <v>0</v>
      </c>
      <c r="EU129" s="439">
        <f t="shared" si="675"/>
        <v>0</v>
      </c>
      <c r="EV129" s="661">
        <f t="shared" si="676"/>
        <v>0</v>
      </c>
      <c r="EW129" s="661">
        <f t="shared" si="677"/>
        <v>0</v>
      </c>
      <c r="EX129" s="439">
        <f t="shared" si="678"/>
        <v>0</v>
      </c>
      <c r="EY129" s="439">
        <f t="shared" si="679"/>
        <v>0</v>
      </c>
      <c r="EZ129" s="439">
        <f t="shared" si="680"/>
        <v>0</v>
      </c>
      <c r="FA129" s="439">
        <f t="shared" si="681"/>
        <v>0</v>
      </c>
      <c r="FB129" s="631" t="s">
        <v>92</v>
      </c>
      <c r="FC129" s="631">
        <f t="shared" si="682"/>
        <v>8.2194134467908561E-2</v>
      </c>
      <c r="FD129" s="618"/>
      <c r="FE129" s="439">
        <f t="shared" si="683"/>
        <v>0.65971500000000005</v>
      </c>
      <c r="FF129" s="440">
        <f t="shared" si="684"/>
        <v>0.50521500000000008</v>
      </c>
      <c r="FG129" s="439">
        <f t="shared" si="685"/>
        <v>-0.35071500000000011</v>
      </c>
      <c r="FH129" s="441">
        <f t="shared" si="686"/>
        <v>0</v>
      </c>
      <c r="FI129" s="439">
        <f t="shared" si="687"/>
        <v>0</v>
      </c>
      <c r="FJ129" s="439">
        <f t="shared" si="688"/>
        <v>0</v>
      </c>
      <c r="FK129" s="439">
        <f t="shared" si="689"/>
        <v>0</v>
      </c>
      <c r="FL129" s="439">
        <f t="shared" si="690"/>
        <v>0</v>
      </c>
      <c r="FM129" s="439">
        <f t="shared" si="691"/>
        <v>0</v>
      </c>
      <c r="FN129" s="439">
        <f t="shared" si="692"/>
        <v>0</v>
      </c>
      <c r="FO129" s="439">
        <f t="shared" si="693"/>
        <v>0</v>
      </c>
      <c r="FP129" s="439">
        <f t="shared" si="694"/>
        <v>0</v>
      </c>
      <c r="FQ129" s="439">
        <f t="shared" si="695"/>
        <v>0</v>
      </c>
      <c r="FR129" s="439">
        <f t="shared" si="696"/>
        <v>0</v>
      </c>
      <c r="FS129" s="442">
        <f t="shared" si="697"/>
        <v>0</v>
      </c>
      <c r="FT129" s="442">
        <f t="shared" si="698"/>
        <v>0</v>
      </c>
      <c r="FU129" s="439">
        <f t="shared" si="699"/>
        <v>0</v>
      </c>
      <c r="FV129" s="439">
        <f t="shared" si="700"/>
        <v>0</v>
      </c>
      <c r="FW129" s="661">
        <f t="shared" si="701"/>
        <v>0</v>
      </c>
      <c r="FX129" s="661">
        <f t="shared" si="702"/>
        <v>0</v>
      </c>
      <c r="FY129" s="439">
        <f t="shared" si="703"/>
        <v>0</v>
      </c>
      <c r="FZ129" s="439">
        <f t="shared" si="704"/>
        <v>0</v>
      </c>
      <c r="GA129" s="439">
        <f t="shared" si="705"/>
        <v>0</v>
      </c>
      <c r="GB129" s="439">
        <f t="shared" si="706"/>
        <v>0</v>
      </c>
      <c r="GC129" s="631" t="s">
        <v>92</v>
      </c>
      <c r="GD129" s="631">
        <f t="shared" si="707"/>
        <v>6.7190443255512558E-2</v>
      </c>
      <c r="GE129" s="618"/>
      <c r="GF129" s="439">
        <f t="shared" si="708"/>
        <v>0.51240000000000008</v>
      </c>
      <c r="GG129" s="440">
        <f t="shared" si="709"/>
        <v>0.39240000000000008</v>
      </c>
      <c r="GH129" s="439">
        <f t="shared" si="710"/>
        <v>-0.27240000000000009</v>
      </c>
      <c r="GI129" s="439">
        <f t="shared" si="711"/>
        <v>0</v>
      </c>
      <c r="GJ129" s="439">
        <f t="shared" si="712"/>
        <v>0</v>
      </c>
      <c r="GK129" s="439">
        <f t="shared" si="713"/>
        <v>0</v>
      </c>
      <c r="GL129" s="439">
        <f t="shared" si="714"/>
        <v>0</v>
      </c>
      <c r="GM129" s="439">
        <f t="shared" si="715"/>
        <v>0</v>
      </c>
      <c r="GN129" s="439">
        <f t="shared" si="716"/>
        <v>0</v>
      </c>
      <c r="GO129" s="439">
        <f t="shared" si="717"/>
        <v>0</v>
      </c>
      <c r="GP129" s="439">
        <f t="shared" si="718"/>
        <v>0</v>
      </c>
      <c r="GQ129" s="439">
        <f t="shared" si="719"/>
        <v>0</v>
      </c>
      <c r="GR129" s="439">
        <f t="shared" si="720"/>
        <v>0</v>
      </c>
      <c r="GS129" s="439">
        <f t="shared" si="721"/>
        <v>0</v>
      </c>
      <c r="GT129" s="442">
        <f t="shared" si="722"/>
        <v>0</v>
      </c>
      <c r="GU129" s="442">
        <f t="shared" si="723"/>
        <v>0</v>
      </c>
      <c r="GV129" s="439">
        <f t="shared" si="724"/>
        <v>0</v>
      </c>
      <c r="GW129" s="439">
        <f t="shared" si="725"/>
        <v>0</v>
      </c>
      <c r="GX129" s="661">
        <f t="shared" si="726"/>
        <v>0</v>
      </c>
      <c r="GY129" s="661">
        <f t="shared" si="727"/>
        <v>0</v>
      </c>
      <c r="GZ129" s="439">
        <f t="shared" si="728"/>
        <v>0</v>
      </c>
      <c r="HA129" s="439">
        <f t="shared" si="729"/>
        <v>0</v>
      </c>
      <c r="HB129" s="439">
        <f t="shared" si="730"/>
        <v>0</v>
      </c>
      <c r="HC129" s="439">
        <f t="shared" si="731"/>
        <v>0</v>
      </c>
      <c r="HD129" s="631" t="s">
        <v>92</v>
      </c>
      <c r="HE129" s="631">
        <f t="shared" si="732"/>
        <v>5.2186752043116555E-2</v>
      </c>
      <c r="HF129" s="639"/>
      <c r="HG129" s="639"/>
      <c r="HH129" s="639"/>
      <c r="HI129" s="639"/>
      <c r="HJ129" s="639"/>
      <c r="HK129" s="639"/>
      <c r="HL129" s="639"/>
      <c r="HM129" s="639"/>
      <c r="HN129" s="639"/>
      <c r="HO129" s="639"/>
      <c r="HP129" s="639"/>
      <c r="HQ129" s="639"/>
      <c r="HR129" s="639">
        <v>6.3E-2</v>
      </c>
      <c r="HS129" s="639">
        <f t="shared" si="457"/>
        <v>423</v>
      </c>
      <c r="HT129" s="639">
        <f t="shared" si="458"/>
        <v>1</v>
      </c>
      <c r="HU129" s="618">
        <f t="shared" si="466"/>
        <v>1.6046597644684832</v>
      </c>
      <c r="HV129" s="618"/>
      <c r="HW129" s="618">
        <f t="shared" si="413"/>
        <v>33.721383134454754</v>
      </c>
      <c r="HX129" s="618">
        <f t="shared" si="467"/>
        <v>1.5534733177170379</v>
      </c>
      <c r="HY129" s="618">
        <f t="shared" si="468"/>
        <v>6.3E-2</v>
      </c>
      <c r="HZ129" s="618"/>
      <c r="IA129" s="618"/>
      <c r="IB129" s="618">
        <f t="shared" si="414"/>
        <v>25.000350341399081</v>
      </c>
      <c r="IC129" s="618">
        <f t="shared" si="415"/>
        <v>1E-3</v>
      </c>
      <c r="ID129" s="618"/>
      <c r="IE129" s="618">
        <f t="shared" si="416"/>
        <v>0</v>
      </c>
      <c r="IF129" s="618">
        <f t="shared" si="417"/>
        <v>40.704999999999998</v>
      </c>
      <c r="IG129" s="618"/>
      <c r="IH129" s="618">
        <f t="shared" si="418"/>
        <v>0</v>
      </c>
      <c r="II129" s="618">
        <f t="shared" si="419"/>
        <v>40.704999999999998</v>
      </c>
      <c r="IJ129" s="618"/>
      <c r="IK129" s="618">
        <f t="shared" si="420"/>
        <v>0</v>
      </c>
      <c r="IL129" s="618">
        <f t="shared" si="421"/>
        <v>40.704999999999998</v>
      </c>
      <c r="IM129" s="618"/>
      <c r="IN129" s="618">
        <f t="shared" si="422"/>
        <v>0</v>
      </c>
      <c r="IO129" s="618">
        <f t="shared" si="423"/>
        <v>40.704999999999998</v>
      </c>
      <c r="IP129" s="618"/>
      <c r="IQ129" s="618">
        <f t="shared" si="424"/>
        <v>0</v>
      </c>
      <c r="IR129" s="618">
        <f t="shared" si="425"/>
        <v>40.704999999999998</v>
      </c>
      <c r="IS129" s="639"/>
      <c r="IT129" s="660" t="str">
        <f t="shared" si="733"/>
        <v>SCR050</v>
      </c>
      <c r="IU129" s="628"/>
      <c r="IV129" s="439">
        <f t="shared" si="580"/>
        <v>0.80703000000000014</v>
      </c>
      <c r="IW129" s="440">
        <f t="shared" si="581"/>
        <v>0.61803000000000008</v>
      </c>
      <c r="IX129" s="439">
        <f t="shared" si="582"/>
        <v>-0.42903000000000008</v>
      </c>
      <c r="IY129" s="439">
        <f t="shared" si="583"/>
        <v>0</v>
      </c>
      <c r="IZ129" s="439">
        <f t="shared" si="584"/>
        <v>0</v>
      </c>
      <c r="JA129" s="439">
        <f t="shared" si="585"/>
        <v>0</v>
      </c>
      <c r="JB129" s="439">
        <f t="shared" si="586"/>
        <v>0</v>
      </c>
      <c r="JC129" s="439">
        <f t="shared" si="587"/>
        <v>0</v>
      </c>
      <c r="JD129" s="439">
        <f t="shared" si="588"/>
        <v>0</v>
      </c>
      <c r="JE129" s="439">
        <f t="shared" si="589"/>
        <v>0</v>
      </c>
      <c r="JF129" s="439">
        <f t="shared" si="590"/>
        <v>0</v>
      </c>
      <c r="JG129" s="439">
        <f t="shared" si="591"/>
        <v>0</v>
      </c>
      <c r="JH129" s="439">
        <f t="shared" si="592"/>
        <v>0</v>
      </c>
      <c r="JI129" s="439">
        <f t="shared" si="593"/>
        <v>0</v>
      </c>
      <c r="JJ129" s="442">
        <f t="shared" si="594"/>
        <v>0</v>
      </c>
      <c r="JK129" s="442">
        <f t="shared" si="595"/>
        <v>0</v>
      </c>
      <c r="JL129" s="439">
        <f t="shared" si="596"/>
        <v>0</v>
      </c>
      <c r="JM129" s="439">
        <f t="shared" si="597"/>
        <v>0</v>
      </c>
      <c r="JN129" s="661">
        <f t="shared" si="598"/>
        <v>0</v>
      </c>
      <c r="JO129" s="661">
        <f t="shared" si="599"/>
        <v>0</v>
      </c>
      <c r="JP129" s="439">
        <f t="shared" si="600"/>
        <v>0</v>
      </c>
      <c r="JQ129" s="439">
        <f t="shared" si="601"/>
        <v>0</v>
      </c>
      <c r="JR129" s="439">
        <f t="shared" si="602"/>
        <v>0</v>
      </c>
      <c r="JS129" s="439">
        <f t="shared" si="603"/>
        <v>0</v>
      </c>
      <c r="JT129" s="631" t="s">
        <v>92</v>
      </c>
      <c r="JU129" s="631">
        <f t="shared" si="459"/>
        <v>8.2194134467908561E-2</v>
      </c>
      <c r="JV129" s="652"/>
    </row>
    <row r="130" spans="1:282" s="579" customFormat="1">
      <c r="A130" s="334"/>
      <c r="U130" s="580"/>
      <c r="V130" s="580"/>
      <c r="AC130" s="580"/>
      <c r="AD130" s="580"/>
      <c r="AL130" s="580"/>
      <c r="AM130" s="580"/>
      <c r="AT130" s="580"/>
      <c r="AU130" s="580"/>
      <c r="AV130" s="581" t="e">
        <f>K85*$K$82</f>
        <v>#DIV/0!</v>
      </c>
      <c r="AW130" s="581" t="e">
        <f>IF($AY$32,'Data Sheet'!AA151,0)</f>
        <v>#DIV/0!</v>
      </c>
      <c r="AX130" s="581">
        <f t="shared" si="625"/>
        <v>40.704999999999998</v>
      </c>
      <c r="CH130" s="334"/>
      <c r="CI130" s="334"/>
      <c r="CO130" s="694" t="str">
        <f t="shared" ref="CO130:CO134" si="734">CQ127</f>
        <v>SLP25</v>
      </c>
      <c r="CP130" s="639"/>
      <c r="CQ130" s="665" t="s">
        <v>315</v>
      </c>
      <c r="CR130" s="660">
        <f>HLOOKUP(CQ130,Spec_Sheet!$F$3:$ED$19,2,FALSE)</f>
        <v>5.0039999999999996</v>
      </c>
      <c r="CS130" s="660"/>
      <c r="CT130" s="621">
        <f t="shared" si="628"/>
        <v>6.7977619523329424E-2</v>
      </c>
      <c r="CU130" s="621">
        <f t="shared" si="629"/>
        <v>6.7977619523329424E-2</v>
      </c>
      <c r="CV130" s="621">
        <f t="shared" si="630"/>
        <v>6.7977619523329424E-2</v>
      </c>
      <c r="CW130" s="621">
        <f t="shared" si="631"/>
        <v>4.3505676494930846E-2</v>
      </c>
      <c r="CX130" s="621">
        <f t="shared" si="632"/>
        <v>2.7191047809331779E-3</v>
      </c>
      <c r="CY130" s="619">
        <f>HLOOKUP(CQ130,Spec_Sheet!$F$3:$ED$19,13,FALSE)</f>
        <v>0.6</v>
      </c>
      <c r="CZ130" s="619">
        <f>VLOOKUP(AC$46,'Shaft Weight'!$A$6:$CD$102,HLOOKUP(CQ130,'Shaft Weight'!$B$2:$CD$5,4),TRUE)</f>
        <v>0.6</v>
      </c>
      <c r="DA130" s="619"/>
      <c r="DB130" s="619">
        <f>HLOOKUP(CQ130,Spec_Sheet!$F$3:$ED$19,6,FALSE)</f>
        <v>4.17</v>
      </c>
      <c r="DC130" s="439">
        <f t="shared" si="633"/>
        <v>1.2810000000000001</v>
      </c>
      <c r="DD130" s="440">
        <f t="shared" si="634"/>
        <v>0.98100000000000009</v>
      </c>
      <c r="DE130" s="439">
        <f t="shared" si="635"/>
        <v>-0.68100000000000005</v>
      </c>
      <c r="DF130" s="439">
        <f t="shared" si="636"/>
        <v>0</v>
      </c>
      <c r="DG130" s="439">
        <f t="shared" si="637"/>
        <v>0</v>
      </c>
      <c r="DH130" s="439">
        <f t="shared" si="638"/>
        <v>0</v>
      </c>
      <c r="DI130" s="439">
        <f t="shared" si="639"/>
        <v>0</v>
      </c>
      <c r="DJ130" s="439">
        <f t="shared" si="640"/>
        <v>0</v>
      </c>
      <c r="DK130" s="439">
        <f t="shared" si="641"/>
        <v>0</v>
      </c>
      <c r="DL130" s="439">
        <f t="shared" si="642"/>
        <v>0</v>
      </c>
      <c r="DM130" s="439">
        <f t="shared" si="643"/>
        <v>0</v>
      </c>
      <c r="DN130" s="439">
        <f t="shared" si="644"/>
        <v>0</v>
      </c>
      <c r="DO130" s="439">
        <f t="shared" si="645"/>
        <v>0</v>
      </c>
      <c r="DP130" s="439">
        <f t="shared" si="646"/>
        <v>0</v>
      </c>
      <c r="DQ130" s="442">
        <f t="shared" si="647"/>
        <v>0</v>
      </c>
      <c r="DR130" s="442">
        <f t="shared" si="648"/>
        <v>0</v>
      </c>
      <c r="DS130" s="439">
        <f t="shared" si="649"/>
        <v>0</v>
      </c>
      <c r="DT130" s="439">
        <f t="shared" si="650"/>
        <v>0</v>
      </c>
      <c r="DU130" s="661">
        <f t="shared" si="651"/>
        <v>0</v>
      </c>
      <c r="DV130" s="661">
        <f t="shared" si="652"/>
        <v>0</v>
      </c>
      <c r="DW130" s="439">
        <f t="shared" si="653"/>
        <v>0</v>
      </c>
      <c r="DX130" s="439">
        <f t="shared" si="654"/>
        <v>0</v>
      </c>
      <c r="DY130" s="439">
        <f t="shared" si="655"/>
        <v>0</v>
      </c>
      <c r="DZ130" s="439">
        <f t="shared" si="656"/>
        <v>0</v>
      </c>
      <c r="EA130" s="631" t="s">
        <v>92</v>
      </c>
      <c r="EB130" s="631">
        <f t="shared" si="657"/>
        <v>0.13046688010779137</v>
      </c>
      <c r="EC130" s="618"/>
      <c r="ED130" s="439">
        <f t="shared" si="658"/>
        <v>2.0496000000000003</v>
      </c>
      <c r="EE130" s="440">
        <f t="shared" si="659"/>
        <v>1.5696000000000003</v>
      </c>
      <c r="EF130" s="439">
        <f t="shared" si="660"/>
        <v>-1.0896000000000003</v>
      </c>
      <c r="EG130" s="441">
        <f t="shared" si="661"/>
        <v>0</v>
      </c>
      <c r="EH130" s="439">
        <f t="shared" si="662"/>
        <v>0</v>
      </c>
      <c r="EI130" s="439">
        <f t="shared" si="663"/>
        <v>0</v>
      </c>
      <c r="EJ130" s="439">
        <f t="shared" si="664"/>
        <v>0</v>
      </c>
      <c r="EK130" s="439">
        <f t="shared" si="665"/>
        <v>0</v>
      </c>
      <c r="EL130" s="439">
        <f t="shared" si="666"/>
        <v>0</v>
      </c>
      <c r="EM130" s="439">
        <f t="shared" si="667"/>
        <v>0</v>
      </c>
      <c r="EN130" s="439">
        <f t="shared" si="668"/>
        <v>0</v>
      </c>
      <c r="EO130" s="439">
        <f t="shared" si="669"/>
        <v>0</v>
      </c>
      <c r="EP130" s="439">
        <f t="shared" si="670"/>
        <v>0</v>
      </c>
      <c r="EQ130" s="439">
        <f t="shared" si="671"/>
        <v>0</v>
      </c>
      <c r="ER130" s="442">
        <f t="shared" si="672"/>
        <v>0</v>
      </c>
      <c r="ES130" s="442">
        <f t="shared" si="673"/>
        <v>0</v>
      </c>
      <c r="ET130" s="439">
        <f t="shared" si="674"/>
        <v>0</v>
      </c>
      <c r="EU130" s="439">
        <f t="shared" si="675"/>
        <v>0</v>
      </c>
      <c r="EV130" s="661">
        <f t="shared" si="676"/>
        <v>0</v>
      </c>
      <c r="EW130" s="661">
        <f t="shared" si="677"/>
        <v>0</v>
      </c>
      <c r="EX130" s="439">
        <f t="shared" si="678"/>
        <v>0</v>
      </c>
      <c r="EY130" s="439">
        <f t="shared" si="679"/>
        <v>0</v>
      </c>
      <c r="EZ130" s="439">
        <f t="shared" si="680"/>
        <v>0</v>
      </c>
      <c r="FA130" s="439">
        <f t="shared" si="681"/>
        <v>0</v>
      </c>
      <c r="FB130" s="631" t="s">
        <v>92</v>
      </c>
      <c r="FC130" s="631">
        <f t="shared" si="682"/>
        <v>0.20874700817246622</v>
      </c>
      <c r="FD130" s="618"/>
      <c r="FE130" s="439">
        <f t="shared" si="683"/>
        <v>1.2810000000000001</v>
      </c>
      <c r="FF130" s="440">
        <f t="shared" si="684"/>
        <v>0.98100000000000009</v>
      </c>
      <c r="FG130" s="439">
        <f t="shared" si="685"/>
        <v>-0.68100000000000005</v>
      </c>
      <c r="FH130" s="441">
        <f t="shared" si="686"/>
        <v>0</v>
      </c>
      <c r="FI130" s="439">
        <f t="shared" si="687"/>
        <v>0</v>
      </c>
      <c r="FJ130" s="439">
        <f t="shared" si="688"/>
        <v>0</v>
      </c>
      <c r="FK130" s="439">
        <f t="shared" si="689"/>
        <v>0</v>
      </c>
      <c r="FL130" s="439">
        <f t="shared" si="690"/>
        <v>0</v>
      </c>
      <c r="FM130" s="439">
        <f t="shared" si="691"/>
        <v>0</v>
      </c>
      <c r="FN130" s="439">
        <f t="shared" si="692"/>
        <v>0</v>
      </c>
      <c r="FO130" s="439">
        <f t="shared" si="693"/>
        <v>0</v>
      </c>
      <c r="FP130" s="439">
        <f t="shared" si="694"/>
        <v>0</v>
      </c>
      <c r="FQ130" s="439">
        <f t="shared" si="695"/>
        <v>0</v>
      </c>
      <c r="FR130" s="439">
        <f t="shared" si="696"/>
        <v>0</v>
      </c>
      <c r="FS130" s="442">
        <f t="shared" si="697"/>
        <v>0</v>
      </c>
      <c r="FT130" s="442">
        <f t="shared" si="698"/>
        <v>0</v>
      </c>
      <c r="FU130" s="439">
        <f t="shared" si="699"/>
        <v>0</v>
      </c>
      <c r="FV130" s="439">
        <f t="shared" si="700"/>
        <v>0</v>
      </c>
      <c r="FW130" s="661">
        <f t="shared" si="701"/>
        <v>0</v>
      </c>
      <c r="FX130" s="661">
        <f t="shared" si="702"/>
        <v>0</v>
      </c>
      <c r="FY130" s="439">
        <f t="shared" si="703"/>
        <v>0</v>
      </c>
      <c r="FZ130" s="439">
        <f t="shared" si="704"/>
        <v>0</v>
      </c>
      <c r="GA130" s="439">
        <f t="shared" si="705"/>
        <v>0</v>
      </c>
      <c r="GB130" s="439">
        <f t="shared" si="706"/>
        <v>0</v>
      </c>
      <c r="GC130" s="631" t="s">
        <v>92</v>
      </c>
      <c r="GD130" s="631">
        <f t="shared" si="707"/>
        <v>0.13046688010779137</v>
      </c>
      <c r="GE130" s="618"/>
      <c r="GF130" s="439">
        <f t="shared" si="708"/>
        <v>0.51240000000000008</v>
      </c>
      <c r="GG130" s="440">
        <f t="shared" si="709"/>
        <v>0.39240000000000008</v>
      </c>
      <c r="GH130" s="439">
        <f t="shared" si="710"/>
        <v>-0.27240000000000009</v>
      </c>
      <c r="GI130" s="439">
        <f t="shared" si="711"/>
        <v>0</v>
      </c>
      <c r="GJ130" s="439">
        <f t="shared" si="712"/>
        <v>0</v>
      </c>
      <c r="GK130" s="439">
        <f t="shared" si="713"/>
        <v>0</v>
      </c>
      <c r="GL130" s="439">
        <f t="shared" si="714"/>
        <v>0</v>
      </c>
      <c r="GM130" s="439">
        <f t="shared" si="715"/>
        <v>0</v>
      </c>
      <c r="GN130" s="439">
        <f t="shared" si="716"/>
        <v>0</v>
      </c>
      <c r="GO130" s="439">
        <f t="shared" si="717"/>
        <v>0</v>
      </c>
      <c r="GP130" s="439">
        <f t="shared" si="718"/>
        <v>0</v>
      </c>
      <c r="GQ130" s="439">
        <f t="shared" si="719"/>
        <v>0</v>
      </c>
      <c r="GR130" s="439">
        <f t="shared" si="720"/>
        <v>0</v>
      </c>
      <c r="GS130" s="439">
        <f t="shared" si="721"/>
        <v>0</v>
      </c>
      <c r="GT130" s="442">
        <f t="shared" si="722"/>
        <v>0</v>
      </c>
      <c r="GU130" s="442">
        <f t="shared" si="723"/>
        <v>0</v>
      </c>
      <c r="GV130" s="439">
        <f t="shared" si="724"/>
        <v>0</v>
      </c>
      <c r="GW130" s="439">
        <f t="shared" si="725"/>
        <v>0</v>
      </c>
      <c r="GX130" s="661">
        <f t="shared" si="726"/>
        <v>0</v>
      </c>
      <c r="GY130" s="661">
        <f t="shared" si="727"/>
        <v>0</v>
      </c>
      <c r="GZ130" s="439">
        <f t="shared" si="728"/>
        <v>0</v>
      </c>
      <c r="HA130" s="439">
        <f t="shared" si="729"/>
        <v>0</v>
      </c>
      <c r="HB130" s="439">
        <f t="shared" si="730"/>
        <v>0</v>
      </c>
      <c r="HC130" s="439">
        <f t="shared" si="731"/>
        <v>0</v>
      </c>
      <c r="HD130" s="631" t="s">
        <v>92</v>
      </c>
      <c r="HE130" s="631">
        <f t="shared" si="732"/>
        <v>5.2186752043116555E-2</v>
      </c>
      <c r="HF130" s="639"/>
      <c r="HG130" s="639"/>
      <c r="HH130" s="639"/>
      <c r="HI130" s="639"/>
      <c r="HJ130" s="639"/>
      <c r="HK130" s="639"/>
      <c r="HL130" s="639"/>
      <c r="HM130" s="639"/>
      <c r="HN130" s="639"/>
      <c r="HO130" s="639"/>
      <c r="HP130" s="639"/>
      <c r="HQ130" s="639"/>
      <c r="HR130" s="639">
        <v>6.3500000000000001E-2</v>
      </c>
      <c r="HS130" s="639">
        <f t="shared" si="457"/>
        <v>426.35714285714283</v>
      </c>
      <c r="HT130" s="639">
        <f t="shared" si="458"/>
        <v>1</v>
      </c>
      <c r="HU130" s="618">
        <f t="shared" si="466"/>
        <v>1.617398808442108</v>
      </c>
      <c r="HV130" s="618"/>
      <c r="HW130" s="618">
        <f t="shared" si="413"/>
        <v>33.70329369201221</v>
      </c>
      <c r="HX130" s="618">
        <f t="shared" si="467"/>
        <v>1.5653996438392195</v>
      </c>
      <c r="HY130" s="618">
        <f t="shared" si="468"/>
        <v>6.3500000000000001E-2</v>
      </c>
      <c r="HZ130" s="618"/>
      <c r="IA130" s="618"/>
      <c r="IB130" s="618">
        <f t="shared" si="414"/>
        <v>25.000350341399081</v>
      </c>
      <c r="IC130" s="618">
        <f t="shared" si="415"/>
        <v>1E-3</v>
      </c>
      <c r="ID130" s="618"/>
      <c r="IE130" s="618">
        <f t="shared" si="416"/>
        <v>0</v>
      </c>
      <c r="IF130" s="618">
        <f t="shared" si="417"/>
        <v>40.704999999999998</v>
      </c>
      <c r="IG130" s="618"/>
      <c r="IH130" s="618">
        <f t="shared" si="418"/>
        <v>0</v>
      </c>
      <c r="II130" s="618">
        <f t="shared" si="419"/>
        <v>40.704999999999998</v>
      </c>
      <c r="IJ130" s="618"/>
      <c r="IK130" s="618">
        <f t="shared" si="420"/>
        <v>0</v>
      </c>
      <c r="IL130" s="618">
        <f t="shared" si="421"/>
        <v>40.704999999999998</v>
      </c>
      <c r="IM130" s="618"/>
      <c r="IN130" s="618">
        <f t="shared" si="422"/>
        <v>0</v>
      </c>
      <c r="IO130" s="618">
        <f t="shared" si="423"/>
        <v>40.704999999999998</v>
      </c>
      <c r="IP130" s="618"/>
      <c r="IQ130" s="618">
        <f t="shared" si="424"/>
        <v>0</v>
      </c>
      <c r="IR130" s="618">
        <f t="shared" si="425"/>
        <v>40.704999999999998</v>
      </c>
      <c r="IS130" s="639"/>
      <c r="IT130" s="660" t="str">
        <f t="shared" si="733"/>
        <v>SCR075</v>
      </c>
      <c r="IU130" s="628"/>
      <c r="IV130" s="439">
        <f t="shared" si="580"/>
        <v>2.0496000000000003</v>
      </c>
      <c r="IW130" s="440">
        <f t="shared" si="581"/>
        <v>1.5696000000000003</v>
      </c>
      <c r="IX130" s="439">
        <f t="shared" si="582"/>
        <v>-1.0896000000000003</v>
      </c>
      <c r="IY130" s="439">
        <f t="shared" si="583"/>
        <v>0</v>
      </c>
      <c r="IZ130" s="439">
        <f t="shared" si="584"/>
        <v>0</v>
      </c>
      <c r="JA130" s="439">
        <f t="shared" si="585"/>
        <v>0</v>
      </c>
      <c r="JB130" s="439">
        <f t="shared" si="586"/>
        <v>0</v>
      </c>
      <c r="JC130" s="439">
        <f t="shared" si="587"/>
        <v>0</v>
      </c>
      <c r="JD130" s="439">
        <f t="shared" si="588"/>
        <v>0</v>
      </c>
      <c r="JE130" s="439">
        <f t="shared" si="589"/>
        <v>0</v>
      </c>
      <c r="JF130" s="439">
        <f t="shared" si="590"/>
        <v>0</v>
      </c>
      <c r="JG130" s="439">
        <f t="shared" si="591"/>
        <v>0</v>
      </c>
      <c r="JH130" s="439">
        <f t="shared" si="592"/>
        <v>0</v>
      </c>
      <c r="JI130" s="439">
        <f t="shared" si="593"/>
        <v>0</v>
      </c>
      <c r="JJ130" s="442">
        <f t="shared" si="594"/>
        <v>0</v>
      </c>
      <c r="JK130" s="442">
        <f t="shared" si="595"/>
        <v>0</v>
      </c>
      <c r="JL130" s="439">
        <f t="shared" si="596"/>
        <v>0</v>
      </c>
      <c r="JM130" s="439">
        <f t="shared" si="597"/>
        <v>0</v>
      </c>
      <c r="JN130" s="661">
        <f t="shared" si="598"/>
        <v>0</v>
      </c>
      <c r="JO130" s="661">
        <f t="shared" si="599"/>
        <v>0</v>
      </c>
      <c r="JP130" s="439">
        <f t="shared" si="600"/>
        <v>0</v>
      </c>
      <c r="JQ130" s="439">
        <f t="shared" si="601"/>
        <v>0</v>
      </c>
      <c r="JR130" s="439">
        <f t="shared" si="602"/>
        <v>0</v>
      </c>
      <c r="JS130" s="439">
        <f t="shared" si="603"/>
        <v>0</v>
      </c>
      <c r="JT130" s="631" t="s">
        <v>92</v>
      </c>
      <c r="JU130" s="631">
        <f t="shared" si="459"/>
        <v>0.20874700817246622</v>
      </c>
      <c r="JV130" s="652"/>
    </row>
    <row r="131" spans="1:282" s="579" customFormat="1">
      <c r="A131" s="334"/>
      <c r="U131" s="580"/>
      <c r="V131" s="580"/>
      <c r="AC131" s="580"/>
      <c r="AD131" s="580"/>
      <c r="AL131" s="580"/>
      <c r="AM131" s="580"/>
      <c r="AT131" s="580"/>
      <c r="AU131" s="580"/>
      <c r="AV131" s="581" t="e">
        <f>K84*$K$82</f>
        <v>#DIV/0!</v>
      </c>
      <c r="AW131" s="581" t="e">
        <f>IF($AY$32,'Data Sheet'!AA152,0)</f>
        <v>#DIV/0!</v>
      </c>
      <c r="AX131" s="581">
        <f t="shared" si="625"/>
        <v>40.704999999999998</v>
      </c>
      <c r="CH131" s="334"/>
      <c r="CI131" s="334"/>
      <c r="CO131" s="694" t="str">
        <f t="shared" si="734"/>
        <v>SLP35</v>
      </c>
      <c r="CP131" s="639"/>
      <c r="CQ131" s="666" t="s">
        <v>316</v>
      </c>
      <c r="CR131" s="660">
        <f>HLOOKUP(CQ131,Spec_Sheet!$F$3:$ED$19,2,FALSE)</f>
        <v>5.0039999999999996</v>
      </c>
      <c r="CS131" s="660"/>
      <c r="CT131" s="621">
        <f t="shared" si="628"/>
        <v>9.788777211359441E-2</v>
      </c>
      <c r="CU131" s="621">
        <f t="shared" si="629"/>
        <v>0.42486012202080914</v>
      </c>
      <c r="CV131" s="621">
        <f t="shared" si="630"/>
        <v>9.788777211359441E-2</v>
      </c>
      <c r="CW131" s="621">
        <f t="shared" si="631"/>
        <v>6.7977619523329424E-2</v>
      </c>
      <c r="CX131" s="621">
        <f t="shared" si="632"/>
        <v>2.7191047809331779E-3</v>
      </c>
      <c r="CY131" s="619">
        <f>HLOOKUP(CQ131,Spec_Sheet!$F$3:$ED$19,13,FALSE)</f>
        <v>0.8</v>
      </c>
      <c r="CZ131" s="619">
        <f>VLOOKUP(AC$46,'Shaft Weight'!$A$6:$CD$102,HLOOKUP(CQ131,'Shaft Weight'!$B$2:$CD$5,4),TRUE)</f>
        <v>0.8</v>
      </c>
      <c r="DA131" s="619"/>
      <c r="DB131" s="619">
        <f>HLOOKUP(CQ131,Spec_Sheet!$F$3:$ED$19,6,FALSE)</f>
        <v>4.17</v>
      </c>
      <c r="DC131" s="439">
        <f t="shared" si="633"/>
        <v>1.5372000000000003</v>
      </c>
      <c r="DD131" s="440">
        <f t="shared" si="634"/>
        <v>1.1772000000000002</v>
      </c>
      <c r="DE131" s="439">
        <f t="shared" si="635"/>
        <v>-0.81720000000000015</v>
      </c>
      <c r="DF131" s="439">
        <f t="shared" si="636"/>
        <v>0</v>
      </c>
      <c r="DG131" s="439">
        <f t="shared" si="637"/>
        <v>0</v>
      </c>
      <c r="DH131" s="439">
        <f t="shared" si="638"/>
        <v>0</v>
      </c>
      <c r="DI131" s="439">
        <f t="shared" si="639"/>
        <v>0</v>
      </c>
      <c r="DJ131" s="439">
        <f t="shared" si="640"/>
        <v>0</v>
      </c>
      <c r="DK131" s="439">
        <f t="shared" si="641"/>
        <v>0</v>
      </c>
      <c r="DL131" s="439">
        <f t="shared" si="642"/>
        <v>0</v>
      </c>
      <c r="DM131" s="439">
        <f t="shared" si="643"/>
        <v>0</v>
      </c>
      <c r="DN131" s="439">
        <f t="shared" si="644"/>
        <v>0</v>
      </c>
      <c r="DO131" s="439">
        <f t="shared" si="645"/>
        <v>0</v>
      </c>
      <c r="DP131" s="439">
        <f t="shared" si="646"/>
        <v>0</v>
      </c>
      <c r="DQ131" s="442">
        <f t="shared" si="647"/>
        <v>0</v>
      </c>
      <c r="DR131" s="442">
        <f t="shared" si="648"/>
        <v>0</v>
      </c>
      <c r="DS131" s="439">
        <f t="shared" si="649"/>
        <v>0</v>
      </c>
      <c r="DT131" s="439">
        <f t="shared" si="650"/>
        <v>0</v>
      </c>
      <c r="DU131" s="661">
        <f t="shared" si="651"/>
        <v>0</v>
      </c>
      <c r="DV131" s="661">
        <f t="shared" si="652"/>
        <v>0</v>
      </c>
      <c r="DW131" s="439">
        <f t="shared" si="653"/>
        <v>0</v>
      </c>
      <c r="DX131" s="439">
        <f t="shared" si="654"/>
        <v>0</v>
      </c>
      <c r="DY131" s="439">
        <f t="shared" si="655"/>
        <v>0</v>
      </c>
      <c r="DZ131" s="439">
        <f t="shared" si="656"/>
        <v>0</v>
      </c>
      <c r="EA131" s="631" t="s">
        <v>92</v>
      </c>
      <c r="EB131" s="631">
        <f t="shared" si="657"/>
        <v>0.15656025612934968</v>
      </c>
      <c r="EC131" s="618"/>
      <c r="ED131" s="439">
        <f t="shared" si="658"/>
        <v>2.5620000000000003</v>
      </c>
      <c r="EE131" s="440">
        <f t="shared" si="659"/>
        <v>1.9620000000000002</v>
      </c>
      <c r="EF131" s="439">
        <f t="shared" si="660"/>
        <v>-1.3620000000000001</v>
      </c>
      <c r="EG131" s="441">
        <f t="shared" si="661"/>
        <v>0</v>
      </c>
      <c r="EH131" s="439">
        <f t="shared" si="662"/>
        <v>0</v>
      </c>
      <c r="EI131" s="439">
        <f t="shared" si="663"/>
        <v>0</v>
      </c>
      <c r="EJ131" s="439">
        <f t="shared" si="664"/>
        <v>0</v>
      </c>
      <c r="EK131" s="439">
        <f t="shared" si="665"/>
        <v>0</v>
      </c>
      <c r="EL131" s="439">
        <f t="shared" si="666"/>
        <v>0</v>
      </c>
      <c r="EM131" s="439">
        <f t="shared" si="667"/>
        <v>0</v>
      </c>
      <c r="EN131" s="439">
        <f t="shared" si="668"/>
        <v>0</v>
      </c>
      <c r="EO131" s="439">
        <f t="shared" si="669"/>
        <v>0</v>
      </c>
      <c r="EP131" s="439">
        <f t="shared" si="670"/>
        <v>0</v>
      </c>
      <c r="EQ131" s="439">
        <f t="shared" si="671"/>
        <v>0</v>
      </c>
      <c r="ER131" s="442">
        <f t="shared" si="672"/>
        <v>0</v>
      </c>
      <c r="ES131" s="442">
        <f t="shared" si="673"/>
        <v>0</v>
      </c>
      <c r="ET131" s="439">
        <f t="shared" si="674"/>
        <v>0</v>
      </c>
      <c r="EU131" s="439">
        <f t="shared" si="675"/>
        <v>0</v>
      </c>
      <c r="EV131" s="661">
        <f t="shared" si="676"/>
        <v>0</v>
      </c>
      <c r="EW131" s="661">
        <f t="shared" si="677"/>
        <v>0</v>
      </c>
      <c r="EX131" s="439">
        <f t="shared" si="678"/>
        <v>0</v>
      </c>
      <c r="EY131" s="439">
        <f t="shared" si="679"/>
        <v>0</v>
      </c>
      <c r="EZ131" s="439">
        <f t="shared" si="680"/>
        <v>0</v>
      </c>
      <c r="FA131" s="439">
        <f t="shared" si="681"/>
        <v>0</v>
      </c>
      <c r="FB131" s="631" t="s">
        <v>92</v>
      </c>
      <c r="FC131" s="631">
        <f t="shared" si="682"/>
        <v>0.26093376021558273</v>
      </c>
      <c r="FD131" s="618"/>
      <c r="FE131" s="439">
        <f t="shared" si="683"/>
        <v>1.5372000000000003</v>
      </c>
      <c r="FF131" s="440">
        <f t="shared" si="684"/>
        <v>1.1772000000000002</v>
      </c>
      <c r="FG131" s="439">
        <f t="shared" si="685"/>
        <v>-0.81720000000000015</v>
      </c>
      <c r="FH131" s="441">
        <f t="shared" si="686"/>
        <v>0</v>
      </c>
      <c r="FI131" s="439">
        <f t="shared" si="687"/>
        <v>0</v>
      </c>
      <c r="FJ131" s="439">
        <f t="shared" si="688"/>
        <v>0</v>
      </c>
      <c r="FK131" s="439">
        <f t="shared" si="689"/>
        <v>0</v>
      </c>
      <c r="FL131" s="439">
        <f t="shared" si="690"/>
        <v>0</v>
      </c>
      <c r="FM131" s="439">
        <f t="shared" si="691"/>
        <v>0</v>
      </c>
      <c r="FN131" s="439">
        <f t="shared" si="692"/>
        <v>0</v>
      </c>
      <c r="FO131" s="439">
        <f t="shared" si="693"/>
        <v>0</v>
      </c>
      <c r="FP131" s="439">
        <f t="shared" si="694"/>
        <v>0</v>
      </c>
      <c r="FQ131" s="439">
        <f t="shared" si="695"/>
        <v>0</v>
      </c>
      <c r="FR131" s="439">
        <f t="shared" si="696"/>
        <v>0</v>
      </c>
      <c r="FS131" s="442">
        <f t="shared" si="697"/>
        <v>0</v>
      </c>
      <c r="FT131" s="442">
        <f t="shared" si="698"/>
        <v>0</v>
      </c>
      <c r="FU131" s="439">
        <f t="shared" si="699"/>
        <v>0</v>
      </c>
      <c r="FV131" s="439">
        <f t="shared" si="700"/>
        <v>0</v>
      </c>
      <c r="FW131" s="661">
        <f t="shared" si="701"/>
        <v>0</v>
      </c>
      <c r="FX131" s="661">
        <f t="shared" si="702"/>
        <v>0</v>
      </c>
      <c r="FY131" s="439">
        <f t="shared" si="703"/>
        <v>0</v>
      </c>
      <c r="FZ131" s="439">
        <f t="shared" si="704"/>
        <v>0</v>
      </c>
      <c r="GA131" s="439">
        <f t="shared" si="705"/>
        <v>0</v>
      </c>
      <c r="GB131" s="439">
        <f t="shared" si="706"/>
        <v>0</v>
      </c>
      <c r="GC131" s="631" t="s">
        <v>92</v>
      </c>
      <c r="GD131" s="631">
        <f t="shared" si="707"/>
        <v>0.15656025612934968</v>
      </c>
      <c r="GE131" s="618"/>
      <c r="GF131" s="439">
        <f t="shared" si="708"/>
        <v>0.51240000000000008</v>
      </c>
      <c r="GG131" s="440">
        <f t="shared" si="709"/>
        <v>0.39240000000000008</v>
      </c>
      <c r="GH131" s="439">
        <f t="shared" si="710"/>
        <v>-0.27240000000000009</v>
      </c>
      <c r="GI131" s="439">
        <f t="shared" si="711"/>
        <v>0</v>
      </c>
      <c r="GJ131" s="439">
        <f t="shared" si="712"/>
        <v>0</v>
      </c>
      <c r="GK131" s="439">
        <f t="shared" si="713"/>
        <v>0</v>
      </c>
      <c r="GL131" s="439">
        <f t="shared" si="714"/>
        <v>0</v>
      </c>
      <c r="GM131" s="439">
        <f t="shared" si="715"/>
        <v>0</v>
      </c>
      <c r="GN131" s="439">
        <f t="shared" si="716"/>
        <v>0</v>
      </c>
      <c r="GO131" s="439">
        <f t="shared" si="717"/>
        <v>0</v>
      </c>
      <c r="GP131" s="439">
        <f t="shared" si="718"/>
        <v>0</v>
      </c>
      <c r="GQ131" s="439">
        <f t="shared" si="719"/>
        <v>0</v>
      </c>
      <c r="GR131" s="439">
        <f t="shared" si="720"/>
        <v>0</v>
      </c>
      <c r="GS131" s="439">
        <f t="shared" si="721"/>
        <v>0</v>
      </c>
      <c r="GT131" s="442">
        <f t="shared" si="722"/>
        <v>0</v>
      </c>
      <c r="GU131" s="442">
        <f t="shared" si="723"/>
        <v>0</v>
      </c>
      <c r="GV131" s="439">
        <f t="shared" si="724"/>
        <v>0</v>
      </c>
      <c r="GW131" s="439">
        <f t="shared" si="725"/>
        <v>0</v>
      </c>
      <c r="GX131" s="661">
        <f t="shared" si="726"/>
        <v>0</v>
      </c>
      <c r="GY131" s="661">
        <f t="shared" si="727"/>
        <v>0</v>
      </c>
      <c r="GZ131" s="439">
        <f t="shared" si="728"/>
        <v>0</v>
      </c>
      <c r="HA131" s="439">
        <f t="shared" si="729"/>
        <v>0</v>
      </c>
      <c r="HB131" s="439">
        <f t="shared" si="730"/>
        <v>0</v>
      </c>
      <c r="HC131" s="439">
        <f t="shared" si="731"/>
        <v>0</v>
      </c>
      <c r="HD131" s="631" t="s">
        <v>92</v>
      </c>
      <c r="HE131" s="631">
        <f t="shared" si="732"/>
        <v>5.2186752043116555E-2</v>
      </c>
      <c r="HF131" s="639"/>
      <c r="HG131" s="639"/>
      <c r="HH131" s="639"/>
      <c r="HI131" s="639"/>
      <c r="HJ131" s="639"/>
      <c r="HK131" s="639"/>
      <c r="HL131" s="639"/>
      <c r="HM131" s="639"/>
      <c r="HN131" s="639"/>
      <c r="HO131" s="639"/>
      <c r="HP131" s="639"/>
      <c r="HQ131" s="639"/>
      <c r="HR131" s="639">
        <v>6.4000000000000001E-2</v>
      </c>
      <c r="HS131" s="639">
        <f t="shared" si="457"/>
        <v>429.71428571428572</v>
      </c>
      <c r="HT131" s="639">
        <f t="shared" si="458"/>
        <v>1</v>
      </c>
      <c r="HU131" s="618">
        <f t="shared" si="466"/>
        <v>1.6301378524157328</v>
      </c>
      <c r="HV131" s="618"/>
      <c r="HW131" s="618">
        <f t="shared" si="413"/>
        <v>33.685204249569658</v>
      </c>
      <c r="HX131" s="618">
        <f t="shared" si="467"/>
        <v>1.5773195687891028</v>
      </c>
      <c r="HY131" s="618">
        <f t="shared" si="468"/>
        <v>6.4000000000000001E-2</v>
      </c>
      <c r="HZ131" s="618"/>
      <c r="IA131" s="618"/>
      <c r="IB131" s="618">
        <f t="shared" si="414"/>
        <v>25.000350341399081</v>
      </c>
      <c r="IC131" s="618">
        <f t="shared" si="415"/>
        <v>1E-3</v>
      </c>
      <c r="ID131" s="618"/>
      <c r="IE131" s="618">
        <f t="shared" si="416"/>
        <v>0</v>
      </c>
      <c r="IF131" s="618">
        <f t="shared" si="417"/>
        <v>40.704999999999998</v>
      </c>
      <c r="IG131" s="618"/>
      <c r="IH131" s="618">
        <f t="shared" si="418"/>
        <v>0</v>
      </c>
      <c r="II131" s="618">
        <f t="shared" si="419"/>
        <v>40.704999999999998</v>
      </c>
      <c r="IJ131" s="618"/>
      <c r="IK131" s="618">
        <f t="shared" si="420"/>
        <v>0</v>
      </c>
      <c r="IL131" s="618">
        <f t="shared" si="421"/>
        <v>40.704999999999998</v>
      </c>
      <c r="IM131" s="618"/>
      <c r="IN131" s="618">
        <f t="shared" si="422"/>
        <v>0</v>
      </c>
      <c r="IO131" s="618">
        <f t="shared" si="423"/>
        <v>40.704999999999998</v>
      </c>
      <c r="IP131" s="618"/>
      <c r="IQ131" s="618">
        <f t="shared" si="424"/>
        <v>0</v>
      </c>
      <c r="IR131" s="618">
        <f t="shared" si="425"/>
        <v>40.704999999999998</v>
      </c>
      <c r="IS131" s="639"/>
      <c r="IT131" s="660" t="str">
        <f t="shared" si="733"/>
        <v>SCR100</v>
      </c>
      <c r="IU131" s="628"/>
      <c r="IV131" s="439">
        <f t="shared" si="580"/>
        <v>2.5620000000000003</v>
      </c>
      <c r="IW131" s="440">
        <f t="shared" si="581"/>
        <v>1.9620000000000002</v>
      </c>
      <c r="IX131" s="439">
        <f t="shared" si="582"/>
        <v>-1.3620000000000001</v>
      </c>
      <c r="IY131" s="439">
        <f t="shared" si="583"/>
        <v>0</v>
      </c>
      <c r="IZ131" s="439">
        <f t="shared" si="584"/>
        <v>0</v>
      </c>
      <c r="JA131" s="439">
        <f t="shared" si="585"/>
        <v>0</v>
      </c>
      <c r="JB131" s="439">
        <f t="shared" si="586"/>
        <v>0</v>
      </c>
      <c r="JC131" s="439">
        <f t="shared" si="587"/>
        <v>0</v>
      </c>
      <c r="JD131" s="439">
        <f t="shared" si="588"/>
        <v>0</v>
      </c>
      <c r="JE131" s="439">
        <f t="shared" si="589"/>
        <v>0</v>
      </c>
      <c r="JF131" s="439">
        <f t="shared" si="590"/>
        <v>0</v>
      </c>
      <c r="JG131" s="439">
        <f t="shared" si="591"/>
        <v>0</v>
      </c>
      <c r="JH131" s="439">
        <f t="shared" si="592"/>
        <v>0</v>
      </c>
      <c r="JI131" s="439">
        <f t="shared" si="593"/>
        <v>0</v>
      </c>
      <c r="JJ131" s="442">
        <f t="shared" si="594"/>
        <v>0</v>
      </c>
      <c r="JK131" s="442">
        <f t="shared" si="595"/>
        <v>0</v>
      </c>
      <c r="JL131" s="439">
        <f t="shared" si="596"/>
        <v>0</v>
      </c>
      <c r="JM131" s="439">
        <f t="shared" si="597"/>
        <v>0</v>
      </c>
      <c r="JN131" s="661">
        <f t="shared" si="598"/>
        <v>0</v>
      </c>
      <c r="JO131" s="661">
        <f t="shared" si="599"/>
        <v>0</v>
      </c>
      <c r="JP131" s="439">
        <f t="shared" si="600"/>
        <v>0</v>
      </c>
      <c r="JQ131" s="439">
        <f t="shared" si="601"/>
        <v>0</v>
      </c>
      <c r="JR131" s="439">
        <f t="shared" si="602"/>
        <v>0</v>
      </c>
      <c r="JS131" s="439">
        <f t="shared" si="603"/>
        <v>0</v>
      </c>
      <c r="JT131" s="631" t="s">
        <v>92</v>
      </c>
      <c r="JU131" s="631">
        <f t="shared" si="459"/>
        <v>0.26093376021558273</v>
      </c>
      <c r="JV131" s="652"/>
    </row>
    <row r="132" spans="1:282" s="579" customFormat="1">
      <c r="A132" s="334"/>
      <c r="U132" s="580"/>
      <c r="V132" s="580"/>
      <c r="AC132" s="580"/>
      <c r="AD132" s="580"/>
      <c r="AL132" s="580"/>
      <c r="AM132" s="580"/>
      <c r="AT132" s="580"/>
      <c r="AU132" s="580"/>
      <c r="AV132" s="581" t="e">
        <f>K83*$K$82</f>
        <v>#DIV/0!</v>
      </c>
      <c r="AW132" s="581" t="e">
        <f>IF($AY$32,'Data Sheet'!AA153,0)</f>
        <v>#DIV/0!</v>
      </c>
      <c r="AX132" s="581">
        <f t="shared" si="625"/>
        <v>40.704999999999998</v>
      </c>
      <c r="CH132" s="334"/>
      <c r="CI132" s="334"/>
      <c r="CO132" s="694" t="str">
        <f t="shared" si="734"/>
        <v>SCR050</v>
      </c>
      <c r="CP132" s="639"/>
      <c r="CQ132" s="666" t="s">
        <v>317</v>
      </c>
      <c r="CR132" s="660">
        <f>HLOOKUP(CQ132,Spec_Sheet!$F$3:$ED$19,2,FALSE)</f>
        <v>14.49</v>
      </c>
      <c r="CS132" s="660"/>
      <c r="CT132" s="621">
        <f t="shared" si="628"/>
        <v>5.9100521293756876E-2</v>
      </c>
      <c r="CU132" s="621">
        <f t="shared" ref="CU132:CU134" si="735">((EB191/DB132)/((CR132*2)/DB132))^2*100</f>
        <v>5.0669171205209987E-2</v>
      </c>
      <c r="CV132" s="621">
        <f t="shared" si="630"/>
        <v>5.9100521293756876E-2</v>
      </c>
      <c r="CW132" s="621">
        <f t="shared" si="631"/>
        <v>5.0669171205209987E-2</v>
      </c>
      <c r="CX132" s="621">
        <f t="shared" si="632"/>
        <v>3.2428269571334388E-4</v>
      </c>
      <c r="CY132" s="619">
        <f>HLOOKUP(CQ132,Spec_Sheet!$F$3:$ED$19,13,FALSE)</f>
        <v>2.2999999999999998</v>
      </c>
      <c r="CZ132" s="619">
        <f>VLOOKUP(AC$46,'Shaft Weight'!$A$6:$CD$102,HLOOKUP(CQ132,'Shaft Weight'!$B$2:$CD$5,4),TRUE)</f>
        <v>2.2999999999999998</v>
      </c>
      <c r="DA132" s="619"/>
      <c r="DB132" s="619">
        <f>HLOOKUP(CQ132,Spec_Sheet!$F$3:$ED$19,6,FALSE)</f>
        <v>16.100000000000001</v>
      </c>
      <c r="DC132" s="439">
        <f t="shared" si="633"/>
        <v>3.4586999999999999</v>
      </c>
      <c r="DD132" s="440">
        <f t="shared" si="634"/>
        <v>2.6486999999999998</v>
      </c>
      <c r="DE132" s="439">
        <f t="shared" si="635"/>
        <v>-1.8386999999999998</v>
      </c>
      <c r="DF132" s="439">
        <f t="shared" si="636"/>
        <v>0</v>
      </c>
      <c r="DG132" s="439">
        <f t="shared" si="637"/>
        <v>0</v>
      </c>
      <c r="DH132" s="439">
        <f t="shared" si="638"/>
        <v>0</v>
      </c>
      <c r="DI132" s="439">
        <f t="shared" si="639"/>
        <v>0</v>
      </c>
      <c r="DJ132" s="439">
        <f t="shared" si="640"/>
        <v>0</v>
      </c>
      <c r="DK132" s="439">
        <f t="shared" si="641"/>
        <v>0</v>
      </c>
      <c r="DL132" s="439">
        <f t="shared" si="642"/>
        <v>0</v>
      </c>
      <c r="DM132" s="439">
        <f t="shared" si="643"/>
        <v>0</v>
      </c>
      <c r="DN132" s="439">
        <f t="shared" si="644"/>
        <v>0</v>
      </c>
      <c r="DO132" s="439">
        <f t="shared" si="645"/>
        <v>0</v>
      </c>
      <c r="DP132" s="439">
        <f t="shared" si="646"/>
        <v>0</v>
      </c>
      <c r="DQ132" s="442">
        <f t="shared" si="647"/>
        <v>0</v>
      </c>
      <c r="DR132" s="442">
        <f t="shared" si="648"/>
        <v>0</v>
      </c>
      <c r="DS132" s="439">
        <f t="shared" si="649"/>
        <v>0</v>
      </c>
      <c r="DT132" s="439">
        <f t="shared" si="650"/>
        <v>0</v>
      </c>
      <c r="DU132" s="661">
        <f t="shared" si="651"/>
        <v>0</v>
      </c>
      <c r="DV132" s="661">
        <f t="shared" si="652"/>
        <v>0</v>
      </c>
      <c r="DW132" s="439">
        <f t="shared" si="653"/>
        <v>0</v>
      </c>
      <c r="DX132" s="439">
        <f t="shared" si="654"/>
        <v>0</v>
      </c>
      <c r="DY132" s="439">
        <f t="shared" si="655"/>
        <v>0</v>
      </c>
      <c r="DZ132" s="439">
        <f t="shared" si="656"/>
        <v>0</v>
      </c>
      <c r="EA132" s="631" t="s">
        <v>92</v>
      </c>
      <c r="EB132" s="631">
        <f t="shared" si="657"/>
        <v>0.35226057629103663</v>
      </c>
      <c r="EC132" s="618"/>
      <c r="ED132" s="439">
        <f t="shared" si="658"/>
        <v>6.4050000000000011</v>
      </c>
      <c r="EE132" s="440">
        <f t="shared" si="659"/>
        <v>4.9050000000000011</v>
      </c>
      <c r="EF132" s="439">
        <f t="shared" si="660"/>
        <v>-3.4050000000000011</v>
      </c>
      <c r="EG132" s="441">
        <f t="shared" si="661"/>
        <v>0</v>
      </c>
      <c r="EH132" s="439">
        <f t="shared" si="662"/>
        <v>0</v>
      </c>
      <c r="EI132" s="439">
        <f t="shared" si="663"/>
        <v>0</v>
      </c>
      <c r="EJ132" s="439">
        <f t="shared" si="664"/>
        <v>0</v>
      </c>
      <c r="EK132" s="439">
        <f t="shared" si="665"/>
        <v>0</v>
      </c>
      <c r="EL132" s="439">
        <f t="shared" si="666"/>
        <v>0</v>
      </c>
      <c r="EM132" s="439">
        <f t="shared" si="667"/>
        <v>0</v>
      </c>
      <c r="EN132" s="439">
        <f t="shared" si="668"/>
        <v>0</v>
      </c>
      <c r="EO132" s="439">
        <f t="shared" si="669"/>
        <v>0</v>
      </c>
      <c r="EP132" s="439">
        <f t="shared" si="670"/>
        <v>0</v>
      </c>
      <c r="EQ132" s="439">
        <f t="shared" si="671"/>
        <v>0</v>
      </c>
      <c r="ER132" s="442">
        <f t="shared" si="672"/>
        <v>0</v>
      </c>
      <c r="ES132" s="442">
        <f t="shared" si="673"/>
        <v>0</v>
      </c>
      <c r="ET132" s="439">
        <f t="shared" si="674"/>
        <v>0</v>
      </c>
      <c r="EU132" s="439">
        <f t="shared" si="675"/>
        <v>0</v>
      </c>
      <c r="EV132" s="661">
        <f t="shared" si="676"/>
        <v>0</v>
      </c>
      <c r="EW132" s="661">
        <f t="shared" si="677"/>
        <v>0</v>
      </c>
      <c r="EX132" s="439">
        <f t="shared" si="678"/>
        <v>0</v>
      </c>
      <c r="EY132" s="439">
        <f t="shared" si="679"/>
        <v>0</v>
      </c>
      <c r="EZ132" s="439">
        <f t="shared" si="680"/>
        <v>0</v>
      </c>
      <c r="FA132" s="439">
        <f t="shared" si="681"/>
        <v>0</v>
      </c>
      <c r="FB132" s="631" t="s">
        <v>92</v>
      </c>
      <c r="FC132" s="631">
        <f t="shared" si="682"/>
        <v>0.65233440053895697</v>
      </c>
      <c r="FD132" s="618"/>
      <c r="FE132" s="439">
        <f t="shared" si="683"/>
        <v>3.4586999999999999</v>
      </c>
      <c r="FF132" s="440">
        <f t="shared" si="684"/>
        <v>2.6486999999999998</v>
      </c>
      <c r="FG132" s="439">
        <f t="shared" si="685"/>
        <v>-1.8386999999999998</v>
      </c>
      <c r="FH132" s="441">
        <f t="shared" si="686"/>
        <v>0</v>
      </c>
      <c r="FI132" s="439">
        <f t="shared" si="687"/>
        <v>0</v>
      </c>
      <c r="FJ132" s="439">
        <f t="shared" si="688"/>
        <v>0</v>
      </c>
      <c r="FK132" s="439">
        <f t="shared" si="689"/>
        <v>0</v>
      </c>
      <c r="FL132" s="439">
        <f t="shared" si="690"/>
        <v>0</v>
      </c>
      <c r="FM132" s="439">
        <f t="shared" si="691"/>
        <v>0</v>
      </c>
      <c r="FN132" s="439">
        <f t="shared" si="692"/>
        <v>0</v>
      </c>
      <c r="FO132" s="439">
        <f t="shared" si="693"/>
        <v>0</v>
      </c>
      <c r="FP132" s="439">
        <f t="shared" si="694"/>
        <v>0</v>
      </c>
      <c r="FQ132" s="439">
        <f t="shared" si="695"/>
        <v>0</v>
      </c>
      <c r="FR132" s="439">
        <f t="shared" si="696"/>
        <v>0</v>
      </c>
      <c r="FS132" s="442">
        <f t="shared" si="697"/>
        <v>0</v>
      </c>
      <c r="FT132" s="442">
        <f t="shared" si="698"/>
        <v>0</v>
      </c>
      <c r="FU132" s="439">
        <f t="shared" si="699"/>
        <v>0</v>
      </c>
      <c r="FV132" s="439">
        <f t="shared" si="700"/>
        <v>0</v>
      </c>
      <c r="FW132" s="661">
        <f t="shared" si="701"/>
        <v>0</v>
      </c>
      <c r="FX132" s="661">
        <f t="shared" si="702"/>
        <v>0</v>
      </c>
      <c r="FY132" s="439">
        <f t="shared" si="703"/>
        <v>0</v>
      </c>
      <c r="FZ132" s="439">
        <f t="shared" si="704"/>
        <v>0</v>
      </c>
      <c r="GA132" s="439">
        <f t="shared" si="705"/>
        <v>0</v>
      </c>
      <c r="GB132" s="439">
        <f t="shared" si="706"/>
        <v>0</v>
      </c>
      <c r="GC132" s="631" t="s">
        <v>92</v>
      </c>
      <c r="GD132" s="631">
        <f t="shared" si="707"/>
        <v>0.35226057629103663</v>
      </c>
      <c r="GE132" s="618"/>
      <c r="GF132" s="439">
        <f t="shared" si="708"/>
        <v>0.51240000000000008</v>
      </c>
      <c r="GG132" s="440">
        <f t="shared" si="709"/>
        <v>0.39240000000000008</v>
      </c>
      <c r="GH132" s="439">
        <f t="shared" si="710"/>
        <v>-0.27240000000000009</v>
      </c>
      <c r="GI132" s="439">
        <f t="shared" si="711"/>
        <v>0</v>
      </c>
      <c r="GJ132" s="439">
        <f t="shared" si="712"/>
        <v>0</v>
      </c>
      <c r="GK132" s="439">
        <f t="shared" si="713"/>
        <v>0</v>
      </c>
      <c r="GL132" s="439">
        <f t="shared" si="714"/>
        <v>0</v>
      </c>
      <c r="GM132" s="439">
        <f t="shared" si="715"/>
        <v>0</v>
      </c>
      <c r="GN132" s="439">
        <f t="shared" si="716"/>
        <v>0</v>
      </c>
      <c r="GO132" s="439">
        <f t="shared" si="717"/>
        <v>0</v>
      </c>
      <c r="GP132" s="439">
        <f t="shared" si="718"/>
        <v>0</v>
      </c>
      <c r="GQ132" s="439">
        <f t="shared" si="719"/>
        <v>0</v>
      </c>
      <c r="GR132" s="439">
        <f t="shared" si="720"/>
        <v>0</v>
      </c>
      <c r="GS132" s="439">
        <f t="shared" si="721"/>
        <v>0</v>
      </c>
      <c r="GT132" s="442">
        <f t="shared" si="722"/>
        <v>0</v>
      </c>
      <c r="GU132" s="442">
        <f t="shared" si="723"/>
        <v>0</v>
      </c>
      <c r="GV132" s="439">
        <f t="shared" si="724"/>
        <v>0</v>
      </c>
      <c r="GW132" s="439">
        <f t="shared" si="725"/>
        <v>0</v>
      </c>
      <c r="GX132" s="661">
        <f t="shared" si="726"/>
        <v>0</v>
      </c>
      <c r="GY132" s="661">
        <f t="shared" si="727"/>
        <v>0</v>
      </c>
      <c r="GZ132" s="439">
        <f t="shared" si="728"/>
        <v>0</v>
      </c>
      <c r="HA132" s="439">
        <f t="shared" si="729"/>
        <v>0</v>
      </c>
      <c r="HB132" s="439">
        <f t="shared" si="730"/>
        <v>0</v>
      </c>
      <c r="HC132" s="439">
        <f t="shared" si="731"/>
        <v>0</v>
      </c>
      <c r="HD132" s="631" t="s">
        <v>92</v>
      </c>
      <c r="HE132" s="631">
        <f t="shared" si="732"/>
        <v>5.2186752043116555E-2</v>
      </c>
      <c r="HF132" s="639"/>
      <c r="HG132" s="639"/>
      <c r="HH132" s="639"/>
      <c r="HI132" s="639"/>
      <c r="HJ132" s="639"/>
      <c r="HK132" s="639"/>
      <c r="HL132" s="639"/>
      <c r="HM132" s="639"/>
      <c r="HN132" s="639"/>
      <c r="HO132" s="639"/>
      <c r="HP132" s="639"/>
      <c r="HQ132" s="639"/>
      <c r="HR132" s="639">
        <v>6.4500000000000002E-2</v>
      </c>
      <c r="HS132" s="639">
        <f t="shared" si="457"/>
        <v>433.07142857142856</v>
      </c>
      <c r="HT132" s="639">
        <f t="shared" si="458"/>
        <v>1</v>
      </c>
      <c r="HU132" s="618">
        <f t="shared" si="466"/>
        <v>1.6428768963893576</v>
      </c>
      <c r="HV132" s="618"/>
      <c r="HW132" s="618">
        <f t="shared" ref="HW132:HW195" si="736">$HW$3-(HU132*$AQ$36)</f>
        <v>33.667114807127113</v>
      </c>
      <c r="HX132" s="618">
        <f t="shared" si="467"/>
        <v>1.589233092566688</v>
      </c>
      <c r="HY132" s="618">
        <f t="shared" si="468"/>
        <v>6.4500000000000002E-2</v>
      </c>
      <c r="HZ132" s="618"/>
      <c r="IA132" s="618"/>
      <c r="IB132" s="618">
        <f t="shared" ref="IB132:IB195" si="737">IF(AND(HX132&lt;$IB$1,HY132&lt;$IC$1,$AY$31),(HX132*1000)*IF($D$45&lt;0,-1,1),IB131)</f>
        <v>25.000350341399081</v>
      </c>
      <c r="IC132" s="618">
        <f t="shared" ref="IC132:IC195" si="738">IF(AND(HX132&lt;$IB$1,HY132&lt;$IC$1,$AY$31),HY132,IC131)</f>
        <v>1E-3</v>
      </c>
      <c r="ID132" s="618"/>
      <c r="IE132" s="618">
        <f t="shared" ref="IE132:IE195" si="739">IF(AND(HX132&lt;$IE$1,HY132&lt;$IF$1,$AY$31),(HX132*1000)*IF($H$45&lt;0,-1,1),IE131)</f>
        <v>0</v>
      </c>
      <c r="IF132" s="618">
        <f t="shared" ref="IF132:IF195" si="740">IF(AND(HX132&lt;$IE$1,HY132&lt;$IF$1,$AY$31),HY132+$IF$3,IF131)</f>
        <v>40.704999999999998</v>
      </c>
      <c r="IG132" s="618"/>
      <c r="IH132" s="618">
        <f t="shared" ref="IH132:IH195" si="741">IF(AND(HX132&lt;$IH$1,HY132&lt;$II$1,$AY$31),(HX132*1000)*IF($L$45&lt;0,-1,1),IH131)</f>
        <v>0</v>
      </c>
      <c r="II132" s="618">
        <f t="shared" ref="II132:II195" si="742">IF(AND(HX132&lt;$IH$1,HY132&lt;$II$1,$AY$31),HY132+$II$3,II131)</f>
        <v>40.704999999999998</v>
      </c>
      <c r="IJ132" s="618"/>
      <c r="IK132" s="618">
        <f t="shared" ref="IK132:IK195" si="743">IF(AND(HX132&lt;$IK$1,HY132&lt;$IL$1,$AY$31),(HX132*1000)*IF($P$45&lt;0,-1,1),IK131)</f>
        <v>0</v>
      </c>
      <c r="IL132" s="618">
        <f t="shared" ref="IL132:IL195" si="744">IF(AND(HX132&lt;$IK$1,HY132&lt;$IL$1,$AY$31),HY132+$IL$3,IL131)</f>
        <v>40.704999999999998</v>
      </c>
      <c r="IM132" s="618"/>
      <c r="IN132" s="618">
        <f t="shared" ref="IN132:IN195" si="745">IF(AND(HX132&lt;$IN$1,HY132&lt;$IO$1,$AY$31),(HX132*1000)*IF($T$45&lt;0,-1,1),IN131)</f>
        <v>0</v>
      </c>
      <c r="IO132" s="618">
        <f t="shared" ref="IO132:IO195" si="746">IF(AND(HX132&lt;$IN$1,HY132&lt;$IO$1,$AY$31),HY132+$IO$3,IO131)</f>
        <v>40.704999999999998</v>
      </c>
      <c r="IP132" s="618"/>
      <c r="IQ132" s="618">
        <f t="shared" ref="IQ132:IQ195" si="747">IF(AND(HX132&lt;$IQ$1,HY132&lt;$IR$1,$AY$31),(HX132*1000)*IF($X$45&lt;0,-1,1),IQ131)</f>
        <v>0</v>
      </c>
      <c r="IR132" s="618">
        <f t="shared" ref="IR132:IR195" si="748">IF(AND(HX132&lt;$IQ$1,HY132&lt;$IR$1,$AY$31),HY132+$IR$3,IR131)</f>
        <v>40.704999999999998</v>
      </c>
      <c r="IS132" s="639"/>
      <c r="IT132" s="660" t="str">
        <f t="shared" si="733"/>
        <v>SCR150</v>
      </c>
      <c r="IU132" s="628"/>
      <c r="IV132" s="439">
        <f t="shared" si="580"/>
        <v>6.4050000000000011</v>
      </c>
      <c r="IW132" s="440">
        <f t="shared" si="581"/>
        <v>4.9050000000000011</v>
      </c>
      <c r="IX132" s="439">
        <f t="shared" si="582"/>
        <v>-3.4050000000000011</v>
      </c>
      <c r="IY132" s="439">
        <f t="shared" si="583"/>
        <v>0</v>
      </c>
      <c r="IZ132" s="439">
        <f t="shared" si="584"/>
        <v>0</v>
      </c>
      <c r="JA132" s="439">
        <f t="shared" si="585"/>
        <v>0</v>
      </c>
      <c r="JB132" s="439">
        <f t="shared" si="586"/>
        <v>0</v>
      </c>
      <c r="JC132" s="439">
        <f t="shared" si="587"/>
        <v>0</v>
      </c>
      <c r="JD132" s="439">
        <f t="shared" si="588"/>
        <v>0</v>
      </c>
      <c r="JE132" s="439">
        <f t="shared" si="589"/>
        <v>0</v>
      </c>
      <c r="JF132" s="439">
        <f t="shared" si="590"/>
        <v>0</v>
      </c>
      <c r="JG132" s="439">
        <f t="shared" si="591"/>
        <v>0</v>
      </c>
      <c r="JH132" s="439">
        <f t="shared" si="592"/>
        <v>0</v>
      </c>
      <c r="JI132" s="439">
        <f t="shared" si="593"/>
        <v>0</v>
      </c>
      <c r="JJ132" s="442">
        <f t="shared" si="594"/>
        <v>0</v>
      </c>
      <c r="JK132" s="442">
        <f t="shared" si="595"/>
        <v>0</v>
      </c>
      <c r="JL132" s="439">
        <f t="shared" si="596"/>
        <v>0</v>
      </c>
      <c r="JM132" s="439">
        <f t="shared" si="597"/>
        <v>0</v>
      </c>
      <c r="JN132" s="661">
        <f t="shared" si="598"/>
        <v>0</v>
      </c>
      <c r="JO132" s="661">
        <f t="shared" si="599"/>
        <v>0</v>
      </c>
      <c r="JP132" s="439">
        <f t="shared" si="600"/>
        <v>0</v>
      </c>
      <c r="JQ132" s="439">
        <f t="shared" si="601"/>
        <v>0</v>
      </c>
      <c r="JR132" s="439">
        <f t="shared" si="602"/>
        <v>0</v>
      </c>
      <c r="JS132" s="439">
        <f t="shared" si="603"/>
        <v>0</v>
      </c>
      <c r="JT132" s="631" t="s">
        <v>92</v>
      </c>
      <c r="JU132" s="631">
        <f t="shared" si="459"/>
        <v>0.65233440053895697</v>
      </c>
      <c r="JV132" s="652"/>
    </row>
    <row r="133" spans="1:282" s="579" customFormat="1">
      <c r="A133" s="334"/>
      <c r="U133" s="580"/>
      <c r="V133" s="580"/>
      <c r="AC133" s="580"/>
      <c r="AD133" s="580"/>
      <c r="AL133" s="580"/>
      <c r="AM133" s="580"/>
      <c r="AT133" s="580"/>
      <c r="AU133" s="580"/>
      <c r="AV133" s="581" t="str">
        <f>IF($AY$30,R32,0)</f>
        <v/>
      </c>
      <c r="AW133" s="581">
        <f>IF($AY$32,'Data Sheet'!AA154,0)</f>
        <v>0</v>
      </c>
      <c r="AX133" s="581">
        <f>R31-AY42</f>
        <v>40.704999999999998</v>
      </c>
      <c r="CH133" s="334"/>
      <c r="CI133" s="334"/>
      <c r="CO133" s="694" t="str">
        <f t="shared" si="734"/>
        <v>SCR075</v>
      </c>
      <c r="CP133" s="639"/>
      <c r="CQ133" s="666" t="s">
        <v>362</v>
      </c>
      <c r="CR133" s="660">
        <f>IF(O14,"",HLOOKUP(CQ133,Spec_Sheet!$F$3:$ED$19,2,FALSE))</f>
        <v>307</v>
      </c>
      <c r="CS133" s="660"/>
      <c r="CT133" s="621">
        <f t="shared" si="628"/>
        <v>4.5150629728328182E-4</v>
      </c>
      <c r="CU133" s="621">
        <f t="shared" si="735"/>
        <v>4.1610820357627221E-4</v>
      </c>
      <c r="CV133" s="621">
        <f t="shared" si="630"/>
        <v>2.8896403026130025E-6</v>
      </c>
      <c r="CW133" s="621">
        <f t="shared" si="631"/>
        <v>7.2241007565325063E-7</v>
      </c>
      <c r="CX133" s="621">
        <f t="shared" si="632"/>
        <v>7.2241007565325063E-7</v>
      </c>
      <c r="CY133" s="619">
        <f>HLOOKUP(CQ133,Spec_Sheet!$F$3:$ED$19,13,FALSE)</f>
        <v>4.5999999999999996</v>
      </c>
      <c r="CZ133" s="619">
        <f>VLOOKUP(AC$46,'Shaft Weight'!$A$6:$CD$102,HLOOKUP(CQ133,'Shaft Weight'!$B$2:$CD$5,4),TRUE)</f>
        <v>0</v>
      </c>
      <c r="DA133" s="619"/>
      <c r="DB133" s="619">
        <f>HLOOKUP(CQ133,Spec_Sheet!$F$3:$ED$19,6,FALSE)</f>
        <v>35</v>
      </c>
      <c r="DC133" s="439">
        <f t="shared" si="633"/>
        <v>6.4050000000000011</v>
      </c>
      <c r="DD133" s="440">
        <f t="shared" si="634"/>
        <v>4.9050000000000011</v>
      </c>
      <c r="DE133" s="439">
        <f t="shared" si="635"/>
        <v>-3.4050000000000011</v>
      </c>
      <c r="DF133" s="439">
        <f t="shared" si="636"/>
        <v>0</v>
      </c>
      <c r="DG133" s="439">
        <f t="shared" si="637"/>
        <v>0</v>
      </c>
      <c r="DH133" s="439">
        <f t="shared" si="638"/>
        <v>0</v>
      </c>
      <c r="DI133" s="439">
        <f t="shared" si="639"/>
        <v>0</v>
      </c>
      <c r="DJ133" s="439">
        <f t="shared" si="640"/>
        <v>0</v>
      </c>
      <c r="DK133" s="439">
        <f t="shared" si="641"/>
        <v>0</v>
      </c>
      <c r="DL133" s="439">
        <f t="shared" si="642"/>
        <v>0</v>
      </c>
      <c r="DM133" s="439">
        <f t="shared" si="643"/>
        <v>0</v>
      </c>
      <c r="DN133" s="439">
        <f t="shared" si="644"/>
        <v>0</v>
      </c>
      <c r="DO133" s="439">
        <f t="shared" si="645"/>
        <v>0</v>
      </c>
      <c r="DP133" s="439">
        <f t="shared" si="646"/>
        <v>0</v>
      </c>
      <c r="DQ133" s="442">
        <f t="shared" si="647"/>
        <v>0</v>
      </c>
      <c r="DR133" s="442">
        <f t="shared" si="648"/>
        <v>0</v>
      </c>
      <c r="DS133" s="439">
        <f t="shared" si="649"/>
        <v>0</v>
      </c>
      <c r="DT133" s="439">
        <f t="shared" si="650"/>
        <v>0</v>
      </c>
      <c r="DU133" s="661">
        <f t="shared" si="651"/>
        <v>0</v>
      </c>
      <c r="DV133" s="661">
        <f t="shared" si="652"/>
        <v>0</v>
      </c>
      <c r="DW133" s="439">
        <f t="shared" si="653"/>
        <v>0</v>
      </c>
      <c r="DX133" s="439">
        <f t="shared" si="654"/>
        <v>0</v>
      </c>
      <c r="DY133" s="439">
        <f t="shared" si="655"/>
        <v>0</v>
      </c>
      <c r="DZ133" s="439">
        <f t="shared" si="656"/>
        <v>0</v>
      </c>
      <c r="EA133" s="631" t="s">
        <v>92</v>
      </c>
      <c r="EB133" s="631">
        <f t="shared" si="657"/>
        <v>0.65233440053895697</v>
      </c>
      <c r="EC133" s="618"/>
      <c r="ED133" s="439">
        <f t="shared" si="658"/>
        <v>0.51240000000000008</v>
      </c>
      <c r="EE133" s="440">
        <f t="shared" si="659"/>
        <v>0.39240000000000008</v>
      </c>
      <c r="EF133" s="439">
        <f t="shared" si="660"/>
        <v>-0.27240000000000009</v>
      </c>
      <c r="EG133" s="441">
        <f t="shared" si="661"/>
        <v>0</v>
      </c>
      <c r="EH133" s="439">
        <f t="shared" si="662"/>
        <v>0</v>
      </c>
      <c r="EI133" s="439">
        <f t="shared" si="663"/>
        <v>0</v>
      </c>
      <c r="EJ133" s="439">
        <f t="shared" si="664"/>
        <v>0</v>
      </c>
      <c r="EK133" s="439">
        <f t="shared" si="665"/>
        <v>0</v>
      </c>
      <c r="EL133" s="439">
        <f t="shared" si="666"/>
        <v>0</v>
      </c>
      <c r="EM133" s="439">
        <f t="shared" si="667"/>
        <v>0</v>
      </c>
      <c r="EN133" s="439">
        <f t="shared" si="668"/>
        <v>0</v>
      </c>
      <c r="EO133" s="439">
        <f t="shared" si="669"/>
        <v>0</v>
      </c>
      <c r="EP133" s="439">
        <f t="shared" si="670"/>
        <v>0</v>
      </c>
      <c r="EQ133" s="439">
        <f t="shared" si="671"/>
        <v>0</v>
      </c>
      <c r="ER133" s="442">
        <f t="shared" si="672"/>
        <v>0</v>
      </c>
      <c r="ES133" s="442">
        <f t="shared" si="673"/>
        <v>0</v>
      </c>
      <c r="ET133" s="439">
        <f t="shared" si="674"/>
        <v>0</v>
      </c>
      <c r="EU133" s="439">
        <f t="shared" si="675"/>
        <v>0</v>
      </c>
      <c r="EV133" s="661">
        <f t="shared" si="676"/>
        <v>0</v>
      </c>
      <c r="EW133" s="661">
        <f t="shared" si="677"/>
        <v>0</v>
      </c>
      <c r="EX133" s="439">
        <f t="shared" si="678"/>
        <v>0</v>
      </c>
      <c r="EY133" s="439">
        <f t="shared" si="679"/>
        <v>0</v>
      </c>
      <c r="EZ133" s="439">
        <f t="shared" si="680"/>
        <v>0</v>
      </c>
      <c r="FA133" s="439">
        <f t="shared" si="681"/>
        <v>0</v>
      </c>
      <c r="FB133" s="631" t="s">
        <v>92</v>
      </c>
      <c r="FC133" s="631">
        <f t="shared" si="682"/>
        <v>5.2186752043116555E-2</v>
      </c>
      <c r="FD133" s="618"/>
      <c r="FE133" s="439">
        <f t="shared" si="683"/>
        <v>0.51240000000000008</v>
      </c>
      <c r="FF133" s="440">
        <f t="shared" si="684"/>
        <v>0.39240000000000008</v>
      </c>
      <c r="FG133" s="439">
        <f t="shared" si="685"/>
        <v>-0.27240000000000009</v>
      </c>
      <c r="FH133" s="441">
        <f t="shared" si="686"/>
        <v>0</v>
      </c>
      <c r="FI133" s="439">
        <f t="shared" si="687"/>
        <v>0</v>
      </c>
      <c r="FJ133" s="439">
        <f t="shared" si="688"/>
        <v>0</v>
      </c>
      <c r="FK133" s="439">
        <f t="shared" si="689"/>
        <v>0</v>
      </c>
      <c r="FL133" s="439">
        <f t="shared" si="690"/>
        <v>0</v>
      </c>
      <c r="FM133" s="439">
        <f t="shared" si="691"/>
        <v>0</v>
      </c>
      <c r="FN133" s="439">
        <f t="shared" si="692"/>
        <v>0</v>
      </c>
      <c r="FO133" s="439">
        <f t="shared" si="693"/>
        <v>0</v>
      </c>
      <c r="FP133" s="439">
        <f t="shared" si="694"/>
        <v>0</v>
      </c>
      <c r="FQ133" s="439">
        <f t="shared" si="695"/>
        <v>0</v>
      </c>
      <c r="FR133" s="439">
        <f t="shared" si="696"/>
        <v>0</v>
      </c>
      <c r="FS133" s="442">
        <f t="shared" si="697"/>
        <v>0</v>
      </c>
      <c r="FT133" s="442">
        <f t="shared" si="698"/>
        <v>0</v>
      </c>
      <c r="FU133" s="439">
        <f t="shared" si="699"/>
        <v>0</v>
      </c>
      <c r="FV133" s="439">
        <f t="shared" si="700"/>
        <v>0</v>
      </c>
      <c r="FW133" s="661">
        <f t="shared" si="701"/>
        <v>0</v>
      </c>
      <c r="FX133" s="661">
        <f t="shared" si="702"/>
        <v>0</v>
      </c>
      <c r="FY133" s="439">
        <f t="shared" si="703"/>
        <v>0</v>
      </c>
      <c r="FZ133" s="439">
        <f t="shared" si="704"/>
        <v>0</v>
      </c>
      <c r="GA133" s="439">
        <f t="shared" si="705"/>
        <v>0</v>
      </c>
      <c r="GB133" s="439">
        <f t="shared" si="706"/>
        <v>0</v>
      </c>
      <c r="GC133" s="631" t="s">
        <v>92</v>
      </c>
      <c r="GD133" s="631">
        <f t="shared" si="707"/>
        <v>5.2186752043116555E-2</v>
      </c>
      <c r="GE133" s="618"/>
      <c r="GF133" s="439">
        <f t="shared" si="708"/>
        <v>0.51240000000000008</v>
      </c>
      <c r="GG133" s="440">
        <f t="shared" si="709"/>
        <v>0.39240000000000008</v>
      </c>
      <c r="GH133" s="439">
        <f t="shared" si="710"/>
        <v>-0.27240000000000009</v>
      </c>
      <c r="GI133" s="439">
        <f t="shared" si="711"/>
        <v>0</v>
      </c>
      <c r="GJ133" s="439">
        <f t="shared" si="712"/>
        <v>0</v>
      </c>
      <c r="GK133" s="439">
        <f t="shared" si="713"/>
        <v>0</v>
      </c>
      <c r="GL133" s="439">
        <f t="shared" si="714"/>
        <v>0</v>
      </c>
      <c r="GM133" s="439">
        <f t="shared" si="715"/>
        <v>0</v>
      </c>
      <c r="GN133" s="439">
        <f t="shared" si="716"/>
        <v>0</v>
      </c>
      <c r="GO133" s="439">
        <f t="shared" si="717"/>
        <v>0</v>
      </c>
      <c r="GP133" s="439">
        <f t="shared" si="718"/>
        <v>0</v>
      </c>
      <c r="GQ133" s="439">
        <f t="shared" si="719"/>
        <v>0</v>
      </c>
      <c r="GR133" s="439">
        <f t="shared" si="720"/>
        <v>0</v>
      </c>
      <c r="GS133" s="439">
        <f t="shared" si="721"/>
        <v>0</v>
      </c>
      <c r="GT133" s="442">
        <f t="shared" si="722"/>
        <v>0</v>
      </c>
      <c r="GU133" s="442">
        <f t="shared" si="723"/>
        <v>0</v>
      </c>
      <c r="GV133" s="439">
        <f t="shared" si="724"/>
        <v>0</v>
      </c>
      <c r="GW133" s="439">
        <f t="shared" si="725"/>
        <v>0</v>
      </c>
      <c r="GX133" s="661">
        <f t="shared" si="726"/>
        <v>0</v>
      </c>
      <c r="GY133" s="661">
        <f t="shared" si="727"/>
        <v>0</v>
      </c>
      <c r="GZ133" s="439">
        <f t="shared" si="728"/>
        <v>0</v>
      </c>
      <c r="HA133" s="439">
        <f t="shared" si="729"/>
        <v>0</v>
      </c>
      <c r="HB133" s="439">
        <f t="shared" si="730"/>
        <v>0</v>
      </c>
      <c r="HC133" s="439">
        <f t="shared" si="731"/>
        <v>0</v>
      </c>
      <c r="HD133" s="631" t="s">
        <v>92</v>
      </c>
      <c r="HE133" s="631">
        <f t="shared" si="732"/>
        <v>5.2186752043116555E-2</v>
      </c>
      <c r="HF133" s="639"/>
      <c r="HG133" s="639"/>
      <c r="HH133" s="639"/>
      <c r="HI133" s="639"/>
      <c r="HJ133" s="639"/>
      <c r="HK133" s="639"/>
      <c r="HL133" s="639"/>
      <c r="HM133" s="639"/>
      <c r="HN133" s="639"/>
      <c r="HO133" s="639"/>
      <c r="HP133" s="639"/>
      <c r="HQ133" s="639"/>
      <c r="HR133" s="639">
        <v>6.5000000000000002E-2</v>
      </c>
      <c r="HS133" s="639">
        <f t="shared" si="457"/>
        <v>436.42857142857144</v>
      </c>
      <c r="HT133" s="639">
        <f t="shared" si="458"/>
        <v>1</v>
      </c>
      <c r="HU133" s="618">
        <f t="shared" si="466"/>
        <v>1.6556159403629824</v>
      </c>
      <c r="HV133" s="618"/>
      <c r="HW133" s="618">
        <f t="shared" si="736"/>
        <v>33.649025364684562</v>
      </c>
      <c r="HX133" s="618">
        <f t="shared" si="467"/>
        <v>1.6011402151719749</v>
      </c>
      <c r="HY133" s="618">
        <f t="shared" si="468"/>
        <v>6.5000000000000002E-2</v>
      </c>
      <c r="HZ133" s="618"/>
      <c r="IA133" s="618"/>
      <c r="IB133" s="618">
        <f t="shared" si="737"/>
        <v>25.000350341399081</v>
      </c>
      <c r="IC133" s="618">
        <f t="shared" si="738"/>
        <v>1E-3</v>
      </c>
      <c r="ID133" s="618"/>
      <c r="IE133" s="618">
        <f t="shared" si="739"/>
        <v>0</v>
      </c>
      <c r="IF133" s="618">
        <f t="shared" si="740"/>
        <v>40.704999999999998</v>
      </c>
      <c r="IG133" s="618"/>
      <c r="IH133" s="618">
        <f t="shared" si="741"/>
        <v>0</v>
      </c>
      <c r="II133" s="618">
        <f t="shared" si="742"/>
        <v>40.704999999999998</v>
      </c>
      <c r="IJ133" s="618"/>
      <c r="IK133" s="618">
        <f t="shared" si="743"/>
        <v>0</v>
      </c>
      <c r="IL133" s="618">
        <f t="shared" si="744"/>
        <v>40.704999999999998</v>
      </c>
      <c r="IM133" s="618"/>
      <c r="IN133" s="618">
        <f t="shared" si="745"/>
        <v>0</v>
      </c>
      <c r="IO133" s="618">
        <f t="shared" si="746"/>
        <v>40.704999999999998</v>
      </c>
      <c r="IP133" s="618"/>
      <c r="IQ133" s="618">
        <f t="shared" si="747"/>
        <v>0</v>
      </c>
      <c r="IR133" s="618">
        <f t="shared" si="748"/>
        <v>40.704999999999998</v>
      </c>
      <c r="IS133" s="639"/>
      <c r="IT133" s="640"/>
      <c r="IU133" s="640"/>
      <c r="IV133" s="640"/>
      <c r="IW133" s="640"/>
      <c r="IX133" s="640"/>
      <c r="IY133" s="640"/>
      <c r="IZ133" s="640"/>
      <c r="JA133" s="640"/>
      <c r="JB133" s="640"/>
      <c r="JC133" s="640"/>
      <c r="JD133" s="640"/>
      <c r="JE133" s="640"/>
      <c r="JF133" s="640"/>
      <c r="JG133" s="640"/>
      <c r="JH133" s="640"/>
      <c r="JI133" s="640"/>
      <c r="JJ133" s="640"/>
      <c r="JK133" s="640"/>
      <c r="JL133" s="640"/>
      <c r="JM133" s="640"/>
      <c r="JN133" s="640"/>
      <c r="JO133" s="640"/>
      <c r="JP133" s="640"/>
      <c r="JQ133" s="640"/>
      <c r="JR133" s="640"/>
      <c r="JS133" s="640"/>
      <c r="JT133" s="640"/>
      <c r="JU133" s="640"/>
      <c r="JV133" s="652"/>
    </row>
    <row r="134" spans="1:282" s="579" customFormat="1">
      <c r="A134" s="334"/>
      <c r="U134" s="580"/>
      <c r="V134" s="580"/>
      <c r="AC134" s="580"/>
      <c r="AD134" s="580"/>
      <c r="AL134" s="580"/>
      <c r="AM134" s="580"/>
      <c r="AT134" s="580"/>
      <c r="AU134" s="580"/>
      <c r="AV134" s="581" t="str">
        <f>IF($AY$30,S32,0)</f>
        <v/>
      </c>
      <c r="AW134" s="581">
        <f>IF($AY$32,'Data Sheet'!AA155,0)</f>
        <v>0</v>
      </c>
      <c r="AX134" s="581">
        <f>S31-AY46</f>
        <v>40.704999999999998</v>
      </c>
      <c r="CH134" s="334"/>
      <c r="CI134" s="334"/>
      <c r="CO134" s="694" t="str">
        <f t="shared" si="734"/>
        <v>SCR100</v>
      </c>
      <c r="CP134" s="639"/>
      <c r="CQ134" s="666" t="s">
        <v>358</v>
      </c>
      <c r="CR134" s="660">
        <f>HLOOKUP(CQ134,Spec_Sheet!$F$3:$ED$19,2,FALSE)</f>
        <v>0</v>
      </c>
      <c r="CS134" s="660"/>
      <c r="CT134" s="621" t="e">
        <f t="shared" si="628"/>
        <v>#DIV/0!</v>
      </c>
      <c r="CU134" s="621" t="e">
        <f t="shared" si="735"/>
        <v>#DIV/0!</v>
      </c>
      <c r="CV134" s="621" t="e">
        <f t="shared" si="630"/>
        <v>#DIV/0!</v>
      </c>
      <c r="CW134" s="621" t="e">
        <f t="shared" si="631"/>
        <v>#DIV/0!</v>
      </c>
      <c r="CX134" s="621" t="e">
        <f t="shared" si="632"/>
        <v>#DIV/0!</v>
      </c>
      <c r="CY134" s="619">
        <f>HLOOKUP(CQ134,Spec_Sheet!$F$3:$ED$19,13,FALSE)</f>
        <v>0</v>
      </c>
      <c r="CZ134" s="619">
        <f>VLOOKUP(AC$46,'Shaft Weight'!$A$6:$CD$102,HLOOKUP(CQ134,'Shaft Weight'!$B$2:$CD$5,4),TRUE)</f>
        <v>0</v>
      </c>
      <c r="DA134" s="619">
        <f>Custom!L15</f>
        <v>0</v>
      </c>
      <c r="DB134" s="619">
        <f>HLOOKUP(CQ134,Spec_Sheet!$F$3:$ED$19,6,FALSE)</f>
        <v>0</v>
      </c>
      <c r="DC134" s="439">
        <f t="shared" si="633"/>
        <v>0.51240000000000008</v>
      </c>
      <c r="DD134" s="440">
        <f t="shared" si="634"/>
        <v>0.39240000000000008</v>
      </c>
      <c r="DE134" s="439">
        <f t="shared" si="635"/>
        <v>-0.27240000000000009</v>
      </c>
      <c r="DF134" s="439">
        <f t="shared" si="636"/>
        <v>0</v>
      </c>
      <c r="DG134" s="439">
        <f t="shared" si="637"/>
        <v>0</v>
      </c>
      <c r="DH134" s="439">
        <f t="shared" si="638"/>
        <v>0</v>
      </c>
      <c r="DI134" s="439">
        <f t="shared" si="639"/>
        <v>0</v>
      </c>
      <c r="DJ134" s="439">
        <f t="shared" si="640"/>
        <v>0</v>
      </c>
      <c r="DK134" s="439">
        <f t="shared" si="641"/>
        <v>0</v>
      </c>
      <c r="DL134" s="439">
        <f t="shared" si="642"/>
        <v>0</v>
      </c>
      <c r="DM134" s="439">
        <f t="shared" si="643"/>
        <v>0</v>
      </c>
      <c r="DN134" s="439">
        <f t="shared" si="644"/>
        <v>0</v>
      </c>
      <c r="DO134" s="439">
        <f t="shared" si="645"/>
        <v>0</v>
      </c>
      <c r="DP134" s="439">
        <f t="shared" si="646"/>
        <v>0</v>
      </c>
      <c r="DQ134" s="442">
        <f t="shared" si="647"/>
        <v>0</v>
      </c>
      <c r="DR134" s="442">
        <f t="shared" si="648"/>
        <v>0</v>
      </c>
      <c r="DS134" s="439">
        <f t="shared" si="649"/>
        <v>0</v>
      </c>
      <c r="DT134" s="439">
        <f t="shared" si="650"/>
        <v>0</v>
      </c>
      <c r="DU134" s="661">
        <f t="shared" si="651"/>
        <v>0</v>
      </c>
      <c r="DV134" s="661">
        <f t="shared" si="652"/>
        <v>0</v>
      </c>
      <c r="DW134" s="439">
        <f t="shared" si="653"/>
        <v>0</v>
      </c>
      <c r="DX134" s="439">
        <f t="shared" si="654"/>
        <v>0</v>
      </c>
      <c r="DY134" s="439">
        <f t="shared" si="655"/>
        <v>0</v>
      </c>
      <c r="DZ134" s="439">
        <f t="shared" si="656"/>
        <v>0</v>
      </c>
      <c r="EA134" s="631" t="s">
        <v>92</v>
      </c>
      <c r="EB134" s="631">
        <f t="shared" si="657"/>
        <v>5.2186752043116555E-2</v>
      </c>
      <c r="EC134" s="618"/>
      <c r="ED134" s="439">
        <f t="shared" si="658"/>
        <v>0.51240000000000008</v>
      </c>
      <c r="EE134" s="440">
        <f t="shared" si="659"/>
        <v>0.39240000000000008</v>
      </c>
      <c r="EF134" s="439">
        <f t="shared" si="660"/>
        <v>-0.27240000000000009</v>
      </c>
      <c r="EG134" s="441">
        <f t="shared" si="661"/>
        <v>0</v>
      </c>
      <c r="EH134" s="439">
        <f t="shared" si="662"/>
        <v>0</v>
      </c>
      <c r="EI134" s="439">
        <f t="shared" si="663"/>
        <v>0</v>
      </c>
      <c r="EJ134" s="439">
        <f t="shared" si="664"/>
        <v>0</v>
      </c>
      <c r="EK134" s="439">
        <f t="shared" si="665"/>
        <v>0</v>
      </c>
      <c r="EL134" s="439">
        <f t="shared" si="666"/>
        <v>0</v>
      </c>
      <c r="EM134" s="439">
        <f t="shared" si="667"/>
        <v>0</v>
      </c>
      <c r="EN134" s="439">
        <f t="shared" si="668"/>
        <v>0</v>
      </c>
      <c r="EO134" s="439">
        <f t="shared" si="669"/>
        <v>0</v>
      </c>
      <c r="EP134" s="439">
        <f t="shared" si="670"/>
        <v>0</v>
      </c>
      <c r="EQ134" s="439">
        <f t="shared" si="671"/>
        <v>0</v>
      </c>
      <c r="ER134" s="442">
        <f t="shared" si="672"/>
        <v>0</v>
      </c>
      <c r="ES134" s="442">
        <f t="shared" si="673"/>
        <v>0</v>
      </c>
      <c r="ET134" s="439">
        <f t="shared" si="674"/>
        <v>0</v>
      </c>
      <c r="EU134" s="439">
        <f t="shared" si="675"/>
        <v>0</v>
      </c>
      <c r="EV134" s="661">
        <f t="shared" si="676"/>
        <v>0</v>
      </c>
      <c r="EW134" s="661">
        <f t="shared" si="677"/>
        <v>0</v>
      </c>
      <c r="EX134" s="439">
        <f t="shared" si="678"/>
        <v>0</v>
      </c>
      <c r="EY134" s="439">
        <f t="shared" si="679"/>
        <v>0</v>
      </c>
      <c r="EZ134" s="439">
        <f t="shared" si="680"/>
        <v>0</v>
      </c>
      <c r="FA134" s="439">
        <f t="shared" si="681"/>
        <v>0</v>
      </c>
      <c r="FB134" s="631" t="s">
        <v>92</v>
      </c>
      <c r="FC134" s="631">
        <f t="shared" si="682"/>
        <v>5.2186752043116555E-2</v>
      </c>
      <c r="FD134" s="618"/>
      <c r="FE134" s="439">
        <f t="shared" si="683"/>
        <v>0.51240000000000008</v>
      </c>
      <c r="FF134" s="440">
        <f t="shared" si="684"/>
        <v>0.39240000000000008</v>
      </c>
      <c r="FG134" s="439">
        <f t="shared" si="685"/>
        <v>-0.27240000000000009</v>
      </c>
      <c r="FH134" s="441">
        <f t="shared" si="686"/>
        <v>0</v>
      </c>
      <c r="FI134" s="439">
        <f t="shared" si="687"/>
        <v>0</v>
      </c>
      <c r="FJ134" s="439">
        <f t="shared" si="688"/>
        <v>0</v>
      </c>
      <c r="FK134" s="439">
        <f t="shared" si="689"/>
        <v>0</v>
      </c>
      <c r="FL134" s="439">
        <f t="shared" si="690"/>
        <v>0</v>
      </c>
      <c r="FM134" s="439">
        <f t="shared" si="691"/>
        <v>0</v>
      </c>
      <c r="FN134" s="439">
        <f t="shared" si="692"/>
        <v>0</v>
      </c>
      <c r="FO134" s="439">
        <f t="shared" si="693"/>
        <v>0</v>
      </c>
      <c r="FP134" s="439">
        <f t="shared" si="694"/>
        <v>0</v>
      </c>
      <c r="FQ134" s="439">
        <f t="shared" si="695"/>
        <v>0</v>
      </c>
      <c r="FR134" s="439">
        <f t="shared" si="696"/>
        <v>0</v>
      </c>
      <c r="FS134" s="442">
        <f t="shared" si="697"/>
        <v>0</v>
      </c>
      <c r="FT134" s="442">
        <f t="shared" si="698"/>
        <v>0</v>
      </c>
      <c r="FU134" s="439">
        <f t="shared" si="699"/>
        <v>0</v>
      </c>
      <c r="FV134" s="439">
        <f t="shared" si="700"/>
        <v>0</v>
      </c>
      <c r="FW134" s="661">
        <f t="shared" si="701"/>
        <v>0</v>
      </c>
      <c r="FX134" s="661">
        <f t="shared" si="702"/>
        <v>0</v>
      </c>
      <c r="FY134" s="439">
        <f t="shared" si="703"/>
        <v>0</v>
      </c>
      <c r="FZ134" s="439">
        <f t="shared" si="704"/>
        <v>0</v>
      </c>
      <c r="GA134" s="439">
        <f t="shared" si="705"/>
        <v>0</v>
      </c>
      <c r="GB134" s="439">
        <f t="shared" si="706"/>
        <v>0</v>
      </c>
      <c r="GC134" s="631" t="s">
        <v>92</v>
      </c>
      <c r="GD134" s="631">
        <f t="shared" si="707"/>
        <v>5.2186752043116555E-2</v>
      </c>
      <c r="GE134" s="618"/>
      <c r="GF134" s="439">
        <f t="shared" si="708"/>
        <v>0.51240000000000008</v>
      </c>
      <c r="GG134" s="440">
        <f t="shared" si="709"/>
        <v>0.39240000000000008</v>
      </c>
      <c r="GH134" s="439">
        <f t="shared" si="710"/>
        <v>-0.27240000000000009</v>
      </c>
      <c r="GI134" s="439">
        <f t="shared" si="711"/>
        <v>0</v>
      </c>
      <c r="GJ134" s="439">
        <f t="shared" si="712"/>
        <v>0</v>
      </c>
      <c r="GK134" s="439">
        <f t="shared" si="713"/>
        <v>0</v>
      </c>
      <c r="GL134" s="439">
        <f t="shared" si="714"/>
        <v>0</v>
      </c>
      <c r="GM134" s="439">
        <f t="shared" si="715"/>
        <v>0</v>
      </c>
      <c r="GN134" s="439">
        <f t="shared" si="716"/>
        <v>0</v>
      </c>
      <c r="GO134" s="439">
        <f t="shared" si="717"/>
        <v>0</v>
      </c>
      <c r="GP134" s="439">
        <f t="shared" si="718"/>
        <v>0</v>
      </c>
      <c r="GQ134" s="439">
        <f t="shared" si="719"/>
        <v>0</v>
      </c>
      <c r="GR134" s="439">
        <f t="shared" si="720"/>
        <v>0</v>
      </c>
      <c r="GS134" s="439">
        <f t="shared" si="721"/>
        <v>0</v>
      </c>
      <c r="GT134" s="442">
        <f t="shared" si="722"/>
        <v>0</v>
      </c>
      <c r="GU134" s="442">
        <f t="shared" si="723"/>
        <v>0</v>
      </c>
      <c r="GV134" s="439">
        <f t="shared" si="724"/>
        <v>0</v>
      </c>
      <c r="GW134" s="439">
        <f t="shared" si="725"/>
        <v>0</v>
      </c>
      <c r="GX134" s="661">
        <f t="shared" si="726"/>
        <v>0</v>
      </c>
      <c r="GY134" s="661">
        <f t="shared" si="727"/>
        <v>0</v>
      </c>
      <c r="GZ134" s="439">
        <f t="shared" si="728"/>
        <v>0</v>
      </c>
      <c r="HA134" s="439">
        <f t="shared" si="729"/>
        <v>0</v>
      </c>
      <c r="HB134" s="439">
        <f t="shared" si="730"/>
        <v>0</v>
      </c>
      <c r="HC134" s="439">
        <f t="shared" si="731"/>
        <v>0</v>
      </c>
      <c r="HD134" s="631" t="s">
        <v>92</v>
      </c>
      <c r="HE134" s="631">
        <f t="shared" si="732"/>
        <v>5.2186752043116555E-2</v>
      </c>
      <c r="HF134" s="639"/>
      <c r="HG134" s="639"/>
      <c r="HH134" s="639"/>
      <c r="HI134" s="639"/>
      <c r="HJ134" s="639"/>
      <c r="HK134" s="639"/>
      <c r="HL134" s="639"/>
      <c r="HM134" s="639"/>
      <c r="HN134" s="639"/>
      <c r="HO134" s="639"/>
      <c r="HP134" s="639"/>
      <c r="HQ134" s="639"/>
      <c r="HR134" s="639">
        <v>6.5500000000000003E-2</v>
      </c>
      <c r="HS134" s="639">
        <f t="shared" ref="HS134:HS197" si="749">HR134/$AQ$43</f>
        <v>439.78571428571428</v>
      </c>
      <c r="HT134" s="639">
        <f t="shared" ref="HT134:HT197" si="750">1-EXP(-HS134)</f>
        <v>1</v>
      </c>
      <c r="HU134" s="618">
        <f t="shared" si="466"/>
        <v>1.6683549843366072</v>
      </c>
      <c r="HV134" s="618"/>
      <c r="HW134" s="618">
        <f t="shared" si="736"/>
        <v>33.630935922242017</v>
      </c>
      <c r="HX134" s="618">
        <f t="shared" si="467"/>
        <v>1.6130409366049638</v>
      </c>
      <c r="HY134" s="618">
        <f t="shared" si="468"/>
        <v>6.5500000000000003E-2</v>
      </c>
      <c r="HZ134" s="618"/>
      <c r="IA134" s="618"/>
      <c r="IB134" s="618">
        <f t="shared" si="737"/>
        <v>25.000350341399081</v>
      </c>
      <c r="IC134" s="618">
        <f t="shared" si="738"/>
        <v>1E-3</v>
      </c>
      <c r="ID134" s="618"/>
      <c r="IE134" s="618">
        <f t="shared" si="739"/>
        <v>0</v>
      </c>
      <c r="IF134" s="618">
        <f t="shared" si="740"/>
        <v>40.704999999999998</v>
      </c>
      <c r="IG134" s="618"/>
      <c r="IH134" s="618">
        <f t="shared" si="741"/>
        <v>0</v>
      </c>
      <c r="II134" s="618">
        <f t="shared" si="742"/>
        <v>40.704999999999998</v>
      </c>
      <c r="IJ134" s="618"/>
      <c r="IK134" s="618">
        <f t="shared" si="743"/>
        <v>0</v>
      </c>
      <c r="IL134" s="618">
        <f t="shared" si="744"/>
        <v>40.704999999999998</v>
      </c>
      <c r="IM134" s="618"/>
      <c r="IN134" s="618">
        <f t="shared" si="745"/>
        <v>0</v>
      </c>
      <c r="IO134" s="618">
        <f t="shared" si="746"/>
        <v>40.704999999999998</v>
      </c>
      <c r="IP134" s="618"/>
      <c r="IQ134" s="618">
        <f t="shared" si="747"/>
        <v>0</v>
      </c>
      <c r="IR134" s="618">
        <f t="shared" si="748"/>
        <v>40.704999999999998</v>
      </c>
      <c r="IS134" s="639"/>
      <c r="IT134" s="640"/>
      <c r="IU134" s="640"/>
      <c r="IV134" s="640"/>
      <c r="IW134" s="640"/>
      <c r="IX134" s="640"/>
      <c r="IY134" s="640"/>
      <c r="IZ134" s="640"/>
      <c r="JA134" s="640"/>
      <c r="JB134" s="640"/>
      <c r="JC134" s="640"/>
      <c r="JD134" s="640"/>
      <c r="JE134" s="640"/>
      <c r="JF134" s="640"/>
      <c r="JG134" s="640"/>
      <c r="JH134" s="640"/>
      <c r="JI134" s="640"/>
      <c r="JJ134" s="640"/>
      <c r="JK134" s="640"/>
      <c r="JL134" s="640"/>
      <c r="JM134" s="640"/>
      <c r="JN134" s="640"/>
      <c r="JO134" s="640"/>
      <c r="JP134" s="640"/>
      <c r="JQ134" s="640"/>
      <c r="JR134" s="640"/>
      <c r="JS134" s="640"/>
      <c r="JT134" s="640"/>
      <c r="JU134" s="640"/>
      <c r="JV134" s="652"/>
    </row>
    <row r="135" spans="1:282" s="579" customFormat="1">
      <c r="A135" s="334"/>
      <c r="U135" s="580"/>
      <c r="V135" s="580"/>
      <c r="AC135" s="580"/>
      <c r="AD135" s="580"/>
      <c r="AL135" s="580"/>
      <c r="AM135" s="580"/>
      <c r="AT135" s="580"/>
      <c r="AU135" s="580"/>
      <c r="AV135" s="581" t="e">
        <f>L83*$L$82</f>
        <v>#DIV/0!</v>
      </c>
      <c r="AW135" s="581" t="e">
        <f>IF($AY$32,'Data Sheet'!AA156,0)</f>
        <v>#DIV/0!</v>
      </c>
      <c r="AX135" s="581">
        <f>AX134</f>
        <v>40.704999999999998</v>
      </c>
      <c r="CH135" s="334"/>
      <c r="CI135" s="334"/>
      <c r="CO135" s="694" t="str">
        <f>CQ132</f>
        <v>SCR150</v>
      </c>
      <c r="CP135" s="639"/>
      <c r="CQ135" s="620"/>
      <c r="CR135" s="620"/>
      <c r="CS135" s="620"/>
      <c r="CT135" s="621"/>
      <c r="CU135" s="621"/>
      <c r="CV135" s="621"/>
      <c r="CW135" s="621"/>
      <c r="CX135" s="621"/>
      <c r="CY135" s="619"/>
      <c r="CZ135" s="619"/>
      <c r="DA135" s="619"/>
      <c r="DB135" s="619"/>
      <c r="DC135" s="439"/>
      <c r="DD135" s="440">
        <f>$DA$134*((IF(E32&lt;0,-E32,E32))/1000)</f>
        <v>0</v>
      </c>
      <c r="DE135" s="440"/>
      <c r="DF135" s="440"/>
      <c r="DG135" s="440"/>
      <c r="DH135" s="440" t="e">
        <f>$DA$134*((IF(I32&lt;0,-I32,I32))/1000)</f>
        <v>#VALUE!</v>
      </c>
      <c r="DI135" s="440"/>
      <c r="DJ135" s="440"/>
      <c r="DK135" s="440"/>
      <c r="DL135" s="440" t="e">
        <f>$DA$134*((IF(M32&lt;0,-M32,M32))/1000)</f>
        <v>#VALUE!</v>
      </c>
      <c r="DM135" s="440"/>
      <c r="DN135" s="440"/>
      <c r="DO135" s="440"/>
      <c r="DP135" s="440" t="e">
        <f>$DA$134*((IF(Q32&lt;0,-Q32,Q32))/1000)</f>
        <v>#VALUE!</v>
      </c>
      <c r="DQ135" s="440"/>
      <c r="DR135" s="440"/>
      <c r="DS135" s="440"/>
      <c r="DT135" s="440" t="e">
        <f>$DA$134*((IF(U32&lt;0,-U32,U32))/1000)</f>
        <v>#VALUE!</v>
      </c>
      <c r="DU135" s="440"/>
      <c r="DV135" s="440"/>
      <c r="DW135" s="440"/>
      <c r="DX135" s="440" t="e">
        <f>$DA$134*((IF(Y32&lt;0,-Y32,Y32))/1000)</f>
        <v>#VALUE!</v>
      </c>
      <c r="DY135" s="440"/>
      <c r="DZ135" s="440"/>
      <c r="EA135" s="631"/>
      <c r="EB135" s="631"/>
      <c r="EC135" s="618"/>
      <c r="ED135" s="439">
        <f t="shared" si="658"/>
        <v>0.51240000000000008</v>
      </c>
      <c r="EE135" s="440">
        <f t="shared" si="659"/>
        <v>0.39240000000000008</v>
      </c>
      <c r="EF135" s="439">
        <f t="shared" si="660"/>
        <v>-0.27240000000000009</v>
      </c>
      <c r="EG135" s="441">
        <f t="shared" si="661"/>
        <v>0</v>
      </c>
      <c r="EH135" s="439">
        <f t="shared" si="662"/>
        <v>0</v>
      </c>
      <c r="EI135" s="439">
        <f t="shared" si="663"/>
        <v>0</v>
      </c>
      <c r="EJ135" s="439">
        <f t="shared" si="664"/>
        <v>0</v>
      </c>
      <c r="EK135" s="439">
        <f t="shared" si="665"/>
        <v>0</v>
      </c>
      <c r="EL135" s="439">
        <f t="shared" si="666"/>
        <v>0</v>
      </c>
      <c r="EM135" s="439">
        <f t="shared" si="667"/>
        <v>0</v>
      </c>
      <c r="EN135" s="439">
        <f t="shared" si="668"/>
        <v>0</v>
      </c>
      <c r="EO135" s="439">
        <f t="shared" si="669"/>
        <v>0</v>
      </c>
      <c r="EP135" s="439">
        <f t="shared" si="670"/>
        <v>0</v>
      </c>
      <c r="EQ135" s="439">
        <f t="shared" si="671"/>
        <v>0</v>
      </c>
      <c r="ER135" s="442">
        <f t="shared" si="672"/>
        <v>0</v>
      </c>
      <c r="ES135" s="442">
        <f t="shared" si="673"/>
        <v>0</v>
      </c>
      <c r="ET135" s="439">
        <f t="shared" si="674"/>
        <v>0</v>
      </c>
      <c r="EU135" s="439">
        <f t="shared" si="675"/>
        <v>0</v>
      </c>
      <c r="EV135" s="661">
        <f t="shared" si="676"/>
        <v>0</v>
      </c>
      <c r="EW135" s="661">
        <f t="shared" si="677"/>
        <v>0</v>
      </c>
      <c r="EX135" s="439">
        <f t="shared" si="678"/>
        <v>0</v>
      </c>
      <c r="EY135" s="439">
        <f t="shared" si="679"/>
        <v>0</v>
      </c>
      <c r="EZ135" s="439">
        <f t="shared" si="680"/>
        <v>0</v>
      </c>
      <c r="FA135" s="439">
        <f t="shared" si="681"/>
        <v>0</v>
      </c>
      <c r="FB135" s="631" t="s">
        <v>92</v>
      </c>
      <c r="FC135" s="631">
        <f t="shared" si="682"/>
        <v>5.2186752043116555E-2</v>
      </c>
      <c r="FD135" s="618"/>
      <c r="FE135" s="439">
        <f t="shared" si="683"/>
        <v>0.51240000000000008</v>
      </c>
      <c r="FF135" s="440">
        <f t="shared" si="684"/>
        <v>0.39240000000000008</v>
      </c>
      <c r="FG135" s="439">
        <f t="shared" si="685"/>
        <v>-0.27240000000000009</v>
      </c>
      <c r="FH135" s="441">
        <f t="shared" si="686"/>
        <v>0</v>
      </c>
      <c r="FI135" s="439">
        <f t="shared" si="687"/>
        <v>0</v>
      </c>
      <c r="FJ135" s="439">
        <f t="shared" si="688"/>
        <v>0</v>
      </c>
      <c r="FK135" s="439">
        <f t="shared" si="689"/>
        <v>0</v>
      </c>
      <c r="FL135" s="439">
        <f t="shared" si="690"/>
        <v>0</v>
      </c>
      <c r="FM135" s="439">
        <f t="shared" si="691"/>
        <v>0</v>
      </c>
      <c r="FN135" s="439">
        <f t="shared" si="692"/>
        <v>0</v>
      </c>
      <c r="FO135" s="439">
        <f t="shared" si="693"/>
        <v>0</v>
      </c>
      <c r="FP135" s="439">
        <f t="shared" si="694"/>
        <v>0</v>
      </c>
      <c r="FQ135" s="439">
        <f t="shared" si="695"/>
        <v>0</v>
      </c>
      <c r="FR135" s="439">
        <f t="shared" si="696"/>
        <v>0</v>
      </c>
      <c r="FS135" s="442">
        <f t="shared" si="697"/>
        <v>0</v>
      </c>
      <c r="FT135" s="442">
        <f t="shared" si="698"/>
        <v>0</v>
      </c>
      <c r="FU135" s="439">
        <f t="shared" si="699"/>
        <v>0</v>
      </c>
      <c r="FV135" s="439">
        <f t="shared" si="700"/>
        <v>0</v>
      </c>
      <c r="FW135" s="661">
        <f t="shared" si="701"/>
        <v>0</v>
      </c>
      <c r="FX135" s="661">
        <f t="shared" si="702"/>
        <v>0</v>
      </c>
      <c r="FY135" s="439">
        <f t="shared" si="703"/>
        <v>0</v>
      </c>
      <c r="FZ135" s="439">
        <f t="shared" si="704"/>
        <v>0</v>
      </c>
      <c r="GA135" s="439">
        <f t="shared" si="705"/>
        <v>0</v>
      </c>
      <c r="GB135" s="439">
        <f t="shared" si="706"/>
        <v>0</v>
      </c>
      <c r="GC135" s="631" t="s">
        <v>92</v>
      </c>
      <c r="GD135" s="631">
        <f t="shared" si="707"/>
        <v>5.2186752043116555E-2</v>
      </c>
      <c r="GE135" s="618"/>
      <c r="GF135" s="439">
        <f t="shared" si="708"/>
        <v>0.51240000000000008</v>
      </c>
      <c r="GG135" s="440">
        <f t="shared" si="709"/>
        <v>0.39240000000000008</v>
      </c>
      <c r="GH135" s="439">
        <f t="shared" si="710"/>
        <v>-0.27240000000000009</v>
      </c>
      <c r="GI135" s="439">
        <f t="shared" si="711"/>
        <v>0</v>
      </c>
      <c r="GJ135" s="439">
        <f t="shared" si="712"/>
        <v>0</v>
      </c>
      <c r="GK135" s="439">
        <f t="shared" si="713"/>
        <v>0</v>
      </c>
      <c r="GL135" s="439">
        <f t="shared" si="714"/>
        <v>0</v>
      </c>
      <c r="GM135" s="439">
        <f t="shared" si="715"/>
        <v>0</v>
      </c>
      <c r="GN135" s="439">
        <f t="shared" si="716"/>
        <v>0</v>
      </c>
      <c r="GO135" s="439">
        <f t="shared" si="717"/>
        <v>0</v>
      </c>
      <c r="GP135" s="439">
        <f t="shared" si="718"/>
        <v>0</v>
      </c>
      <c r="GQ135" s="439">
        <f t="shared" si="719"/>
        <v>0</v>
      </c>
      <c r="GR135" s="439">
        <f t="shared" si="720"/>
        <v>0</v>
      </c>
      <c r="GS135" s="439">
        <f t="shared" si="721"/>
        <v>0</v>
      </c>
      <c r="GT135" s="442">
        <f t="shared" si="722"/>
        <v>0</v>
      </c>
      <c r="GU135" s="442">
        <f t="shared" si="723"/>
        <v>0</v>
      </c>
      <c r="GV135" s="439">
        <f t="shared" si="724"/>
        <v>0</v>
      </c>
      <c r="GW135" s="439">
        <f t="shared" si="725"/>
        <v>0</v>
      </c>
      <c r="GX135" s="661">
        <f t="shared" si="726"/>
        <v>0</v>
      </c>
      <c r="GY135" s="661">
        <f t="shared" si="727"/>
        <v>0</v>
      </c>
      <c r="GZ135" s="439">
        <f t="shared" si="728"/>
        <v>0</v>
      </c>
      <c r="HA135" s="439">
        <f t="shared" si="729"/>
        <v>0</v>
      </c>
      <c r="HB135" s="439">
        <f t="shared" si="730"/>
        <v>0</v>
      </c>
      <c r="HC135" s="439">
        <f t="shared" si="731"/>
        <v>0</v>
      </c>
      <c r="HD135" s="631" t="s">
        <v>92</v>
      </c>
      <c r="HE135" s="631">
        <f t="shared" si="732"/>
        <v>5.2186752043116555E-2</v>
      </c>
      <c r="HF135" s="639"/>
      <c r="HG135" s="639"/>
      <c r="HH135" s="639"/>
      <c r="HI135" s="639"/>
      <c r="HJ135" s="639"/>
      <c r="HK135" s="639"/>
      <c r="HL135" s="639"/>
      <c r="HM135" s="639"/>
      <c r="HN135" s="639"/>
      <c r="HO135" s="639"/>
      <c r="HP135" s="639"/>
      <c r="HQ135" s="639"/>
      <c r="HR135" s="639">
        <v>6.6000000000000003E-2</v>
      </c>
      <c r="HS135" s="639">
        <f t="shared" si="749"/>
        <v>443.14285714285717</v>
      </c>
      <c r="HT135" s="639">
        <f t="shared" si="750"/>
        <v>1</v>
      </c>
      <c r="HU135" s="618">
        <f t="shared" si="466"/>
        <v>1.681094028310232</v>
      </c>
      <c r="HV135" s="618"/>
      <c r="HW135" s="618">
        <f t="shared" si="736"/>
        <v>33.612846479799472</v>
      </c>
      <c r="HX135" s="618">
        <f t="shared" si="467"/>
        <v>1.6249352568656545</v>
      </c>
      <c r="HY135" s="618">
        <f t="shared" si="468"/>
        <v>6.6000000000000003E-2</v>
      </c>
      <c r="HZ135" s="618"/>
      <c r="IA135" s="618"/>
      <c r="IB135" s="618">
        <f t="shared" si="737"/>
        <v>25.000350341399081</v>
      </c>
      <c r="IC135" s="618">
        <f t="shared" si="738"/>
        <v>1E-3</v>
      </c>
      <c r="ID135" s="618"/>
      <c r="IE135" s="618">
        <f t="shared" si="739"/>
        <v>0</v>
      </c>
      <c r="IF135" s="618">
        <f t="shared" si="740"/>
        <v>40.704999999999998</v>
      </c>
      <c r="IG135" s="618"/>
      <c r="IH135" s="618">
        <f t="shared" si="741"/>
        <v>0</v>
      </c>
      <c r="II135" s="618">
        <f t="shared" si="742"/>
        <v>40.704999999999998</v>
      </c>
      <c r="IJ135" s="618"/>
      <c r="IK135" s="618">
        <f t="shared" si="743"/>
        <v>0</v>
      </c>
      <c r="IL135" s="618">
        <f t="shared" si="744"/>
        <v>40.704999999999998</v>
      </c>
      <c r="IM135" s="618"/>
      <c r="IN135" s="618">
        <f t="shared" si="745"/>
        <v>0</v>
      </c>
      <c r="IO135" s="618">
        <f t="shared" si="746"/>
        <v>40.704999999999998</v>
      </c>
      <c r="IP135" s="618"/>
      <c r="IQ135" s="618">
        <f t="shared" si="747"/>
        <v>0</v>
      </c>
      <c r="IR135" s="618">
        <f t="shared" si="748"/>
        <v>40.704999999999998</v>
      </c>
      <c r="IS135" s="639"/>
      <c r="IT135" s="640"/>
      <c r="IU135" s="640"/>
      <c r="IV135" s="640"/>
      <c r="IW135" s="640"/>
      <c r="IX135" s="640"/>
      <c r="IY135" s="640"/>
      <c r="IZ135" s="640"/>
      <c r="JA135" s="640"/>
      <c r="JB135" s="640"/>
      <c r="JC135" s="640"/>
      <c r="JD135" s="640"/>
      <c r="JE135" s="640"/>
      <c r="JF135" s="640"/>
      <c r="JG135" s="640"/>
      <c r="JH135" s="640"/>
      <c r="JI135" s="640"/>
      <c r="JJ135" s="640"/>
      <c r="JK135" s="640"/>
      <c r="JL135" s="640"/>
      <c r="JM135" s="640"/>
      <c r="JN135" s="640"/>
      <c r="JO135" s="640"/>
      <c r="JP135" s="640"/>
      <c r="JQ135" s="640"/>
      <c r="JR135" s="640"/>
      <c r="JS135" s="640"/>
      <c r="JT135" s="640"/>
      <c r="JU135" s="640"/>
      <c r="JV135" s="652"/>
    </row>
    <row r="136" spans="1:282" s="579" customFormat="1">
      <c r="A136" s="334"/>
      <c r="U136" s="580"/>
      <c r="V136" s="580"/>
      <c r="AC136" s="580"/>
      <c r="AD136" s="580"/>
      <c r="AL136" s="580"/>
      <c r="AM136" s="580"/>
      <c r="AT136" s="580"/>
      <c r="AU136" s="580"/>
      <c r="AV136" s="581" t="e">
        <f t="shared" ref="AV136:AV145" si="751">L84*$L$82</f>
        <v>#DIV/0!</v>
      </c>
      <c r="AW136" s="581" t="e">
        <f>IF($AY$32,'Data Sheet'!AA157,0)</f>
        <v>#DIV/0!</v>
      </c>
      <c r="AX136" s="581">
        <f>AX135+$L$76</f>
        <v>40.704999999999998</v>
      </c>
      <c r="CH136" s="334"/>
      <c r="CI136" s="334"/>
      <c r="CO136" s="694" t="s">
        <v>4</v>
      </c>
      <c r="CP136" s="639"/>
      <c r="CQ136" s="618"/>
      <c r="CR136" s="618"/>
      <c r="CS136" s="618"/>
      <c r="CT136" s="626"/>
      <c r="CU136" s="626"/>
      <c r="CV136" s="626"/>
      <c r="CW136" s="626"/>
      <c r="CX136" s="626"/>
      <c r="CY136" s="619"/>
      <c r="CZ136" s="619"/>
      <c r="DA136" s="619"/>
      <c r="DB136" s="619"/>
      <c r="DC136" s="618"/>
      <c r="DD136" s="618"/>
      <c r="DE136" s="618"/>
      <c r="DF136" s="618"/>
      <c r="DG136" s="618"/>
      <c r="DH136" s="618"/>
      <c r="DI136" s="618"/>
      <c r="DJ136" s="618"/>
      <c r="DK136" s="618"/>
      <c r="DL136" s="618"/>
      <c r="DM136" s="618"/>
      <c r="DN136" s="618"/>
      <c r="DO136" s="618"/>
      <c r="DP136" s="618"/>
      <c r="DQ136" s="618"/>
      <c r="DR136" s="618"/>
      <c r="DS136" s="618"/>
      <c r="DT136" s="618"/>
      <c r="DU136" s="618"/>
      <c r="DV136" s="618"/>
      <c r="DW136" s="618"/>
      <c r="DX136" s="618"/>
      <c r="DY136" s="618"/>
      <c r="DZ136" s="618"/>
      <c r="EA136" s="618"/>
      <c r="EB136" s="618"/>
      <c r="EC136" s="618"/>
      <c r="ED136" s="618"/>
      <c r="EE136" s="618"/>
      <c r="EF136" s="618"/>
      <c r="EG136" s="618"/>
      <c r="EH136" s="618"/>
      <c r="EI136" s="618"/>
      <c r="EJ136" s="618"/>
      <c r="EK136" s="618"/>
      <c r="EL136" s="618"/>
      <c r="EM136" s="618"/>
      <c r="EN136" s="618"/>
      <c r="EO136" s="618"/>
      <c r="EP136" s="618"/>
      <c r="EQ136" s="618"/>
      <c r="ER136" s="618"/>
      <c r="ES136" s="618"/>
      <c r="ET136" s="618"/>
      <c r="EU136" s="618"/>
      <c r="EV136" s="618"/>
      <c r="EW136" s="618"/>
      <c r="EX136" s="618"/>
      <c r="EY136" s="618"/>
      <c r="EZ136" s="618"/>
      <c r="FA136" s="618"/>
      <c r="FB136" s="618"/>
      <c r="FC136" s="618"/>
      <c r="FD136" s="618"/>
      <c r="FE136" s="618"/>
      <c r="FF136" s="618"/>
      <c r="FG136" s="618"/>
      <c r="FH136" s="618"/>
      <c r="FI136" s="618"/>
      <c r="FJ136" s="618"/>
      <c r="FK136" s="618"/>
      <c r="FL136" s="618"/>
      <c r="FM136" s="618"/>
      <c r="FN136" s="618"/>
      <c r="FO136" s="618"/>
      <c r="FP136" s="618"/>
      <c r="FQ136" s="618"/>
      <c r="FR136" s="618"/>
      <c r="FS136" s="618"/>
      <c r="FT136" s="618"/>
      <c r="FU136" s="618"/>
      <c r="FV136" s="618"/>
      <c r="FW136" s="618"/>
      <c r="FX136" s="618"/>
      <c r="FY136" s="618"/>
      <c r="FZ136" s="618"/>
      <c r="GA136" s="618"/>
      <c r="GB136" s="618"/>
      <c r="GC136" s="618"/>
      <c r="GD136" s="618"/>
      <c r="GE136" s="618"/>
      <c r="GF136" s="618"/>
      <c r="GG136" s="618"/>
      <c r="GH136" s="618"/>
      <c r="GI136" s="618"/>
      <c r="GJ136" s="618"/>
      <c r="GK136" s="618"/>
      <c r="GL136" s="618"/>
      <c r="GM136" s="618"/>
      <c r="GN136" s="618"/>
      <c r="GO136" s="618"/>
      <c r="GP136" s="618"/>
      <c r="GQ136" s="618"/>
      <c r="GR136" s="618"/>
      <c r="GS136" s="618"/>
      <c r="GT136" s="618"/>
      <c r="GU136" s="618"/>
      <c r="GV136" s="618"/>
      <c r="GW136" s="618"/>
      <c r="GX136" s="618"/>
      <c r="GY136" s="618"/>
      <c r="GZ136" s="618"/>
      <c r="HA136" s="618"/>
      <c r="HB136" s="618"/>
      <c r="HC136" s="618"/>
      <c r="HD136" s="618"/>
      <c r="HE136" s="618"/>
      <c r="HF136" s="639"/>
      <c r="HG136" s="639"/>
      <c r="HH136" s="639"/>
      <c r="HI136" s="639"/>
      <c r="HJ136" s="639"/>
      <c r="HK136" s="639"/>
      <c r="HL136" s="639"/>
      <c r="HM136" s="639"/>
      <c r="HN136" s="639"/>
      <c r="HO136" s="639"/>
      <c r="HP136" s="639"/>
      <c r="HQ136" s="639"/>
      <c r="HR136" s="639">
        <v>6.6500000000000004E-2</v>
      </c>
      <c r="HS136" s="639">
        <f t="shared" si="749"/>
        <v>446.5</v>
      </c>
      <c r="HT136" s="639">
        <f t="shared" si="750"/>
        <v>1</v>
      </c>
      <c r="HU136" s="618">
        <f t="shared" si="466"/>
        <v>1.6938330722838568</v>
      </c>
      <c r="HV136" s="618"/>
      <c r="HW136" s="618">
        <f t="shared" si="736"/>
        <v>33.594757037356921</v>
      </c>
      <c r="HX136" s="618">
        <f t="shared" si="467"/>
        <v>1.636823175954047</v>
      </c>
      <c r="HY136" s="618">
        <f t="shared" si="468"/>
        <v>6.6500000000000004E-2</v>
      </c>
      <c r="HZ136" s="618"/>
      <c r="IA136" s="618"/>
      <c r="IB136" s="618">
        <f t="shared" si="737"/>
        <v>25.000350341399081</v>
      </c>
      <c r="IC136" s="618">
        <f t="shared" si="738"/>
        <v>1E-3</v>
      </c>
      <c r="ID136" s="618"/>
      <c r="IE136" s="618">
        <f t="shared" si="739"/>
        <v>0</v>
      </c>
      <c r="IF136" s="618">
        <f t="shared" si="740"/>
        <v>40.704999999999998</v>
      </c>
      <c r="IG136" s="618"/>
      <c r="IH136" s="618">
        <f t="shared" si="741"/>
        <v>0</v>
      </c>
      <c r="II136" s="618">
        <f t="shared" si="742"/>
        <v>40.704999999999998</v>
      </c>
      <c r="IJ136" s="618"/>
      <c r="IK136" s="618">
        <f t="shared" si="743"/>
        <v>0</v>
      </c>
      <c r="IL136" s="618">
        <f t="shared" si="744"/>
        <v>40.704999999999998</v>
      </c>
      <c r="IM136" s="618"/>
      <c r="IN136" s="618">
        <f t="shared" si="745"/>
        <v>0</v>
      </c>
      <c r="IO136" s="618">
        <f t="shared" si="746"/>
        <v>40.704999999999998</v>
      </c>
      <c r="IP136" s="618"/>
      <c r="IQ136" s="618">
        <f t="shared" si="747"/>
        <v>0</v>
      </c>
      <c r="IR136" s="618">
        <f t="shared" si="748"/>
        <v>40.704999999999998</v>
      </c>
      <c r="IS136" s="639"/>
      <c r="IT136" s="640"/>
      <c r="IU136" s="640"/>
      <c r="IV136" s="640"/>
      <c r="IW136" s="640"/>
      <c r="IX136" s="640"/>
      <c r="IY136" s="640"/>
      <c r="IZ136" s="640"/>
      <c r="JA136" s="640"/>
      <c r="JB136" s="640"/>
      <c r="JC136" s="640"/>
      <c r="JD136" s="640"/>
      <c r="JE136" s="640"/>
      <c r="JF136" s="640"/>
      <c r="JG136" s="640"/>
      <c r="JH136" s="640"/>
      <c r="JI136" s="640"/>
      <c r="JJ136" s="640"/>
      <c r="JK136" s="640"/>
      <c r="JL136" s="640"/>
      <c r="JM136" s="640"/>
      <c r="JN136" s="640"/>
      <c r="JO136" s="640"/>
      <c r="JP136" s="640"/>
      <c r="JQ136" s="640"/>
      <c r="JR136" s="640"/>
      <c r="JS136" s="640"/>
      <c r="JT136" s="640"/>
      <c r="JU136" s="640"/>
      <c r="JV136" s="652"/>
    </row>
    <row r="137" spans="1:282" s="579" customFormat="1">
      <c r="A137" s="334"/>
      <c r="U137" s="580"/>
      <c r="V137" s="580"/>
      <c r="AC137" s="580"/>
      <c r="AD137" s="580"/>
      <c r="AL137" s="580"/>
      <c r="AM137" s="580"/>
      <c r="AT137" s="580"/>
      <c r="AU137" s="580"/>
      <c r="AV137" s="581" t="e">
        <f t="shared" si="751"/>
        <v>#DIV/0!</v>
      </c>
      <c r="AW137" s="581" t="e">
        <f>IF($AY$32,'Data Sheet'!AA158,0)</f>
        <v>#DIV/0!</v>
      </c>
      <c r="AX137" s="581">
        <f t="shared" ref="AX137:AX145" si="752">AX136+$L$76</f>
        <v>40.704999999999998</v>
      </c>
      <c r="CH137" s="334"/>
      <c r="CI137" s="334"/>
      <c r="CO137" s="694" t="str">
        <f>CQ4</f>
        <v>S040D</v>
      </c>
      <c r="CP137" s="639"/>
      <c r="CQ137" s="618"/>
      <c r="CR137" s="618"/>
      <c r="CS137" s="618"/>
      <c r="CT137" s="626"/>
      <c r="CU137" s="626"/>
      <c r="CV137" s="626"/>
      <c r="CW137" s="621"/>
      <c r="CX137" s="621"/>
      <c r="CY137" s="440"/>
      <c r="CZ137" s="440"/>
      <c r="DA137" s="619"/>
      <c r="DB137" s="619"/>
      <c r="DC137" s="618"/>
      <c r="DD137" s="618"/>
      <c r="DE137" s="618"/>
      <c r="DF137" s="618"/>
      <c r="DG137" s="618"/>
      <c r="DH137" s="618"/>
      <c r="DI137" s="618"/>
      <c r="DJ137" s="618"/>
      <c r="DK137" s="618"/>
      <c r="DL137" s="618"/>
      <c r="DM137" s="618"/>
      <c r="DN137" s="618"/>
      <c r="DO137" s="618"/>
      <c r="DP137" s="618"/>
      <c r="DQ137" s="618"/>
      <c r="DR137" s="618"/>
      <c r="DS137" s="618"/>
      <c r="DT137" s="618"/>
      <c r="DU137" s="618"/>
      <c r="DV137" s="618"/>
      <c r="DW137" s="618"/>
      <c r="DX137" s="618"/>
      <c r="DY137" s="618"/>
      <c r="DZ137" s="618"/>
      <c r="EA137" s="618"/>
      <c r="EB137" s="618"/>
      <c r="EC137" s="618"/>
      <c r="ED137" s="618"/>
      <c r="EE137" s="618"/>
      <c r="EF137" s="618"/>
      <c r="EG137" s="618"/>
      <c r="EH137" s="618"/>
      <c r="EI137" s="618"/>
      <c r="EJ137" s="618"/>
      <c r="EK137" s="618"/>
      <c r="EL137" s="618"/>
      <c r="EM137" s="618"/>
      <c r="EN137" s="618"/>
      <c r="EO137" s="618"/>
      <c r="EP137" s="618"/>
      <c r="EQ137" s="618"/>
      <c r="ER137" s="618"/>
      <c r="ES137" s="618"/>
      <c r="ET137" s="618"/>
      <c r="EU137" s="618"/>
      <c r="EV137" s="618"/>
      <c r="EW137" s="618"/>
      <c r="EX137" s="618"/>
      <c r="EY137" s="618"/>
      <c r="EZ137" s="618"/>
      <c r="FA137" s="618"/>
      <c r="FB137" s="618"/>
      <c r="FC137" s="618"/>
      <c r="FD137" s="618"/>
      <c r="FE137" s="618"/>
      <c r="FF137" s="618"/>
      <c r="FG137" s="618"/>
      <c r="FH137" s="618"/>
      <c r="FI137" s="618"/>
      <c r="FJ137" s="618"/>
      <c r="FK137" s="618"/>
      <c r="FL137" s="618"/>
      <c r="FM137" s="618"/>
      <c r="FN137" s="618"/>
      <c r="FO137" s="618"/>
      <c r="FP137" s="618"/>
      <c r="FQ137" s="618"/>
      <c r="FR137" s="618"/>
      <c r="FS137" s="618"/>
      <c r="FT137" s="618"/>
      <c r="FU137" s="618"/>
      <c r="FV137" s="618"/>
      <c r="FW137" s="618"/>
      <c r="FX137" s="618"/>
      <c r="FY137" s="618"/>
      <c r="FZ137" s="618"/>
      <c r="GA137" s="618"/>
      <c r="GB137" s="618"/>
      <c r="GC137" s="618"/>
      <c r="GD137" s="618"/>
      <c r="GE137" s="618"/>
      <c r="GF137" s="618"/>
      <c r="GG137" s="618"/>
      <c r="GH137" s="618"/>
      <c r="GI137" s="618"/>
      <c r="GJ137" s="618"/>
      <c r="GK137" s="618"/>
      <c r="GL137" s="618"/>
      <c r="GM137" s="618"/>
      <c r="GN137" s="618"/>
      <c r="GO137" s="618"/>
      <c r="GP137" s="618"/>
      <c r="GQ137" s="618"/>
      <c r="GR137" s="618"/>
      <c r="GS137" s="618"/>
      <c r="GT137" s="618"/>
      <c r="GU137" s="618"/>
      <c r="GV137" s="618"/>
      <c r="GW137" s="618"/>
      <c r="GX137" s="618"/>
      <c r="GY137" s="618"/>
      <c r="GZ137" s="618"/>
      <c r="HA137" s="618"/>
      <c r="HB137" s="618"/>
      <c r="HC137" s="618"/>
      <c r="HD137" s="618"/>
      <c r="HE137" s="618"/>
      <c r="HF137" s="639"/>
      <c r="HG137" s="639"/>
      <c r="HH137" s="639"/>
      <c r="HI137" s="639"/>
      <c r="HJ137" s="639"/>
      <c r="HK137" s="639"/>
      <c r="HL137" s="639"/>
      <c r="HM137" s="639"/>
      <c r="HN137" s="639"/>
      <c r="HO137" s="639"/>
      <c r="HP137" s="639"/>
      <c r="HQ137" s="639"/>
      <c r="HR137" s="639">
        <v>6.7000000000000004E-2</v>
      </c>
      <c r="HS137" s="639">
        <f t="shared" si="749"/>
        <v>449.85714285714289</v>
      </c>
      <c r="HT137" s="639">
        <f t="shared" si="750"/>
        <v>1</v>
      </c>
      <c r="HU137" s="618">
        <f t="shared" si="466"/>
        <v>1.7065721162574816</v>
      </c>
      <c r="HV137" s="618"/>
      <c r="HW137" s="618">
        <f t="shared" si="736"/>
        <v>33.576667594914376</v>
      </c>
      <c r="HX137" s="618">
        <f t="shared" si="467"/>
        <v>1.6487046938701413</v>
      </c>
      <c r="HY137" s="618">
        <f t="shared" si="468"/>
        <v>6.7000000000000004E-2</v>
      </c>
      <c r="HZ137" s="618"/>
      <c r="IA137" s="618"/>
      <c r="IB137" s="618">
        <f t="shared" si="737"/>
        <v>25.000350341399081</v>
      </c>
      <c r="IC137" s="618">
        <f t="shared" si="738"/>
        <v>1E-3</v>
      </c>
      <c r="ID137" s="618"/>
      <c r="IE137" s="618">
        <f t="shared" si="739"/>
        <v>0</v>
      </c>
      <c r="IF137" s="618">
        <f t="shared" si="740"/>
        <v>40.704999999999998</v>
      </c>
      <c r="IG137" s="618"/>
      <c r="IH137" s="618">
        <f t="shared" si="741"/>
        <v>0</v>
      </c>
      <c r="II137" s="618">
        <f t="shared" si="742"/>
        <v>40.704999999999998</v>
      </c>
      <c r="IJ137" s="618"/>
      <c r="IK137" s="618">
        <f t="shared" si="743"/>
        <v>0</v>
      </c>
      <c r="IL137" s="618">
        <f t="shared" si="744"/>
        <v>40.704999999999998</v>
      </c>
      <c r="IM137" s="618"/>
      <c r="IN137" s="618">
        <f t="shared" si="745"/>
        <v>0</v>
      </c>
      <c r="IO137" s="618">
        <f t="shared" si="746"/>
        <v>40.704999999999998</v>
      </c>
      <c r="IP137" s="618"/>
      <c r="IQ137" s="618">
        <f t="shared" si="747"/>
        <v>0</v>
      </c>
      <c r="IR137" s="618">
        <f t="shared" si="748"/>
        <v>40.704999999999998</v>
      </c>
      <c r="IS137" s="639"/>
      <c r="IT137" s="640"/>
      <c r="IU137" s="640"/>
      <c r="IV137" s="640"/>
      <c r="IW137" s="640"/>
      <c r="IX137" s="640"/>
      <c r="IY137" s="640"/>
      <c r="IZ137" s="640"/>
      <c r="JA137" s="640"/>
      <c r="JB137" s="640"/>
      <c r="JC137" s="640"/>
      <c r="JD137" s="640"/>
      <c r="JE137" s="640"/>
      <c r="JF137" s="640"/>
      <c r="JG137" s="640"/>
      <c r="JH137" s="640"/>
      <c r="JI137" s="640"/>
      <c r="JJ137" s="640"/>
      <c r="JK137" s="640"/>
      <c r="JL137" s="640"/>
      <c r="JM137" s="640"/>
      <c r="JN137" s="640"/>
      <c r="JO137" s="640"/>
      <c r="JP137" s="640"/>
      <c r="JQ137" s="640"/>
      <c r="JR137" s="640"/>
      <c r="JS137" s="640"/>
      <c r="JT137" s="640"/>
      <c r="JU137" s="640"/>
      <c r="JV137" s="652"/>
    </row>
    <row r="138" spans="1:282" s="579" customFormat="1">
      <c r="A138" s="334"/>
      <c r="U138" s="580"/>
      <c r="V138" s="580"/>
      <c r="AC138" s="580"/>
      <c r="AD138" s="580"/>
      <c r="AL138" s="580"/>
      <c r="AM138" s="580"/>
      <c r="AT138" s="580"/>
      <c r="AU138" s="580"/>
      <c r="AV138" s="581">
        <f t="shared" si="751"/>
        <v>0</v>
      </c>
      <c r="AW138" s="581">
        <f>IF($AY$32,'Data Sheet'!AA159,0)</f>
        <v>0</v>
      </c>
      <c r="AX138" s="581">
        <f t="shared" si="752"/>
        <v>40.704999999999998</v>
      </c>
      <c r="CH138" s="334"/>
      <c r="CI138" s="334"/>
      <c r="CO138" s="694" t="str">
        <f t="shared" ref="CO138:CO201" si="753">CQ5</f>
        <v>S040T</v>
      </c>
      <c r="CP138" s="639"/>
      <c r="CQ138" s="618"/>
      <c r="CR138" s="618"/>
      <c r="CS138" s="618"/>
      <c r="CT138" s="626"/>
      <c r="CU138" s="626"/>
      <c r="CV138" s="626"/>
      <c r="CW138" s="621"/>
      <c r="CX138" s="621"/>
      <c r="CY138" s="440"/>
      <c r="CZ138" s="440"/>
      <c r="DA138" s="619"/>
      <c r="DB138" s="619"/>
      <c r="DC138" s="618"/>
      <c r="DD138" s="618"/>
      <c r="DE138" s="618"/>
      <c r="DF138" s="618"/>
      <c r="DG138" s="618"/>
      <c r="DH138" s="618"/>
      <c r="DI138" s="618"/>
      <c r="DJ138" s="618"/>
      <c r="DK138" s="618"/>
      <c r="DL138" s="618"/>
      <c r="DM138" s="618"/>
      <c r="DN138" s="618"/>
      <c r="DO138" s="618"/>
      <c r="DP138" s="618"/>
      <c r="DQ138" s="618"/>
      <c r="DR138" s="618"/>
      <c r="DS138" s="618"/>
      <c r="DT138" s="618"/>
      <c r="DU138" s="618"/>
      <c r="DV138" s="618"/>
      <c r="DW138" s="618"/>
      <c r="DX138" s="618"/>
      <c r="DY138" s="618"/>
      <c r="DZ138" s="618"/>
      <c r="EA138" s="618"/>
      <c r="EB138" s="618"/>
      <c r="EC138" s="618"/>
      <c r="ED138" s="618"/>
      <c r="EE138" s="618"/>
      <c r="EF138" s="618"/>
      <c r="EG138" s="618"/>
      <c r="EH138" s="618"/>
      <c r="EI138" s="618"/>
      <c r="EJ138" s="618"/>
      <c r="EK138" s="618"/>
      <c r="EL138" s="618"/>
      <c r="EM138" s="618"/>
      <c r="EN138" s="618"/>
      <c r="EO138" s="618"/>
      <c r="EP138" s="618"/>
      <c r="EQ138" s="618"/>
      <c r="ER138" s="618"/>
      <c r="ES138" s="618"/>
      <c r="ET138" s="618"/>
      <c r="EU138" s="618"/>
      <c r="EV138" s="618"/>
      <c r="EW138" s="618"/>
      <c r="EX138" s="618"/>
      <c r="EY138" s="618"/>
      <c r="EZ138" s="618"/>
      <c r="FA138" s="618"/>
      <c r="FB138" s="618"/>
      <c r="FC138" s="618"/>
      <c r="FD138" s="618"/>
      <c r="FE138" s="618"/>
      <c r="FF138" s="618"/>
      <c r="FG138" s="618"/>
      <c r="FH138" s="618"/>
      <c r="FI138" s="618"/>
      <c r="FJ138" s="618"/>
      <c r="FK138" s="618"/>
      <c r="FL138" s="618"/>
      <c r="FM138" s="618"/>
      <c r="FN138" s="618"/>
      <c r="FO138" s="618"/>
      <c r="FP138" s="618"/>
      <c r="FQ138" s="618"/>
      <c r="FR138" s="618"/>
      <c r="FS138" s="618"/>
      <c r="FT138" s="618"/>
      <c r="FU138" s="618"/>
      <c r="FV138" s="618"/>
      <c r="FW138" s="618"/>
      <c r="FX138" s="618"/>
      <c r="FY138" s="618"/>
      <c r="FZ138" s="618"/>
      <c r="GA138" s="618"/>
      <c r="GB138" s="618"/>
      <c r="GC138" s="618"/>
      <c r="GD138" s="618"/>
      <c r="GE138" s="618"/>
      <c r="GF138" s="618"/>
      <c r="GG138" s="618"/>
      <c r="GH138" s="618"/>
      <c r="GI138" s="618"/>
      <c r="GJ138" s="618"/>
      <c r="GK138" s="618"/>
      <c r="GL138" s="618"/>
      <c r="GM138" s="618"/>
      <c r="GN138" s="618"/>
      <c r="GO138" s="618"/>
      <c r="GP138" s="618"/>
      <c r="GQ138" s="618"/>
      <c r="GR138" s="618"/>
      <c r="GS138" s="618"/>
      <c r="GT138" s="618"/>
      <c r="GU138" s="618"/>
      <c r="GV138" s="618"/>
      <c r="GW138" s="618"/>
      <c r="GX138" s="618"/>
      <c r="GY138" s="618"/>
      <c r="GZ138" s="618"/>
      <c r="HA138" s="618"/>
      <c r="HB138" s="618"/>
      <c r="HC138" s="618"/>
      <c r="HD138" s="618"/>
      <c r="HE138" s="618"/>
      <c r="HF138" s="639"/>
      <c r="HG138" s="639"/>
      <c r="HH138" s="639"/>
      <c r="HI138" s="639"/>
      <c r="HJ138" s="639"/>
      <c r="HK138" s="639"/>
      <c r="HL138" s="639"/>
      <c r="HM138" s="639"/>
      <c r="HN138" s="639"/>
      <c r="HO138" s="639"/>
      <c r="HP138" s="639"/>
      <c r="HQ138" s="639"/>
      <c r="HR138" s="639">
        <v>6.7500000000000004E-2</v>
      </c>
      <c r="HS138" s="639">
        <f t="shared" si="749"/>
        <v>453.21428571428572</v>
      </c>
      <c r="HT138" s="639">
        <f t="shared" si="750"/>
        <v>1</v>
      </c>
      <c r="HU138" s="618">
        <f t="shared" si="466"/>
        <v>1.7193111602311064</v>
      </c>
      <c r="HV138" s="618"/>
      <c r="HW138" s="618">
        <f t="shared" si="736"/>
        <v>33.558578152471831</v>
      </c>
      <c r="HX138" s="618">
        <f t="shared" si="467"/>
        <v>1.6605798106139376</v>
      </c>
      <c r="HY138" s="618">
        <f t="shared" si="468"/>
        <v>6.7500000000000004E-2</v>
      </c>
      <c r="HZ138" s="618"/>
      <c r="IA138" s="618"/>
      <c r="IB138" s="618">
        <f t="shared" si="737"/>
        <v>25.000350341399081</v>
      </c>
      <c r="IC138" s="618">
        <f t="shared" si="738"/>
        <v>1E-3</v>
      </c>
      <c r="ID138" s="618"/>
      <c r="IE138" s="618">
        <f t="shared" si="739"/>
        <v>0</v>
      </c>
      <c r="IF138" s="618">
        <f t="shared" si="740"/>
        <v>40.704999999999998</v>
      </c>
      <c r="IG138" s="618"/>
      <c r="IH138" s="618">
        <f t="shared" si="741"/>
        <v>0</v>
      </c>
      <c r="II138" s="618">
        <f t="shared" si="742"/>
        <v>40.704999999999998</v>
      </c>
      <c r="IJ138" s="618"/>
      <c r="IK138" s="618">
        <f t="shared" si="743"/>
        <v>0</v>
      </c>
      <c r="IL138" s="618">
        <f t="shared" si="744"/>
        <v>40.704999999999998</v>
      </c>
      <c r="IM138" s="618"/>
      <c r="IN138" s="618">
        <f t="shared" si="745"/>
        <v>0</v>
      </c>
      <c r="IO138" s="618">
        <f t="shared" si="746"/>
        <v>40.704999999999998</v>
      </c>
      <c r="IP138" s="618"/>
      <c r="IQ138" s="618">
        <f t="shared" si="747"/>
        <v>0</v>
      </c>
      <c r="IR138" s="618">
        <f t="shared" si="748"/>
        <v>40.704999999999998</v>
      </c>
      <c r="IS138" s="639"/>
      <c r="IT138" s="640"/>
      <c r="IU138" s="640"/>
      <c r="IV138" s="640"/>
      <c r="IW138" s="640"/>
      <c r="IX138" s="640"/>
      <c r="IY138" s="640"/>
      <c r="IZ138" s="640"/>
      <c r="JA138" s="640"/>
      <c r="JB138" s="640"/>
      <c r="JC138" s="640"/>
      <c r="JD138" s="640"/>
      <c r="JE138" s="640"/>
      <c r="JF138" s="640"/>
      <c r="JG138" s="640"/>
      <c r="JH138" s="640"/>
      <c r="JI138" s="640"/>
      <c r="JJ138" s="640"/>
      <c r="JK138" s="640"/>
      <c r="JL138" s="640"/>
      <c r="JM138" s="640"/>
      <c r="JN138" s="640"/>
      <c r="JO138" s="640"/>
      <c r="JP138" s="640"/>
      <c r="JQ138" s="640"/>
      <c r="JR138" s="640"/>
      <c r="JS138" s="640"/>
      <c r="JT138" s="640"/>
      <c r="JU138" s="640"/>
      <c r="JV138" s="652"/>
    </row>
    <row r="139" spans="1:282" s="579" customFormat="1">
      <c r="A139" s="334"/>
      <c r="B139" s="582"/>
      <c r="U139" s="580"/>
      <c r="V139" s="580"/>
      <c r="AC139" s="580"/>
      <c r="AD139" s="580"/>
      <c r="AL139" s="580"/>
      <c r="AM139" s="580"/>
      <c r="AT139" s="580"/>
      <c r="AU139" s="580"/>
      <c r="AV139" s="581">
        <f t="shared" si="751"/>
        <v>0</v>
      </c>
      <c r="AW139" s="581">
        <f>IF($AY$32,'Data Sheet'!AA160,0)</f>
        <v>0</v>
      </c>
      <c r="AX139" s="581">
        <f t="shared" si="752"/>
        <v>40.704999999999998</v>
      </c>
      <c r="CH139" s="334"/>
      <c r="CI139" s="334"/>
      <c r="CO139" s="694" t="str">
        <f t="shared" si="753"/>
        <v>S040Q</v>
      </c>
      <c r="CP139" s="639"/>
      <c r="CQ139" s="618"/>
      <c r="CR139" s="618"/>
      <c r="CS139" s="618"/>
      <c r="CT139" s="626"/>
      <c r="CU139" s="626"/>
      <c r="CV139" s="626"/>
      <c r="CW139" s="621"/>
      <c r="CX139" s="621"/>
      <c r="CY139" s="440"/>
      <c r="CZ139" s="440"/>
      <c r="DA139" s="619"/>
      <c r="DB139" s="619"/>
      <c r="DC139" s="618"/>
      <c r="DD139" s="618"/>
      <c r="DE139" s="618"/>
      <c r="DF139" s="618"/>
      <c r="DG139" s="618"/>
      <c r="DH139" s="618"/>
      <c r="DI139" s="618"/>
      <c r="DJ139" s="618"/>
      <c r="DK139" s="618"/>
      <c r="DL139" s="618"/>
      <c r="DM139" s="618"/>
      <c r="DN139" s="618"/>
      <c r="DO139" s="618"/>
      <c r="DP139" s="618"/>
      <c r="DQ139" s="618"/>
      <c r="DR139" s="618"/>
      <c r="DS139" s="618"/>
      <c r="DT139" s="618"/>
      <c r="DU139" s="618"/>
      <c r="DV139" s="618"/>
      <c r="DW139" s="618"/>
      <c r="DX139" s="618"/>
      <c r="DY139" s="618"/>
      <c r="DZ139" s="618"/>
      <c r="EA139" s="618"/>
      <c r="EB139" s="618"/>
      <c r="EC139" s="618"/>
      <c r="ED139" s="618"/>
      <c r="EE139" s="618"/>
      <c r="EF139" s="618"/>
      <c r="EG139" s="618"/>
      <c r="EH139" s="618"/>
      <c r="EI139" s="618"/>
      <c r="EJ139" s="618"/>
      <c r="EK139" s="618"/>
      <c r="EL139" s="618"/>
      <c r="EM139" s="618"/>
      <c r="EN139" s="618"/>
      <c r="EO139" s="618"/>
      <c r="EP139" s="618"/>
      <c r="EQ139" s="618"/>
      <c r="ER139" s="618"/>
      <c r="ES139" s="618"/>
      <c r="ET139" s="618"/>
      <c r="EU139" s="618"/>
      <c r="EV139" s="618"/>
      <c r="EW139" s="618"/>
      <c r="EX139" s="618"/>
      <c r="EY139" s="618"/>
      <c r="EZ139" s="618"/>
      <c r="FA139" s="618"/>
      <c r="FB139" s="618"/>
      <c r="FC139" s="618"/>
      <c r="FD139" s="618"/>
      <c r="FE139" s="618"/>
      <c r="FF139" s="618"/>
      <c r="FG139" s="618"/>
      <c r="FH139" s="618"/>
      <c r="FI139" s="618"/>
      <c r="FJ139" s="618"/>
      <c r="FK139" s="618"/>
      <c r="FL139" s="618"/>
      <c r="FM139" s="618"/>
      <c r="FN139" s="618"/>
      <c r="FO139" s="618"/>
      <c r="FP139" s="618"/>
      <c r="FQ139" s="618"/>
      <c r="FR139" s="618"/>
      <c r="FS139" s="618"/>
      <c r="FT139" s="618"/>
      <c r="FU139" s="618"/>
      <c r="FV139" s="618"/>
      <c r="FW139" s="618"/>
      <c r="FX139" s="618"/>
      <c r="FY139" s="618"/>
      <c r="FZ139" s="618"/>
      <c r="GA139" s="618"/>
      <c r="GB139" s="618"/>
      <c r="GC139" s="618"/>
      <c r="GD139" s="618"/>
      <c r="GE139" s="618"/>
      <c r="GF139" s="618"/>
      <c r="GG139" s="618"/>
      <c r="GH139" s="618"/>
      <c r="GI139" s="618"/>
      <c r="GJ139" s="618"/>
      <c r="GK139" s="618"/>
      <c r="GL139" s="618"/>
      <c r="GM139" s="618"/>
      <c r="GN139" s="618"/>
      <c r="GO139" s="618"/>
      <c r="GP139" s="618"/>
      <c r="GQ139" s="618"/>
      <c r="GR139" s="618"/>
      <c r="GS139" s="618"/>
      <c r="GT139" s="618"/>
      <c r="GU139" s="618"/>
      <c r="GV139" s="618"/>
      <c r="GW139" s="618"/>
      <c r="GX139" s="618"/>
      <c r="GY139" s="618"/>
      <c r="GZ139" s="618"/>
      <c r="HA139" s="618"/>
      <c r="HB139" s="618"/>
      <c r="HC139" s="618"/>
      <c r="HD139" s="618"/>
      <c r="HE139" s="618"/>
      <c r="HF139" s="639"/>
      <c r="HG139" s="639"/>
      <c r="HH139" s="639"/>
      <c r="HI139" s="639"/>
      <c r="HJ139" s="639"/>
      <c r="HK139" s="639"/>
      <c r="HL139" s="639"/>
      <c r="HM139" s="639"/>
      <c r="HN139" s="639"/>
      <c r="HO139" s="639"/>
      <c r="HP139" s="639"/>
      <c r="HQ139" s="639"/>
      <c r="HR139" s="639">
        <v>6.8000000000000005E-2</v>
      </c>
      <c r="HS139" s="639">
        <f t="shared" si="749"/>
        <v>456.57142857142861</v>
      </c>
      <c r="HT139" s="639">
        <f t="shared" si="750"/>
        <v>1</v>
      </c>
      <c r="HU139" s="618">
        <f t="shared" si="466"/>
        <v>1.7320502042047312</v>
      </c>
      <c r="HV139" s="618"/>
      <c r="HW139" s="618">
        <f t="shared" si="736"/>
        <v>33.54048871002928</v>
      </c>
      <c r="HX139" s="618">
        <f t="shared" si="467"/>
        <v>1.6724485261854356</v>
      </c>
      <c r="HY139" s="618">
        <f t="shared" si="468"/>
        <v>6.8000000000000005E-2</v>
      </c>
      <c r="HZ139" s="618"/>
      <c r="IA139" s="618"/>
      <c r="IB139" s="618">
        <f t="shared" si="737"/>
        <v>25.000350341399081</v>
      </c>
      <c r="IC139" s="618">
        <f t="shared" si="738"/>
        <v>1E-3</v>
      </c>
      <c r="ID139" s="618"/>
      <c r="IE139" s="618">
        <f t="shared" si="739"/>
        <v>0</v>
      </c>
      <c r="IF139" s="618">
        <f t="shared" si="740"/>
        <v>40.704999999999998</v>
      </c>
      <c r="IG139" s="618"/>
      <c r="IH139" s="618">
        <f t="shared" si="741"/>
        <v>0</v>
      </c>
      <c r="II139" s="618">
        <f t="shared" si="742"/>
        <v>40.704999999999998</v>
      </c>
      <c r="IJ139" s="618"/>
      <c r="IK139" s="618">
        <f t="shared" si="743"/>
        <v>0</v>
      </c>
      <c r="IL139" s="618">
        <f t="shared" si="744"/>
        <v>40.704999999999998</v>
      </c>
      <c r="IM139" s="618"/>
      <c r="IN139" s="618">
        <f t="shared" si="745"/>
        <v>0</v>
      </c>
      <c r="IO139" s="618">
        <f t="shared" si="746"/>
        <v>40.704999999999998</v>
      </c>
      <c r="IP139" s="618"/>
      <c r="IQ139" s="618">
        <f t="shared" si="747"/>
        <v>0</v>
      </c>
      <c r="IR139" s="618">
        <f t="shared" si="748"/>
        <v>40.704999999999998</v>
      </c>
      <c r="IS139" s="639"/>
      <c r="IT139" s="640"/>
      <c r="IU139" s="640"/>
      <c r="IV139" s="640"/>
      <c r="IW139" s="640"/>
      <c r="IX139" s="640"/>
      <c r="IY139" s="640"/>
      <c r="IZ139" s="640"/>
      <c r="JA139" s="640"/>
      <c r="JB139" s="640"/>
      <c r="JC139" s="640"/>
      <c r="JD139" s="640"/>
      <c r="JE139" s="640"/>
      <c r="JF139" s="640"/>
      <c r="JG139" s="640"/>
      <c r="JH139" s="640"/>
      <c r="JI139" s="640"/>
      <c r="JJ139" s="640"/>
      <c r="JK139" s="640"/>
      <c r="JL139" s="640"/>
      <c r="JM139" s="640"/>
      <c r="JN139" s="640"/>
      <c r="JO139" s="640"/>
      <c r="JP139" s="640"/>
      <c r="JQ139" s="640"/>
      <c r="JR139" s="640"/>
      <c r="JS139" s="640"/>
      <c r="JT139" s="640"/>
      <c r="JU139" s="640"/>
      <c r="JV139" s="652"/>
    </row>
    <row r="140" spans="1:282" s="579" customFormat="1">
      <c r="A140" s="334"/>
      <c r="B140" s="582"/>
      <c r="U140" s="580"/>
      <c r="V140" s="580"/>
      <c r="AC140" s="580"/>
      <c r="AD140" s="580"/>
      <c r="AL140" s="580"/>
      <c r="AM140" s="580"/>
      <c r="AT140" s="580"/>
      <c r="AU140" s="580"/>
      <c r="AV140" s="581">
        <f t="shared" si="751"/>
        <v>0</v>
      </c>
      <c r="AW140" s="581">
        <f>IF($AY$32,'Data Sheet'!AA161,0)</f>
        <v>0</v>
      </c>
      <c r="AX140" s="581">
        <f t="shared" si="752"/>
        <v>40.704999999999998</v>
      </c>
      <c r="CH140" s="334"/>
      <c r="CI140" s="334"/>
      <c r="CO140" s="694" t="str">
        <f t="shared" si="753"/>
        <v>S040X</v>
      </c>
      <c r="CP140" s="639"/>
      <c r="CQ140" s="618"/>
      <c r="CR140" s="618"/>
      <c r="CS140" s="618"/>
      <c r="CT140" s="626"/>
      <c r="CU140" s="626"/>
      <c r="CV140" s="626"/>
      <c r="CW140" s="621"/>
      <c r="CX140" s="621"/>
      <c r="CY140" s="440"/>
      <c r="CZ140" s="440"/>
      <c r="DA140" s="619"/>
      <c r="DB140" s="619"/>
      <c r="DC140" s="618"/>
      <c r="DD140" s="618"/>
      <c r="DE140" s="618"/>
      <c r="DF140" s="618"/>
      <c r="DG140" s="618"/>
      <c r="DH140" s="618"/>
      <c r="DI140" s="618"/>
      <c r="DJ140" s="618"/>
      <c r="DK140" s="618"/>
      <c r="DL140" s="618"/>
      <c r="DM140" s="618"/>
      <c r="DN140" s="618"/>
      <c r="DO140" s="618"/>
      <c r="DP140" s="618"/>
      <c r="DQ140" s="618"/>
      <c r="DR140" s="618"/>
      <c r="DS140" s="618"/>
      <c r="DT140" s="618"/>
      <c r="DU140" s="618"/>
      <c r="DV140" s="618"/>
      <c r="DW140" s="618"/>
      <c r="DX140" s="618"/>
      <c r="DY140" s="618"/>
      <c r="DZ140" s="618"/>
      <c r="EA140" s="618"/>
      <c r="EB140" s="618"/>
      <c r="EC140" s="618"/>
      <c r="ED140" s="618"/>
      <c r="EE140" s="618"/>
      <c r="EF140" s="618"/>
      <c r="EG140" s="618"/>
      <c r="EH140" s="618"/>
      <c r="EI140" s="618"/>
      <c r="EJ140" s="618"/>
      <c r="EK140" s="618"/>
      <c r="EL140" s="618"/>
      <c r="EM140" s="618"/>
      <c r="EN140" s="618"/>
      <c r="EO140" s="618"/>
      <c r="EP140" s="618"/>
      <c r="EQ140" s="618"/>
      <c r="ER140" s="618"/>
      <c r="ES140" s="618"/>
      <c r="ET140" s="618"/>
      <c r="EU140" s="618"/>
      <c r="EV140" s="618"/>
      <c r="EW140" s="618"/>
      <c r="EX140" s="618"/>
      <c r="EY140" s="618"/>
      <c r="EZ140" s="618"/>
      <c r="FA140" s="618"/>
      <c r="FB140" s="618"/>
      <c r="FC140" s="618"/>
      <c r="FD140" s="618"/>
      <c r="FE140" s="618"/>
      <c r="FF140" s="618"/>
      <c r="FG140" s="618"/>
      <c r="FH140" s="618"/>
      <c r="FI140" s="618"/>
      <c r="FJ140" s="618"/>
      <c r="FK140" s="618"/>
      <c r="FL140" s="618"/>
      <c r="FM140" s="618"/>
      <c r="FN140" s="618"/>
      <c r="FO140" s="618"/>
      <c r="FP140" s="618"/>
      <c r="FQ140" s="618"/>
      <c r="FR140" s="618"/>
      <c r="FS140" s="618"/>
      <c r="FT140" s="618"/>
      <c r="FU140" s="618"/>
      <c r="FV140" s="618"/>
      <c r="FW140" s="618"/>
      <c r="FX140" s="618"/>
      <c r="FY140" s="618"/>
      <c r="FZ140" s="618"/>
      <c r="GA140" s="618"/>
      <c r="GB140" s="618"/>
      <c r="GC140" s="618"/>
      <c r="GD140" s="618"/>
      <c r="GE140" s="618"/>
      <c r="GF140" s="618"/>
      <c r="GG140" s="618"/>
      <c r="GH140" s="618"/>
      <c r="GI140" s="618"/>
      <c r="GJ140" s="618"/>
      <c r="GK140" s="618"/>
      <c r="GL140" s="618"/>
      <c r="GM140" s="618"/>
      <c r="GN140" s="618"/>
      <c r="GO140" s="618"/>
      <c r="GP140" s="618"/>
      <c r="GQ140" s="618"/>
      <c r="GR140" s="618"/>
      <c r="GS140" s="618"/>
      <c r="GT140" s="618"/>
      <c r="GU140" s="618"/>
      <c r="GV140" s="618"/>
      <c r="GW140" s="618"/>
      <c r="GX140" s="618"/>
      <c r="GY140" s="618"/>
      <c r="GZ140" s="618"/>
      <c r="HA140" s="618"/>
      <c r="HB140" s="618"/>
      <c r="HC140" s="618"/>
      <c r="HD140" s="618"/>
      <c r="HE140" s="618"/>
      <c r="HF140" s="639"/>
      <c r="HG140" s="639"/>
      <c r="HH140" s="639"/>
      <c r="HI140" s="639"/>
      <c r="HJ140" s="639"/>
      <c r="HK140" s="639"/>
      <c r="HL140" s="639"/>
      <c r="HM140" s="639"/>
      <c r="HN140" s="639"/>
      <c r="HO140" s="639"/>
      <c r="HP140" s="639"/>
      <c r="HQ140" s="639"/>
      <c r="HR140" s="639">
        <v>6.8500000000000005E-2</v>
      </c>
      <c r="HS140" s="639">
        <f t="shared" si="749"/>
        <v>459.92857142857144</v>
      </c>
      <c r="HT140" s="639">
        <f t="shared" si="750"/>
        <v>1</v>
      </c>
      <c r="HU140" s="618">
        <f t="shared" si="466"/>
        <v>1.744789248178356</v>
      </c>
      <c r="HV140" s="618"/>
      <c r="HW140" s="618">
        <f t="shared" si="736"/>
        <v>33.522399267586735</v>
      </c>
      <c r="HX140" s="618">
        <f t="shared" si="467"/>
        <v>1.6843108405846354</v>
      </c>
      <c r="HY140" s="618">
        <f t="shared" si="468"/>
        <v>6.8500000000000005E-2</v>
      </c>
      <c r="HZ140" s="618"/>
      <c r="IA140" s="618"/>
      <c r="IB140" s="618">
        <f t="shared" si="737"/>
        <v>25.000350341399081</v>
      </c>
      <c r="IC140" s="618">
        <f t="shared" si="738"/>
        <v>1E-3</v>
      </c>
      <c r="ID140" s="618"/>
      <c r="IE140" s="618">
        <f t="shared" si="739"/>
        <v>0</v>
      </c>
      <c r="IF140" s="618">
        <f t="shared" si="740"/>
        <v>40.704999999999998</v>
      </c>
      <c r="IG140" s="618"/>
      <c r="IH140" s="618">
        <f t="shared" si="741"/>
        <v>0</v>
      </c>
      <c r="II140" s="618">
        <f t="shared" si="742"/>
        <v>40.704999999999998</v>
      </c>
      <c r="IJ140" s="618"/>
      <c r="IK140" s="618">
        <f t="shared" si="743"/>
        <v>0</v>
      </c>
      <c r="IL140" s="618">
        <f t="shared" si="744"/>
        <v>40.704999999999998</v>
      </c>
      <c r="IM140" s="618"/>
      <c r="IN140" s="618">
        <f t="shared" si="745"/>
        <v>0</v>
      </c>
      <c r="IO140" s="618">
        <f t="shared" si="746"/>
        <v>40.704999999999998</v>
      </c>
      <c r="IP140" s="618"/>
      <c r="IQ140" s="618">
        <f t="shared" si="747"/>
        <v>0</v>
      </c>
      <c r="IR140" s="618">
        <f t="shared" si="748"/>
        <v>40.704999999999998</v>
      </c>
      <c r="IS140" s="639"/>
      <c r="IT140" s="640"/>
      <c r="IU140" s="640"/>
      <c r="IV140" s="640"/>
      <c r="IW140" s="640"/>
      <c r="IX140" s="640"/>
      <c r="IY140" s="640"/>
      <c r="IZ140" s="640"/>
      <c r="JA140" s="640"/>
      <c r="JB140" s="640"/>
      <c r="JC140" s="640"/>
      <c r="JD140" s="640"/>
      <c r="JE140" s="640"/>
      <c r="JF140" s="640"/>
      <c r="JG140" s="640"/>
      <c r="JH140" s="640"/>
      <c r="JI140" s="640"/>
      <c r="JJ140" s="640"/>
      <c r="JK140" s="640"/>
      <c r="JL140" s="640"/>
      <c r="JM140" s="640"/>
      <c r="JN140" s="640"/>
      <c r="JO140" s="640"/>
      <c r="JP140" s="640"/>
      <c r="JQ140" s="640"/>
      <c r="JR140" s="640"/>
      <c r="JS140" s="640"/>
      <c r="JT140" s="640"/>
      <c r="JU140" s="640"/>
      <c r="JV140" s="652"/>
    </row>
    <row r="141" spans="1:282" s="579" customFormat="1">
      <c r="A141" s="334"/>
      <c r="B141" s="582"/>
      <c r="U141" s="580"/>
      <c r="V141" s="580"/>
      <c r="AC141" s="580"/>
      <c r="AD141" s="580"/>
      <c r="AL141" s="580"/>
      <c r="AM141" s="580"/>
      <c r="AT141" s="580"/>
      <c r="AU141" s="580"/>
      <c r="AV141" s="581">
        <f t="shared" si="751"/>
        <v>0</v>
      </c>
      <c r="AW141" s="581">
        <f>IF($AY$32,'Data Sheet'!AA162,0)</f>
        <v>0</v>
      </c>
      <c r="AX141" s="581">
        <f t="shared" si="752"/>
        <v>40.704999999999998</v>
      </c>
      <c r="CH141" s="334"/>
      <c r="CI141" s="334"/>
      <c r="CO141" s="694" t="str">
        <f t="shared" si="753"/>
        <v>S060D</v>
      </c>
      <c r="CP141" s="639"/>
      <c r="CQ141" s="618"/>
      <c r="CR141" s="618"/>
      <c r="CS141" s="618"/>
      <c r="CT141" s="626"/>
      <c r="CU141" s="626"/>
      <c r="CV141" s="626"/>
      <c r="CW141" s="621"/>
      <c r="CX141" s="623"/>
      <c r="CY141" s="440"/>
      <c r="CZ141" s="440"/>
      <c r="DA141" s="619"/>
      <c r="DB141" s="619"/>
      <c r="DC141" s="618"/>
      <c r="DD141" s="618"/>
      <c r="DE141" s="618"/>
      <c r="DF141" s="618"/>
      <c r="DG141" s="618"/>
      <c r="DH141" s="618"/>
      <c r="DI141" s="618"/>
      <c r="DJ141" s="618"/>
      <c r="DK141" s="618"/>
      <c r="DL141" s="618"/>
      <c r="DM141" s="618"/>
      <c r="DN141" s="618"/>
      <c r="DO141" s="618"/>
      <c r="DP141" s="618"/>
      <c r="DQ141" s="618"/>
      <c r="DR141" s="618"/>
      <c r="DS141" s="618"/>
      <c r="DT141" s="618"/>
      <c r="DU141" s="618"/>
      <c r="DV141" s="618"/>
      <c r="DW141" s="618"/>
      <c r="DX141" s="618"/>
      <c r="DY141" s="618"/>
      <c r="DZ141" s="618"/>
      <c r="EA141" s="618"/>
      <c r="EB141" s="618"/>
      <c r="EC141" s="618"/>
      <c r="ED141" s="618"/>
      <c r="EE141" s="618"/>
      <c r="EF141" s="618"/>
      <c r="EG141" s="618"/>
      <c r="EH141" s="618"/>
      <c r="EI141" s="618"/>
      <c r="EJ141" s="618"/>
      <c r="EK141" s="618"/>
      <c r="EL141" s="618"/>
      <c r="EM141" s="618"/>
      <c r="EN141" s="618"/>
      <c r="EO141" s="618"/>
      <c r="EP141" s="618"/>
      <c r="EQ141" s="618"/>
      <c r="ER141" s="618"/>
      <c r="ES141" s="618"/>
      <c r="ET141" s="618"/>
      <c r="EU141" s="618"/>
      <c r="EV141" s="618"/>
      <c r="EW141" s="618"/>
      <c r="EX141" s="618"/>
      <c r="EY141" s="618"/>
      <c r="EZ141" s="618"/>
      <c r="FA141" s="618"/>
      <c r="FB141" s="618"/>
      <c r="FC141" s="618"/>
      <c r="FD141" s="618"/>
      <c r="FE141" s="618"/>
      <c r="FF141" s="618"/>
      <c r="FG141" s="618"/>
      <c r="FH141" s="618"/>
      <c r="FI141" s="618"/>
      <c r="FJ141" s="618"/>
      <c r="FK141" s="618"/>
      <c r="FL141" s="618"/>
      <c r="FM141" s="618"/>
      <c r="FN141" s="618"/>
      <c r="FO141" s="618"/>
      <c r="FP141" s="618"/>
      <c r="FQ141" s="618"/>
      <c r="FR141" s="618"/>
      <c r="FS141" s="618"/>
      <c r="FT141" s="618"/>
      <c r="FU141" s="618"/>
      <c r="FV141" s="618"/>
      <c r="FW141" s="618"/>
      <c r="FX141" s="618"/>
      <c r="FY141" s="618"/>
      <c r="FZ141" s="618"/>
      <c r="GA141" s="618"/>
      <c r="GB141" s="618"/>
      <c r="GC141" s="618"/>
      <c r="GD141" s="618"/>
      <c r="GE141" s="618"/>
      <c r="GF141" s="618"/>
      <c r="GG141" s="618"/>
      <c r="GH141" s="618"/>
      <c r="GI141" s="618"/>
      <c r="GJ141" s="618"/>
      <c r="GK141" s="618"/>
      <c r="GL141" s="618"/>
      <c r="GM141" s="618"/>
      <c r="GN141" s="618"/>
      <c r="GO141" s="618"/>
      <c r="GP141" s="618"/>
      <c r="GQ141" s="618"/>
      <c r="GR141" s="618"/>
      <c r="GS141" s="618"/>
      <c r="GT141" s="618"/>
      <c r="GU141" s="618"/>
      <c r="GV141" s="618"/>
      <c r="GW141" s="618"/>
      <c r="GX141" s="618"/>
      <c r="GY141" s="618"/>
      <c r="GZ141" s="618"/>
      <c r="HA141" s="618"/>
      <c r="HB141" s="618"/>
      <c r="HC141" s="618"/>
      <c r="HD141" s="618"/>
      <c r="HE141" s="618"/>
      <c r="HF141" s="639"/>
      <c r="HG141" s="639"/>
      <c r="HH141" s="639"/>
      <c r="HI141" s="639"/>
      <c r="HJ141" s="639"/>
      <c r="HK141" s="639"/>
      <c r="HL141" s="639"/>
      <c r="HM141" s="639"/>
      <c r="HN141" s="639"/>
      <c r="HO141" s="639"/>
      <c r="HP141" s="639"/>
      <c r="HQ141" s="639"/>
      <c r="HR141" s="639">
        <v>6.9000000000000006E-2</v>
      </c>
      <c r="HS141" s="639">
        <f t="shared" si="749"/>
        <v>463.28571428571433</v>
      </c>
      <c r="HT141" s="639">
        <f t="shared" si="750"/>
        <v>1</v>
      </c>
      <c r="HU141" s="618">
        <f t="shared" si="466"/>
        <v>1.7575282921519808</v>
      </c>
      <c r="HV141" s="618"/>
      <c r="HW141" s="618">
        <f t="shared" si="736"/>
        <v>33.50430982514419</v>
      </c>
      <c r="HX141" s="618">
        <f t="shared" si="467"/>
        <v>1.696166753811537</v>
      </c>
      <c r="HY141" s="618">
        <f t="shared" si="468"/>
        <v>6.9000000000000006E-2</v>
      </c>
      <c r="HZ141" s="618"/>
      <c r="IA141" s="618"/>
      <c r="IB141" s="618">
        <f t="shared" si="737"/>
        <v>25.000350341399081</v>
      </c>
      <c r="IC141" s="618">
        <f t="shared" si="738"/>
        <v>1E-3</v>
      </c>
      <c r="ID141" s="618"/>
      <c r="IE141" s="618">
        <f t="shared" si="739"/>
        <v>0</v>
      </c>
      <c r="IF141" s="618">
        <f t="shared" si="740"/>
        <v>40.704999999999998</v>
      </c>
      <c r="IG141" s="618"/>
      <c r="IH141" s="618">
        <f t="shared" si="741"/>
        <v>0</v>
      </c>
      <c r="II141" s="618">
        <f t="shared" si="742"/>
        <v>40.704999999999998</v>
      </c>
      <c r="IJ141" s="618"/>
      <c r="IK141" s="618">
        <f t="shared" si="743"/>
        <v>0</v>
      </c>
      <c r="IL141" s="618">
        <f t="shared" si="744"/>
        <v>40.704999999999998</v>
      </c>
      <c r="IM141" s="618"/>
      <c r="IN141" s="618">
        <f t="shared" si="745"/>
        <v>0</v>
      </c>
      <c r="IO141" s="618">
        <f t="shared" si="746"/>
        <v>40.704999999999998</v>
      </c>
      <c r="IP141" s="618"/>
      <c r="IQ141" s="618">
        <f t="shared" si="747"/>
        <v>0</v>
      </c>
      <c r="IR141" s="618">
        <f t="shared" si="748"/>
        <v>40.704999999999998</v>
      </c>
      <c r="IS141" s="639"/>
      <c r="IT141" s="640"/>
      <c r="IU141" s="640"/>
      <c r="IV141" s="640"/>
      <c r="IW141" s="640"/>
      <c r="IX141" s="640"/>
      <c r="IY141" s="640"/>
      <c r="IZ141" s="640"/>
      <c r="JA141" s="640"/>
      <c r="JB141" s="640"/>
      <c r="JC141" s="640"/>
      <c r="JD141" s="640"/>
      <c r="JE141" s="640"/>
      <c r="JF141" s="640"/>
      <c r="JG141" s="640"/>
      <c r="JH141" s="640"/>
      <c r="JI141" s="640"/>
      <c r="JJ141" s="640"/>
      <c r="JK141" s="640"/>
      <c r="JL141" s="640"/>
      <c r="JM141" s="640"/>
      <c r="JN141" s="640"/>
      <c r="JO141" s="640"/>
      <c r="JP141" s="640"/>
      <c r="JQ141" s="640"/>
      <c r="JR141" s="640"/>
      <c r="JS141" s="640"/>
      <c r="JT141" s="640"/>
      <c r="JU141" s="640"/>
      <c r="JV141" s="652"/>
    </row>
    <row r="142" spans="1:282" s="579" customFormat="1">
      <c r="A142" s="334"/>
      <c r="B142" s="582"/>
      <c r="U142" s="580"/>
      <c r="V142" s="580"/>
      <c r="AC142" s="580"/>
      <c r="AD142" s="580"/>
      <c r="AL142" s="580"/>
      <c r="AM142" s="580"/>
      <c r="AT142" s="580"/>
      <c r="AU142" s="580"/>
      <c r="AV142" s="581">
        <f t="shared" si="751"/>
        <v>0</v>
      </c>
      <c r="AW142" s="581">
        <f>IF($AY$32,'Data Sheet'!AA163,0)</f>
        <v>0</v>
      </c>
      <c r="AX142" s="581">
        <f t="shared" si="752"/>
        <v>40.704999999999998</v>
      </c>
      <c r="CH142" s="334"/>
      <c r="CI142" s="334"/>
      <c r="CO142" s="694" t="str">
        <f t="shared" si="753"/>
        <v>S060T</v>
      </c>
      <c r="CP142" s="639"/>
      <c r="CQ142" s="618"/>
      <c r="CR142" s="618"/>
      <c r="CS142" s="618"/>
      <c r="CT142" s="626"/>
      <c r="CU142" s="626"/>
      <c r="CV142" s="626"/>
      <c r="CW142" s="621"/>
      <c r="CX142" s="621"/>
      <c r="CY142" s="440"/>
      <c r="CZ142" s="440"/>
      <c r="DA142" s="619"/>
      <c r="DB142" s="619"/>
      <c r="DC142" s="618"/>
      <c r="DD142" s="618"/>
      <c r="DE142" s="618"/>
      <c r="DF142" s="618"/>
      <c r="DG142" s="618"/>
      <c r="DH142" s="618"/>
      <c r="DI142" s="618"/>
      <c r="DJ142" s="618"/>
      <c r="DK142" s="618"/>
      <c r="DL142" s="618"/>
      <c r="DM142" s="618"/>
      <c r="DN142" s="618"/>
      <c r="DO142" s="618"/>
      <c r="DP142" s="618"/>
      <c r="DQ142" s="618"/>
      <c r="DR142" s="618"/>
      <c r="DS142" s="618"/>
      <c r="DT142" s="618"/>
      <c r="DU142" s="618"/>
      <c r="DV142" s="618"/>
      <c r="DW142" s="618"/>
      <c r="DX142" s="618"/>
      <c r="DY142" s="618"/>
      <c r="DZ142" s="618"/>
      <c r="EA142" s="618"/>
      <c r="EB142" s="618"/>
      <c r="EC142" s="618"/>
      <c r="ED142" s="618"/>
      <c r="EE142" s="618"/>
      <c r="EF142" s="618"/>
      <c r="EG142" s="618"/>
      <c r="EH142" s="618"/>
      <c r="EI142" s="618"/>
      <c r="EJ142" s="618"/>
      <c r="EK142" s="618"/>
      <c r="EL142" s="618"/>
      <c r="EM142" s="618"/>
      <c r="EN142" s="618"/>
      <c r="EO142" s="618"/>
      <c r="EP142" s="618"/>
      <c r="EQ142" s="618"/>
      <c r="ER142" s="618"/>
      <c r="ES142" s="618"/>
      <c r="ET142" s="618"/>
      <c r="EU142" s="618"/>
      <c r="EV142" s="618"/>
      <c r="EW142" s="618"/>
      <c r="EX142" s="618"/>
      <c r="EY142" s="618"/>
      <c r="EZ142" s="618"/>
      <c r="FA142" s="618"/>
      <c r="FB142" s="618"/>
      <c r="FC142" s="618"/>
      <c r="FD142" s="618"/>
      <c r="FE142" s="618"/>
      <c r="FF142" s="618"/>
      <c r="FG142" s="618"/>
      <c r="FH142" s="618"/>
      <c r="FI142" s="618"/>
      <c r="FJ142" s="618"/>
      <c r="FK142" s="618"/>
      <c r="FL142" s="618"/>
      <c r="FM142" s="618"/>
      <c r="FN142" s="618"/>
      <c r="FO142" s="618"/>
      <c r="FP142" s="618"/>
      <c r="FQ142" s="618"/>
      <c r="FR142" s="618"/>
      <c r="FS142" s="618"/>
      <c r="FT142" s="618"/>
      <c r="FU142" s="618"/>
      <c r="FV142" s="618"/>
      <c r="FW142" s="618"/>
      <c r="FX142" s="618"/>
      <c r="FY142" s="618"/>
      <c r="FZ142" s="618"/>
      <c r="GA142" s="618"/>
      <c r="GB142" s="618"/>
      <c r="GC142" s="618"/>
      <c r="GD142" s="618"/>
      <c r="GE142" s="618"/>
      <c r="GF142" s="618"/>
      <c r="GG142" s="618"/>
      <c r="GH142" s="618"/>
      <c r="GI142" s="618"/>
      <c r="GJ142" s="618"/>
      <c r="GK142" s="618"/>
      <c r="GL142" s="618"/>
      <c r="GM142" s="618"/>
      <c r="GN142" s="618"/>
      <c r="GO142" s="618"/>
      <c r="GP142" s="618"/>
      <c r="GQ142" s="618"/>
      <c r="GR142" s="618"/>
      <c r="GS142" s="618"/>
      <c r="GT142" s="618"/>
      <c r="GU142" s="618"/>
      <c r="GV142" s="618"/>
      <c r="GW142" s="618"/>
      <c r="GX142" s="618"/>
      <c r="GY142" s="618"/>
      <c r="GZ142" s="618"/>
      <c r="HA142" s="618"/>
      <c r="HB142" s="618"/>
      <c r="HC142" s="618"/>
      <c r="HD142" s="618"/>
      <c r="HE142" s="618"/>
      <c r="HF142" s="639"/>
      <c r="HG142" s="639"/>
      <c r="HH142" s="639"/>
      <c r="HI142" s="639"/>
      <c r="HJ142" s="639"/>
      <c r="HK142" s="639"/>
      <c r="HL142" s="639"/>
      <c r="HM142" s="639"/>
      <c r="HN142" s="639"/>
      <c r="HO142" s="639"/>
      <c r="HP142" s="639"/>
      <c r="HQ142" s="639"/>
      <c r="HR142" s="639">
        <v>6.9500000000000006E-2</v>
      </c>
      <c r="HS142" s="639">
        <f t="shared" si="749"/>
        <v>466.64285714285717</v>
      </c>
      <c r="HT142" s="639">
        <f t="shared" si="750"/>
        <v>1</v>
      </c>
      <c r="HU142" s="618">
        <f t="shared" si="466"/>
        <v>1.7702673361256056</v>
      </c>
      <c r="HV142" s="618"/>
      <c r="HW142" s="618">
        <f t="shared" si="736"/>
        <v>33.486220382701639</v>
      </c>
      <c r="HX142" s="618">
        <f t="shared" si="467"/>
        <v>1.7080162658661406</v>
      </c>
      <c r="HY142" s="618">
        <f t="shared" si="468"/>
        <v>6.9500000000000006E-2</v>
      </c>
      <c r="HZ142" s="618"/>
      <c r="IA142" s="618"/>
      <c r="IB142" s="618">
        <f t="shared" si="737"/>
        <v>25.000350341399081</v>
      </c>
      <c r="IC142" s="618">
        <f t="shared" si="738"/>
        <v>1E-3</v>
      </c>
      <c r="ID142" s="618"/>
      <c r="IE142" s="618">
        <f t="shared" si="739"/>
        <v>0</v>
      </c>
      <c r="IF142" s="618">
        <f t="shared" si="740"/>
        <v>40.704999999999998</v>
      </c>
      <c r="IG142" s="618"/>
      <c r="IH142" s="618">
        <f t="shared" si="741"/>
        <v>0</v>
      </c>
      <c r="II142" s="618">
        <f t="shared" si="742"/>
        <v>40.704999999999998</v>
      </c>
      <c r="IJ142" s="618"/>
      <c r="IK142" s="618">
        <f t="shared" si="743"/>
        <v>0</v>
      </c>
      <c r="IL142" s="618">
        <f t="shared" si="744"/>
        <v>40.704999999999998</v>
      </c>
      <c r="IM142" s="618"/>
      <c r="IN142" s="618">
        <f t="shared" si="745"/>
        <v>0</v>
      </c>
      <c r="IO142" s="618">
        <f t="shared" si="746"/>
        <v>40.704999999999998</v>
      </c>
      <c r="IP142" s="618"/>
      <c r="IQ142" s="618">
        <f t="shared" si="747"/>
        <v>0</v>
      </c>
      <c r="IR142" s="618">
        <f t="shared" si="748"/>
        <v>40.704999999999998</v>
      </c>
      <c r="IS142" s="639"/>
      <c r="IT142" s="640"/>
      <c r="IU142" s="640"/>
      <c r="IV142" s="640"/>
      <c r="IW142" s="640"/>
      <c r="IX142" s="640"/>
      <c r="IY142" s="640"/>
      <c r="IZ142" s="640"/>
      <c r="JA142" s="640"/>
      <c r="JB142" s="640"/>
      <c r="JC142" s="640"/>
      <c r="JD142" s="640"/>
      <c r="JE142" s="640"/>
      <c r="JF142" s="640"/>
      <c r="JG142" s="640"/>
      <c r="JH142" s="640"/>
      <c r="JI142" s="640"/>
      <c r="JJ142" s="640"/>
      <c r="JK142" s="640"/>
      <c r="JL142" s="640"/>
      <c r="JM142" s="640"/>
      <c r="JN142" s="640"/>
      <c r="JO142" s="640"/>
      <c r="JP142" s="640"/>
      <c r="JQ142" s="640"/>
      <c r="JR142" s="640"/>
      <c r="JS142" s="640"/>
      <c r="JT142" s="640"/>
      <c r="JU142" s="640"/>
      <c r="JV142" s="652"/>
    </row>
    <row r="143" spans="1:282" s="579" customFormat="1">
      <c r="A143" s="334"/>
      <c r="B143" s="582"/>
      <c r="U143" s="580"/>
      <c r="V143" s="580"/>
      <c r="AC143" s="580"/>
      <c r="AD143" s="580"/>
      <c r="AL143" s="580"/>
      <c r="AM143" s="580"/>
      <c r="AT143" s="580"/>
      <c r="AU143" s="580"/>
      <c r="AV143" s="581" t="e">
        <f t="shared" si="751"/>
        <v>#DIV/0!</v>
      </c>
      <c r="AW143" s="581" t="e">
        <f>IF($AY$32,'Data Sheet'!AA164,0)</f>
        <v>#DIV/0!</v>
      </c>
      <c r="AX143" s="581">
        <f t="shared" si="752"/>
        <v>40.704999999999998</v>
      </c>
      <c r="CH143" s="334"/>
      <c r="CI143" s="334"/>
      <c r="CO143" s="694" t="str">
        <f t="shared" si="753"/>
        <v>S060Q</v>
      </c>
      <c r="CP143" s="639"/>
      <c r="CQ143" s="618"/>
      <c r="CR143" s="618"/>
      <c r="CS143" s="618"/>
      <c r="CT143" s="626"/>
      <c r="CU143" s="626"/>
      <c r="CV143" s="626"/>
      <c r="CW143" s="621"/>
      <c r="CX143" s="621"/>
      <c r="CY143" s="440"/>
      <c r="CZ143" s="440"/>
      <c r="DA143" s="619"/>
      <c r="DB143" s="619"/>
      <c r="DC143" s="618"/>
      <c r="DD143" s="618"/>
      <c r="DE143" s="618"/>
      <c r="DF143" s="618"/>
      <c r="DG143" s="618"/>
      <c r="DH143" s="618"/>
      <c r="DI143" s="618"/>
      <c r="DJ143" s="618"/>
      <c r="DK143" s="618"/>
      <c r="DL143" s="618"/>
      <c r="DM143" s="618"/>
      <c r="DN143" s="618"/>
      <c r="DO143" s="618"/>
      <c r="DP143" s="618"/>
      <c r="DQ143" s="618"/>
      <c r="DR143" s="618"/>
      <c r="DS143" s="618"/>
      <c r="DT143" s="618"/>
      <c r="DU143" s="618"/>
      <c r="DV143" s="618"/>
      <c r="DW143" s="618"/>
      <c r="DX143" s="618"/>
      <c r="DY143" s="618"/>
      <c r="DZ143" s="618"/>
      <c r="EA143" s="618"/>
      <c r="EB143" s="618"/>
      <c r="EC143" s="618"/>
      <c r="ED143" s="618"/>
      <c r="EE143" s="618"/>
      <c r="EF143" s="618"/>
      <c r="EG143" s="618"/>
      <c r="EH143" s="618"/>
      <c r="EI143" s="618"/>
      <c r="EJ143" s="618"/>
      <c r="EK143" s="618"/>
      <c r="EL143" s="618"/>
      <c r="EM143" s="618"/>
      <c r="EN143" s="618"/>
      <c r="EO143" s="618"/>
      <c r="EP143" s="618"/>
      <c r="EQ143" s="618"/>
      <c r="ER143" s="618"/>
      <c r="ES143" s="618"/>
      <c r="ET143" s="618"/>
      <c r="EU143" s="618"/>
      <c r="EV143" s="618"/>
      <c r="EW143" s="618"/>
      <c r="EX143" s="618"/>
      <c r="EY143" s="618"/>
      <c r="EZ143" s="618"/>
      <c r="FA143" s="618"/>
      <c r="FB143" s="618"/>
      <c r="FC143" s="618"/>
      <c r="FD143" s="618"/>
      <c r="FE143" s="618"/>
      <c r="FF143" s="618"/>
      <c r="FG143" s="618"/>
      <c r="FH143" s="618"/>
      <c r="FI143" s="618"/>
      <c r="FJ143" s="618"/>
      <c r="FK143" s="618"/>
      <c r="FL143" s="618"/>
      <c r="FM143" s="618"/>
      <c r="FN143" s="618"/>
      <c r="FO143" s="618"/>
      <c r="FP143" s="618"/>
      <c r="FQ143" s="618"/>
      <c r="FR143" s="618"/>
      <c r="FS143" s="618"/>
      <c r="FT143" s="618"/>
      <c r="FU143" s="618"/>
      <c r="FV143" s="618"/>
      <c r="FW143" s="618"/>
      <c r="FX143" s="618"/>
      <c r="FY143" s="618"/>
      <c r="FZ143" s="618"/>
      <c r="GA143" s="618"/>
      <c r="GB143" s="618"/>
      <c r="GC143" s="618"/>
      <c r="GD143" s="618"/>
      <c r="GE143" s="618"/>
      <c r="GF143" s="618"/>
      <c r="GG143" s="618"/>
      <c r="GH143" s="618"/>
      <c r="GI143" s="618"/>
      <c r="GJ143" s="618"/>
      <c r="GK143" s="618"/>
      <c r="GL143" s="618"/>
      <c r="GM143" s="618"/>
      <c r="GN143" s="618"/>
      <c r="GO143" s="618"/>
      <c r="GP143" s="618"/>
      <c r="GQ143" s="618"/>
      <c r="GR143" s="618"/>
      <c r="GS143" s="618"/>
      <c r="GT143" s="618"/>
      <c r="GU143" s="618"/>
      <c r="GV143" s="618"/>
      <c r="GW143" s="618"/>
      <c r="GX143" s="618"/>
      <c r="GY143" s="618"/>
      <c r="GZ143" s="618"/>
      <c r="HA143" s="618"/>
      <c r="HB143" s="618"/>
      <c r="HC143" s="618"/>
      <c r="HD143" s="618"/>
      <c r="HE143" s="618"/>
      <c r="HF143" s="639"/>
      <c r="HG143" s="639"/>
      <c r="HH143" s="639"/>
      <c r="HI143" s="639"/>
      <c r="HJ143" s="639"/>
      <c r="HK143" s="639"/>
      <c r="HL143" s="639"/>
      <c r="HM143" s="639"/>
      <c r="HN143" s="639"/>
      <c r="HO143" s="639"/>
      <c r="HP143" s="639"/>
      <c r="HQ143" s="639"/>
      <c r="HR143" s="639">
        <v>7.0000000000000007E-2</v>
      </c>
      <c r="HS143" s="639">
        <f t="shared" si="749"/>
        <v>470.00000000000006</v>
      </c>
      <c r="HT143" s="639">
        <f t="shared" si="750"/>
        <v>1</v>
      </c>
      <c r="HU143" s="618">
        <f t="shared" si="466"/>
        <v>1.7830063800992304</v>
      </c>
      <c r="HV143" s="618"/>
      <c r="HW143" s="618">
        <f t="shared" si="736"/>
        <v>33.468130940259094</v>
      </c>
      <c r="HX143" s="618">
        <f t="shared" si="467"/>
        <v>1.719859376748446</v>
      </c>
      <c r="HY143" s="618">
        <f t="shared" si="468"/>
        <v>7.0000000000000007E-2</v>
      </c>
      <c r="HZ143" s="618"/>
      <c r="IA143" s="618"/>
      <c r="IB143" s="618">
        <f t="shared" si="737"/>
        <v>25.000350341399081</v>
      </c>
      <c r="IC143" s="618">
        <f t="shared" si="738"/>
        <v>1E-3</v>
      </c>
      <c r="ID143" s="618"/>
      <c r="IE143" s="618">
        <f t="shared" si="739"/>
        <v>0</v>
      </c>
      <c r="IF143" s="618">
        <f t="shared" si="740"/>
        <v>40.704999999999998</v>
      </c>
      <c r="IG143" s="618"/>
      <c r="IH143" s="618">
        <f t="shared" si="741"/>
        <v>0</v>
      </c>
      <c r="II143" s="618">
        <f t="shared" si="742"/>
        <v>40.704999999999998</v>
      </c>
      <c r="IJ143" s="618"/>
      <c r="IK143" s="618">
        <f t="shared" si="743"/>
        <v>0</v>
      </c>
      <c r="IL143" s="618">
        <f t="shared" si="744"/>
        <v>40.704999999999998</v>
      </c>
      <c r="IM143" s="618"/>
      <c r="IN143" s="618">
        <f t="shared" si="745"/>
        <v>0</v>
      </c>
      <c r="IO143" s="618">
        <f t="shared" si="746"/>
        <v>40.704999999999998</v>
      </c>
      <c r="IP143" s="618"/>
      <c r="IQ143" s="618">
        <f t="shared" si="747"/>
        <v>0</v>
      </c>
      <c r="IR143" s="618">
        <f t="shared" si="748"/>
        <v>40.704999999999998</v>
      </c>
      <c r="IS143" s="639"/>
      <c r="IT143" s="640"/>
      <c r="IU143" s="640"/>
      <c r="IV143" s="640"/>
      <c r="IW143" s="640"/>
      <c r="IX143" s="640"/>
      <c r="IY143" s="640"/>
      <c r="IZ143" s="640"/>
      <c r="JA143" s="640"/>
      <c r="JB143" s="640"/>
      <c r="JC143" s="640"/>
      <c r="JD143" s="640"/>
      <c r="JE143" s="640"/>
      <c r="JF143" s="640"/>
      <c r="JG143" s="640"/>
      <c r="JH143" s="640"/>
      <c r="JI143" s="640"/>
      <c r="JJ143" s="640"/>
      <c r="JK143" s="640"/>
      <c r="JL143" s="640"/>
      <c r="JM143" s="640"/>
      <c r="JN143" s="640"/>
      <c r="JO143" s="640"/>
      <c r="JP143" s="640"/>
      <c r="JQ143" s="640"/>
      <c r="JR143" s="640"/>
      <c r="JS143" s="640"/>
      <c r="JT143" s="640"/>
      <c r="JU143" s="640"/>
      <c r="JV143" s="652"/>
    </row>
    <row r="144" spans="1:282" s="579" customFormat="1">
      <c r="A144" s="334"/>
      <c r="B144" s="582"/>
      <c r="U144" s="580"/>
      <c r="V144" s="580"/>
      <c r="AC144" s="580"/>
      <c r="AD144" s="580"/>
      <c r="AL144" s="580"/>
      <c r="AM144" s="580"/>
      <c r="AT144" s="580"/>
      <c r="AU144" s="580"/>
      <c r="AV144" s="581" t="e">
        <f t="shared" si="751"/>
        <v>#DIV/0!</v>
      </c>
      <c r="AW144" s="581" t="e">
        <f>IF($AY$32,'Data Sheet'!AA165,0)</f>
        <v>#DIV/0!</v>
      </c>
      <c r="AX144" s="581">
        <f t="shared" si="752"/>
        <v>40.704999999999998</v>
      </c>
      <c r="CH144" s="334"/>
      <c r="CI144" s="334"/>
      <c r="CO144" s="694" t="str">
        <f t="shared" si="753"/>
        <v>S080D 1S</v>
      </c>
      <c r="CP144" s="639"/>
      <c r="CQ144" s="618"/>
      <c r="CR144" s="618"/>
      <c r="CS144" s="618"/>
      <c r="CT144" s="626"/>
      <c r="CU144" s="626"/>
      <c r="CV144" s="626"/>
      <c r="CW144" s="626"/>
      <c r="CX144" s="626"/>
      <c r="CY144" s="619"/>
      <c r="CZ144" s="619"/>
      <c r="DA144" s="619"/>
      <c r="DB144" s="619"/>
      <c r="DC144" s="618"/>
      <c r="DD144" s="618"/>
      <c r="DE144" s="618"/>
      <c r="DF144" s="618"/>
      <c r="DG144" s="618"/>
      <c r="DH144" s="618"/>
      <c r="DI144" s="618"/>
      <c r="DJ144" s="618"/>
      <c r="DK144" s="618"/>
      <c r="DL144" s="618"/>
      <c r="DM144" s="618"/>
      <c r="DN144" s="618"/>
      <c r="DO144" s="618"/>
      <c r="DP144" s="618"/>
      <c r="DQ144" s="618"/>
      <c r="DR144" s="618"/>
      <c r="DS144" s="618"/>
      <c r="DT144" s="618"/>
      <c r="DU144" s="618"/>
      <c r="DV144" s="618"/>
      <c r="DW144" s="618"/>
      <c r="DX144" s="618"/>
      <c r="DY144" s="618"/>
      <c r="DZ144" s="618"/>
      <c r="EA144" s="618"/>
      <c r="EB144" s="618"/>
      <c r="EC144" s="618"/>
      <c r="ED144" s="618"/>
      <c r="EE144" s="618"/>
      <c r="EF144" s="618"/>
      <c r="EG144" s="618"/>
      <c r="EH144" s="618"/>
      <c r="EI144" s="618"/>
      <c r="EJ144" s="618"/>
      <c r="EK144" s="618"/>
      <c r="EL144" s="618"/>
      <c r="EM144" s="618"/>
      <c r="EN144" s="618"/>
      <c r="EO144" s="618"/>
      <c r="EP144" s="618"/>
      <c r="EQ144" s="618"/>
      <c r="ER144" s="618"/>
      <c r="ES144" s="618"/>
      <c r="ET144" s="618"/>
      <c r="EU144" s="618"/>
      <c r="EV144" s="618"/>
      <c r="EW144" s="618"/>
      <c r="EX144" s="618"/>
      <c r="EY144" s="618"/>
      <c r="EZ144" s="618"/>
      <c r="FA144" s="618"/>
      <c r="FB144" s="618"/>
      <c r="FC144" s="618"/>
      <c r="FD144" s="618"/>
      <c r="FE144" s="618"/>
      <c r="FF144" s="618"/>
      <c r="FG144" s="618"/>
      <c r="FH144" s="618"/>
      <c r="FI144" s="618"/>
      <c r="FJ144" s="618"/>
      <c r="FK144" s="618"/>
      <c r="FL144" s="618"/>
      <c r="FM144" s="618"/>
      <c r="FN144" s="618"/>
      <c r="FO144" s="618"/>
      <c r="FP144" s="618"/>
      <c r="FQ144" s="618"/>
      <c r="FR144" s="618"/>
      <c r="FS144" s="618"/>
      <c r="FT144" s="618"/>
      <c r="FU144" s="618"/>
      <c r="FV144" s="618"/>
      <c r="FW144" s="618"/>
      <c r="FX144" s="618"/>
      <c r="FY144" s="618"/>
      <c r="FZ144" s="618"/>
      <c r="GA144" s="618"/>
      <c r="GB144" s="618"/>
      <c r="GC144" s="618"/>
      <c r="GD144" s="618"/>
      <c r="GE144" s="618"/>
      <c r="GF144" s="618"/>
      <c r="GG144" s="618"/>
      <c r="GH144" s="618"/>
      <c r="GI144" s="618"/>
      <c r="GJ144" s="618"/>
      <c r="GK144" s="618"/>
      <c r="GL144" s="618"/>
      <c r="GM144" s="618"/>
      <c r="GN144" s="618"/>
      <c r="GO144" s="618"/>
      <c r="GP144" s="618"/>
      <c r="GQ144" s="618"/>
      <c r="GR144" s="618"/>
      <c r="GS144" s="618"/>
      <c r="GT144" s="618"/>
      <c r="GU144" s="618"/>
      <c r="GV144" s="618"/>
      <c r="GW144" s="618"/>
      <c r="GX144" s="618"/>
      <c r="GY144" s="618"/>
      <c r="GZ144" s="618"/>
      <c r="HA144" s="618"/>
      <c r="HB144" s="618"/>
      <c r="HC144" s="618"/>
      <c r="HD144" s="618"/>
      <c r="HE144" s="618"/>
      <c r="HF144" s="639"/>
      <c r="HG144" s="639"/>
      <c r="HH144" s="639"/>
      <c r="HI144" s="639"/>
      <c r="HJ144" s="639"/>
      <c r="HK144" s="639"/>
      <c r="HL144" s="639"/>
      <c r="HM144" s="639"/>
      <c r="HN144" s="639"/>
      <c r="HO144" s="639"/>
      <c r="HP144" s="639"/>
      <c r="HQ144" s="639"/>
      <c r="HR144" s="639">
        <v>7.0499999999999993E-2</v>
      </c>
      <c r="HS144" s="639">
        <f t="shared" si="749"/>
        <v>473.35714285714283</v>
      </c>
      <c r="HT144" s="639">
        <f t="shared" si="750"/>
        <v>1</v>
      </c>
      <c r="HU144" s="618">
        <f t="shared" si="466"/>
        <v>1.7957454240728548</v>
      </c>
      <c r="HV144" s="618"/>
      <c r="HW144" s="618">
        <f t="shared" si="736"/>
        <v>33.450041497816549</v>
      </c>
      <c r="HX144" s="618">
        <f t="shared" si="467"/>
        <v>1.731696086458453</v>
      </c>
      <c r="HY144" s="618">
        <f t="shared" si="468"/>
        <v>7.0499999999999993E-2</v>
      </c>
      <c r="HZ144" s="618"/>
      <c r="IA144" s="618"/>
      <c r="IB144" s="618">
        <f t="shared" si="737"/>
        <v>25.000350341399081</v>
      </c>
      <c r="IC144" s="618">
        <f t="shared" si="738"/>
        <v>1E-3</v>
      </c>
      <c r="ID144" s="618"/>
      <c r="IE144" s="618">
        <f t="shared" si="739"/>
        <v>0</v>
      </c>
      <c r="IF144" s="618">
        <f t="shared" si="740"/>
        <v>40.704999999999998</v>
      </c>
      <c r="IG144" s="618"/>
      <c r="IH144" s="618">
        <f t="shared" si="741"/>
        <v>0</v>
      </c>
      <c r="II144" s="618">
        <f t="shared" si="742"/>
        <v>40.704999999999998</v>
      </c>
      <c r="IJ144" s="618"/>
      <c r="IK144" s="618">
        <f t="shared" si="743"/>
        <v>0</v>
      </c>
      <c r="IL144" s="618">
        <f t="shared" si="744"/>
        <v>40.704999999999998</v>
      </c>
      <c r="IM144" s="618"/>
      <c r="IN144" s="618">
        <f t="shared" si="745"/>
        <v>0</v>
      </c>
      <c r="IO144" s="618">
        <f t="shared" si="746"/>
        <v>40.704999999999998</v>
      </c>
      <c r="IP144" s="618"/>
      <c r="IQ144" s="618">
        <f t="shared" si="747"/>
        <v>0</v>
      </c>
      <c r="IR144" s="618">
        <f t="shared" si="748"/>
        <v>40.704999999999998</v>
      </c>
      <c r="IS144" s="639"/>
      <c r="IT144" s="640"/>
      <c r="IU144" s="640"/>
      <c r="IV144" s="640"/>
      <c r="IW144" s="640"/>
      <c r="IX144" s="640"/>
      <c r="IY144" s="640"/>
      <c r="IZ144" s="640"/>
      <c r="JA144" s="640"/>
      <c r="JB144" s="640"/>
      <c r="JC144" s="640"/>
      <c r="JD144" s="640"/>
      <c r="JE144" s="640"/>
      <c r="JF144" s="640"/>
      <c r="JG144" s="640"/>
      <c r="JH144" s="640"/>
      <c r="JI144" s="640"/>
      <c r="JJ144" s="640"/>
      <c r="JK144" s="640"/>
      <c r="JL144" s="640"/>
      <c r="JM144" s="640"/>
      <c r="JN144" s="640"/>
      <c r="JO144" s="640"/>
      <c r="JP144" s="640"/>
      <c r="JQ144" s="640"/>
      <c r="JR144" s="640"/>
      <c r="JS144" s="640"/>
      <c r="JT144" s="640"/>
      <c r="JU144" s="640"/>
      <c r="JV144" s="652"/>
    </row>
    <row r="145" spans="1:282" s="579" customFormat="1">
      <c r="A145" s="334"/>
      <c r="B145" s="582"/>
      <c r="U145" s="580"/>
      <c r="V145" s="580"/>
      <c r="AC145" s="580"/>
      <c r="AD145" s="580"/>
      <c r="AL145" s="580"/>
      <c r="AM145" s="580"/>
      <c r="AT145" s="580"/>
      <c r="AU145" s="580"/>
      <c r="AV145" s="581" t="e">
        <f t="shared" si="751"/>
        <v>#DIV/0!</v>
      </c>
      <c r="AW145" s="581" t="e">
        <f>IF($AY$32,'Data Sheet'!AA166,0)</f>
        <v>#DIV/0!</v>
      </c>
      <c r="AX145" s="581">
        <f t="shared" si="752"/>
        <v>40.704999999999998</v>
      </c>
      <c r="CH145" s="334"/>
      <c r="CI145" s="334"/>
      <c r="CO145" s="694" t="str">
        <f t="shared" si="753"/>
        <v>S080D</v>
      </c>
      <c r="CP145" s="639"/>
      <c r="CQ145" s="618"/>
      <c r="CR145" s="618"/>
      <c r="CS145" s="618"/>
      <c r="CT145" s="626"/>
      <c r="CU145" s="626"/>
      <c r="CV145" s="626"/>
      <c r="CW145" s="626"/>
      <c r="CX145" s="626"/>
      <c r="CY145" s="619"/>
      <c r="CZ145" s="619"/>
      <c r="DA145" s="619"/>
      <c r="DB145" s="619"/>
      <c r="DC145" s="618"/>
      <c r="DD145" s="618"/>
      <c r="DE145" s="618"/>
      <c r="DF145" s="618"/>
      <c r="DG145" s="618"/>
      <c r="DH145" s="618"/>
      <c r="DI145" s="618"/>
      <c r="DJ145" s="618"/>
      <c r="DK145" s="618"/>
      <c r="DL145" s="618"/>
      <c r="DM145" s="618"/>
      <c r="DN145" s="618"/>
      <c r="DO145" s="618"/>
      <c r="DP145" s="618"/>
      <c r="DQ145" s="618"/>
      <c r="DR145" s="618"/>
      <c r="DS145" s="618"/>
      <c r="DT145" s="618"/>
      <c r="DU145" s="618"/>
      <c r="DV145" s="618"/>
      <c r="DW145" s="618"/>
      <c r="DX145" s="618"/>
      <c r="DY145" s="618"/>
      <c r="DZ145" s="618"/>
      <c r="EA145" s="618"/>
      <c r="EB145" s="618"/>
      <c r="EC145" s="618"/>
      <c r="ED145" s="618"/>
      <c r="EE145" s="618"/>
      <c r="EF145" s="618"/>
      <c r="EG145" s="618"/>
      <c r="EH145" s="618"/>
      <c r="EI145" s="618"/>
      <c r="EJ145" s="618"/>
      <c r="EK145" s="618"/>
      <c r="EL145" s="618"/>
      <c r="EM145" s="618"/>
      <c r="EN145" s="618"/>
      <c r="EO145" s="618"/>
      <c r="EP145" s="618"/>
      <c r="EQ145" s="618"/>
      <c r="ER145" s="618"/>
      <c r="ES145" s="618"/>
      <c r="ET145" s="618"/>
      <c r="EU145" s="618"/>
      <c r="EV145" s="618"/>
      <c r="EW145" s="618"/>
      <c r="EX145" s="618"/>
      <c r="EY145" s="618"/>
      <c r="EZ145" s="618"/>
      <c r="FA145" s="618"/>
      <c r="FB145" s="618"/>
      <c r="FC145" s="618"/>
      <c r="FD145" s="618"/>
      <c r="FE145" s="618"/>
      <c r="FF145" s="618"/>
      <c r="FG145" s="618"/>
      <c r="FH145" s="618"/>
      <c r="FI145" s="618"/>
      <c r="FJ145" s="618"/>
      <c r="FK145" s="618"/>
      <c r="FL145" s="618"/>
      <c r="FM145" s="618"/>
      <c r="FN145" s="618"/>
      <c r="FO145" s="618"/>
      <c r="FP145" s="618"/>
      <c r="FQ145" s="618"/>
      <c r="FR145" s="618"/>
      <c r="FS145" s="618"/>
      <c r="FT145" s="618"/>
      <c r="FU145" s="618"/>
      <c r="FV145" s="618"/>
      <c r="FW145" s="618"/>
      <c r="FX145" s="618"/>
      <c r="FY145" s="618"/>
      <c r="FZ145" s="618"/>
      <c r="GA145" s="618"/>
      <c r="GB145" s="618"/>
      <c r="GC145" s="618"/>
      <c r="GD145" s="618"/>
      <c r="GE145" s="618"/>
      <c r="GF145" s="618"/>
      <c r="GG145" s="618"/>
      <c r="GH145" s="618"/>
      <c r="GI145" s="618"/>
      <c r="GJ145" s="618"/>
      <c r="GK145" s="618"/>
      <c r="GL145" s="618"/>
      <c r="GM145" s="618"/>
      <c r="GN145" s="618"/>
      <c r="GO145" s="618"/>
      <c r="GP145" s="618"/>
      <c r="GQ145" s="618"/>
      <c r="GR145" s="618"/>
      <c r="GS145" s="618"/>
      <c r="GT145" s="618"/>
      <c r="GU145" s="618"/>
      <c r="GV145" s="618"/>
      <c r="GW145" s="618"/>
      <c r="GX145" s="618"/>
      <c r="GY145" s="618"/>
      <c r="GZ145" s="618"/>
      <c r="HA145" s="618"/>
      <c r="HB145" s="618"/>
      <c r="HC145" s="618"/>
      <c r="HD145" s="618"/>
      <c r="HE145" s="618"/>
      <c r="HF145" s="639"/>
      <c r="HG145" s="639"/>
      <c r="HH145" s="639"/>
      <c r="HI145" s="639"/>
      <c r="HJ145" s="639"/>
      <c r="HK145" s="639"/>
      <c r="HL145" s="639"/>
      <c r="HM145" s="639"/>
      <c r="HN145" s="639"/>
      <c r="HO145" s="639"/>
      <c r="HP145" s="639"/>
      <c r="HQ145" s="639"/>
      <c r="HR145" s="639">
        <v>7.0999999999999994E-2</v>
      </c>
      <c r="HS145" s="639">
        <f t="shared" si="749"/>
        <v>476.71428571428567</v>
      </c>
      <c r="HT145" s="639">
        <f t="shared" si="750"/>
        <v>1</v>
      </c>
      <c r="HU145" s="618">
        <f t="shared" si="466"/>
        <v>1.8084844680464796</v>
      </c>
      <c r="HV145" s="618"/>
      <c r="HW145" s="618">
        <f t="shared" si="736"/>
        <v>33.431952055373998</v>
      </c>
      <c r="HX145" s="618">
        <f t="shared" si="467"/>
        <v>1.7435263949961619</v>
      </c>
      <c r="HY145" s="618">
        <f t="shared" si="468"/>
        <v>7.0999999999999994E-2</v>
      </c>
      <c r="HZ145" s="618"/>
      <c r="IA145" s="618"/>
      <c r="IB145" s="618">
        <f t="shared" si="737"/>
        <v>25.000350341399081</v>
      </c>
      <c r="IC145" s="618">
        <f t="shared" si="738"/>
        <v>1E-3</v>
      </c>
      <c r="ID145" s="618"/>
      <c r="IE145" s="618">
        <f t="shared" si="739"/>
        <v>0</v>
      </c>
      <c r="IF145" s="618">
        <f t="shared" si="740"/>
        <v>40.704999999999998</v>
      </c>
      <c r="IG145" s="618"/>
      <c r="IH145" s="618">
        <f t="shared" si="741"/>
        <v>0</v>
      </c>
      <c r="II145" s="618">
        <f t="shared" si="742"/>
        <v>40.704999999999998</v>
      </c>
      <c r="IJ145" s="618"/>
      <c r="IK145" s="618">
        <f t="shared" si="743"/>
        <v>0</v>
      </c>
      <c r="IL145" s="618">
        <f t="shared" si="744"/>
        <v>40.704999999999998</v>
      </c>
      <c r="IM145" s="618"/>
      <c r="IN145" s="618">
        <f t="shared" si="745"/>
        <v>0</v>
      </c>
      <c r="IO145" s="618">
        <f t="shared" si="746"/>
        <v>40.704999999999998</v>
      </c>
      <c r="IP145" s="618"/>
      <c r="IQ145" s="618">
        <f t="shared" si="747"/>
        <v>0</v>
      </c>
      <c r="IR145" s="618">
        <f t="shared" si="748"/>
        <v>40.704999999999998</v>
      </c>
      <c r="IS145" s="639"/>
      <c r="IT145" s="640"/>
      <c r="IU145" s="640"/>
      <c r="IV145" s="640"/>
      <c r="IW145" s="640"/>
      <c r="IX145" s="640"/>
      <c r="IY145" s="640"/>
      <c r="IZ145" s="640"/>
      <c r="JA145" s="640"/>
      <c r="JB145" s="640"/>
      <c r="JC145" s="640"/>
      <c r="JD145" s="640"/>
      <c r="JE145" s="640"/>
      <c r="JF145" s="640"/>
      <c r="JG145" s="640"/>
      <c r="JH145" s="640"/>
      <c r="JI145" s="640"/>
      <c r="JJ145" s="640"/>
      <c r="JK145" s="640"/>
      <c r="JL145" s="640"/>
      <c r="JM145" s="640"/>
      <c r="JN145" s="640"/>
      <c r="JO145" s="640"/>
      <c r="JP145" s="640"/>
      <c r="JQ145" s="640"/>
      <c r="JR145" s="640"/>
      <c r="JS145" s="640"/>
      <c r="JT145" s="640"/>
      <c r="JU145" s="640"/>
      <c r="JV145" s="652"/>
    </row>
    <row r="146" spans="1:282" s="579" customFormat="1">
      <c r="A146" s="334"/>
      <c r="B146" s="582"/>
      <c r="U146" s="580"/>
      <c r="V146" s="580"/>
      <c r="AC146" s="580"/>
      <c r="AD146" s="580"/>
      <c r="AL146" s="580"/>
      <c r="AM146" s="580"/>
      <c r="AT146" s="580"/>
      <c r="AU146" s="580"/>
      <c r="AV146" s="581" t="str">
        <f>IF($AY$30,T32,0)</f>
        <v/>
      </c>
      <c r="AW146" s="581">
        <f>IF($AY$32,'Data Sheet'!AA167,0)</f>
        <v>0</v>
      </c>
      <c r="AX146" s="581">
        <f>T31-AY46</f>
        <v>40.704999999999998</v>
      </c>
      <c r="CH146" s="334"/>
      <c r="CI146" s="334"/>
      <c r="CO146" s="694" t="str">
        <f t="shared" si="753"/>
        <v>S080T 1S</v>
      </c>
      <c r="CP146" s="639"/>
      <c r="CQ146" s="618"/>
      <c r="CR146" s="618"/>
      <c r="CS146" s="618"/>
      <c r="CT146" s="626"/>
      <c r="CU146" s="626"/>
      <c r="CV146" s="626"/>
      <c r="CW146" s="626"/>
      <c r="CX146" s="626"/>
      <c r="CY146" s="619"/>
      <c r="CZ146" s="619"/>
      <c r="DA146" s="619"/>
      <c r="DB146" s="619"/>
      <c r="DC146" s="618"/>
      <c r="DD146" s="618"/>
      <c r="DE146" s="618"/>
      <c r="DF146" s="618"/>
      <c r="DG146" s="618"/>
      <c r="DH146" s="618"/>
      <c r="DI146" s="618"/>
      <c r="DJ146" s="618"/>
      <c r="DK146" s="618"/>
      <c r="DL146" s="618"/>
      <c r="DM146" s="618"/>
      <c r="DN146" s="618"/>
      <c r="DO146" s="618"/>
      <c r="DP146" s="618"/>
      <c r="DQ146" s="618"/>
      <c r="DR146" s="618"/>
      <c r="DS146" s="618"/>
      <c r="DT146" s="618"/>
      <c r="DU146" s="618"/>
      <c r="DV146" s="618"/>
      <c r="DW146" s="618"/>
      <c r="DX146" s="618"/>
      <c r="DY146" s="618"/>
      <c r="DZ146" s="618"/>
      <c r="EA146" s="618"/>
      <c r="EB146" s="618"/>
      <c r="EC146" s="618"/>
      <c r="ED146" s="618"/>
      <c r="EE146" s="618"/>
      <c r="EF146" s="618"/>
      <c r="EG146" s="618"/>
      <c r="EH146" s="618"/>
      <c r="EI146" s="618"/>
      <c r="EJ146" s="618"/>
      <c r="EK146" s="618"/>
      <c r="EL146" s="618"/>
      <c r="EM146" s="618"/>
      <c r="EN146" s="618"/>
      <c r="EO146" s="618"/>
      <c r="EP146" s="618"/>
      <c r="EQ146" s="618"/>
      <c r="ER146" s="618"/>
      <c r="ES146" s="618"/>
      <c r="ET146" s="618"/>
      <c r="EU146" s="618"/>
      <c r="EV146" s="618"/>
      <c r="EW146" s="618"/>
      <c r="EX146" s="618"/>
      <c r="EY146" s="618"/>
      <c r="EZ146" s="618"/>
      <c r="FA146" s="618"/>
      <c r="FB146" s="618"/>
      <c r="FC146" s="618"/>
      <c r="FD146" s="618"/>
      <c r="FE146" s="618"/>
      <c r="FF146" s="618"/>
      <c r="FG146" s="618"/>
      <c r="FH146" s="618"/>
      <c r="FI146" s="618"/>
      <c r="FJ146" s="618"/>
      <c r="FK146" s="618"/>
      <c r="FL146" s="618"/>
      <c r="FM146" s="618"/>
      <c r="FN146" s="618"/>
      <c r="FO146" s="618"/>
      <c r="FP146" s="618"/>
      <c r="FQ146" s="618"/>
      <c r="FR146" s="618"/>
      <c r="FS146" s="618"/>
      <c r="FT146" s="618"/>
      <c r="FU146" s="618"/>
      <c r="FV146" s="618"/>
      <c r="FW146" s="618"/>
      <c r="FX146" s="618"/>
      <c r="FY146" s="618"/>
      <c r="FZ146" s="618"/>
      <c r="GA146" s="618"/>
      <c r="GB146" s="618"/>
      <c r="GC146" s="618"/>
      <c r="GD146" s="618"/>
      <c r="GE146" s="618"/>
      <c r="GF146" s="618"/>
      <c r="GG146" s="618"/>
      <c r="GH146" s="618"/>
      <c r="GI146" s="618"/>
      <c r="GJ146" s="618"/>
      <c r="GK146" s="618"/>
      <c r="GL146" s="618"/>
      <c r="GM146" s="618"/>
      <c r="GN146" s="618"/>
      <c r="GO146" s="618"/>
      <c r="GP146" s="618"/>
      <c r="GQ146" s="618"/>
      <c r="GR146" s="618"/>
      <c r="GS146" s="618"/>
      <c r="GT146" s="618"/>
      <c r="GU146" s="618"/>
      <c r="GV146" s="618"/>
      <c r="GW146" s="618"/>
      <c r="GX146" s="618"/>
      <c r="GY146" s="618"/>
      <c r="GZ146" s="618"/>
      <c r="HA146" s="618"/>
      <c r="HB146" s="618"/>
      <c r="HC146" s="618"/>
      <c r="HD146" s="618"/>
      <c r="HE146" s="618"/>
      <c r="HF146" s="639"/>
      <c r="HG146" s="639"/>
      <c r="HH146" s="639"/>
      <c r="HI146" s="639"/>
      <c r="HJ146" s="639"/>
      <c r="HK146" s="639"/>
      <c r="HL146" s="639"/>
      <c r="HM146" s="639"/>
      <c r="HN146" s="639"/>
      <c r="HO146" s="639"/>
      <c r="HP146" s="639"/>
      <c r="HQ146" s="639"/>
      <c r="HR146" s="639">
        <v>7.1499999999999994E-2</v>
      </c>
      <c r="HS146" s="639">
        <f t="shared" si="749"/>
        <v>480.07142857142856</v>
      </c>
      <c r="HT146" s="639">
        <f t="shared" si="750"/>
        <v>1</v>
      </c>
      <c r="HU146" s="618">
        <f t="shared" si="466"/>
        <v>1.8212235120201044</v>
      </c>
      <c r="HV146" s="618"/>
      <c r="HW146" s="618">
        <f t="shared" si="736"/>
        <v>33.413862612931453</v>
      </c>
      <c r="HX146" s="618">
        <f t="shared" si="467"/>
        <v>1.7553503023615729</v>
      </c>
      <c r="HY146" s="618">
        <f t="shared" si="468"/>
        <v>7.1499999999999994E-2</v>
      </c>
      <c r="HZ146" s="618"/>
      <c r="IA146" s="618"/>
      <c r="IB146" s="618">
        <f t="shared" si="737"/>
        <v>25.000350341399081</v>
      </c>
      <c r="IC146" s="618">
        <f t="shared" si="738"/>
        <v>1E-3</v>
      </c>
      <c r="ID146" s="618"/>
      <c r="IE146" s="618">
        <f t="shared" si="739"/>
        <v>0</v>
      </c>
      <c r="IF146" s="618">
        <f t="shared" si="740"/>
        <v>40.704999999999998</v>
      </c>
      <c r="IG146" s="618"/>
      <c r="IH146" s="618">
        <f t="shared" si="741"/>
        <v>0</v>
      </c>
      <c r="II146" s="618">
        <f t="shared" si="742"/>
        <v>40.704999999999998</v>
      </c>
      <c r="IJ146" s="618"/>
      <c r="IK146" s="618">
        <f t="shared" si="743"/>
        <v>0</v>
      </c>
      <c r="IL146" s="618">
        <f t="shared" si="744"/>
        <v>40.704999999999998</v>
      </c>
      <c r="IM146" s="618"/>
      <c r="IN146" s="618">
        <f t="shared" si="745"/>
        <v>0</v>
      </c>
      <c r="IO146" s="618">
        <f t="shared" si="746"/>
        <v>40.704999999999998</v>
      </c>
      <c r="IP146" s="618"/>
      <c r="IQ146" s="618">
        <f t="shared" si="747"/>
        <v>0</v>
      </c>
      <c r="IR146" s="618">
        <f t="shared" si="748"/>
        <v>40.704999999999998</v>
      </c>
      <c r="IS146" s="639"/>
      <c r="IT146" s="640"/>
      <c r="IU146" s="640"/>
      <c r="IV146" s="640"/>
      <c r="IW146" s="640"/>
      <c r="IX146" s="640"/>
      <c r="IY146" s="640"/>
      <c r="IZ146" s="640"/>
      <c r="JA146" s="640"/>
      <c r="JB146" s="640"/>
      <c r="JC146" s="640"/>
      <c r="JD146" s="640"/>
      <c r="JE146" s="640"/>
      <c r="JF146" s="640"/>
      <c r="JG146" s="640"/>
      <c r="JH146" s="640"/>
      <c r="JI146" s="640"/>
      <c r="JJ146" s="640"/>
      <c r="JK146" s="640"/>
      <c r="JL146" s="640"/>
      <c r="JM146" s="640"/>
      <c r="JN146" s="640"/>
      <c r="JO146" s="640"/>
      <c r="JP146" s="640"/>
      <c r="JQ146" s="640"/>
      <c r="JR146" s="640"/>
      <c r="JS146" s="640"/>
      <c r="JT146" s="640"/>
      <c r="JU146" s="640"/>
      <c r="JV146" s="652"/>
    </row>
    <row r="147" spans="1:282" s="579" customFormat="1">
      <c r="A147" s="334"/>
      <c r="U147" s="580"/>
      <c r="V147" s="580"/>
      <c r="AC147" s="580"/>
      <c r="AD147" s="580"/>
      <c r="AL147" s="580"/>
      <c r="AM147" s="580"/>
      <c r="AT147" s="580"/>
      <c r="AU147" s="580"/>
      <c r="AV147" s="581" t="str">
        <f>IF($AY$30,U32,0)</f>
        <v/>
      </c>
      <c r="AW147" s="581">
        <f>IF($AY$32,'Data Sheet'!AA168,0)</f>
        <v>0</v>
      </c>
      <c r="AX147" s="581">
        <f>U31-AY46</f>
        <v>40.704999999999998</v>
      </c>
      <c r="CH147" s="334"/>
      <c r="CI147" s="334"/>
      <c r="CO147" s="694" t="str">
        <f t="shared" si="753"/>
        <v>S080T</v>
      </c>
      <c r="CP147" s="639"/>
      <c r="CQ147" s="618"/>
      <c r="CR147" s="618"/>
      <c r="CS147" s="618"/>
      <c r="CT147" s="626"/>
      <c r="CU147" s="626"/>
      <c r="CV147" s="626"/>
      <c r="CW147" s="626"/>
      <c r="CX147" s="626"/>
      <c r="CY147" s="619"/>
      <c r="CZ147" s="619"/>
      <c r="DA147" s="619"/>
      <c r="DB147" s="619"/>
      <c r="DC147" s="618"/>
      <c r="DD147" s="618"/>
      <c r="DE147" s="618"/>
      <c r="DF147" s="618"/>
      <c r="DG147" s="618"/>
      <c r="DH147" s="618"/>
      <c r="DI147" s="618"/>
      <c r="DJ147" s="618"/>
      <c r="DK147" s="618"/>
      <c r="DL147" s="618"/>
      <c r="DM147" s="618"/>
      <c r="DN147" s="618"/>
      <c r="DO147" s="618"/>
      <c r="DP147" s="618"/>
      <c r="DQ147" s="618"/>
      <c r="DR147" s="618"/>
      <c r="DS147" s="618"/>
      <c r="DT147" s="618"/>
      <c r="DU147" s="618"/>
      <c r="DV147" s="618"/>
      <c r="DW147" s="618"/>
      <c r="DX147" s="618"/>
      <c r="DY147" s="618"/>
      <c r="DZ147" s="618"/>
      <c r="EA147" s="618"/>
      <c r="EB147" s="618"/>
      <c r="EC147" s="618"/>
      <c r="ED147" s="618"/>
      <c r="EE147" s="618"/>
      <c r="EF147" s="618"/>
      <c r="EG147" s="618"/>
      <c r="EH147" s="618"/>
      <c r="EI147" s="618"/>
      <c r="EJ147" s="618"/>
      <c r="EK147" s="618"/>
      <c r="EL147" s="618"/>
      <c r="EM147" s="618"/>
      <c r="EN147" s="618"/>
      <c r="EO147" s="618"/>
      <c r="EP147" s="618"/>
      <c r="EQ147" s="618"/>
      <c r="ER147" s="618"/>
      <c r="ES147" s="618"/>
      <c r="ET147" s="618"/>
      <c r="EU147" s="618"/>
      <c r="EV147" s="618"/>
      <c r="EW147" s="618"/>
      <c r="EX147" s="618"/>
      <c r="EY147" s="618"/>
      <c r="EZ147" s="618"/>
      <c r="FA147" s="618"/>
      <c r="FB147" s="618"/>
      <c r="FC147" s="618"/>
      <c r="FD147" s="618"/>
      <c r="FE147" s="618"/>
      <c r="FF147" s="618"/>
      <c r="FG147" s="618"/>
      <c r="FH147" s="618"/>
      <c r="FI147" s="618"/>
      <c r="FJ147" s="618"/>
      <c r="FK147" s="618"/>
      <c r="FL147" s="618"/>
      <c r="FM147" s="618"/>
      <c r="FN147" s="618"/>
      <c r="FO147" s="618"/>
      <c r="FP147" s="618"/>
      <c r="FQ147" s="618"/>
      <c r="FR147" s="618"/>
      <c r="FS147" s="618"/>
      <c r="FT147" s="618"/>
      <c r="FU147" s="618"/>
      <c r="FV147" s="618"/>
      <c r="FW147" s="618"/>
      <c r="FX147" s="618"/>
      <c r="FY147" s="618"/>
      <c r="FZ147" s="618"/>
      <c r="GA147" s="618"/>
      <c r="GB147" s="618"/>
      <c r="GC147" s="618"/>
      <c r="GD147" s="618"/>
      <c r="GE147" s="618"/>
      <c r="GF147" s="618"/>
      <c r="GG147" s="618"/>
      <c r="GH147" s="618"/>
      <c r="GI147" s="618"/>
      <c r="GJ147" s="618"/>
      <c r="GK147" s="618"/>
      <c r="GL147" s="618"/>
      <c r="GM147" s="618"/>
      <c r="GN147" s="618"/>
      <c r="GO147" s="618"/>
      <c r="GP147" s="618"/>
      <c r="GQ147" s="618"/>
      <c r="GR147" s="618"/>
      <c r="GS147" s="618"/>
      <c r="GT147" s="618"/>
      <c r="GU147" s="618"/>
      <c r="GV147" s="618"/>
      <c r="GW147" s="618"/>
      <c r="GX147" s="618"/>
      <c r="GY147" s="618"/>
      <c r="GZ147" s="618"/>
      <c r="HA147" s="618"/>
      <c r="HB147" s="618"/>
      <c r="HC147" s="618"/>
      <c r="HD147" s="618"/>
      <c r="HE147" s="618"/>
      <c r="HF147" s="639"/>
      <c r="HG147" s="639"/>
      <c r="HH147" s="639"/>
      <c r="HI147" s="639"/>
      <c r="HJ147" s="639"/>
      <c r="HK147" s="639"/>
      <c r="HL147" s="639"/>
      <c r="HM147" s="639"/>
      <c r="HN147" s="639"/>
      <c r="HO147" s="639"/>
      <c r="HP147" s="639"/>
      <c r="HQ147" s="639"/>
      <c r="HR147" s="639">
        <v>7.1999999999999995E-2</v>
      </c>
      <c r="HS147" s="639">
        <f t="shared" si="749"/>
        <v>483.42857142857139</v>
      </c>
      <c r="HT147" s="639">
        <f t="shared" si="750"/>
        <v>1</v>
      </c>
      <c r="HU147" s="618">
        <f t="shared" ref="HU147:HU210" si="754">(((($AQ$45*HT147)*$AQ$34)/(Mc+ML)))*(HR147-HR146)+HU146</f>
        <v>1.8339625559937291</v>
      </c>
      <c r="HV147" s="618"/>
      <c r="HW147" s="618">
        <f t="shared" si="736"/>
        <v>33.395773170488908</v>
      </c>
      <c r="HX147" s="618">
        <f t="shared" ref="HX147:HX210" si="755">IF(HW147&lt;0,HX146,(((HW147/$AQ$44*HT147)*$AQ$34)/(Mc+ML))*(HR147-HR146)+HX146)</f>
        <v>1.7671678085546856</v>
      </c>
      <c r="HY147" s="618">
        <f t="shared" ref="HY147:HY210" si="756">HR147</f>
        <v>7.1999999999999995E-2</v>
      </c>
      <c r="HZ147" s="618"/>
      <c r="IA147" s="618"/>
      <c r="IB147" s="618">
        <f t="shared" si="737"/>
        <v>25.000350341399081</v>
      </c>
      <c r="IC147" s="618">
        <f t="shared" si="738"/>
        <v>1E-3</v>
      </c>
      <c r="ID147" s="618"/>
      <c r="IE147" s="618">
        <f t="shared" si="739"/>
        <v>0</v>
      </c>
      <c r="IF147" s="618">
        <f t="shared" si="740"/>
        <v>40.704999999999998</v>
      </c>
      <c r="IG147" s="618"/>
      <c r="IH147" s="618">
        <f t="shared" si="741"/>
        <v>0</v>
      </c>
      <c r="II147" s="618">
        <f t="shared" si="742"/>
        <v>40.704999999999998</v>
      </c>
      <c r="IJ147" s="618"/>
      <c r="IK147" s="618">
        <f t="shared" si="743"/>
        <v>0</v>
      </c>
      <c r="IL147" s="618">
        <f t="shared" si="744"/>
        <v>40.704999999999998</v>
      </c>
      <c r="IM147" s="618"/>
      <c r="IN147" s="618">
        <f t="shared" si="745"/>
        <v>0</v>
      </c>
      <c r="IO147" s="618">
        <f t="shared" si="746"/>
        <v>40.704999999999998</v>
      </c>
      <c r="IP147" s="618"/>
      <c r="IQ147" s="618">
        <f t="shared" si="747"/>
        <v>0</v>
      </c>
      <c r="IR147" s="618">
        <f t="shared" si="748"/>
        <v>40.704999999999998</v>
      </c>
      <c r="IS147" s="639"/>
      <c r="IT147" s="640"/>
      <c r="IU147" s="640"/>
      <c r="IV147" s="640"/>
      <c r="IW147" s="640"/>
      <c r="IX147" s="640"/>
      <c r="IY147" s="640"/>
      <c r="IZ147" s="640"/>
      <c r="JA147" s="640"/>
      <c r="JB147" s="640"/>
      <c r="JC147" s="640"/>
      <c r="JD147" s="640"/>
      <c r="JE147" s="640"/>
      <c r="JF147" s="640"/>
      <c r="JG147" s="640"/>
      <c r="JH147" s="640"/>
      <c r="JI147" s="640"/>
      <c r="JJ147" s="640"/>
      <c r="JK147" s="640"/>
      <c r="JL147" s="640"/>
      <c r="JM147" s="640"/>
      <c r="JN147" s="640"/>
      <c r="JO147" s="640"/>
      <c r="JP147" s="640"/>
      <c r="JQ147" s="640"/>
      <c r="JR147" s="640"/>
      <c r="JS147" s="640"/>
      <c r="JT147" s="640"/>
      <c r="JU147" s="640"/>
      <c r="JV147" s="652"/>
    </row>
    <row r="148" spans="1:282" s="579" customFormat="1">
      <c r="A148" s="334"/>
      <c r="U148" s="580"/>
      <c r="V148" s="580"/>
      <c r="AC148" s="580"/>
      <c r="AD148" s="580"/>
      <c r="AL148" s="580"/>
      <c r="AM148" s="580"/>
      <c r="AT148" s="580"/>
      <c r="AU148" s="580"/>
      <c r="AV148" s="581" t="e">
        <f>M93*$M$82</f>
        <v>#DIV/0!</v>
      </c>
      <c r="AW148" s="581" t="e">
        <f>IF($AY$32,'Data Sheet'!AA169,0)</f>
        <v>#DIV/0!</v>
      </c>
      <c r="AX148" s="581">
        <f>AX147</f>
        <v>40.704999999999998</v>
      </c>
      <c r="CH148" s="334"/>
      <c r="CI148" s="334"/>
      <c r="CO148" s="694" t="str">
        <f t="shared" si="753"/>
        <v>S080Q</v>
      </c>
      <c r="CP148" s="639"/>
      <c r="CQ148" s="618"/>
      <c r="CR148" s="618"/>
      <c r="CS148" s="618"/>
      <c r="CT148" s="626"/>
      <c r="CU148" s="626"/>
      <c r="CV148" s="626"/>
      <c r="CW148" s="626"/>
      <c r="CX148" s="626"/>
      <c r="CY148" s="619"/>
      <c r="CZ148" s="619"/>
      <c r="DA148" s="619"/>
      <c r="DB148" s="619"/>
      <c r="DC148" s="618"/>
      <c r="DD148" s="618"/>
      <c r="DE148" s="618"/>
      <c r="DF148" s="618"/>
      <c r="DG148" s="618"/>
      <c r="DH148" s="618"/>
      <c r="DI148" s="618"/>
      <c r="DJ148" s="618"/>
      <c r="DK148" s="618"/>
      <c r="DL148" s="618"/>
      <c r="DM148" s="618"/>
      <c r="DN148" s="618"/>
      <c r="DO148" s="618"/>
      <c r="DP148" s="618"/>
      <c r="DQ148" s="618"/>
      <c r="DR148" s="618"/>
      <c r="DS148" s="618"/>
      <c r="DT148" s="618"/>
      <c r="DU148" s="618"/>
      <c r="DV148" s="618"/>
      <c r="DW148" s="618"/>
      <c r="DX148" s="618"/>
      <c r="DY148" s="618"/>
      <c r="DZ148" s="618"/>
      <c r="EA148" s="618"/>
      <c r="EB148" s="618"/>
      <c r="EC148" s="618"/>
      <c r="ED148" s="618"/>
      <c r="EE148" s="618"/>
      <c r="EF148" s="618"/>
      <c r="EG148" s="618"/>
      <c r="EH148" s="618"/>
      <c r="EI148" s="618"/>
      <c r="EJ148" s="618"/>
      <c r="EK148" s="618"/>
      <c r="EL148" s="618"/>
      <c r="EM148" s="618"/>
      <c r="EN148" s="618"/>
      <c r="EO148" s="618"/>
      <c r="EP148" s="618"/>
      <c r="EQ148" s="618"/>
      <c r="ER148" s="618"/>
      <c r="ES148" s="618"/>
      <c r="ET148" s="618"/>
      <c r="EU148" s="618"/>
      <c r="EV148" s="618"/>
      <c r="EW148" s="618"/>
      <c r="EX148" s="618"/>
      <c r="EY148" s="618"/>
      <c r="EZ148" s="618"/>
      <c r="FA148" s="618"/>
      <c r="FB148" s="618"/>
      <c r="FC148" s="618"/>
      <c r="FD148" s="618"/>
      <c r="FE148" s="618"/>
      <c r="FF148" s="618"/>
      <c r="FG148" s="618"/>
      <c r="FH148" s="618"/>
      <c r="FI148" s="618"/>
      <c r="FJ148" s="618"/>
      <c r="FK148" s="618"/>
      <c r="FL148" s="618"/>
      <c r="FM148" s="618"/>
      <c r="FN148" s="618"/>
      <c r="FO148" s="618"/>
      <c r="FP148" s="618"/>
      <c r="FQ148" s="618"/>
      <c r="FR148" s="618"/>
      <c r="FS148" s="618"/>
      <c r="FT148" s="618"/>
      <c r="FU148" s="618"/>
      <c r="FV148" s="618"/>
      <c r="FW148" s="618"/>
      <c r="FX148" s="618"/>
      <c r="FY148" s="618"/>
      <c r="FZ148" s="618"/>
      <c r="GA148" s="618"/>
      <c r="GB148" s="618"/>
      <c r="GC148" s="618"/>
      <c r="GD148" s="618"/>
      <c r="GE148" s="618"/>
      <c r="GF148" s="618"/>
      <c r="GG148" s="618"/>
      <c r="GH148" s="618"/>
      <c r="GI148" s="618"/>
      <c r="GJ148" s="618"/>
      <c r="GK148" s="618"/>
      <c r="GL148" s="618"/>
      <c r="GM148" s="618"/>
      <c r="GN148" s="618"/>
      <c r="GO148" s="618"/>
      <c r="GP148" s="618"/>
      <c r="GQ148" s="618"/>
      <c r="GR148" s="618"/>
      <c r="GS148" s="618"/>
      <c r="GT148" s="618"/>
      <c r="GU148" s="618"/>
      <c r="GV148" s="618"/>
      <c r="GW148" s="618"/>
      <c r="GX148" s="618"/>
      <c r="GY148" s="618"/>
      <c r="GZ148" s="618"/>
      <c r="HA148" s="618"/>
      <c r="HB148" s="618"/>
      <c r="HC148" s="618"/>
      <c r="HD148" s="618"/>
      <c r="HE148" s="618"/>
      <c r="HF148" s="639"/>
      <c r="HG148" s="639"/>
      <c r="HH148" s="639"/>
      <c r="HI148" s="639"/>
      <c r="HJ148" s="639"/>
      <c r="HK148" s="639"/>
      <c r="HL148" s="639"/>
      <c r="HM148" s="639"/>
      <c r="HN148" s="639"/>
      <c r="HO148" s="639"/>
      <c r="HP148" s="639"/>
      <c r="HQ148" s="639"/>
      <c r="HR148" s="639">
        <v>7.2499999999999995E-2</v>
      </c>
      <c r="HS148" s="639">
        <f t="shared" si="749"/>
        <v>486.78571428571422</v>
      </c>
      <c r="HT148" s="639">
        <f t="shared" si="750"/>
        <v>1</v>
      </c>
      <c r="HU148" s="618">
        <f t="shared" si="754"/>
        <v>1.8467015999673539</v>
      </c>
      <c r="HV148" s="618"/>
      <c r="HW148" s="618">
        <f t="shared" si="736"/>
        <v>33.377683728046357</v>
      </c>
      <c r="HX148" s="618">
        <f t="shared" si="755"/>
        <v>1.7789789135755001</v>
      </c>
      <c r="HY148" s="618">
        <f t="shared" si="756"/>
        <v>7.2499999999999995E-2</v>
      </c>
      <c r="HZ148" s="618"/>
      <c r="IA148" s="618"/>
      <c r="IB148" s="618">
        <f t="shared" si="737"/>
        <v>25.000350341399081</v>
      </c>
      <c r="IC148" s="618">
        <f t="shared" si="738"/>
        <v>1E-3</v>
      </c>
      <c r="ID148" s="618"/>
      <c r="IE148" s="618">
        <f t="shared" si="739"/>
        <v>0</v>
      </c>
      <c r="IF148" s="618">
        <f t="shared" si="740"/>
        <v>40.704999999999998</v>
      </c>
      <c r="IG148" s="618"/>
      <c r="IH148" s="618">
        <f t="shared" si="741"/>
        <v>0</v>
      </c>
      <c r="II148" s="618">
        <f t="shared" si="742"/>
        <v>40.704999999999998</v>
      </c>
      <c r="IJ148" s="618"/>
      <c r="IK148" s="618">
        <f t="shared" si="743"/>
        <v>0</v>
      </c>
      <c r="IL148" s="618">
        <f t="shared" si="744"/>
        <v>40.704999999999998</v>
      </c>
      <c r="IM148" s="618"/>
      <c r="IN148" s="618">
        <f t="shared" si="745"/>
        <v>0</v>
      </c>
      <c r="IO148" s="618">
        <f t="shared" si="746"/>
        <v>40.704999999999998</v>
      </c>
      <c r="IP148" s="618"/>
      <c r="IQ148" s="618">
        <f t="shared" si="747"/>
        <v>0</v>
      </c>
      <c r="IR148" s="618">
        <f t="shared" si="748"/>
        <v>40.704999999999998</v>
      </c>
      <c r="IS148" s="639"/>
      <c r="IT148" s="640"/>
      <c r="IU148" s="640"/>
      <c r="IV148" s="640"/>
      <c r="IW148" s="640"/>
      <c r="IX148" s="640"/>
      <c r="IY148" s="640"/>
      <c r="IZ148" s="640"/>
      <c r="JA148" s="640"/>
      <c r="JB148" s="640"/>
      <c r="JC148" s="640"/>
      <c r="JD148" s="640"/>
      <c r="JE148" s="640"/>
      <c r="JF148" s="640"/>
      <c r="JG148" s="640"/>
      <c r="JH148" s="640"/>
      <c r="JI148" s="640"/>
      <c r="JJ148" s="640"/>
      <c r="JK148" s="640"/>
      <c r="JL148" s="640"/>
      <c r="JM148" s="640"/>
      <c r="JN148" s="640"/>
      <c r="JO148" s="640"/>
      <c r="JP148" s="640"/>
      <c r="JQ148" s="640"/>
      <c r="JR148" s="640"/>
      <c r="JS148" s="640"/>
      <c r="JT148" s="640"/>
      <c r="JU148" s="640"/>
      <c r="JV148" s="652"/>
    </row>
    <row r="149" spans="1:282" s="579" customFormat="1">
      <c r="A149" s="334"/>
      <c r="U149" s="580"/>
      <c r="V149" s="580"/>
      <c r="AC149" s="580"/>
      <c r="AD149" s="580"/>
      <c r="AL149" s="580"/>
      <c r="AM149" s="580"/>
      <c r="AT149" s="580"/>
      <c r="AU149" s="580"/>
      <c r="AV149" s="581" t="e">
        <f>M92*$M$82</f>
        <v>#DIV/0!</v>
      </c>
      <c r="AW149" s="581" t="e">
        <f>IF($AY$32,'Data Sheet'!AA170,0)</f>
        <v>#DIV/0!</v>
      </c>
      <c r="AX149" s="581">
        <f>AX148+$M$76</f>
        <v>40.704999999999998</v>
      </c>
      <c r="CH149" s="334"/>
      <c r="CI149" s="334"/>
      <c r="CO149" s="694" t="str">
        <f t="shared" si="753"/>
        <v>S080Q 1S</v>
      </c>
      <c r="CP149" s="639"/>
      <c r="CQ149" s="618"/>
      <c r="CR149" s="618"/>
      <c r="CS149" s="618"/>
      <c r="CT149" s="626"/>
      <c r="CU149" s="626"/>
      <c r="CV149" s="626"/>
      <c r="CW149" s="626"/>
      <c r="CX149" s="626"/>
      <c r="CY149" s="619"/>
      <c r="CZ149" s="619"/>
      <c r="DA149" s="619"/>
      <c r="DB149" s="619"/>
      <c r="DC149" s="618"/>
      <c r="DD149" s="618"/>
      <c r="DE149" s="618"/>
      <c r="DF149" s="618"/>
      <c r="DG149" s="618"/>
      <c r="DH149" s="618"/>
      <c r="DI149" s="618"/>
      <c r="DJ149" s="618"/>
      <c r="DK149" s="618"/>
      <c r="DL149" s="618"/>
      <c r="DM149" s="618"/>
      <c r="DN149" s="618"/>
      <c r="DO149" s="618"/>
      <c r="DP149" s="618"/>
      <c r="DQ149" s="618"/>
      <c r="DR149" s="618"/>
      <c r="DS149" s="618"/>
      <c r="DT149" s="618"/>
      <c r="DU149" s="618"/>
      <c r="DV149" s="618"/>
      <c r="DW149" s="618"/>
      <c r="DX149" s="618"/>
      <c r="DY149" s="618"/>
      <c r="DZ149" s="618"/>
      <c r="EA149" s="618"/>
      <c r="EB149" s="618"/>
      <c r="EC149" s="618"/>
      <c r="ED149" s="618"/>
      <c r="EE149" s="618"/>
      <c r="EF149" s="618"/>
      <c r="EG149" s="618"/>
      <c r="EH149" s="618"/>
      <c r="EI149" s="618"/>
      <c r="EJ149" s="618"/>
      <c r="EK149" s="618"/>
      <c r="EL149" s="618"/>
      <c r="EM149" s="618"/>
      <c r="EN149" s="618"/>
      <c r="EO149" s="618"/>
      <c r="EP149" s="618"/>
      <c r="EQ149" s="618"/>
      <c r="ER149" s="618"/>
      <c r="ES149" s="618"/>
      <c r="ET149" s="618"/>
      <c r="EU149" s="618"/>
      <c r="EV149" s="618"/>
      <c r="EW149" s="618"/>
      <c r="EX149" s="618"/>
      <c r="EY149" s="618"/>
      <c r="EZ149" s="618"/>
      <c r="FA149" s="618"/>
      <c r="FB149" s="618"/>
      <c r="FC149" s="618"/>
      <c r="FD149" s="618"/>
      <c r="FE149" s="618"/>
      <c r="FF149" s="618"/>
      <c r="FG149" s="618"/>
      <c r="FH149" s="618"/>
      <c r="FI149" s="618"/>
      <c r="FJ149" s="618"/>
      <c r="FK149" s="618"/>
      <c r="FL149" s="618"/>
      <c r="FM149" s="618"/>
      <c r="FN149" s="618"/>
      <c r="FO149" s="618"/>
      <c r="FP149" s="618"/>
      <c r="FQ149" s="618"/>
      <c r="FR149" s="618"/>
      <c r="FS149" s="618"/>
      <c r="FT149" s="618"/>
      <c r="FU149" s="618"/>
      <c r="FV149" s="618"/>
      <c r="FW149" s="618"/>
      <c r="FX149" s="618"/>
      <c r="FY149" s="618"/>
      <c r="FZ149" s="618"/>
      <c r="GA149" s="618"/>
      <c r="GB149" s="618"/>
      <c r="GC149" s="618"/>
      <c r="GD149" s="618"/>
      <c r="GE149" s="618"/>
      <c r="GF149" s="618"/>
      <c r="GG149" s="618"/>
      <c r="GH149" s="618"/>
      <c r="GI149" s="618"/>
      <c r="GJ149" s="618"/>
      <c r="GK149" s="618"/>
      <c r="GL149" s="618"/>
      <c r="GM149" s="618"/>
      <c r="GN149" s="618"/>
      <c r="GO149" s="618"/>
      <c r="GP149" s="618"/>
      <c r="GQ149" s="618"/>
      <c r="GR149" s="618"/>
      <c r="GS149" s="618"/>
      <c r="GT149" s="618"/>
      <c r="GU149" s="618"/>
      <c r="GV149" s="618"/>
      <c r="GW149" s="618"/>
      <c r="GX149" s="618"/>
      <c r="GY149" s="618"/>
      <c r="GZ149" s="618"/>
      <c r="HA149" s="618"/>
      <c r="HB149" s="618"/>
      <c r="HC149" s="618"/>
      <c r="HD149" s="618"/>
      <c r="HE149" s="618"/>
      <c r="HF149" s="639"/>
      <c r="HG149" s="639"/>
      <c r="HH149" s="639"/>
      <c r="HI149" s="639"/>
      <c r="HJ149" s="639"/>
      <c r="HK149" s="639"/>
      <c r="HL149" s="639"/>
      <c r="HM149" s="639"/>
      <c r="HN149" s="639"/>
      <c r="HO149" s="639"/>
      <c r="HP149" s="639"/>
      <c r="HQ149" s="639"/>
      <c r="HR149" s="639">
        <v>7.2999999999999995E-2</v>
      </c>
      <c r="HS149" s="639">
        <f t="shared" si="749"/>
        <v>490.14285714285711</v>
      </c>
      <c r="HT149" s="639">
        <f t="shared" si="750"/>
        <v>1</v>
      </c>
      <c r="HU149" s="618">
        <f t="shared" si="754"/>
        <v>1.8594406439409787</v>
      </c>
      <c r="HV149" s="618"/>
      <c r="HW149" s="618">
        <f t="shared" si="736"/>
        <v>33.359594285603812</v>
      </c>
      <c r="HX149" s="618">
        <f t="shared" si="755"/>
        <v>1.7907836174240164</v>
      </c>
      <c r="HY149" s="618">
        <f t="shared" si="756"/>
        <v>7.2999999999999995E-2</v>
      </c>
      <c r="HZ149" s="618"/>
      <c r="IA149" s="618"/>
      <c r="IB149" s="618">
        <f t="shared" si="737"/>
        <v>25.000350341399081</v>
      </c>
      <c r="IC149" s="618">
        <f t="shared" si="738"/>
        <v>1E-3</v>
      </c>
      <c r="ID149" s="618"/>
      <c r="IE149" s="618">
        <f t="shared" si="739"/>
        <v>0</v>
      </c>
      <c r="IF149" s="618">
        <f t="shared" si="740"/>
        <v>40.704999999999998</v>
      </c>
      <c r="IG149" s="618"/>
      <c r="IH149" s="618">
        <f t="shared" si="741"/>
        <v>0</v>
      </c>
      <c r="II149" s="618">
        <f t="shared" si="742"/>
        <v>40.704999999999998</v>
      </c>
      <c r="IJ149" s="618"/>
      <c r="IK149" s="618">
        <f t="shared" si="743"/>
        <v>0</v>
      </c>
      <c r="IL149" s="618">
        <f t="shared" si="744"/>
        <v>40.704999999999998</v>
      </c>
      <c r="IM149" s="618"/>
      <c r="IN149" s="618">
        <f t="shared" si="745"/>
        <v>0</v>
      </c>
      <c r="IO149" s="618">
        <f t="shared" si="746"/>
        <v>40.704999999999998</v>
      </c>
      <c r="IP149" s="618"/>
      <c r="IQ149" s="618">
        <f t="shared" si="747"/>
        <v>0</v>
      </c>
      <c r="IR149" s="618">
        <f t="shared" si="748"/>
        <v>40.704999999999998</v>
      </c>
      <c r="IS149" s="639"/>
      <c r="IT149" s="640"/>
      <c r="IU149" s="640"/>
      <c r="IV149" s="640"/>
      <c r="IW149" s="640"/>
      <c r="IX149" s="640"/>
      <c r="IY149" s="640"/>
      <c r="IZ149" s="640"/>
      <c r="JA149" s="640"/>
      <c r="JB149" s="640"/>
      <c r="JC149" s="640"/>
      <c r="JD149" s="640"/>
      <c r="JE149" s="640"/>
      <c r="JF149" s="640"/>
      <c r="JG149" s="640"/>
      <c r="JH149" s="640"/>
      <c r="JI149" s="640"/>
      <c r="JJ149" s="640"/>
      <c r="JK149" s="640"/>
      <c r="JL149" s="640"/>
      <c r="JM149" s="640"/>
      <c r="JN149" s="640"/>
      <c r="JO149" s="640"/>
      <c r="JP149" s="640"/>
      <c r="JQ149" s="640"/>
      <c r="JR149" s="640"/>
      <c r="JS149" s="640"/>
      <c r="JT149" s="640"/>
      <c r="JU149" s="640"/>
      <c r="JV149" s="652"/>
    </row>
    <row r="150" spans="1:282" s="579" customFormat="1">
      <c r="A150" s="334"/>
      <c r="U150" s="580"/>
      <c r="V150" s="580"/>
      <c r="AC150" s="580"/>
      <c r="AD150" s="580"/>
      <c r="AL150" s="580"/>
      <c r="AM150" s="580"/>
      <c r="AT150" s="580"/>
      <c r="AU150" s="580"/>
      <c r="AV150" s="581" t="e">
        <f>M91*$M$82</f>
        <v>#DIV/0!</v>
      </c>
      <c r="AW150" s="581" t="e">
        <f>IF($AY$32,'Data Sheet'!AA171,0)</f>
        <v>#DIV/0!</v>
      </c>
      <c r="AX150" s="581">
        <f t="shared" ref="AX150:AX158" si="757">AX149+$M$76</f>
        <v>40.704999999999998</v>
      </c>
      <c r="CH150" s="334"/>
      <c r="CI150" s="334"/>
      <c r="CO150" s="694" t="str">
        <f t="shared" si="753"/>
        <v>S080Q 2S</v>
      </c>
      <c r="CP150" s="639"/>
      <c r="CQ150" s="618"/>
      <c r="CR150" s="618"/>
      <c r="CS150" s="618"/>
      <c r="CT150" s="626"/>
      <c r="CU150" s="626"/>
      <c r="CV150" s="626"/>
      <c r="CW150" s="626"/>
      <c r="CX150" s="626"/>
      <c r="CY150" s="619"/>
      <c r="CZ150" s="619"/>
      <c r="DA150" s="619"/>
      <c r="DB150" s="619"/>
      <c r="DC150" s="618"/>
      <c r="DD150" s="618"/>
      <c r="DE150" s="618"/>
      <c r="DF150" s="618"/>
      <c r="DG150" s="618"/>
      <c r="DH150" s="618"/>
      <c r="DI150" s="618"/>
      <c r="DJ150" s="618"/>
      <c r="DK150" s="618"/>
      <c r="DL150" s="618"/>
      <c r="DM150" s="618"/>
      <c r="DN150" s="618"/>
      <c r="DO150" s="618"/>
      <c r="DP150" s="618"/>
      <c r="DQ150" s="618"/>
      <c r="DR150" s="618"/>
      <c r="DS150" s="618"/>
      <c r="DT150" s="618"/>
      <c r="DU150" s="618"/>
      <c r="DV150" s="618"/>
      <c r="DW150" s="618"/>
      <c r="DX150" s="618"/>
      <c r="DY150" s="618"/>
      <c r="DZ150" s="618"/>
      <c r="EA150" s="618"/>
      <c r="EB150" s="618"/>
      <c r="EC150" s="618"/>
      <c r="ED150" s="618"/>
      <c r="EE150" s="618"/>
      <c r="EF150" s="618"/>
      <c r="EG150" s="618"/>
      <c r="EH150" s="618"/>
      <c r="EI150" s="618"/>
      <c r="EJ150" s="618"/>
      <c r="EK150" s="618"/>
      <c r="EL150" s="618"/>
      <c r="EM150" s="618"/>
      <c r="EN150" s="618"/>
      <c r="EO150" s="618"/>
      <c r="EP150" s="618"/>
      <c r="EQ150" s="618"/>
      <c r="ER150" s="618"/>
      <c r="ES150" s="618"/>
      <c r="ET150" s="618"/>
      <c r="EU150" s="618"/>
      <c r="EV150" s="618"/>
      <c r="EW150" s="618"/>
      <c r="EX150" s="618"/>
      <c r="EY150" s="618"/>
      <c r="EZ150" s="618"/>
      <c r="FA150" s="618"/>
      <c r="FB150" s="618"/>
      <c r="FC150" s="618"/>
      <c r="FD150" s="618"/>
      <c r="FE150" s="618"/>
      <c r="FF150" s="618"/>
      <c r="FG150" s="618"/>
      <c r="FH150" s="618"/>
      <c r="FI150" s="618"/>
      <c r="FJ150" s="618"/>
      <c r="FK150" s="618"/>
      <c r="FL150" s="618"/>
      <c r="FM150" s="618"/>
      <c r="FN150" s="618"/>
      <c r="FO150" s="618"/>
      <c r="FP150" s="618"/>
      <c r="FQ150" s="618"/>
      <c r="FR150" s="618"/>
      <c r="FS150" s="618"/>
      <c r="FT150" s="618"/>
      <c r="FU150" s="618"/>
      <c r="FV150" s="618"/>
      <c r="FW150" s="618"/>
      <c r="FX150" s="618"/>
      <c r="FY150" s="618"/>
      <c r="FZ150" s="618"/>
      <c r="GA150" s="618"/>
      <c r="GB150" s="618"/>
      <c r="GC150" s="618"/>
      <c r="GD150" s="618"/>
      <c r="GE150" s="618"/>
      <c r="GF150" s="618"/>
      <c r="GG150" s="618"/>
      <c r="GH150" s="618"/>
      <c r="GI150" s="618"/>
      <c r="GJ150" s="618"/>
      <c r="GK150" s="618"/>
      <c r="GL150" s="618"/>
      <c r="GM150" s="618"/>
      <c r="GN150" s="618"/>
      <c r="GO150" s="618"/>
      <c r="GP150" s="618"/>
      <c r="GQ150" s="618"/>
      <c r="GR150" s="618"/>
      <c r="GS150" s="618"/>
      <c r="GT150" s="618"/>
      <c r="GU150" s="618"/>
      <c r="GV150" s="618"/>
      <c r="GW150" s="618"/>
      <c r="GX150" s="618"/>
      <c r="GY150" s="618"/>
      <c r="GZ150" s="618"/>
      <c r="HA150" s="618"/>
      <c r="HB150" s="618"/>
      <c r="HC150" s="618"/>
      <c r="HD150" s="618"/>
      <c r="HE150" s="618"/>
      <c r="HF150" s="639"/>
      <c r="HG150" s="639"/>
      <c r="HH150" s="639"/>
      <c r="HI150" s="639"/>
      <c r="HJ150" s="639"/>
      <c r="HK150" s="639"/>
      <c r="HL150" s="639"/>
      <c r="HM150" s="639"/>
      <c r="HN150" s="639"/>
      <c r="HO150" s="639"/>
      <c r="HP150" s="639"/>
      <c r="HQ150" s="639"/>
      <c r="HR150" s="639">
        <v>7.3499999999999996E-2</v>
      </c>
      <c r="HS150" s="639">
        <f t="shared" si="749"/>
        <v>493.49999999999994</v>
      </c>
      <c r="HT150" s="639">
        <f t="shared" si="750"/>
        <v>1</v>
      </c>
      <c r="HU150" s="618">
        <f t="shared" si="754"/>
        <v>1.8721796879146035</v>
      </c>
      <c r="HV150" s="618"/>
      <c r="HW150" s="618">
        <f t="shared" si="736"/>
        <v>33.34150484316126</v>
      </c>
      <c r="HX150" s="618">
        <f t="shared" si="755"/>
        <v>1.8025819201002347</v>
      </c>
      <c r="HY150" s="618">
        <f t="shared" si="756"/>
        <v>7.3499999999999996E-2</v>
      </c>
      <c r="HZ150" s="618"/>
      <c r="IA150" s="618"/>
      <c r="IB150" s="618">
        <f t="shared" si="737"/>
        <v>25.000350341399081</v>
      </c>
      <c r="IC150" s="618">
        <f t="shared" si="738"/>
        <v>1E-3</v>
      </c>
      <c r="ID150" s="618"/>
      <c r="IE150" s="618">
        <f t="shared" si="739"/>
        <v>0</v>
      </c>
      <c r="IF150" s="618">
        <f t="shared" si="740"/>
        <v>40.704999999999998</v>
      </c>
      <c r="IG150" s="618"/>
      <c r="IH150" s="618">
        <f t="shared" si="741"/>
        <v>0</v>
      </c>
      <c r="II150" s="618">
        <f t="shared" si="742"/>
        <v>40.704999999999998</v>
      </c>
      <c r="IJ150" s="618"/>
      <c r="IK150" s="618">
        <f t="shared" si="743"/>
        <v>0</v>
      </c>
      <c r="IL150" s="618">
        <f t="shared" si="744"/>
        <v>40.704999999999998</v>
      </c>
      <c r="IM150" s="618"/>
      <c r="IN150" s="618">
        <f t="shared" si="745"/>
        <v>0</v>
      </c>
      <c r="IO150" s="618">
        <f t="shared" si="746"/>
        <v>40.704999999999998</v>
      </c>
      <c r="IP150" s="618"/>
      <c r="IQ150" s="618">
        <f t="shared" si="747"/>
        <v>0</v>
      </c>
      <c r="IR150" s="618">
        <f t="shared" si="748"/>
        <v>40.704999999999998</v>
      </c>
      <c r="IS150" s="639"/>
      <c r="IT150" s="640"/>
      <c r="IU150" s="640"/>
      <c r="IV150" s="640"/>
      <c r="IW150" s="640"/>
      <c r="IX150" s="640"/>
      <c r="IY150" s="640"/>
      <c r="IZ150" s="640"/>
      <c r="JA150" s="640"/>
      <c r="JB150" s="640"/>
      <c r="JC150" s="640"/>
      <c r="JD150" s="640"/>
      <c r="JE150" s="640"/>
      <c r="JF150" s="640"/>
      <c r="JG150" s="640"/>
      <c r="JH150" s="640"/>
      <c r="JI150" s="640"/>
      <c r="JJ150" s="640"/>
      <c r="JK150" s="640"/>
      <c r="JL150" s="640"/>
      <c r="JM150" s="640"/>
      <c r="JN150" s="640"/>
      <c r="JO150" s="640"/>
      <c r="JP150" s="640"/>
      <c r="JQ150" s="640"/>
      <c r="JR150" s="640"/>
      <c r="JS150" s="640"/>
      <c r="JT150" s="640"/>
      <c r="JU150" s="640"/>
      <c r="JV150" s="652"/>
    </row>
    <row r="151" spans="1:282" s="579" customFormat="1">
      <c r="A151" s="334"/>
      <c r="U151" s="580"/>
      <c r="V151" s="580"/>
      <c r="AC151" s="580"/>
      <c r="AD151" s="580"/>
      <c r="AL151" s="580"/>
      <c r="AM151" s="580"/>
      <c r="AT151" s="580"/>
      <c r="AU151" s="580"/>
      <c r="AV151" s="581">
        <f>M90*$M$82</f>
        <v>0</v>
      </c>
      <c r="AW151" s="581">
        <f>IF($AY$32,'Data Sheet'!AA172,0)</f>
        <v>0</v>
      </c>
      <c r="AX151" s="581">
        <f t="shared" si="757"/>
        <v>40.704999999999998</v>
      </c>
      <c r="CH151" s="334"/>
      <c r="CI151" s="334"/>
      <c r="CO151" s="694" t="str">
        <f t="shared" si="753"/>
        <v>S120D 1S</v>
      </c>
      <c r="CP151" s="639"/>
      <c r="CQ151" s="618"/>
      <c r="CR151" s="618"/>
      <c r="CS151" s="618"/>
      <c r="CT151" s="626"/>
      <c r="CU151" s="626"/>
      <c r="CV151" s="626"/>
      <c r="CW151" s="626"/>
      <c r="CX151" s="626"/>
      <c r="CY151" s="619"/>
      <c r="CZ151" s="619"/>
      <c r="DA151" s="619"/>
      <c r="DB151" s="619"/>
      <c r="DC151" s="618"/>
      <c r="DD151" s="618"/>
      <c r="DE151" s="618"/>
      <c r="DF151" s="618"/>
      <c r="DG151" s="618"/>
      <c r="DH151" s="618"/>
      <c r="DI151" s="618"/>
      <c r="DJ151" s="618"/>
      <c r="DK151" s="618"/>
      <c r="DL151" s="618"/>
      <c r="DM151" s="618"/>
      <c r="DN151" s="618"/>
      <c r="DO151" s="618"/>
      <c r="DP151" s="618"/>
      <c r="DQ151" s="618"/>
      <c r="DR151" s="618"/>
      <c r="DS151" s="618"/>
      <c r="DT151" s="618"/>
      <c r="DU151" s="618"/>
      <c r="DV151" s="618"/>
      <c r="DW151" s="618"/>
      <c r="DX151" s="618"/>
      <c r="DY151" s="618"/>
      <c r="DZ151" s="618"/>
      <c r="EA151" s="618"/>
      <c r="EB151" s="618"/>
      <c r="EC151" s="618"/>
      <c r="ED151" s="618"/>
      <c r="EE151" s="618"/>
      <c r="EF151" s="618"/>
      <c r="EG151" s="618"/>
      <c r="EH151" s="618"/>
      <c r="EI151" s="618"/>
      <c r="EJ151" s="618"/>
      <c r="EK151" s="618"/>
      <c r="EL151" s="618"/>
      <c r="EM151" s="618"/>
      <c r="EN151" s="618"/>
      <c r="EO151" s="618"/>
      <c r="EP151" s="618"/>
      <c r="EQ151" s="618"/>
      <c r="ER151" s="618"/>
      <c r="ES151" s="618"/>
      <c r="ET151" s="618"/>
      <c r="EU151" s="618"/>
      <c r="EV151" s="618"/>
      <c r="EW151" s="618"/>
      <c r="EX151" s="618"/>
      <c r="EY151" s="618"/>
      <c r="EZ151" s="618"/>
      <c r="FA151" s="618"/>
      <c r="FB151" s="618"/>
      <c r="FC151" s="618"/>
      <c r="FD151" s="618"/>
      <c r="FE151" s="618"/>
      <c r="FF151" s="618"/>
      <c r="FG151" s="618"/>
      <c r="FH151" s="618"/>
      <c r="FI151" s="618"/>
      <c r="FJ151" s="618"/>
      <c r="FK151" s="618"/>
      <c r="FL151" s="618"/>
      <c r="FM151" s="618"/>
      <c r="FN151" s="618"/>
      <c r="FO151" s="618"/>
      <c r="FP151" s="618"/>
      <c r="FQ151" s="618"/>
      <c r="FR151" s="618"/>
      <c r="FS151" s="618"/>
      <c r="FT151" s="618"/>
      <c r="FU151" s="618"/>
      <c r="FV151" s="618"/>
      <c r="FW151" s="618"/>
      <c r="FX151" s="618"/>
      <c r="FY151" s="618"/>
      <c r="FZ151" s="618"/>
      <c r="GA151" s="618"/>
      <c r="GB151" s="618"/>
      <c r="GC151" s="618"/>
      <c r="GD151" s="618"/>
      <c r="GE151" s="618"/>
      <c r="GF151" s="618"/>
      <c r="GG151" s="618"/>
      <c r="GH151" s="618"/>
      <c r="GI151" s="618"/>
      <c r="GJ151" s="618"/>
      <c r="GK151" s="618"/>
      <c r="GL151" s="618"/>
      <c r="GM151" s="618"/>
      <c r="GN151" s="618"/>
      <c r="GO151" s="618"/>
      <c r="GP151" s="618"/>
      <c r="GQ151" s="618"/>
      <c r="GR151" s="618"/>
      <c r="GS151" s="618"/>
      <c r="GT151" s="618"/>
      <c r="GU151" s="618"/>
      <c r="GV151" s="618"/>
      <c r="GW151" s="618"/>
      <c r="GX151" s="618"/>
      <c r="GY151" s="618"/>
      <c r="GZ151" s="618"/>
      <c r="HA151" s="618"/>
      <c r="HB151" s="618"/>
      <c r="HC151" s="618"/>
      <c r="HD151" s="618"/>
      <c r="HE151" s="618"/>
      <c r="HF151" s="639"/>
      <c r="HG151" s="639"/>
      <c r="HH151" s="639"/>
      <c r="HI151" s="639"/>
      <c r="HJ151" s="639"/>
      <c r="HK151" s="639"/>
      <c r="HL151" s="639"/>
      <c r="HM151" s="639"/>
      <c r="HN151" s="639"/>
      <c r="HO151" s="639"/>
      <c r="HP151" s="639"/>
      <c r="HQ151" s="639"/>
      <c r="HR151" s="639">
        <v>7.3999999999999996E-2</v>
      </c>
      <c r="HS151" s="639">
        <f t="shared" si="749"/>
        <v>496.85714285714283</v>
      </c>
      <c r="HT151" s="639">
        <f t="shared" si="750"/>
        <v>1</v>
      </c>
      <c r="HU151" s="618">
        <f t="shared" si="754"/>
        <v>1.8849187318882283</v>
      </c>
      <c r="HV151" s="618"/>
      <c r="HW151" s="618">
        <f t="shared" si="736"/>
        <v>33.323415400718716</v>
      </c>
      <c r="HX151" s="618">
        <f t="shared" si="755"/>
        <v>1.8143738216041547</v>
      </c>
      <c r="HY151" s="618">
        <f t="shared" si="756"/>
        <v>7.3999999999999996E-2</v>
      </c>
      <c r="HZ151" s="618"/>
      <c r="IA151" s="618"/>
      <c r="IB151" s="618">
        <f t="shared" si="737"/>
        <v>25.000350341399081</v>
      </c>
      <c r="IC151" s="618">
        <f t="shared" si="738"/>
        <v>1E-3</v>
      </c>
      <c r="ID151" s="618"/>
      <c r="IE151" s="618">
        <f t="shared" si="739"/>
        <v>0</v>
      </c>
      <c r="IF151" s="618">
        <f t="shared" si="740"/>
        <v>40.704999999999998</v>
      </c>
      <c r="IG151" s="618"/>
      <c r="IH151" s="618">
        <f t="shared" si="741"/>
        <v>0</v>
      </c>
      <c r="II151" s="618">
        <f t="shared" si="742"/>
        <v>40.704999999999998</v>
      </c>
      <c r="IJ151" s="618"/>
      <c r="IK151" s="618">
        <f t="shared" si="743"/>
        <v>0</v>
      </c>
      <c r="IL151" s="618">
        <f t="shared" si="744"/>
        <v>40.704999999999998</v>
      </c>
      <c r="IM151" s="618"/>
      <c r="IN151" s="618">
        <f t="shared" si="745"/>
        <v>0</v>
      </c>
      <c r="IO151" s="618">
        <f t="shared" si="746"/>
        <v>40.704999999999998</v>
      </c>
      <c r="IP151" s="618"/>
      <c r="IQ151" s="618">
        <f t="shared" si="747"/>
        <v>0</v>
      </c>
      <c r="IR151" s="618">
        <f t="shared" si="748"/>
        <v>40.704999999999998</v>
      </c>
      <c r="IS151" s="639"/>
      <c r="IT151" s="640"/>
      <c r="IU151" s="640"/>
      <c r="IV151" s="640"/>
      <c r="IW151" s="640"/>
      <c r="IX151" s="640"/>
      <c r="IY151" s="640"/>
      <c r="IZ151" s="640"/>
      <c r="JA151" s="640"/>
      <c r="JB151" s="640"/>
      <c r="JC151" s="640"/>
      <c r="JD151" s="640"/>
      <c r="JE151" s="640"/>
      <c r="JF151" s="640"/>
      <c r="JG151" s="640"/>
      <c r="JH151" s="640"/>
      <c r="JI151" s="640"/>
      <c r="JJ151" s="640"/>
      <c r="JK151" s="640"/>
      <c r="JL151" s="640"/>
      <c r="JM151" s="640"/>
      <c r="JN151" s="640"/>
      <c r="JO151" s="640"/>
      <c r="JP151" s="640"/>
      <c r="JQ151" s="640"/>
      <c r="JR151" s="640"/>
      <c r="JS151" s="640"/>
      <c r="JT151" s="640"/>
      <c r="JU151" s="640"/>
      <c r="JV151" s="652"/>
    </row>
    <row r="152" spans="1:282" s="579" customFormat="1">
      <c r="A152" s="334"/>
      <c r="U152" s="580"/>
      <c r="V152" s="580"/>
      <c r="AC152" s="580"/>
      <c r="AD152" s="580"/>
      <c r="AL152" s="580"/>
      <c r="AM152" s="580"/>
      <c r="AT152" s="580"/>
      <c r="AU152" s="580"/>
      <c r="AV152" s="581">
        <f>M89*$M$82</f>
        <v>0</v>
      </c>
      <c r="AW152" s="581">
        <f>IF($AY$32,'Data Sheet'!AA173,0)</f>
        <v>0</v>
      </c>
      <c r="AX152" s="581">
        <f t="shared" si="757"/>
        <v>40.704999999999998</v>
      </c>
      <c r="CH152" s="334"/>
      <c r="CI152" s="334"/>
      <c r="CO152" s="694" t="str">
        <f t="shared" si="753"/>
        <v>S120D</v>
      </c>
      <c r="CP152" s="639"/>
      <c r="CQ152" s="618"/>
      <c r="CR152" s="618"/>
      <c r="CS152" s="618"/>
      <c r="CT152" s="626"/>
      <c r="CU152" s="626"/>
      <c r="CV152" s="626"/>
      <c r="CW152" s="626"/>
      <c r="CX152" s="626"/>
      <c r="CY152" s="619"/>
      <c r="CZ152" s="619"/>
      <c r="DA152" s="619"/>
      <c r="DB152" s="619"/>
      <c r="DC152" s="618"/>
      <c r="DD152" s="618"/>
      <c r="DE152" s="618"/>
      <c r="DF152" s="618"/>
      <c r="DG152" s="618"/>
      <c r="DH152" s="618"/>
      <c r="DI152" s="618"/>
      <c r="DJ152" s="618"/>
      <c r="DK152" s="618"/>
      <c r="DL152" s="618"/>
      <c r="DM152" s="618"/>
      <c r="DN152" s="618"/>
      <c r="DO152" s="618"/>
      <c r="DP152" s="618"/>
      <c r="DQ152" s="618"/>
      <c r="DR152" s="618"/>
      <c r="DS152" s="618"/>
      <c r="DT152" s="618"/>
      <c r="DU152" s="618"/>
      <c r="DV152" s="618"/>
      <c r="DW152" s="618"/>
      <c r="DX152" s="618"/>
      <c r="DY152" s="618"/>
      <c r="DZ152" s="618"/>
      <c r="EA152" s="618"/>
      <c r="EB152" s="618"/>
      <c r="EC152" s="618"/>
      <c r="ED152" s="618"/>
      <c r="EE152" s="618"/>
      <c r="EF152" s="618"/>
      <c r="EG152" s="618"/>
      <c r="EH152" s="618"/>
      <c r="EI152" s="618"/>
      <c r="EJ152" s="618"/>
      <c r="EK152" s="618"/>
      <c r="EL152" s="618"/>
      <c r="EM152" s="618"/>
      <c r="EN152" s="618"/>
      <c r="EO152" s="618"/>
      <c r="EP152" s="618"/>
      <c r="EQ152" s="618"/>
      <c r="ER152" s="618"/>
      <c r="ES152" s="618"/>
      <c r="ET152" s="618"/>
      <c r="EU152" s="618"/>
      <c r="EV152" s="618"/>
      <c r="EW152" s="618"/>
      <c r="EX152" s="618"/>
      <c r="EY152" s="618"/>
      <c r="EZ152" s="618"/>
      <c r="FA152" s="618"/>
      <c r="FB152" s="618"/>
      <c r="FC152" s="618"/>
      <c r="FD152" s="618"/>
      <c r="FE152" s="618"/>
      <c r="FF152" s="618"/>
      <c r="FG152" s="618"/>
      <c r="FH152" s="618"/>
      <c r="FI152" s="618"/>
      <c r="FJ152" s="618"/>
      <c r="FK152" s="618"/>
      <c r="FL152" s="618"/>
      <c r="FM152" s="618"/>
      <c r="FN152" s="618"/>
      <c r="FO152" s="618"/>
      <c r="FP152" s="618"/>
      <c r="FQ152" s="618"/>
      <c r="FR152" s="618"/>
      <c r="FS152" s="618"/>
      <c r="FT152" s="618"/>
      <c r="FU152" s="618"/>
      <c r="FV152" s="618"/>
      <c r="FW152" s="618"/>
      <c r="FX152" s="618"/>
      <c r="FY152" s="618"/>
      <c r="FZ152" s="618"/>
      <c r="GA152" s="618"/>
      <c r="GB152" s="618"/>
      <c r="GC152" s="618"/>
      <c r="GD152" s="618"/>
      <c r="GE152" s="618"/>
      <c r="GF152" s="618"/>
      <c r="GG152" s="618"/>
      <c r="GH152" s="618"/>
      <c r="GI152" s="618"/>
      <c r="GJ152" s="618"/>
      <c r="GK152" s="618"/>
      <c r="GL152" s="618"/>
      <c r="GM152" s="618"/>
      <c r="GN152" s="618"/>
      <c r="GO152" s="618"/>
      <c r="GP152" s="618"/>
      <c r="GQ152" s="618"/>
      <c r="GR152" s="618"/>
      <c r="GS152" s="618"/>
      <c r="GT152" s="618"/>
      <c r="GU152" s="618"/>
      <c r="GV152" s="618"/>
      <c r="GW152" s="618"/>
      <c r="GX152" s="618"/>
      <c r="GY152" s="618"/>
      <c r="GZ152" s="618"/>
      <c r="HA152" s="618"/>
      <c r="HB152" s="618"/>
      <c r="HC152" s="618"/>
      <c r="HD152" s="618"/>
      <c r="HE152" s="618"/>
      <c r="HF152" s="639"/>
      <c r="HG152" s="639"/>
      <c r="HH152" s="639"/>
      <c r="HI152" s="639"/>
      <c r="HJ152" s="639"/>
      <c r="HK152" s="639"/>
      <c r="HL152" s="639"/>
      <c r="HM152" s="639"/>
      <c r="HN152" s="639"/>
      <c r="HO152" s="639"/>
      <c r="HP152" s="639"/>
      <c r="HQ152" s="639"/>
      <c r="HR152" s="639">
        <v>7.4499999999999997E-2</v>
      </c>
      <c r="HS152" s="639">
        <f t="shared" si="749"/>
        <v>500.21428571428567</v>
      </c>
      <c r="HT152" s="639">
        <f t="shared" si="750"/>
        <v>1</v>
      </c>
      <c r="HU152" s="618">
        <f t="shared" si="754"/>
        <v>1.8976577758618531</v>
      </c>
      <c r="HV152" s="618"/>
      <c r="HW152" s="618">
        <f t="shared" si="736"/>
        <v>33.305325958276171</v>
      </c>
      <c r="HX152" s="618">
        <f t="shared" si="755"/>
        <v>1.8261593219357766</v>
      </c>
      <c r="HY152" s="618">
        <f t="shared" si="756"/>
        <v>7.4499999999999997E-2</v>
      </c>
      <c r="HZ152" s="618"/>
      <c r="IA152" s="618"/>
      <c r="IB152" s="618">
        <f t="shared" si="737"/>
        <v>25.000350341399081</v>
      </c>
      <c r="IC152" s="618">
        <f t="shared" si="738"/>
        <v>1E-3</v>
      </c>
      <c r="ID152" s="618"/>
      <c r="IE152" s="618">
        <f t="shared" si="739"/>
        <v>0</v>
      </c>
      <c r="IF152" s="618">
        <f t="shared" si="740"/>
        <v>40.704999999999998</v>
      </c>
      <c r="IG152" s="618"/>
      <c r="IH152" s="618">
        <f t="shared" si="741"/>
        <v>0</v>
      </c>
      <c r="II152" s="618">
        <f t="shared" si="742"/>
        <v>40.704999999999998</v>
      </c>
      <c r="IJ152" s="618"/>
      <c r="IK152" s="618">
        <f t="shared" si="743"/>
        <v>0</v>
      </c>
      <c r="IL152" s="618">
        <f t="shared" si="744"/>
        <v>40.704999999999998</v>
      </c>
      <c r="IM152" s="618"/>
      <c r="IN152" s="618">
        <f t="shared" si="745"/>
        <v>0</v>
      </c>
      <c r="IO152" s="618">
        <f t="shared" si="746"/>
        <v>40.704999999999998</v>
      </c>
      <c r="IP152" s="618"/>
      <c r="IQ152" s="618">
        <f t="shared" si="747"/>
        <v>0</v>
      </c>
      <c r="IR152" s="618">
        <f t="shared" si="748"/>
        <v>40.704999999999998</v>
      </c>
      <c r="IS152" s="639"/>
      <c r="IT152" s="640"/>
      <c r="IU152" s="640"/>
      <c r="IV152" s="640"/>
      <c r="IW152" s="640"/>
      <c r="IX152" s="640"/>
      <c r="IY152" s="640"/>
      <c r="IZ152" s="640"/>
      <c r="JA152" s="640"/>
      <c r="JB152" s="640"/>
      <c r="JC152" s="640"/>
      <c r="JD152" s="640"/>
      <c r="JE152" s="640"/>
      <c r="JF152" s="640"/>
      <c r="JG152" s="640"/>
      <c r="JH152" s="640"/>
      <c r="JI152" s="640"/>
      <c r="JJ152" s="640"/>
      <c r="JK152" s="640"/>
      <c r="JL152" s="640"/>
      <c r="JM152" s="640"/>
      <c r="JN152" s="640"/>
      <c r="JO152" s="640"/>
      <c r="JP152" s="640"/>
      <c r="JQ152" s="640"/>
      <c r="JR152" s="640"/>
      <c r="JS152" s="640"/>
      <c r="JT152" s="640"/>
      <c r="JU152" s="640"/>
      <c r="JV152" s="652"/>
    </row>
    <row r="153" spans="1:282" s="579" customFormat="1">
      <c r="A153" s="334"/>
      <c r="U153" s="580"/>
      <c r="V153" s="580"/>
      <c r="AC153" s="580"/>
      <c r="AD153" s="580"/>
      <c r="AL153" s="580"/>
      <c r="AM153" s="580"/>
      <c r="AT153" s="580"/>
      <c r="AU153" s="580"/>
      <c r="AV153" s="581">
        <f>M88*$M$82</f>
        <v>0</v>
      </c>
      <c r="AW153" s="581">
        <f>IF($AY$32,'Data Sheet'!AA174,0)</f>
        <v>0</v>
      </c>
      <c r="AX153" s="581">
        <f t="shared" si="757"/>
        <v>40.704999999999998</v>
      </c>
      <c r="CH153" s="334"/>
      <c r="CI153" s="334"/>
      <c r="CO153" s="694" t="str">
        <f t="shared" si="753"/>
        <v>S120T</v>
      </c>
      <c r="CP153" s="639"/>
      <c r="CQ153" s="618"/>
      <c r="CR153" s="618"/>
      <c r="CS153" s="618"/>
      <c r="CT153" s="626"/>
      <c r="CU153" s="626"/>
      <c r="CV153" s="626"/>
      <c r="CW153" s="626"/>
      <c r="CX153" s="626"/>
      <c r="CY153" s="619"/>
      <c r="CZ153" s="619"/>
      <c r="DA153" s="619"/>
      <c r="DB153" s="619"/>
      <c r="DC153" s="618"/>
      <c r="DD153" s="618"/>
      <c r="DE153" s="618"/>
      <c r="DF153" s="618"/>
      <c r="DG153" s="618"/>
      <c r="DH153" s="618"/>
      <c r="DI153" s="618"/>
      <c r="DJ153" s="618"/>
      <c r="DK153" s="618"/>
      <c r="DL153" s="618"/>
      <c r="DM153" s="618"/>
      <c r="DN153" s="618"/>
      <c r="DO153" s="618"/>
      <c r="DP153" s="618"/>
      <c r="DQ153" s="618"/>
      <c r="DR153" s="618"/>
      <c r="DS153" s="618"/>
      <c r="DT153" s="618"/>
      <c r="DU153" s="618"/>
      <c r="DV153" s="618"/>
      <c r="DW153" s="618"/>
      <c r="DX153" s="618"/>
      <c r="DY153" s="618"/>
      <c r="DZ153" s="618"/>
      <c r="EA153" s="618"/>
      <c r="EB153" s="618"/>
      <c r="EC153" s="618"/>
      <c r="ED153" s="618"/>
      <c r="EE153" s="618"/>
      <c r="EF153" s="618"/>
      <c r="EG153" s="618"/>
      <c r="EH153" s="618"/>
      <c r="EI153" s="618"/>
      <c r="EJ153" s="618"/>
      <c r="EK153" s="618"/>
      <c r="EL153" s="618"/>
      <c r="EM153" s="618"/>
      <c r="EN153" s="618"/>
      <c r="EO153" s="618"/>
      <c r="EP153" s="618"/>
      <c r="EQ153" s="618"/>
      <c r="ER153" s="618"/>
      <c r="ES153" s="618"/>
      <c r="ET153" s="618"/>
      <c r="EU153" s="618"/>
      <c r="EV153" s="618"/>
      <c r="EW153" s="618"/>
      <c r="EX153" s="618"/>
      <c r="EY153" s="618"/>
      <c r="EZ153" s="618"/>
      <c r="FA153" s="618"/>
      <c r="FB153" s="618"/>
      <c r="FC153" s="618"/>
      <c r="FD153" s="618"/>
      <c r="FE153" s="618"/>
      <c r="FF153" s="618"/>
      <c r="FG153" s="618"/>
      <c r="FH153" s="618"/>
      <c r="FI153" s="618"/>
      <c r="FJ153" s="618"/>
      <c r="FK153" s="618"/>
      <c r="FL153" s="618"/>
      <c r="FM153" s="618"/>
      <c r="FN153" s="618"/>
      <c r="FO153" s="618"/>
      <c r="FP153" s="618"/>
      <c r="FQ153" s="618"/>
      <c r="FR153" s="618"/>
      <c r="FS153" s="618"/>
      <c r="FT153" s="618"/>
      <c r="FU153" s="618"/>
      <c r="FV153" s="618"/>
      <c r="FW153" s="618"/>
      <c r="FX153" s="618"/>
      <c r="FY153" s="618"/>
      <c r="FZ153" s="618"/>
      <c r="GA153" s="618"/>
      <c r="GB153" s="618"/>
      <c r="GC153" s="618"/>
      <c r="GD153" s="618"/>
      <c r="GE153" s="618"/>
      <c r="GF153" s="618"/>
      <c r="GG153" s="618"/>
      <c r="GH153" s="618"/>
      <c r="GI153" s="618"/>
      <c r="GJ153" s="618"/>
      <c r="GK153" s="618"/>
      <c r="GL153" s="618"/>
      <c r="GM153" s="618"/>
      <c r="GN153" s="618"/>
      <c r="GO153" s="618"/>
      <c r="GP153" s="618"/>
      <c r="GQ153" s="618"/>
      <c r="GR153" s="618"/>
      <c r="GS153" s="618"/>
      <c r="GT153" s="618"/>
      <c r="GU153" s="618"/>
      <c r="GV153" s="618"/>
      <c r="GW153" s="618"/>
      <c r="GX153" s="618"/>
      <c r="GY153" s="618"/>
      <c r="GZ153" s="618"/>
      <c r="HA153" s="618"/>
      <c r="HB153" s="618"/>
      <c r="HC153" s="618"/>
      <c r="HD153" s="618"/>
      <c r="HE153" s="618"/>
      <c r="HF153" s="639"/>
      <c r="HG153" s="639"/>
      <c r="HH153" s="639"/>
      <c r="HI153" s="639"/>
      <c r="HJ153" s="639"/>
      <c r="HK153" s="639"/>
      <c r="HL153" s="639"/>
      <c r="HM153" s="639"/>
      <c r="HN153" s="639"/>
      <c r="HO153" s="639"/>
      <c r="HP153" s="639"/>
      <c r="HQ153" s="639"/>
      <c r="HR153" s="639">
        <v>7.4999999999999997E-2</v>
      </c>
      <c r="HS153" s="639">
        <f t="shared" si="749"/>
        <v>503.57142857142856</v>
      </c>
      <c r="HT153" s="639">
        <f t="shared" si="750"/>
        <v>1</v>
      </c>
      <c r="HU153" s="618">
        <f t="shared" si="754"/>
        <v>1.9103968198354779</v>
      </c>
      <c r="HV153" s="618"/>
      <c r="HW153" s="618">
        <f t="shared" si="736"/>
        <v>33.287236515833619</v>
      </c>
      <c r="HX153" s="618">
        <f t="shared" si="755"/>
        <v>1.8379384210951002</v>
      </c>
      <c r="HY153" s="618">
        <f t="shared" si="756"/>
        <v>7.4999999999999997E-2</v>
      </c>
      <c r="HZ153" s="618"/>
      <c r="IA153" s="618"/>
      <c r="IB153" s="618">
        <f t="shared" si="737"/>
        <v>25.000350341399081</v>
      </c>
      <c r="IC153" s="618">
        <f t="shared" si="738"/>
        <v>1E-3</v>
      </c>
      <c r="ID153" s="618"/>
      <c r="IE153" s="618">
        <f t="shared" si="739"/>
        <v>0</v>
      </c>
      <c r="IF153" s="618">
        <f t="shared" si="740"/>
        <v>40.704999999999998</v>
      </c>
      <c r="IG153" s="618"/>
      <c r="IH153" s="618">
        <f t="shared" si="741"/>
        <v>0</v>
      </c>
      <c r="II153" s="618">
        <f t="shared" si="742"/>
        <v>40.704999999999998</v>
      </c>
      <c r="IJ153" s="618"/>
      <c r="IK153" s="618">
        <f t="shared" si="743"/>
        <v>0</v>
      </c>
      <c r="IL153" s="618">
        <f t="shared" si="744"/>
        <v>40.704999999999998</v>
      </c>
      <c r="IM153" s="618"/>
      <c r="IN153" s="618">
        <f t="shared" si="745"/>
        <v>0</v>
      </c>
      <c r="IO153" s="618">
        <f t="shared" si="746"/>
        <v>40.704999999999998</v>
      </c>
      <c r="IP153" s="618"/>
      <c r="IQ153" s="618">
        <f t="shared" si="747"/>
        <v>0</v>
      </c>
      <c r="IR153" s="618">
        <f t="shared" si="748"/>
        <v>40.704999999999998</v>
      </c>
      <c r="IS153" s="639"/>
      <c r="IT153" s="640"/>
      <c r="IU153" s="640"/>
      <c r="IV153" s="640"/>
      <c r="IW153" s="640"/>
      <c r="IX153" s="640"/>
      <c r="IY153" s="640"/>
      <c r="IZ153" s="640"/>
      <c r="JA153" s="640"/>
      <c r="JB153" s="640"/>
      <c r="JC153" s="640"/>
      <c r="JD153" s="640"/>
      <c r="JE153" s="640"/>
      <c r="JF153" s="640"/>
      <c r="JG153" s="640"/>
      <c r="JH153" s="640"/>
      <c r="JI153" s="640"/>
      <c r="JJ153" s="640"/>
      <c r="JK153" s="640"/>
      <c r="JL153" s="640"/>
      <c r="JM153" s="640"/>
      <c r="JN153" s="640"/>
      <c r="JO153" s="640"/>
      <c r="JP153" s="640"/>
      <c r="JQ153" s="640"/>
      <c r="JR153" s="640"/>
      <c r="JS153" s="640"/>
      <c r="JT153" s="640"/>
      <c r="JU153" s="640"/>
      <c r="JV153" s="652"/>
    </row>
    <row r="154" spans="1:282" s="579" customFormat="1">
      <c r="A154" s="334"/>
      <c r="U154" s="580"/>
      <c r="V154" s="580"/>
      <c r="AC154" s="580"/>
      <c r="AD154" s="580"/>
      <c r="AL154" s="580"/>
      <c r="AM154" s="580"/>
      <c r="AT154" s="580"/>
      <c r="AU154" s="580"/>
      <c r="AV154" s="581">
        <f>M87*$M$82</f>
        <v>0</v>
      </c>
      <c r="AW154" s="581">
        <f>IF($AY$32,'Data Sheet'!AA175,0)</f>
        <v>0</v>
      </c>
      <c r="AX154" s="581">
        <f t="shared" si="757"/>
        <v>40.704999999999998</v>
      </c>
      <c r="CH154" s="334"/>
      <c r="CI154" s="334"/>
      <c r="CO154" s="694" t="str">
        <f t="shared" si="753"/>
        <v>S120T 1S</v>
      </c>
      <c r="CP154" s="639"/>
      <c r="CQ154" s="618"/>
      <c r="CR154" s="618"/>
      <c r="CS154" s="618"/>
      <c r="CT154" s="626"/>
      <c r="CU154" s="626"/>
      <c r="CV154" s="626"/>
      <c r="CW154" s="626"/>
      <c r="CX154" s="626"/>
      <c r="CY154" s="619"/>
      <c r="CZ154" s="619"/>
      <c r="DA154" s="619"/>
      <c r="DB154" s="619"/>
      <c r="DC154" s="618"/>
      <c r="DD154" s="618"/>
      <c r="DE154" s="618"/>
      <c r="DF154" s="618"/>
      <c r="DG154" s="618"/>
      <c r="DH154" s="618"/>
      <c r="DI154" s="618"/>
      <c r="DJ154" s="618"/>
      <c r="DK154" s="618"/>
      <c r="DL154" s="618"/>
      <c r="DM154" s="618"/>
      <c r="DN154" s="618"/>
      <c r="DO154" s="618"/>
      <c r="DP154" s="618"/>
      <c r="DQ154" s="618"/>
      <c r="DR154" s="618"/>
      <c r="DS154" s="618"/>
      <c r="DT154" s="618"/>
      <c r="DU154" s="618"/>
      <c r="DV154" s="618"/>
      <c r="DW154" s="618"/>
      <c r="DX154" s="618"/>
      <c r="DY154" s="618"/>
      <c r="DZ154" s="618"/>
      <c r="EA154" s="618"/>
      <c r="EB154" s="618"/>
      <c r="EC154" s="618"/>
      <c r="ED154" s="618"/>
      <c r="EE154" s="618"/>
      <c r="EF154" s="618"/>
      <c r="EG154" s="618"/>
      <c r="EH154" s="618"/>
      <c r="EI154" s="618"/>
      <c r="EJ154" s="618"/>
      <c r="EK154" s="618"/>
      <c r="EL154" s="618"/>
      <c r="EM154" s="618"/>
      <c r="EN154" s="618"/>
      <c r="EO154" s="618"/>
      <c r="EP154" s="618"/>
      <c r="EQ154" s="618"/>
      <c r="ER154" s="618"/>
      <c r="ES154" s="618"/>
      <c r="ET154" s="618"/>
      <c r="EU154" s="618"/>
      <c r="EV154" s="618"/>
      <c r="EW154" s="618"/>
      <c r="EX154" s="618"/>
      <c r="EY154" s="618"/>
      <c r="EZ154" s="618"/>
      <c r="FA154" s="618"/>
      <c r="FB154" s="618"/>
      <c r="FC154" s="618"/>
      <c r="FD154" s="618"/>
      <c r="FE154" s="618"/>
      <c r="FF154" s="618"/>
      <c r="FG154" s="618"/>
      <c r="FH154" s="618"/>
      <c r="FI154" s="618"/>
      <c r="FJ154" s="618"/>
      <c r="FK154" s="618"/>
      <c r="FL154" s="618"/>
      <c r="FM154" s="618"/>
      <c r="FN154" s="618"/>
      <c r="FO154" s="618"/>
      <c r="FP154" s="618"/>
      <c r="FQ154" s="618"/>
      <c r="FR154" s="618"/>
      <c r="FS154" s="618"/>
      <c r="FT154" s="618"/>
      <c r="FU154" s="618"/>
      <c r="FV154" s="618"/>
      <c r="FW154" s="618"/>
      <c r="FX154" s="618"/>
      <c r="FY154" s="618"/>
      <c r="FZ154" s="618"/>
      <c r="GA154" s="618"/>
      <c r="GB154" s="618"/>
      <c r="GC154" s="618"/>
      <c r="GD154" s="618"/>
      <c r="GE154" s="618"/>
      <c r="GF154" s="618"/>
      <c r="GG154" s="618"/>
      <c r="GH154" s="618"/>
      <c r="GI154" s="618"/>
      <c r="GJ154" s="618"/>
      <c r="GK154" s="618"/>
      <c r="GL154" s="618"/>
      <c r="GM154" s="618"/>
      <c r="GN154" s="618"/>
      <c r="GO154" s="618"/>
      <c r="GP154" s="618"/>
      <c r="GQ154" s="618"/>
      <c r="GR154" s="618"/>
      <c r="GS154" s="618"/>
      <c r="GT154" s="618"/>
      <c r="GU154" s="618"/>
      <c r="GV154" s="618"/>
      <c r="GW154" s="618"/>
      <c r="GX154" s="618"/>
      <c r="GY154" s="618"/>
      <c r="GZ154" s="618"/>
      <c r="HA154" s="618"/>
      <c r="HB154" s="618"/>
      <c r="HC154" s="618"/>
      <c r="HD154" s="618"/>
      <c r="HE154" s="618"/>
      <c r="HF154" s="639"/>
      <c r="HG154" s="639"/>
      <c r="HH154" s="639"/>
      <c r="HI154" s="639"/>
      <c r="HJ154" s="639"/>
      <c r="HK154" s="639"/>
      <c r="HL154" s="639"/>
      <c r="HM154" s="639"/>
      <c r="HN154" s="639"/>
      <c r="HO154" s="639"/>
      <c r="HP154" s="639"/>
      <c r="HQ154" s="639"/>
      <c r="HR154" s="639">
        <v>7.5499999999999998E-2</v>
      </c>
      <c r="HS154" s="639">
        <f t="shared" si="749"/>
        <v>506.92857142857139</v>
      </c>
      <c r="HT154" s="639">
        <f t="shared" si="750"/>
        <v>1</v>
      </c>
      <c r="HU154" s="618">
        <f t="shared" si="754"/>
        <v>1.9231358638091027</v>
      </c>
      <c r="HV154" s="618"/>
      <c r="HW154" s="618">
        <f t="shared" si="736"/>
        <v>33.269147073391075</v>
      </c>
      <c r="HX154" s="618">
        <f t="shared" si="755"/>
        <v>1.8497111190821258</v>
      </c>
      <c r="HY154" s="618">
        <f t="shared" si="756"/>
        <v>7.5499999999999998E-2</v>
      </c>
      <c r="HZ154" s="618"/>
      <c r="IA154" s="618"/>
      <c r="IB154" s="618">
        <f t="shared" si="737"/>
        <v>25.000350341399081</v>
      </c>
      <c r="IC154" s="618">
        <f t="shared" si="738"/>
        <v>1E-3</v>
      </c>
      <c r="ID154" s="618"/>
      <c r="IE154" s="618">
        <f t="shared" si="739"/>
        <v>0</v>
      </c>
      <c r="IF154" s="618">
        <f t="shared" si="740"/>
        <v>40.704999999999998</v>
      </c>
      <c r="IG154" s="618"/>
      <c r="IH154" s="618">
        <f t="shared" si="741"/>
        <v>0</v>
      </c>
      <c r="II154" s="618">
        <f t="shared" si="742"/>
        <v>40.704999999999998</v>
      </c>
      <c r="IJ154" s="618"/>
      <c r="IK154" s="618">
        <f t="shared" si="743"/>
        <v>0</v>
      </c>
      <c r="IL154" s="618">
        <f t="shared" si="744"/>
        <v>40.704999999999998</v>
      </c>
      <c r="IM154" s="618"/>
      <c r="IN154" s="618">
        <f t="shared" si="745"/>
        <v>0</v>
      </c>
      <c r="IO154" s="618">
        <f t="shared" si="746"/>
        <v>40.704999999999998</v>
      </c>
      <c r="IP154" s="618"/>
      <c r="IQ154" s="618">
        <f t="shared" si="747"/>
        <v>0</v>
      </c>
      <c r="IR154" s="618">
        <f t="shared" si="748"/>
        <v>40.704999999999998</v>
      </c>
      <c r="IS154" s="639"/>
      <c r="IT154" s="640"/>
      <c r="IU154" s="640"/>
      <c r="IV154" s="640"/>
      <c r="IW154" s="640"/>
      <c r="IX154" s="640"/>
      <c r="IY154" s="640"/>
      <c r="IZ154" s="640"/>
      <c r="JA154" s="640"/>
      <c r="JB154" s="640"/>
      <c r="JC154" s="640"/>
      <c r="JD154" s="640"/>
      <c r="JE154" s="640"/>
      <c r="JF154" s="640"/>
      <c r="JG154" s="640"/>
      <c r="JH154" s="640"/>
      <c r="JI154" s="640"/>
      <c r="JJ154" s="640"/>
      <c r="JK154" s="640"/>
      <c r="JL154" s="640"/>
      <c r="JM154" s="640"/>
      <c r="JN154" s="640"/>
      <c r="JO154" s="640"/>
      <c r="JP154" s="640"/>
      <c r="JQ154" s="640"/>
      <c r="JR154" s="640"/>
      <c r="JS154" s="640"/>
      <c r="JT154" s="640"/>
      <c r="JU154" s="640"/>
      <c r="JV154" s="652"/>
    </row>
    <row r="155" spans="1:282" s="579" customFormat="1">
      <c r="A155" s="334"/>
      <c r="U155" s="580"/>
      <c r="V155" s="580"/>
      <c r="AC155" s="580"/>
      <c r="AD155" s="580"/>
      <c r="AL155" s="580"/>
      <c r="AM155" s="580"/>
      <c r="AT155" s="580"/>
      <c r="AU155" s="580"/>
      <c r="AV155" s="581">
        <f>M86*$M$82</f>
        <v>0</v>
      </c>
      <c r="AW155" s="581">
        <f>IF($AY$32,'Data Sheet'!AA176,0)</f>
        <v>0</v>
      </c>
      <c r="AX155" s="581">
        <f t="shared" si="757"/>
        <v>40.704999999999998</v>
      </c>
      <c r="CH155" s="334"/>
      <c r="CI155" s="334"/>
      <c r="CO155" s="694" t="str">
        <f t="shared" si="753"/>
        <v>L160D</v>
      </c>
      <c r="CP155" s="639"/>
      <c r="CQ155" s="618"/>
      <c r="CR155" s="618"/>
      <c r="CS155" s="618"/>
      <c r="CT155" s="626"/>
      <c r="CU155" s="626"/>
      <c r="CV155" s="626"/>
      <c r="CW155" s="626"/>
      <c r="CX155" s="626"/>
      <c r="CY155" s="619"/>
      <c r="CZ155" s="619"/>
      <c r="DA155" s="619"/>
      <c r="DB155" s="619"/>
      <c r="DC155" s="618"/>
      <c r="DD155" s="618"/>
      <c r="DE155" s="618"/>
      <c r="DF155" s="618"/>
      <c r="DG155" s="618"/>
      <c r="DH155" s="618"/>
      <c r="DI155" s="618"/>
      <c r="DJ155" s="618"/>
      <c r="DK155" s="618"/>
      <c r="DL155" s="618"/>
      <c r="DM155" s="618"/>
      <c r="DN155" s="618"/>
      <c r="DO155" s="618"/>
      <c r="DP155" s="618"/>
      <c r="DQ155" s="618"/>
      <c r="DR155" s="618"/>
      <c r="DS155" s="618"/>
      <c r="DT155" s="618"/>
      <c r="DU155" s="618"/>
      <c r="DV155" s="618"/>
      <c r="DW155" s="618"/>
      <c r="DX155" s="618"/>
      <c r="DY155" s="618"/>
      <c r="DZ155" s="618"/>
      <c r="EA155" s="618"/>
      <c r="EB155" s="618"/>
      <c r="EC155" s="618"/>
      <c r="ED155" s="618"/>
      <c r="EE155" s="618"/>
      <c r="EF155" s="618"/>
      <c r="EG155" s="618"/>
      <c r="EH155" s="618"/>
      <c r="EI155" s="618"/>
      <c r="EJ155" s="618"/>
      <c r="EK155" s="618"/>
      <c r="EL155" s="618"/>
      <c r="EM155" s="618"/>
      <c r="EN155" s="618"/>
      <c r="EO155" s="618"/>
      <c r="EP155" s="618"/>
      <c r="EQ155" s="618"/>
      <c r="ER155" s="618"/>
      <c r="ES155" s="618"/>
      <c r="ET155" s="618"/>
      <c r="EU155" s="618"/>
      <c r="EV155" s="618"/>
      <c r="EW155" s="618"/>
      <c r="EX155" s="618"/>
      <c r="EY155" s="618"/>
      <c r="EZ155" s="618"/>
      <c r="FA155" s="618"/>
      <c r="FB155" s="618"/>
      <c r="FC155" s="618"/>
      <c r="FD155" s="618"/>
      <c r="FE155" s="618"/>
      <c r="FF155" s="618"/>
      <c r="FG155" s="618"/>
      <c r="FH155" s="618"/>
      <c r="FI155" s="618"/>
      <c r="FJ155" s="618"/>
      <c r="FK155" s="618"/>
      <c r="FL155" s="618"/>
      <c r="FM155" s="618"/>
      <c r="FN155" s="618"/>
      <c r="FO155" s="618"/>
      <c r="FP155" s="618"/>
      <c r="FQ155" s="618"/>
      <c r="FR155" s="618"/>
      <c r="FS155" s="618"/>
      <c r="FT155" s="618"/>
      <c r="FU155" s="618"/>
      <c r="FV155" s="618"/>
      <c r="FW155" s="618"/>
      <c r="FX155" s="618"/>
      <c r="FY155" s="618"/>
      <c r="FZ155" s="618"/>
      <c r="GA155" s="618"/>
      <c r="GB155" s="618"/>
      <c r="GC155" s="618"/>
      <c r="GD155" s="618"/>
      <c r="GE155" s="618"/>
      <c r="GF155" s="618"/>
      <c r="GG155" s="618"/>
      <c r="GH155" s="618"/>
      <c r="GI155" s="618"/>
      <c r="GJ155" s="618"/>
      <c r="GK155" s="618"/>
      <c r="GL155" s="618"/>
      <c r="GM155" s="618"/>
      <c r="GN155" s="618"/>
      <c r="GO155" s="618"/>
      <c r="GP155" s="618"/>
      <c r="GQ155" s="618"/>
      <c r="GR155" s="618"/>
      <c r="GS155" s="618"/>
      <c r="GT155" s="618"/>
      <c r="GU155" s="618"/>
      <c r="GV155" s="618"/>
      <c r="GW155" s="618"/>
      <c r="GX155" s="618"/>
      <c r="GY155" s="618"/>
      <c r="GZ155" s="618"/>
      <c r="HA155" s="618"/>
      <c r="HB155" s="618"/>
      <c r="HC155" s="618"/>
      <c r="HD155" s="618"/>
      <c r="HE155" s="618"/>
      <c r="HF155" s="639"/>
      <c r="HG155" s="639"/>
      <c r="HH155" s="639"/>
      <c r="HI155" s="639"/>
      <c r="HJ155" s="639"/>
      <c r="HK155" s="639"/>
      <c r="HL155" s="639"/>
      <c r="HM155" s="639"/>
      <c r="HN155" s="639"/>
      <c r="HO155" s="639"/>
      <c r="HP155" s="639"/>
      <c r="HQ155" s="639"/>
      <c r="HR155" s="639">
        <v>7.5999999999999998E-2</v>
      </c>
      <c r="HS155" s="639">
        <f t="shared" si="749"/>
        <v>510.28571428571428</v>
      </c>
      <c r="HT155" s="639">
        <f t="shared" si="750"/>
        <v>1</v>
      </c>
      <c r="HU155" s="618">
        <f t="shared" si="754"/>
        <v>1.9358749077827275</v>
      </c>
      <c r="HV155" s="618"/>
      <c r="HW155" s="618">
        <f t="shared" si="736"/>
        <v>33.25105763094853</v>
      </c>
      <c r="HX155" s="618">
        <f t="shared" si="755"/>
        <v>1.8614774158968532</v>
      </c>
      <c r="HY155" s="618">
        <f t="shared" si="756"/>
        <v>7.5999999999999998E-2</v>
      </c>
      <c r="HZ155" s="618"/>
      <c r="IA155" s="618"/>
      <c r="IB155" s="618">
        <f t="shared" si="737"/>
        <v>25.000350341399081</v>
      </c>
      <c r="IC155" s="618">
        <f t="shared" si="738"/>
        <v>1E-3</v>
      </c>
      <c r="ID155" s="618"/>
      <c r="IE155" s="618">
        <f t="shared" si="739"/>
        <v>0</v>
      </c>
      <c r="IF155" s="618">
        <f t="shared" si="740"/>
        <v>40.704999999999998</v>
      </c>
      <c r="IG155" s="618"/>
      <c r="IH155" s="618">
        <f t="shared" si="741"/>
        <v>0</v>
      </c>
      <c r="II155" s="618">
        <f t="shared" si="742"/>
        <v>40.704999999999998</v>
      </c>
      <c r="IJ155" s="618"/>
      <c r="IK155" s="618">
        <f t="shared" si="743"/>
        <v>0</v>
      </c>
      <c r="IL155" s="618">
        <f t="shared" si="744"/>
        <v>40.704999999999998</v>
      </c>
      <c r="IM155" s="618"/>
      <c r="IN155" s="618">
        <f t="shared" si="745"/>
        <v>0</v>
      </c>
      <c r="IO155" s="618">
        <f t="shared" si="746"/>
        <v>40.704999999999998</v>
      </c>
      <c r="IP155" s="618"/>
      <c r="IQ155" s="618">
        <f t="shared" si="747"/>
        <v>0</v>
      </c>
      <c r="IR155" s="618">
        <f t="shared" si="748"/>
        <v>40.704999999999998</v>
      </c>
      <c r="IS155" s="639"/>
      <c r="IT155" s="640"/>
      <c r="IU155" s="640"/>
      <c r="IV155" s="640"/>
      <c r="IW155" s="640"/>
      <c r="IX155" s="640"/>
      <c r="IY155" s="640"/>
      <c r="IZ155" s="640"/>
      <c r="JA155" s="640"/>
      <c r="JB155" s="640"/>
      <c r="JC155" s="640"/>
      <c r="JD155" s="640"/>
      <c r="JE155" s="640"/>
      <c r="JF155" s="640"/>
      <c r="JG155" s="640"/>
      <c r="JH155" s="640"/>
      <c r="JI155" s="640"/>
      <c r="JJ155" s="640"/>
      <c r="JK155" s="640"/>
      <c r="JL155" s="640"/>
      <c r="JM155" s="640"/>
      <c r="JN155" s="640"/>
      <c r="JO155" s="640"/>
      <c r="JP155" s="640"/>
      <c r="JQ155" s="640"/>
      <c r="JR155" s="640"/>
      <c r="JS155" s="640"/>
      <c r="JT155" s="640"/>
      <c r="JU155" s="640"/>
      <c r="JV155" s="652"/>
    </row>
    <row r="156" spans="1:282" s="579" customFormat="1">
      <c r="A156" s="334"/>
      <c r="U156" s="580"/>
      <c r="V156" s="580"/>
      <c r="AC156" s="580"/>
      <c r="AD156" s="580"/>
      <c r="AL156" s="580"/>
      <c r="AM156" s="580"/>
      <c r="AT156" s="580"/>
      <c r="AU156" s="580"/>
      <c r="AV156" s="581" t="e">
        <f>M85*$M$82</f>
        <v>#DIV/0!</v>
      </c>
      <c r="AW156" s="581" t="e">
        <f>IF($AY$32,'Data Sheet'!AA177,0)</f>
        <v>#DIV/0!</v>
      </c>
      <c r="AX156" s="581">
        <f t="shared" si="757"/>
        <v>40.704999999999998</v>
      </c>
      <c r="CH156" s="334"/>
      <c r="CI156" s="334"/>
      <c r="CO156" s="694" t="str">
        <f t="shared" si="753"/>
        <v>S120Q 1S</v>
      </c>
      <c r="CP156" s="639"/>
      <c r="CQ156" s="618"/>
      <c r="CR156" s="618"/>
      <c r="CS156" s="618"/>
      <c r="CT156" s="626"/>
      <c r="CU156" s="626"/>
      <c r="CV156" s="626"/>
      <c r="CW156" s="626"/>
      <c r="CX156" s="626"/>
      <c r="CY156" s="619"/>
      <c r="CZ156" s="619"/>
      <c r="DA156" s="619"/>
      <c r="DB156" s="619"/>
      <c r="DC156" s="618"/>
      <c r="DD156" s="618"/>
      <c r="DE156" s="618"/>
      <c r="DF156" s="618"/>
      <c r="DG156" s="618"/>
      <c r="DH156" s="618"/>
      <c r="DI156" s="618"/>
      <c r="DJ156" s="618"/>
      <c r="DK156" s="618"/>
      <c r="DL156" s="618"/>
      <c r="DM156" s="618"/>
      <c r="DN156" s="618"/>
      <c r="DO156" s="618"/>
      <c r="DP156" s="618"/>
      <c r="DQ156" s="618"/>
      <c r="DR156" s="618"/>
      <c r="DS156" s="618"/>
      <c r="DT156" s="618"/>
      <c r="DU156" s="618"/>
      <c r="DV156" s="618"/>
      <c r="DW156" s="618"/>
      <c r="DX156" s="618"/>
      <c r="DY156" s="618"/>
      <c r="DZ156" s="618"/>
      <c r="EA156" s="618"/>
      <c r="EB156" s="618"/>
      <c r="EC156" s="618"/>
      <c r="ED156" s="618"/>
      <c r="EE156" s="618"/>
      <c r="EF156" s="618"/>
      <c r="EG156" s="618"/>
      <c r="EH156" s="618"/>
      <c r="EI156" s="618"/>
      <c r="EJ156" s="618"/>
      <c r="EK156" s="618"/>
      <c r="EL156" s="618"/>
      <c r="EM156" s="618"/>
      <c r="EN156" s="618"/>
      <c r="EO156" s="618"/>
      <c r="EP156" s="618"/>
      <c r="EQ156" s="618"/>
      <c r="ER156" s="618"/>
      <c r="ES156" s="618"/>
      <c r="ET156" s="618"/>
      <c r="EU156" s="618"/>
      <c r="EV156" s="618"/>
      <c r="EW156" s="618"/>
      <c r="EX156" s="618"/>
      <c r="EY156" s="618"/>
      <c r="EZ156" s="618"/>
      <c r="FA156" s="618"/>
      <c r="FB156" s="618"/>
      <c r="FC156" s="618"/>
      <c r="FD156" s="618"/>
      <c r="FE156" s="618"/>
      <c r="FF156" s="618"/>
      <c r="FG156" s="618"/>
      <c r="FH156" s="618"/>
      <c r="FI156" s="618"/>
      <c r="FJ156" s="618"/>
      <c r="FK156" s="618"/>
      <c r="FL156" s="618"/>
      <c r="FM156" s="618"/>
      <c r="FN156" s="618"/>
      <c r="FO156" s="618"/>
      <c r="FP156" s="618"/>
      <c r="FQ156" s="618"/>
      <c r="FR156" s="618"/>
      <c r="FS156" s="618"/>
      <c r="FT156" s="618"/>
      <c r="FU156" s="618"/>
      <c r="FV156" s="618"/>
      <c r="FW156" s="618"/>
      <c r="FX156" s="618"/>
      <c r="FY156" s="618"/>
      <c r="FZ156" s="618"/>
      <c r="GA156" s="618"/>
      <c r="GB156" s="618"/>
      <c r="GC156" s="618"/>
      <c r="GD156" s="618"/>
      <c r="GE156" s="618"/>
      <c r="GF156" s="618"/>
      <c r="GG156" s="618"/>
      <c r="GH156" s="618"/>
      <c r="GI156" s="618"/>
      <c r="GJ156" s="618"/>
      <c r="GK156" s="618"/>
      <c r="GL156" s="618"/>
      <c r="GM156" s="618"/>
      <c r="GN156" s="618"/>
      <c r="GO156" s="618"/>
      <c r="GP156" s="618"/>
      <c r="GQ156" s="618"/>
      <c r="GR156" s="618"/>
      <c r="GS156" s="618"/>
      <c r="GT156" s="618"/>
      <c r="GU156" s="618"/>
      <c r="GV156" s="618"/>
      <c r="GW156" s="618"/>
      <c r="GX156" s="618"/>
      <c r="GY156" s="618"/>
      <c r="GZ156" s="618"/>
      <c r="HA156" s="618"/>
      <c r="HB156" s="618"/>
      <c r="HC156" s="618"/>
      <c r="HD156" s="618"/>
      <c r="HE156" s="618"/>
      <c r="HF156" s="639"/>
      <c r="HG156" s="639"/>
      <c r="HH156" s="639"/>
      <c r="HI156" s="639"/>
      <c r="HJ156" s="639"/>
      <c r="HK156" s="639"/>
      <c r="HL156" s="639"/>
      <c r="HM156" s="639"/>
      <c r="HN156" s="639"/>
      <c r="HO156" s="639"/>
      <c r="HP156" s="639"/>
      <c r="HQ156" s="639"/>
      <c r="HR156" s="639">
        <v>7.6499999999999999E-2</v>
      </c>
      <c r="HS156" s="639">
        <f t="shared" si="749"/>
        <v>513.64285714285711</v>
      </c>
      <c r="HT156" s="639">
        <f t="shared" si="750"/>
        <v>1</v>
      </c>
      <c r="HU156" s="618">
        <f t="shared" si="754"/>
        <v>1.9486139517563523</v>
      </c>
      <c r="HV156" s="618"/>
      <c r="HW156" s="618">
        <f t="shared" si="736"/>
        <v>33.232968188505978</v>
      </c>
      <c r="HX156" s="618">
        <f t="shared" si="755"/>
        <v>1.8732373115392824</v>
      </c>
      <c r="HY156" s="618">
        <f t="shared" si="756"/>
        <v>7.6499999999999999E-2</v>
      </c>
      <c r="HZ156" s="618"/>
      <c r="IA156" s="618"/>
      <c r="IB156" s="618">
        <f t="shared" si="737"/>
        <v>25.000350341399081</v>
      </c>
      <c r="IC156" s="618">
        <f t="shared" si="738"/>
        <v>1E-3</v>
      </c>
      <c r="ID156" s="618"/>
      <c r="IE156" s="618">
        <f t="shared" si="739"/>
        <v>0</v>
      </c>
      <c r="IF156" s="618">
        <f t="shared" si="740"/>
        <v>40.704999999999998</v>
      </c>
      <c r="IG156" s="618"/>
      <c r="IH156" s="618">
        <f t="shared" si="741"/>
        <v>0</v>
      </c>
      <c r="II156" s="618">
        <f t="shared" si="742"/>
        <v>40.704999999999998</v>
      </c>
      <c r="IJ156" s="618"/>
      <c r="IK156" s="618">
        <f t="shared" si="743"/>
        <v>0</v>
      </c>
      <c r="IL156" s="618">
        <f t="shared" si="744"/>
        <v>40.704999999999998</v>
      </c>
      <c r="IM156" s="618"/>
      <c r="IN156" s="618">
        <f t="shared" si="745"/>
        <v>0</v>
      </c>
      <c r="IO156" s="618">
        <f t="shared" si="746"/>
        <v>40.704999999999998</v>
      </c>
      <c r="IP156" s="618"/>
      <c r="IQ156" s="618">
        <f t="shared" si="747"/>
        <v>0</v>
      </c>
      <c r="IR156" s="618">
        <f t="shared" si="748"/>
        <v>40.704999999999998</v>
      </c>
      <c r="IS156" s="639"/>
      <c r="IT156" s="640"/>
      <c r="IU156" s="640"/>
      <c r="IV156" s="640"/>
      <c r="IW156" s="640"/>
      <c r="IX156" s="640"/>
      <c r="IY156" s="640"/>
      <c r="IZ156" s="640"/>
      <c r="JA156" s="640"/>
      <c r="JB156" s="640"/>
      <c r="JC156" s="640"/>
      <c r="JD156" s="640"/>
      <c r="JE156" s="640"/>
      <c r="JF156" s="640"/>
      <c r="JG156" s="640"/>
      <c r="JH156" s="640"/>
      <c r="JI156" s="640"/>
      <c r="JJ156" s="640"/>
      <c r="JK156" s="640"/>
      <c r="JL156" s="640"/>
      <c r="JM156" s="640"/>
      <c r="JN156" s="640"/>
      <c r="JO156" s="640"/>
      <c r="JP156" s="640"/>
      <c r="JQ156" s="640"/>
      <c r="JR156" s="640"/>
      <c r="JS156" s="640"/>
      <c r="JT156" s="640"/>
      <c r="JU156" s="640"/>
      <c r="JV156" s="652"/>
    </row>
    <row r="157" spans="1:282" s="579" customFormat="1">
      <c r="A157" s="334"/>
      <c r="U157" s="580"/>
      <c r="V157" s="580"/>
      <c r="AC157" s="580"/>
      <c r="AD157" s="580"/>
      <c r="AL157" s="580"/>
      <c r="AM157" s="580"/>
      <c r="AT157" s="580"/>
      <c r="AU157" s="580"/>
      <c r="AV157" s="581" t="e">
        <f>M84*$M$82</f>
        <v>#DIV/0!</v>
      </c>
      <c r="AW157" s="581" t="e">
        <f>IF($AY$32,'Data Sheet'!AA178,0)</f>
        <v>#DIV/0!</v>
      </c>
      <c r="AX157" s="581">
        <f t="shared" si="757"/>
        <v>40.704999999999998</v>
      </c>
      <c r="CH157" s="334"/>
      <c r="CI157" s="334"/>
      <c r="CO157" s="694" t="str">
        <f t="shared" si="753"/>
        <v>S120Q 2S</v>
      </c>
      <c r="CP157" s="639"/>
      <c r="CQ157" s="618"/>
      <c r="CR157" s="618"/>
      <c r="CS157" s="618"/>
      <c r="CT157" s="626"/>
      <c r="CU157" s="626"/>
      <c r="CV157" s="626"/>
      <c r="CW157" s="626"/>
      <c r="CX157" s="626"/>
      <c r="CY157" s="619"/>
      <c r="CZ157" s="619"/>
      <c r="DA157" s="619"/>
      <c r="DB157" s="619"/>
      <c r="DC157" s="618"/>
      <c r="DD157" s="618"/>
      <c r="DE157" s="618"/>
      <c r="DF157" s="618"/>
      <c r="DG157" s="618"/>
      <c r="DH157" s="618"/>
      <c r="DI157" s="618"/>
      <c r="DJ157" s="618"/>
      <c r="DK157" s="618"/>
      <c r="DL157" s="618"/>
      <c r="DM157" s="618"/>
      <c r="DN157" s="618"/>
      <c r="DO157" s="618"/>
      <c r="DP157" s="618"/>
      <c r="DQ157" s="618"/>
      <c r="DR157" s="618"/>
      <c r="DS157" s="618"/>
      <c r="DT157" s="618"/>
      <c r="DU157" s="618"/>
      <c r="DV157" s="618"/>
      <c r="DW157" s="618"/>
      <c r="DX157" s="618"/>
      <c r="DY157" s="618"/>
      <c r="DZ157" s="618"/>
      <c r="EA157" s="618"/>
      <c r="EB157" s="618"/>
      <c r="EC157" s="618"/>
      <c r="ED157" s="618"/>
      <c r="EE157" s="618"/>
      <c r="EF157" s="618"/>
      <c r="EG157" s="618"/>
      <c r="EH157" s="618"/>
      <c r="EI157" s="618"/>
      <c r="EJ157" s="618"/>
      <c r="EK157" s="618"/>
      <c r="EL157" s="618"/>
      <c r="EM157" s="618"/>
      <c r="EN157" s="618"/>
      <c r="EO157" s="618"/>
      <c r="EP157" s="618"/>
      <c r="EQ157" s="618"/>
      <c r="ER157" s="618"/>
      <c r="ES157" s="618"/>
      <c r="ET157" s="618"/>
      <c r="EU157" s="618"/>
      <c r="EV157" s="618"/>
      <c r="EW157" s="618"/>
      <c r="EX157" s="618"/>
      <c r="EY157" s="618"/>
      <c r="EZ157" s="618"/>
      <c r="FA157" s="618"/>
      <c r="FB157" s="618"/>
      <c r="FC157" s="618"/>
      <c r="FD157" s="618"/>
      <c r="FE157" s="618"/>
      <c r="FF157" s="618"/>
      <c r="FG157" s="618"/>
      <c r="FH157" s="618"/>
      <c r="FI157" s="618"/>
      <c r="FJ157" s="618"/>
      <c r="FK157" s="618"/>
      <c r="FL157" s="618"/>
      <c r="FM157" s="618"/>
      <c r="FN157" s="618"/>
      <c r="FO157" s="618"/>
      <c r="FP157" s="618"/>
      <c r="FQ157" s="618"/>
      <c r="FR157" s="618"/>
      <c r="FS157" s="618"/>
      <c r="FT157" s="618"/>
      <c r="FU157" s="618"/>
      <c r="FV157" s="618"/>
      <c r="FW157" s="618"/>
      <c r="FX157" s="618"/>
      <c r="FY157" s="618"/>
      <c r="FZ157" s="618"/>
      <c r="GA157" s="618"/>
      <c r="GB157" s="618"/>
      <c r="GC157" s="618"/>
      <c r="GD157" s="618"/>
      <c r="GE157" s="618"/>
      <c r="GF157" s="618"/>
      <c r="GG157" s="618"/>
      <c r="GH157" s="618"/>
      <c r="GI157" s="618"/>
      <c r="GJ157" s="618"/>
      <c r="GK157" s="618"/>
      <c r="GL157" s="618"/>
      <c r="GM157" s="618"/>
      <c r="GN157" s="618"/>
      <c r="GO157" s="618"/>
      <c r="GP157" s="618"/>
      <c r="GQ157" s="618"/>
      <c r="GR157" s="618"/>
      <c r="GS157" s="618"/>
      <c r="GT157" s="618"/>
      <c r="GU157" s="618"/>
      <c r="GV157" s="618"/>
      <c r="GW157" s="618"/>
      <c r="GX157" s="618"/>
      <c r="GY157" s="618"/>
      <c r="GZ157" s="618"/>
      <c r="HA157" s="618"/>
      <c r="HB157" s="618"/>
      <c r="HC157" s="618"/>
      <c r="HD157" s="618"/>
      <c r="HE157" s="618"/>
      <c r="HF157" s="639"/>
      <c r="HG157" s="639"/>
      <c r="HH157" s="639"/>
      <c r="HI157" s="639"/>
      <c r="HJ157" s="639"/>
      <c r="HK157" s="639"/>
      <c r="HL157" s="639"/>
      <c r="HM157" s="639"/>
      <c r="HN157" s="639"/>
      <c r="HO157" s="639"/>
      <c r="HP157" s="639"/>
      <c r="HQ157" s="639"/>
      <c r="HR157" s="639">
        <v>7.6999999999999999E-2</v>
      </c>
      <c r="HS157" s="639">
        <f t="shared" si="749"/>
        <v>517</v>
      </c>
      <c r="HT157" s="639">
        <f t="shared" si="750"/>
        <v>1</v>
      </c>
      <c r="HU157" s="618">
        <f t="shared" si="754"/>
        <v>1.9613529957299771</v>
      </c>
      <c r="HV157" s="618"/>
      <c r="HW157" s="618">
        <f t="shared" si="736"/>
        <v>33.214878746063434</v>
      </c>
      <c r="HX157" s="618">
        <f t="shared" si="755"/>
        <v>1.8849908060094134</v>
      </c>
      <c r="HY157" s="618">
        <f t="shared" si="756"/>
        <v>7.6999999999999999E-2</v>
      </c>
      <c r="HZ157" s="618"/>
      <c r="IA157" s="618"/>
      <c r="IB157" s="618">
        <f t="shared" si="737"/>
        <v>25.000350341399081</v>
      </c>
      <c r="IC157" s="618">
        <f t="shared" si="738"/>
        <v>1E-3</v>
      </c>
      <c r="ID157" s="618"/>
      <c r="IE157" s="618">
        <f t="shared" si="739"/>
        <v>0</v>
      </c>
      <c r="IF157" s="618">
        <f t="shared" si="740"/>
        <v>40.704999999999998</v>
      </c>
      <c r="IG157" s="618"/>
      <c r="IH157" s="618">
        <f t="shared" si="741"/>
        <v>0</v>
      </c>
      <c r="II157" s="618">
        <f t="shared" si="742"/>
        <v>40.704999999999998</v>
      </c>
      <c r="IJ157" s="618"/>
      <c r="IK157" s="618">
        <f t="shared" si="743"/>
        <v>0</v>
      </c>
      <c r="IL157" s="618">
        <f t="shared" si="744"/>
        <v>40.704999999999998</v>
      </c>
      <c r="IM157" s="618"/>
      <c r="IN157" s="618">
        <f t="shared" si="745"/>
        <v>0</v>
      </c>
      <c r="IO157" s="618">
        <f t="shared" si="746"/>
        <v>40.704999999999998</v>
      </c>
      <c r="IP157" s="618"/>
      <c r="IQ157" s="618">
        <f t="shared" si="747"/>
        <v>0</v>
      </c>
      <c r="IR157" s="618">
        <f t="shared" si="748"/>
        <v>40.704999999999998</v>
      </c>
      <c r="IS157" s="639"/>
      <c r="IT157" s="640"/>
      <c r="IU157" s="640"/>
      <c r="IV157" s="640"/>
      <c r="IW157" s="640"/>
      <c r="IX157" s="640"/>
      <c r="IY157" s="640"/>
      <c r="IZ157" s="640"/>
      <c r="JA157" s="640"/>
      <c r="JB157" s="640"/>
      <c r="JC157" s="640"/>
      <c r="JD157" s="640"/>
      <c r="JE157" s="640"/>
      <c r="JF157" s="640"/>
      <c r="JG157" s="640"/>
      <c r="JH157" s="640"/>
      <c r="JI157" s="640"/>
      <c r="JJ157" s="640"/>
      <c r="JK157" s="640"/>
      <c r="JL157" s="640"/>
      <c r="JM157" s="640"/>
      <c r="JN157" s="640"/>
      <c r="JO157" s="640"/>
      <c r="JP157" s="640"/>
      <c r="JQ157" s="640"/>
      <c r="JR157" s="640"/>
      <c r="JS157" s="640"/>
      <c r="JT157" s="640"/>
      <c r="JU157" s="640"/>
      <c r="JV157" s="652"/>
    </row>
    <row r="158" spans="1:282" s="579" customFormat="1">
      <c r="A158" s="334"/>
      <c r="U158" s="580"/>
      <c r="V158" s="580"/>
      <c r="AC158" s="580"/>
      <c r="AD158" s="580"/>
      <c r="AL158" s="580"/>
      <c r="AM158" s="580"/>
      <c r="AT158" s="580"/>
      <c r="AU158" s="580"/>
      <c r="AV158" s="581" t="e">
        <f>M83*$M$82</f>
        <v>#DIV/0!</v>
      </c>
      <c r="AW158" s="581" t="e">
        <f>IF($AY$32,'Data Sheet'!AA179,0)</f>
        <v>#DIV/0!</v>
      </c>
      <c r="AX158" s="581">
        <f t="shared" si="757"/>
        <v>40.704999999999998</v>
      </c>
      <c r="CH158" s="334"/>
      <c r="CI158" s="334"/>
      <c r="CO158" s="694" t="str">
        <f t="shared" si="753"/>
        <v>S120Q</v>
      </c>
      <c r="CP158" s="639"/>
      <c r="CQ158" s="618"/>
      <c r="CR158" s="618"/>
      <c r="CS158" s="618"/>
      <c r="CT158" s="626"/>
      <c r="CU158" s="626"/>
      <c r="CV158" s="626"/>
      <c r="CW158" s="626"/>
      <c r="CX158" s="626"/>
      <c r="CY158" s="619"/>
      <c r="CZ158" s="619"/>
      <c r="DA158" s="619"/>
      <c r="DB158" s="619"/>
      <c r="DC158" s="618"/>
      <c r="DD158" s="618"/>
      <c r="DE158" s="618"/>
      <c r="DF158" s="618"/>
      <c r="DG158" s="618"/>
      <c r="DH158" s="618"/>
      <c r="DI158" s="618"/>
      <c r="DJ158" s="618"/>
      <c r="DK158" s="618"/>
      <c r="DL158" s="618"/>
      <c r="DM158" s="618"/>
      <c r="DN158" s="618"/>
      <c r="DO158" s="618"/>
      <c r="DP158" s="618"/>
      <c r="DQ158" s="618"/>
      <c r="DR158" s="618"/>
      <c r="DS158" s="618"/>
      <c r="DT158" s="618"/>
      <c r="DU158" s="618"/>
      <c r="DV158" s="618"/>
      <c r="DW158" s="618"/>
      <c r="DX158" s="618"/>
      <c r="DY158" s="618"/>
      <c r="DZ158" s="618"/>
      <c r="EA158" s="618"/>
      <c r="EB158" s="618"/>
      <c r="EC158" s="618"/>
      <c r="ED158" s="618"/>
      <c r="EE158" s="618"/>
      <c r="EF158" s="618"/>
      <c r="EG158" s="618"/>
      <c r="EH158" s="618"/>
      <c r="EI158" s="618"/>
      <c r="EJ158" s="618"/>
      <c r="EK158" s="618"/>
      <c r="EL158" s="618"/>
      <c r="EM158" s="618"/>
      <c r="EN158" s="618"/>
      <c r="EO158" s="618"/>
      <c r="EP158" s="618"/>
      <c r="EQ158" s="618"/>
      <c r="ER158" s="618"/>
      <c r="ES158" s="618"/>
      <c r="ET158" s="618"/>
      <c r="EU158" s="618"/>
      <c r="EV158" s="618"/>
      <c r="EW158" s="618"/>
      <c r="EX158" s="618"/>
      <c r="EY158" s="618"/>
      <c r="EZ158" s="618"/>
      <c r="FA158" s="618"/>
      <c r="FB158" s="618"/>
      <c r="FC158" s="618"/>
      <c r="FD158" s="618"/>
      <c r="FE158" s="618"/>
      <c r="FF158" s="618"/>
      <c r="FG158" s="618"/>
      <c r="FH158" s="618"/>
      <c r="FI158" s="618"/>
      <c r="FJ158" s="618"/>
      <c r="FK158" s="618"/>
      <c r="FL158" s="618"/>
      <c r="FM158" s="618"/>
      <c r="FN158" s="618"/>
      <c r="FO158" s="618"/>
      <c r="FP158" s="618"/>
      <c r="FQ158" s="618"/>
      <c r="FR158" s="618"/>
      <c r="FS158" s="618"/>
      <c r="FT158" s="618"/>
      <c r="FU158" s="618"/>
      <c r="FV158" s="618"/>
      <c r="FW158" s="618"/>
      <c r="FX158" s="618"/>
      <c r="FY158" s="618"/>
      <c r="FZ158" s="618"/>
      <c r="GA158" s="618"/>
      <c r="GB158" s="618"/>
      <c r="GC158" s="618"/>
      <c r="GD158" s="618"/>
      <c r="GE158" s="618"/>
      <c r="GF158" s="618"/>
      <c r="GG158" s="618"/>
      <c r="GH158" s="618"/>
      <c r="GI158" s="618"/>
      <c r="GJ158" s="618"/>
      <c r="GK158" s="618"/>
      <c r="GL158" s="618"/>
      <c r="GM158" s="618"/>
      <c r="GN158" s="618"/>
      <c r="GO158" s="618"/>
      <c r="GP158" s="618"/>
      <c r="GQ158" s="618"/>
      <c r="GR158" s="618"/>
      <c r="GS158" s="618"/>
      <c r="GT158" s="618"/>
      <c r="GU158" s="618"/>
      <c r="GV158" s="618"/>
      <c r="GW158" s="618"/>
      <c r="GX158" s="618"/>
      <c r="GY158" s="618"/>
      <c r="GZ158" s="618"/>
      <c r="HA158" s="618"/>
      <c r="HB158" s="618"/>
      <c r="HC158" s="618"/>
      <c r="HD158" s="618"/>
      <c r="HE158" s="618"/>
      <c r="HF158" s="639"/>
      <c r="HG158" s="639"/>
      <c r="HH158" s="639"/>
      <c r="HI158" s="639"/>
      <c r="HJ158" s="639"/>
      <c r="HK158" s="639"/>
      <c r="HL158" s="639"/>
      <c r="HM158" s="639"/>
      <c r="HN158" s="639"/>
      <c r="HO158" s="639"/>
      <c r="HP158" s="639"/>
      <c r="HQ158" s="639"/>
      <c r="HR158" s="639">
        <v>7.7499999999999999E-2</v>
      </c>
      <c r="HS158" s="639">
        <f t="shared" si="749"/>
        <v>520.35714285714289</v>
      </c>
      <c r="HT158" s="639">
        <f t="shared" si="750"/>
        <v>1</v>
      </c>
      <c r="HU158" s="618">
        <f t="shared" si="754"/>
        <v>1.9740920397036019</v>
      </c>
      <c r="HV158" s="618"/>
      <c r="HW158" s="618">
        <f t="shared" si="736"/>
        <v>33.196789303620882</v>
      </c>
      <c r="HX158" s="618">
        <f t="shared" si="755"/>
        <v>1.8967378993072463</v>
      </c>
      <c r="HY158" s="618">
        <f t="shared" si="756"/>
        <v>7.7499999999999999E-2</v>
      </c>
      <c r="HZ158" s="618"/>
      <c r="IA158" s="618"/>
      <c r="IB158" s="618">
        <f t="shared" si="737"/>
        <v>25.000350341399081</v>
      </c>
      <c r="IC158" s="618">
        <f t="shared" si="738"/>
        <v>1E-3</v>
      </c>
      <c r="ID158" s="618"/>
      <c r="IE158" s="618">
        <f t="shared" si="739"/>
        <v>0</v>
      </c>
      <c r="IF158" s="618">
        <f t="shared" si="740"/>
        <v>40.704999999999998</v>
      </c>
      <c r="IG158" s="618"/>
      <c r="IH158" s="618">
        <f t="shared" si="741"/>
        <v>0</v>
      </c>
      <c r="II158" s="618">
        <f t="shared" si="742"/>
        <v>40.704999999999998</v>
      </c>
      <c r="IJ158" s="618"/>
      <c r="IK158" s="618">
        <f t="shared" si="743"/>
        <v>0</v>
      </c>
      <c r="IL158" s="618">
        <f t="shared" si="744"/>
        <v>40.704999999999998</v>
      </c>
      <c r="IM158" s="618"/>
      <c r="IN158" s="618">
        <f t="shared" si="745"/>
        <v>0</v>
      </c>
      <c r="IO158" s="618">
        <f t="shared" si="746"/>
        <v>40.704999999999998</v>
      </c>
      <c r="IP158" s="618"/>
      <c r="IQ158" s="618">
        <f t="shared" si="747"/>
        <v>0</v>
      </c>
      <c r="IR158" s="618">
        <f t="shared" si="748"/>
        <v>40.704999999999998</v>
      </c>
      <c r="IS158" s="639"/>
      <c r="IT158" s="640"/>
      <c r="IU158" s="640"/>
      <c r="IV158" s="640"/>
      <c r="IW158" s="640"/>
      <c r="IX158" s="640"/>
      <c r="IY158" s="640"/>
      <c r="IZ158" s="640"/>
      <c r="JA158" s="640"/>
      <c r="JB158" s="640"/>
      <c r="JC158" s="640"/>
      <c r="JD158" s="640"/>
      <c r="JE158" s="640"/>
      <c r="JF158" s="640"/>
      <c r="JG158" s="640"/>
      <c r="JH158" s="640"/>
      <c r="JI158" s="640"/>
      <c r="JJ158" s="640"/>
      <c r="JK158" s="640"/>
      <c r="JL158" s="640"/>
      <c r="JM158" s="640"/>
      <c r="JN158" s="640"/>
      <c r="JO158" s="640"/>
      <c r="JP158" s="640"/>
      <c r="JQ158" s="640"/>
      <c r="JR158" s="640"/>
      <c r="JS158" s="640"/>
      <c r="JT158" s="640"/>
      <c r="JU158" s="640"/>
      <c r="JV158" s="652"/>
    </row>
    <row r="159" spans="1:282" s="579" customFormat="1">
      <c r="A159" s="334"/>
      <c r="U159" s="580"/>
      <c r="V159" s="580"/>
      <c r="AC159" s="580"/>
      <c r="AD159" s="580"/>
      <c r="AL159" s="580"/>
      <c r="AM159" s="580"/>
      <c r="AT159" s="580"/>
      <c r="AU159" s="580"/>
      <c r="AV159" s="581" t="str">
        <f>IF($AY$30,V32,0)</f>
        <v/>
      </c>
      <c r="AW159" s="581">
        <f>IF($AY$32,'Data Sheet'!AA180,0)</f>
        <v>0</v>
      </c>
      <c r="AX159" s="581">
        <f>V31-AY46</f>
        <v>40.704999999999998</v>
      </c>
      <c r="CH159" s="334"/>
      <c r="CI159" s="334"/>
      <c r="CO159" s="694" t="str">
        <f t="shared" si="753"/>
        <v>S160D 1S</v>
      </c>
      <c r="CP159" s="639"/>
      <c r="CQ159" s="618"/>
      <c r="CR159" s="618"/>
      <c r="CS159" s="618"/>
      <c r="CT159" s="626"/>
      <c r="CU159" s="626"/>
      <c r="CV159" s="626"/>
      <c r="CW159" s="626"/>
      <c r="CX159" s="626"/>
      <c r="CY159" s="619"/>
      <c r="CZ159" s="619"/>
      <c r="DA159" s="619"/>
      <c r="DB159" s="619"/>
      <c r="DC159" s="618"/>
      <c r="DD159" s="618"/>
      <c r="DE159" s="618"/>
      <c r="DF159" s="618"/>
      <c r="DG159" s="618"/>
      <c r="DH159" s="618"/>
      <c r="DI159" s="618"/>
      <c r="DJ159" s="618"/>
      <c r="DK159" s="618"/>
      <c r="DL159" s="618"/>
      <c r="DM159" s="618"/>
      <c r="DN159" s="618"/>
      <c r="DO159" s="618"/>
      <c r="DP159" s="618"/>
      <c r="DQ159" s="618"/>
      <c r="DR159" s="618"/>
      <c r="DS159" s="618"/>
      <c r="DT159" s="618"/>
      <c r="DU159" s="618"/>
      <c r="DV159" s="618"/>
      <c r="DW159" s="618"/>
      <c r="DX159" s="618"/>
      <c r="DY159" s="618"/>
      <c r="DZ159" s="618"/>
      <c r="EA159" s="618"/>
      <c r="EB159" s="618"/>
      <c r="EC159" s="618"/>
      <c r="ED159" s="618"/>
      <c r="EE159" s="618"/>
      <c r="EF159" s="618"/>
      <c r="EG159" s="618"/>
      <c r="EH159" s="618"/>
      <c r="EI159" s="618"/>
      <c r="EJ159" s="618"/>
      <c r="EK159" s="618"/>
      <c r="EL159" s="618"/>
      <c r="EM159" s="618"/>
      <c r="EN159" s="618"/>
      <c r="EO159" s="618"/>
      <c r="EP159" s="618"/>
      <c r="EQ159" s="618"/>
      <c r="ER159" s="618"/>
      <c r="ES159" s="618"/>
      <c r="ET159" s="618"/>
      <c r="EU159" s="618"/>
      <c r="EV159" s="618"/>
      <c r="EW159" s="618"/>
      <c r="EX159" s="618"/>
      <c r="EY159" s="618"/>
      <c r="EZ159" s="618"/>
      <c r="FA159" s="618"/>
      <c r="FB159" s="618"/>
      <c r="FC159" s="618"/>
      <c r="FD159" s="618"/>
      <c r="FE159" s="618"/>
      <c r="FF159" s="618"/>
      <c r="FG159" s="618"/>
      <c r="FH159" s="618"/>
      <c r="FI159" s="618"/>
      <c r="FJ159" s="618"/>
      <c r="FK159" s="618"/>
      <c r="FL159" s="618"/>
      <c r="FM159" s="618"/>
      <c r="FN159" s="618"/>
      <c r="FO159" s="618"/>
      <c r="FP159" s="618"/>
      <c r="FQ159" s="618"/>
      <c r="FR159" s="618"/>
      <c r="FS159" s="618"/>
      <c r="FT159" s="618"/>
      <c r="FU159" s="618"/>
      <c r="FV159" s="618"/>
      <c r="FW159" s="618"/>
      <c r="FX159" s="618"/>
      <c r="FY159" s="618"/>
      <c r="FZ159" s="618"/>
      <c r="GA159" s="618"/>
      <c r="GB159" s="618"/>
      <c r="GC159" s="618"/>
      <c r="GD159" s="618"/>
      <c r="GE159" s="618"/>
      <c r="GF159" s="618"/>
      <c r="GG159" s="618"/>
      <c r="GH159" s="618"/>
      <c r="GI159" s="618"/>
      <c r="GJ159" s="618"/>
      <c r="GK159" s="618"/>
      <c r="GL159" s="618"/>
      <c r="GM159" s="618"/>
      <c r="GN159" s="618"/>
      <c r="GO159" s="618"/>
      <c r="GP159" s="618"/>
      <c r="GQ159" s="618"/>
      <c r="GR159" s="618"/>
      <c r="GS159" s="618"/>
      <c r="GT159" s="618"/>
      <c r="GU159" s="618"/>
      <c r="GV159" s="618"/>
      <c r="GW159" s="618"/>
      <c r="GX159" s="618"/>
      <c r="GY159" s="618"/>
      <c r="GZ159" s="618"/>
      <c r="HA159" s="618"/>
      <c r="HB159" s="618"/>
      <c r="HC159" s="618"/>
      <c r="HD159" s="618"/>
      <c r="HE159" s="618"/>
      <c r="HF159" s="639"/>
      <c r="HG159" s="639"/>
      <c r="HH159" s="639"/>
      <c r="HI159" s="639"/>
      <c r="HJ159" s="639"/>
      <c r="HK159" s="639"/>
      <c r="HL159" s="639"/>
      <c r="HM159" s="639"/>
      <c r="HN159" s="639"/>
      <c r="HO159" s="639"/>
      <c r="HP159" s="639"/>
      <c r="HQ159" s="639"/>
      <c r="HR159" s="639">
        <v>7.8E-2</v>
      </c>
      <c r="HS159" s="639">
        <f t="shared" si="749"/>
        <v>523.71428571428567</v>
      </c>
      <c r="HT159" s="639">
        <f t="shared" si="750"/>
        <v>1</v>
      </c>
      <c r="HU159" s="618">
        <f t="shared" si="754"/>
        <v>1.9868310836772267</v>
      </c>
      <c r="HV159" s="618"/>
      <c r="HW159" s="618">
        <f t="shared" si="736"/>
        <v>33.178699861178337</v>
      </c>
      <c r="HX159" s="618">
        <f t="shared" si="755"/>
        <v>1.9084785914327811</v>
      </c>
      <c r="HY159" s="618">
        <f t="shared" si="756"/>
        <v>7.8E-2</v>
      </c>
      <c r="HZ159" s="618"/>
      <c r="IA159" s="618"/>
      <c r="IB159" s="618">
        <f t="shared" si="737"/>
        <v>25.000350341399081</v>
      </c>
      <c r="IC159" s="618">
        <f t="shared" si="738"/>
        <v>1E-3</v>
      </c>
      <c r="ID159" s="618"/>
      <c r="IE159" s="618">
        <f t="shared" si="739"/>
        <v>0</v>
      </c>
      <c r="IF159" s="618">
        <f t="shared" si="740"/>
        <v>40.704999999999998</v>
      </c>
      <c r="IG159" s="618"/>
      <c r="IH159" s="618">
        <f t="shared" si="741"/>
        <v>0</v>
      </c>
      <c r="II159" s="618">
        <f t="shared" si="742"/>
        <v>40.704999999999998</v>
      </c>
      <c r="IJ159" s="618"/>
      <c r="IK159" s="618">
        <f t="shared" si="743"/>
        <v>0</v>
      </c>
      <c r="IL159" s="618">
        <f t="shared" si="744"/>
        <v>40.704999999999998</v>
      </c>
      <c r="IM159" s="618"/>
      <c r="IN159" s="618">
        <f t="shared" si="745"/>
        <v>0</v>
      </c>
      <c r="IO159" s="618">
        <f t="shared" si="746"/>
        <v>40.704999999999998</v>
      </c>
      <c r="IP159" s="618"/>
      <c r="IQ159" s="618">
        <f t="shared" si="747"/>
        <v>0</v>
      </c>
      <c r="IR159" s="618">
        <f t="shared" si="748"/>
        <v>40.704999999999998</v>
      </c>
      <c r="IS159" s="639"/>
      <c r="IT159" s="640"/>
      <c r="IU159" s="640"/>
      <c r="IV159" s="640"/>
      <c r="IW159" s="640"/>
      <c r="IX159" s="640"/>
      <c r="IY159" s="640"/>
      <c r="IZ159" s="640"/>
      <c r="JA159" s="640"/>
      <c r="JB159" s="640"/>
      <c r="JC159" s="640"/>
      <c r="JD159" s="640"/>
      <c r="JE159" s="640"/>
      <c r="JF159" s="640"/>
      <c r="JG159" s="640"/>
      <c r="JH159" s="640"/>
      <c r="JI159" s="640"/>
      <c r="JJ159" s="640"/>
      <c r="JK159" s="640"/>
      <c r="JL159" s="640"/>
      <c r="JM159" s="640"/>
      <c r="JN159" s="640"/>
      <c r="JO159" s="640"/>
      <c r="JP159" s="640"/>
      <c r="JQ159" s="640"/>
      <c r="JR159" s="640"/>
      <c r="JS159" s="640"/>
      <c r="JT159" s="640"/>
      <c r="JU159" s="640"/>
      <c r="JV159" s="652"/>
    </row>
    <row r="160" spans="1:282" s="579" customFormat="1">
      <c r="A160" s="334"/>
      <c r="U160" s="580"/>
      <c r="V160" s="580"/>
      <c r="AC160" s="580"/>
      <c r="AD160" s="580"/>
      <c r="AL160" s="580"/>
      <c r="AM160" s="580"/>
      <c r="AT160" s="580"/>
      <c r="AU160" s="580"/>
      <c r="AV160" s="581" t="str">
        <f>IF($AY$30,W32,0)</f>
        <v/>
      </c>
      <c r="AW160" s="581">
        <f>IF($AY$32,'Data Sheet'!AA181,0)</f>
        <v>0</v>
      </c>
      <c r="AX160" s="581">
        <f>W31-AY50</f>
        <v>40.704999999999998</v>
      </c>
      <c r="CH160" s="334"/>
      <c r="CI160" s="334"/>
      <c r="CO160" s="694" t="str">
        <f t="shared" si="753"/>
        <v>S160D</v>
      </c>
      <c r="CP160" s="639"/>
      <c r="CQ160" s="618"/>
      <c r="CR160" s="618"/>
      <c r="CS160" s="618"/>
      <c r="CT160" s="626"/>
      <c r="CU160" s="626"/>
      <c r="CV160" s="626"/>
      <c r="CW160" s="626"/>
      <c r="CX160" s="626"/>
      <c r="CY160" s="619"/>
      <c r="CZ160" s="619"/>
      <c r="DA160" s="619"/>
      <c r="DB160" s="619"/>
      <c r="DC160" s="618"/>
      <c r="DD160" s="618"/>
      <c r="DE160" s="618"/>
      <c r="DF160" s="618"/>
      <c r="DG160" s="618"/>
      <c r="DH160" s="618"/>
      <c r="DI160" s="618"/>
      <c r="DJ160" s="618"/>
      <c r="DK160" s="618"/>
      <c r="DL160" s="618"/>
      <c r="DM160" s="618"/>
      <c r="DN160" s="618"/>
      <c r="DO160" s="618"/>
      <c r="DP160" s="618"/>
      <c r="DQ160" s="618"/>
      <c r="DR160" s="618"/>
      <c r="DS160" s="618"/>
      <c r="DT160" s="618"/>
      <c r="DU160" s="618"/>
      <c r="DV160" s="618"/>
      <c r="DW160" s="618"/>
      <c r="DX160" s="618"/>
      <c r="DY160" s="618"/>
      <c r="DZ160" s="618"/>
      <c r="EA160" s="618"/>
      <c r="EB160" s="618"/>
      <c r="EC160" s="618"/>
      <c r="ED160" s="618"/>
      <c r="EE160" s="618"/>
      <c r="EF160" s="618"/>
      <c r="EG160" s="618"/>
      <c r="EH160" s="618"/>
      <c r="EI160" s="618"/>
      <c r="EJ160" s="618"/>
      <c r="EK160" s="618"/>
      <c r="EL160" s="618"/>
      <c r="EM160" s="618"/>
      <c r="EN160" s="618"/>
      <c r="EO160" s="618"/>
      <c r="EP160" s="618"/>
      <c r="EQ160" s="618"/>
      <c r="ER160" s="618"/>
      <c r="ES160" s="618"/>
      <c r="ET160" s="618"/>
      <c r="EU160" s="618"/>
      <c r="EV160" s="618"/>
      <c r="EW160" s="618"/>
      <c r="EX160" s="618"/>
      <c r="EY160" s="618"/>
      <c r="EZ160" s="618"/>
      <c r="FA160" s="618"/>
      <c r="FB160" s="618"/>
      <c r="FC160" s="618"/>
      <c r="FD160" s="618"/>
      <c r="FE160" s="618"/>
      <c r="FF160" s="618"/>
      <c r="FG160" s="618"/>
      <c r="FH160" s="618"/>
      <c r="FI160" s="618"/>
      <c r="FJ160" s="618"/>
      <c r="FK160" s="618"/>
      <c r="FL160" s="618"/>
      <c r="FM160" s="618"/>
      <c r="FN160" s="618"/>
      <c r="FO160" s="618"/>
      <c r="FP160" s="618"/>
      <c r="FQ160" s="618"/>
      <c r="FR160" s="618"/>
      <c r="FS160" s="618"/>
      <c r="FT160" s="618"/>
      <c r="FU160" s="618"/>
      <c r="FV160" s="618"/>
      <c r="FW160" s="618"/>
      <c r="FX160" s="618"/>
      <c r="FY160" s="618"/>
      <c r="FZ160" s="618"/>
      <c r="GA160" s="618"/>
      <c r="GB160" s="618"/>
      <c r="GC160" s="618"/>
      <c r="GD160" s="618"/>
      <c r="GE160" s="618"/>
      <c r="GF160" s="618"/>
      <c r="GG160" s="618"/>
      <c r="GH160" s="618"/>
      <c r="GI160" s="618"/>
      <c r="GJ160" s="618"/>
      <c r="GK160" s="618"/>
      <c r="GL160" s="618"/>
      <c r="GM160" s="618"/>
      <c r="GN160" s="618"/>
      <c r="GO160" s="618"/>
      <c r="GP160" s="618"/>
      <c r="GQ160" s="618"/>
      <c r="GR160" s="618"/>
      <c r="GS160" s="618"/>
      <c r="GT160" s="618"/>
      <c r="GU160" s="618"/>
      <c r="GV160" s="618"/>
      <c r="GW160" s="618"/>
      <c r="GX160" s="618"/>
      <c r="GY160" s="618"/>
      <c r="GZ160" s="618"/>
      <c r="HA160" s="618"/>
      <c r="HB160" s="618"/>
      <c r="HC160" s="618"/>
      <c r="HD160" s="618"/>
      <c r="HE160" s="618"/>
      <c r="HF160" s="639"/>
      <c r="HG160" s="639"/>
      <c r="HH160" s="639"/>
      <c r="HI160" s="639"/>
      <c r="HJ160" s="639"/>
      <c r="HK160" s="639"/>
      <c r="HL160" s="639"/>
      <c r="HM160" s="639"/>
      <c r="HN160" s="639"/>
      <c r="HO160" s="639"/>
      <c r="HP160" s="639"/>
      <c r="HQ160" s="639"/>
      <c r="HR160" s="639">
        <v>7.85E-2</v>
      </c>
      <c r="HS160" s="639">
        <f t="shared" si="749"/>
        <v>527.07142857142856</v>
      </c>
      <c r="HT160" s="639">
        <f t="shared" si="750"/>
        <v>1</v>
      </c>
      <c r="HU160" s="618">
        <f t="shared" si="754"/>
        <v>1.9995701276508515</v>
      </c>
      <c r="HV160" s="618"/>
      <c r="HW160" s="618">
        <f t="shared" si="736"/>
        <v>33.160610418735793</v>
      </c>
      <c r="HX160" s="618">
        <f t="shared" si="755"/>
        <v>1.9202128823860176</v>
      </c>
      <c r="HY160" s="618">
        <f t="shared" si="756"/>
        <v>7.85E-2</v>
      </c>
      <c r="HZ160" s="618"/>
      <c r="IA160" s="618"/>
      <c r="IB160" s="618">
        <f t="shared" si="737"/>
        <v>25.000350341399081</v>
      </c>
      <c r="IC160" s="618">
        <f t="shared" si="738"/>
        <v>1E-3</v>
      </c>
      <c r="ID160" s="618"/>
      <c r="IE160" s="618">
        <f t="shared" si="739"/>
        <v>0</v>
      </c>
      <c r="IF160" s="618">
        <f t="shared" si="740"/>
        <v>40.704999999999998</v>
      </c>
      <c r="IG160" s="618"/>
      <c r="IH160" s="618">
        <f t="shared" si="741"/>
        <v>0</v>
      </c>
      <c r="II160" s="618">
        <f t="shared" si="742"/>
        <v>40.704999999999998</v>
      </c>
      <c r="IJ160" s="618"/>
      <c r="IK160" s="618">
        <f t="shared" si="743"/>
        <v>0</v>
      </c>
      <c r="IL160" s="618">
        <f t="shared" si="744"/>
        <v>40.704999999999998</v>
      </c>
      <c r="IM160" s="618"/>
      <c r="IN160" s="618">
        <f t="shared" si="745"/>
        <v>0</v>
      </c>
      <c r="IO160" s="618">
        <f t="shared" si="746"/>
        <v>40.704999999999998</v>
      </c>
      <c r="IP160" s="618"/>
      <c r="IQ160" s="618">
        <f t="shared" si="747"/>
        <v>0</v>
      </c>
      <c r="IR160" s="618">
        <f t="shared" si="748"/>
        <v>40.704999999999998</v>
      </c>
      <c r="IS160" s="639"/>
      <c r="IT160" s="640"/>
      <c r="IU160" s="640"/>
      <c r="IV160" s="640"/>
      <c r="IW160" s="640"/>
      <c r="IX160" s="640"/>
      <c r="IY160" s="640"/>
      <c r="IZ160" s="640"/>
      <c r="JA160" s="640"/>
      <c r="JB160" s="640"/>
      <c r="JC160" s="640"/>
      <c r="JD160" s="640"/>
      <c r="JE160" s="640"/>
      <c r="JF160" s="640"/>
      <c r="JG160" s="640"/>
      <c r="JH160" s="640"/>
      <c r="JI160" s="640"/>
      <c r="JJ160" s="640"/>
      <c r="JK160" s="640"/>
      <c r="JL160" s="640"/>
      <c r="JM160" s="640"/>
      <c r="JN160" s="640"/>
      <c r="JO160" s="640"/>
      <c r="JP160" s="640"/>
      <c r="JQ160" s="640"/>
      <c r="JR160" s="640"/>
      <c r="JS160" s="640"/>
      <c r="JT160" s="640"/>
      <c r="JU160" s="640"/>
      <c r="JV160" s="652"/>
    </row>
    <row r="161" spans="1:282" s="579" customFormat="1">
      <c r="A161" s="334"/>
      <c r="U161" s="580"/>
      <c r="V161" s="580"/>
      <c r="AC161" s="580"/>
      <c r="AD161" s="580"/>
      <c r="AL161" s="580"/>
      <c r="AM161" s="580"/>
      <c r="AT161" s="580"/>
      <c r="AU161" s="580"/>
      <c r="AV161" s="581" t="e">
        <f>N83*$N$82</f>
        <v>#DIV/0!</v>
      </c>
      <c r="AW161" s="581" t="e">
        <f>IF($AY$32,'Data Sheet'!AA182,0)</f>
        <v>#DIV/0!</v>
      </c>
      <c r="AX161" s="581">
        <f>AX160</f>
        <v>40.704999999999998</v>
      </c>
      <c r="CH161" s="334"/>
      <c r="CI161" s="334"/>
      <c r="CO161" s="694" t="str">
        <f t="shared" si="753"/>
        <v>L160T</v>
      </c>
      <c r="CP161" s="639"/>
      <c r="CQ161" s="618"/>
      <c r="CR161" s="618"/>
      <c r="CS161" s="618"/>
      <c r="CT161" s="626"/>
      <c r="CU161" s="626"/>
      <c r="CV161" s="626"/>
      <c r="CW161" s="626"/>
      <c r="CX161" s="626"/>
      <c r="CY161" s="619"/>
      <c r="CZ161" s="619"/>
      <c r="DA161" s="619"/>
      <c r="DB161" s="619"/>
      <c r="DC161" s="618"/>
      <c r="DD161" s="618"/>
      <c r="DE161" s="618"/>
      <c r="DF161" s="618"/>
      <c r="DG161" s="618"/>
      <c r="DH161" s="618"/>
      <c r="DI161" s="618"/>
      <c r="DJ161" s="618"/>
      <c r="DK161" s="618"/>
      <c r="DL161" s="618"/>
      <c r="DM161" s="618"/>
      <c r="DN161" s="618"/>
      <c r="DO161" s="618"/>
      <c r="DP161" s="618"/>
      <c r="DQ161" s="618"/>
      <c r="DR161" s="618"/>
      <c r="DS161" s="618"/>
      <c r="DT161" s="618"/>
      <c r="DU161" s="618"/>
      <c r="DV161" s="618"/>
      <c r="DW161" s="618"/>
      <c r="DX161" s="618"/>
      <c r="DY161" s="618"/>
      <c r="DZ161" s="618"/>
      <c r="EA161" s="618"/>
      <c r="EB161" s="618"/>
      <c r="EC161" s="618"/>
      <c r="ED161" s="618"/>
      <c r="EE161" s="618"/>
      <c r="EF161" s="618"/>
      <c r="EG161" s="618"/>
      <c r="EH161" s="618"/>
      <c r="EI161" s="618"/>
      <c r="EJ161" s="618"/>
      <c r="EK161" s="618"/>
      <c r="EL161" s="618"/>
      <c r="EM161" s="618"/>
      <c r="EN161" s="618"/>
      <c r="EO161" s="618"/>
      <c r="EP161" s="618"/>
      <c r="EQ161" s="618"/>
      <c r="ER161" s="618"/>
      <c r="ES161" s="618"/>
      <c r="ET161" s="618"/>
      <c r="EU161" s="618"/>
      <c r="EV161" s="618"/>
      <c r="EW161" s="618"/>
      <c r="EX161" s="618"/>
      <c r="EY161" s="618"/>
      <c r="EZ161" s="618"/>
      <c r="FA161" s="618"/>
      <c r="FB161" s="618"/>
      <c r="FC161" s="618"/>
      <c r="FD161" s="618"/>
      <c r="FE161" s="618"/>
      <c r="FF161" s="618"/>
      <c r="FG161" s="618"/>
      <c r="FH161" s="618"/>
      <c r="FI161" s="618"/>
      <c r="FJ161" s="618"/>
      <c r="FK161" s="618"/>
      <c r="FL161" s="618"/>
      <c r="FM161" s="618"/>
      <c r="FN161" s="618"/>
      <c r="FO161" s="618"/>
      <c r="FP161" s="618"/>
      <c r="FQ161" s="618"/>
      <c r="FR161" s="618"/>
      <c r="FS161" s="618"/>
      <c r="FT161" s="618"/>
      <c r="FU161" s="618"/>
      <c r="FV161" s="618"/>
      <c r="FW161" s="618"/>
      <c r="FX161" s="618"/>
      <c r="FY161" s="618"/>
      <c r="FZ161" s="618"/>
      <c r="GA161" s="618"/>
      <c r="GB161" s="618"/>
      <c r="GC161" s="618"/>
      <c r="GD161" s="618"/>
      <c r="GE161" s="618"/>
      <c r="GF161" s="618"/>
      <c r="GG161" s="618"/>
      <c r="GH161" s="618"/>
      <c r="GI161" s="618"/>
      <c r="GJ161" s="618"/>
      <c r="GK161" s="618"/>
      <c r="GL161" s="618"/>
      <c r="GM161" s="618"/>
      <c r="GN161" s="618"/>
      <c r="GO161" s="618"/>
      <c r="GP161" s="618"/>
      <c r="GQ161" s="618"/>
      <c r="GR161" s="618"/>
      <c r="GS161" s="618"/>
      <c r="GT161" s="618"/>
      <c r="GU161" s="618"/>
      <c r="GV161" s="618"/>
      <c r="GW161" s="618"/>
      <c r="GX161" s="618"/>
      <c r="GY161" s="618"/>
      <c r="GZ161" s="618"/>
      <c r="HA161" s="618"/>
      <c r="HB161" s="618"/>
      <c r="HC161" s="618"/>
      <c r="HD161" s="618"/>
      <c r="HE161" s="618"/>
      <c r="HF161" s="639"/>
      <c r="HG161" s="639"/>
      <c r="HH161" s="639"/>
      <c r="HI161" s="639"/>
      <c r="HJ161" s="639"/>
      <c r="HK161" s="639"/>
      <c r="HL161" s="639"/>
      <c r="HM161" s="639"/>
      <c r="HN161" s="639"/>
      <c r="HO161" s="639"/>
      <c r="HP161" s="639"/>
      <c r="HQ161" s="639"/>
      <c r="HR161" s="639">
        <v>7.9000000000000001E-2</v>
      </c>
      <c r="HS161" s="639">
        <f t="shared" si="749"/>
        <v>530.42857142857144</v>
      </c>
      <c r="HT161" s="639">
        <f t="shared" si="750"/>
        <v>1</v>
      </c>
      <c r="HU161" s="618">
        <f t="shared" si="754"/>
        <v>2.0123091716244765</v>
      </c>
      <c r="HV161" s="618"/>
      <c r="HW161" s="618">
        <f t="shared" si="736"/>
        <v>33.142520976293241</v>
      </c>
      <c r="HX161" s="618">
        <f t="shared" si="755"/>
        <v>1.9319407721669559</v>
      </c>
      <c r="HY161" s="618">
        <f t="shared" si="756"/>
        <v>7.9000000000000001E-2</v>
      </c>
      <c r="HZ161" s="618"/>
      <c r="IA161" s="618"/>
      <c r="IB161" s="618">
        <f t="shared" si="737"/>
        <v>25.000350341399081</v>
      </c>
      <c r="IC161" s="618">
        <f t="shared" si="738"/>
        <v>1E-3</v>
      </c>
      <c r="ID161" s="618"/>
      <c r="IE161" s="618">
        <f t="shared" si="739"/>
        <v>0</v>
      </c>
      <c r="IF161" s="618">
        <f t="shared" si="740"/>
        <v>40.704999999999998</v>
      </c>
      <c r="IG161" s="618"/>
      <c r="IH161" s="618">
        <f t="shared" si="741"/>
        <v>0</v>
      </c>
      <c r="II161" s="618">
        <f t="shared" si="742"/>
        <v>40.704999999999998</v>
      </c>
      <c r="IJ161" s="618"/>
      <c r="IK161" s="618">
        <f t="shared" si="743"/>
        <v>0</v>
      </c>
      <c r="IL161" s="618">
        <f t="shared" si="744"/>
        <v>40.704999999999998</v>
      </c>
      <c r="IM161" s="618"/>
      <c r="IN161" s="618">
        <f t="shared" si="745"/>
        <v>0</v>
      </c>
      <c r="IO161" s="618">
        <f t="shared" si="746"/>
        <v>40.704999999999998</v>
      </c>
      <c r="IP161" s="618"/>
      <c r="IQ161" s="618">
        <f t="shared" si="747"/>
        <v>0</v>
      </c>
      <c r="IR161" s="618">
        <f t="shared" si="748"/>
        <v>40.704999999999998</v>
      </c>
      <c r="IS161" s="639"/>
      <c r="IT161" s="640"/>
      <c r="IU161" s="640"/>
      <c r="IV161" s="640"/>
      <c r="IW161" s="640"/>
      <c r="IX161" s="640"/>
      <c r="IY161" s="640"/>
      <c r="IZ161" s="640"/>
      <c r="JA161" s="640"/>
      <c r="JB161" s="640"/>
      <c r="JC161" s="640"/>
      <c r="JD161" s="640"/>
      <c r="JE161" s="640"/>
      <c r="JF161" s="640"/>
      <c r="JG161" s="640"/>
      <c r="JH161" s="640"/>
      <c r="JI161" s="640"/>
      <c r="JJ161" s="640"/>
      <c r="JK161" s="640"/>
      <c r="JL161" s="640"/>
      <c r="JM161" s="640"/>
      <c r="JN161" s="640"/>
      <c r="JO161" s="640"/>
      <c r="JP161" s="640"/>
      <c r="JQ161" s="640"/>
      <c r="JR161" s="640"/>
      <c r="JS161" s="640"/>
      <c r="JT161" s="640"/>
      <c r="JU161" s="640"/>
      <c r="JV161" s="652"/>
    </row>
    <row r="162" spans="1:282" s="579" customFormat="1">
      <c r="A162" s="334"/>
      <c r="U162" s="580"/>
      <c r="V162" s="580"/>
      <c r="AC162" s="580"/>
      <c r="AD162" s="580"/>
      <c r="AL162" s="580"/>
      <c r="AM162" s="580"/>
      <c r="AT162" s="580"/>
      <c r="AU162" s="580"/>
      <c r="AV162" s="581" t="e">
        <f t="shared" ref="AV162:AV171" si="758">N84*$N$82</f>
        <v>#DIV/0!</v>
      </c>
      <c r="AW162" s="581" t="e">
        <f>IF($AY$32,'Data Sheet'!AA183,0)</f>
        <v>#DIV/0!</v>
      </c>
      <c r="AX162" s="581">
        <f>AX161+$N$76</f>
        <v>40.704999999999998</v>
      </c>
      <c r="CH162" s="334"/>
      <c r="CI162" s="334"/>
      <c r="CO162" s="694" t="str">
        <f t="shared" si="753"/>
        <v>S160T 1S</v>
      </c>
      <c r="CP162" s="639"/>
      <c r="CQ162" s="618"/>
      <c r="CR162" s="618"/>
      <c r="CS162" s="618"/>
      <c r="CT162" s="626"/>
      <c r="CU162" s="626"/>
      <c r="CV162" s="626"/>
      <c r="CW162" s="626"/>
      <c r="CX162" s="626"/>
      <c r="CY162" s="619"/>
      <c r="CZ162" s="619"/>
      <c r="DA162" s="619"/>
      <c r="DB162" s="619"/>
      <c r="DC162" s="618"/>
      <c r="DD162" s="618"/>
      <c r="DE162" s="618"/>
      <c r="DF162" s="618"/>
      <c r="DG162" s="618"/>
      <c r="DH162" s="618"/>
      <c r="DI162" s="618"/>
      <c r="DJ162" s="618"/>
      <c r="DK162" s="618"/>
      <c r="DL162" s="618"/>
      <c r="DM162" s="618"/>
      <c r="DN162" s="618"/>
      <c r="DO162" s="618"/>
      <c r="DP162" s="618"/>
      <c r="DQ162" s="618"/>
      <c r="DR162" s="618"/>
      <c r="DS162" s="618"/>
      <c r="DT162" s="618"/>
      <c r="DU162" s="618"/>
      <c r="DV162" s="618"/>
      <c r="DW162" s="618"/>
      <c r="DX162" s="618"/>
      <c r="DY162" s="618"/>
      <c r="DZ162" s="618"/>
      <c r="EA162" s="618"/>
      <c r="EB162" s="618"/>
      <c r="EC162" s="618"/>
      <c r="ED162" s="618"/>
      <c r="EE162" s="618"/>
      <c r="EF162" s="618"/>
      <c r="EG162" s="618"/>
      <c r="EH162" s="618"/>
      <c r="EI162" s="618"/>
      <c r="EJ162" s="618"/>
      <c r="EK162" s="618"/>
      <c r="EL162" s="618"/>
      <c r="EM162" s="618"/>
      <c r="EN162" s="618"/>
      <c r="EO162" s="618"/>
      <c r="EP162" s="618"/>
      <c r="EQ162" s="618"/>
      <c r="ER162" s="618"/>
      <c r="ES162" s="618"/>
      <c r="ET162" s="618"/>
      <c r="EU162" s="618"/>
      <c r="EV162" s="618"/>
      <c r="EW162" s="618"/>
      <c r="EX162" s="618"/>
      <c r="EY162" s="618"/>
      <c r="EZ162" s="618"/>
      <c r="FA162" s="618"/>
      <c r="FB162" s="618"/>
      <c r="FC162" s="618"/>
      <c r="FD162" s="618"/>
      <c r="FE162" s="618"/>
      <c r="FF162" s="618"/>
      <c r="FG162" s="618"/>
      <c r="FH162" s="618"/>
      <c r="FI162" s="618"/>
      <c r="FJ162" s="618"/>
      <c r="FK162" s="618"/>
      <c r="FL162" s="618"/>
      <c r="FM162" s="618"/>
      <c r="FN162" s="618"/>
      <c r="FO162" s="618"/>
      <c r="FP162" s="618"/>
      <c r="FQ162" s="618"/>
      <c r="FR162" s="618"/>
      <c r="FS162" s="618"/>
      <c r="FT162" s="618"/>
      <c r="FU162" s="618"/>
      <c r="FV162" s="618"/>
      <c r="FW162" s="618"/>
      <c r="FX162" s="618"/>
      <c r="FY162" s="618"/>
      <c r="FZ162" s="618"/>
      <c r="GA162" s="618"/>
      <c r="GB162" s="618"/>
      <c r="GC162" s="618"/>
      <c r="GD162" s="618"/>
      <c r="GE162" s="618"/>
      <c r="GF162" s="618"/>
      <c r="GG162" s="618"/>
      <c r="GH162" s="618"/>
      <c r="GI162" s="618"/>
      <c r="GJ162" s="618"/>
      <c r="GK162" s="618"/>
      <c r="GL162" s="618"/>
      <c r="GM162" s="618"/>
      <c r="GN162" s="618"/>
      <c r="GO162" s="618"/>
      <c r="GP162" s="618"/>
      <c r="GQ162" s="618"/>
      <c r="GR162" s="618"/>
      <c r="GS162" s="618"/>
      <c r="GT162" s="618"/>
      <c r="GU162" s="618"/>
      <c r="GV162" s="618"/>
      <c r="GW162" s="618"/>
      <c r="GX162" s="618"/>
      <c r="GY162" s="618"/>
      <c r="GZ162" s="618"/>
      <c r="HA162" s="618"/>
      <c r="HB162" s="618"/>
      <c r="HC162" s="618"/>
      <c r="HD162" s="618"/>
      <c r="HE162" s="618"/>
      <c r="HF162" s="639"/>
      <c r="HG162" s="639"/>
      <c r="HH162" s="639"/>
      <c r="HI162" s="639"/>
      <c r="HJ162" s="639"/>
      <c r="HK162" s="639"/>
      <c r="HL162" s="639"/>
      <c r="HM162" s="639"/>
      <c r="HN162" s="639"/>
      <c r="HO162" s="639"/>
      <c r="HP162" s="639"/>
      <c r="HQ162" s="639"/>
      <c r="HR162" s="639">
        <v>7.9500000000000001E-2</v>
      </c>
      <c r="HS162" s="639">
        <f t="shared" si="749"/>
        <v>533.78571428571433</v>
      </c>
      <c r="HT162" s="639">
        <f t="shared" si="750"/>
        <v>1</v>
      </c>
      <c r="HU162" s="618">
        <f t="shared" si="754"/>
        <v>2.0250482155981016</v>
      </c>
      <c r="HV162" s="618"/>
      <c r="HW162" s="618">
        <f t="shared" si="736"/>
        <v>33.124431533850696</v>
      </c>
      <c r="HX162" s="618">
        <f t="shared" si="755"/>
        <v>1.9436622607755962</v>
      </c>
      <c r="HY162" s="618">
        <f t="shared" si="756"/>
        <v>7.9500000000000001E-2</v>
      </c>
      <c r="HZ162" s="618"/>
      <c r="IA162" s="618"/>
      <c r="IB162" s="618">
        <f t="shared" si="737"/>
        <v>25.000350341399081</v>
      </c>
      <c r="IC162" s="618">
        <f t="shared" si="738"/>
        <v>1E-3</v>
      </c>
      <c r="ID162" s="618"/>
      <c r="IE162" s="618">
        <f t="shared" si="739"/>
        <v>0</v>
      </c>
      <c r="IF162" s="618">
        <f t="shared" si="740"/>
        <v>40.704999999999998</v>
      </c>
      <c r="IG162" s="618"/>
      <c r="IH162" s="618">
        <f t="shared" si="741"/>
        <v>0</v>
      </c>
      <c r="II162" s="618">
        <f t="shared" si="742"/>
        <v>40.704999999999998</v>
      </c>
      <c r="IJ162" s="618"/>
      <c r="IK162" s="618">
        <f t="shared" si="743"/>
        <v>0</v>
      </c>
      <c r="IL162" s="618">
        <f t="shared" si="744"/>
        <v>40.704999999999998</v>
      </c>
      <c r="IM162" s="618"/>
      <c r="IN162" s="618">
        <f t="shared" si="745"/>
        <v>0</v>
      </c>
      <c r="IO162" s="618">
        <f t="shared" si="746"/>
        <v>40.704999999999998</v>
      </c>
      <c r="IP162" s="618"/>
      <c r="IQ162" s="618">
        <f t="shared" si="747"/>
        <v>0</v>
      </c>
      <c r="IR162" s="618">
        <f t="shared" si="748"/>
        <v>40.704999999999998</v>
      </c>
      <c r="IS162" s="639"/>
      <c r="IT162" s="640"/>
      <c r="IU162" s="640"/>
      <c r="IV162" s="640"/>
      <c r="IW162" s="640"/>
      <c r="IX162" s="640"/>
      <c r="IY162" s="640"/>
      <c r="IZ162" s="640"/>
      <c r="JA162" s="640"/>
      <c r="JB162" s="640"/>
      <c r="JC162" s="640"/>
      <c r="JD162" s="640"/>
      <c r="JE162" s="640"/>
      <c r="JF162" s="640"/>
      <c r="JG162" s="640"/>
      <c r="JH162" s="640"/>
      <c r="JI162" s="640"/>
      <c r="JJ162" s="640"/>
      <c r="JK162" s="640"/>
      <c r="JL162" s="640"/>
      <c r="JM162" s="640"/>
      <c r="JN162" s="640"/>
      <c r="JO162" s="640"/>
      <c r="JP162" s="640"/>
      <c r="JQ162" s="640"/>
      <c r="JR162" s="640"/>
      <c r="JS162" s="640"/>
      <c r="JT162" s="640"/>
      <c r="JU162" s="640"/>
      <c r="JV162" s="652"/>
    </row>
    <row r="163" spans="1:282" s="579" customFormat="1">
      <c r="A163" s="334"/>
      <c r="U163" s="580"/>
      <c r="V163" s="580"/>
      <c r="AC163" s="580"/>
      <c r="AD163" s="580"/>
      <c r="AL163" s="580"/>
      <c r="AM163" s="580"/>
      <c r="AT163" s="580"/>
      <c r="AU163" s="580"/>
      <c r="AV163" s="581" t="e">
        <f t="shared" si="758"/>
        <v>#DIV/0!</v>
      </c>
      <c r="AW163" s="581" t="e">
        <f>IF($AY$32,'Data Sheet'!AA184,0)</f>
        <v>#DIV/0!</v>
      </c>
      <c r="AX163" s="581">
        <f t="shared" ref="AX163:AX171" si="759">AX162+$N$76</f>
        <v>40.704999999999998</v>
      </c>
      <c r="CH163" s="334"/>
      <c r="CI163" s="334"/>
      <c r="CO163" s="694" t="str">
        <f t="shared" si="753"/>
        <v>S160T</v>
      </c>
      <c r="CP163" s="639"/>
      <c r="CQ163" s="618"/>
      <c r="CR163" s="618"/>
      <c r="CS163" s="618"/>
      <c r="CT163" s="626"/>
      <c r="CU163" s="626"/>
      <c r="CV163" s="626"/>
      <c r="CW163" s="626"/>
      <c r="CX163" s="626"/>
      <c r="CY163" s="619"/>
      <c r="CZ163" s="619"/>
      <c r="DA163" s="619"/>
      <c r="DB163" s="619"/>
      <c r="DC163" s="618"/>
      <c r="DD163" s="618"/>
      <c r="DE163" s="618"/>
      <c r="DF163" s="618"/>
      <c r="DG163" s="618"/>
      <c r="DH163" s="618"/>
      <c r="DI163" s="618"/>
      <c r="DJ163" s="618"/>
      <c r="DK163" s="618"/>
      <c r="DL163" s="618"/>
      <c r="DM163" s="618"/>
      <c r="DN163" s="618"/>
      <c r="DO163" s="618"/>
      <c r="DP163" s="618"/>
      <c r="DQ163" s="618"/>
      <c r="DR163" s="618"/>
      <c r="DS163" s="618"/>
      <c r="DT163" s="618"/>
      <c r="DU163" s="618"/>
      <c r="DV163" s="618"/>
      <c r="DW163" s="618"/>
      <c r="DX163" s="618"/>
      <c r="DY163" s="618"/>
      <c r="DZ163" s="618"/>
      <c r="EA163" s="618"/>
      <c r="EB163" s="618"/>
      <c r="EC163" s="618"/>
      <c r="ED163" s="618"/>
      <c r="EE163" s="618"/>
      <c r="EF163" s="618"/>
      <c r="EG163" s="618"/>
      <c r="EH163" s="618"/>
      <c r="EI163" s="618"/>
      <c r="EJ163" s="618"/>
      <c r="EK163" s="618"/>
      <c r="EL163" s="618"/>
      <c r="EM163" s="618"/>
      <c r="EN163" s="618"/>
      <c r="EO163" s="618"/>
      <c r="EP163" s="618"/>
      <c r="EQ163" s="618"/>
      <c r="ER163" s="618"/>
      <c r="ES163" s="618"/>
      <c r="ET163" s="618"/>
      <c r="EU163" s="618"/>
      <c r="EV163" s="618"/>
      <c r="EW163" s="618"/>
      <c r="EX163" s="618"/>
      <c r="EY163" s="618"/>
      <c r="EZ163" s="618"/>
      <c r="FA163" s="618"/>
      <c r="FB163" s="618"/>
      <c r="FC163" s="618"/>
      <c r="FD163" s="618"/>
      <c r="FE163" s="618"/>
      <c r="FF163" s="618"/>
      <c r="FG163" s="618"/>
      <c r="FH163" s="618"/>
      <c r="FI163" s="618"/>
      <c r="FJ163" s="618"/>
      <c r="FK163" s="618"/>
      <c r="FL163" s="618"/>
      <c r="FM163" s="618"/>
      <c r="FN163" s="618"/>
      <c r="FO163" s="618"/>
      <c r="FP163" s="618"/>
      <c r="FQ163" s="618"/>
      <c r="FR163" s="618"/>
      <c r="FS163" s="618"/>
      <c r="FT163" s="618"/>
      <c r="FU163" s="618"/>
      <c r="FV163" s="618"/>
      <c r="FW163" s="618"/>
      <c r="FX163" s="618"/>
      <c r="FY163" s="618"/>
      <c r="FZ163" s="618"/>
      <c r="GA163" s="618"/>
      <c r="GB163" s="618"/>
      <c r="GC163" s="618"/>
      <c r="GD163" s="618"/>
      <c r="GE163" s="618"/>
      <c r="GF163" s="618"/>
      <c r="GG163" s="618"/>
      <c r="GH163" s="618"/>
      <c r="GI163" s="618"/>
      <c r="GJ163" s="618"/>
      <c r="GK163" s="618"/>
      <c r="GL163" s="618"/>
      <c r="GM163" s="618"/>
      <c r="GN163" s="618"/>
      <c r="GO163" s="618"/>
      <c r="GP163" s="618"/>
      <c r="GQ163" s="618"/>
      <c r="GR163" s="618"/>
      <c r="GS163" s="618"/>
      <c r="GT163" s="618"/>
      <c r="GU163" s="618"/>
      <c r="GV163" s="618"/>
      <c r="GW163" s="618"/>
      <c r="GX163" s="618"/>
      <c r="GY163" s="618"/>
      <c r="GZ163" s="618"/>
      <c r="HA163" s="618"/>
      <c r="HB163" s="618"/>
      <c r="HC163" s="618"/>
      <c r="HD163" s="618"/>
      <c r="HE163" s="618"/>
      <c r="HF163" s="639"/>
      <c r="HG163" s="639"/>
      <c r="HH163" s="639"/>
      <c r="HI163" s="639"/>
      <c r="HJ163" s="639"/>
      <c r="HK163" s="639"/>
      <c r="HL163" s="639"/>
      <c r="HM163" s="639"/>
      <c r="HN163" s="639"/>
      <c r="HO163" s="639"/>
      <c r="HP163" s="639"/>
      <c r="HQ163" s="639"/>
      <c r="HR163" s="639">
        <v>0.08</v>
      </c>
      <c r="HS163" s="639">
        <f t="shared" si="749"/>
        <v>537.14285714285711</v>
      </c>
      <c r="HT163" s="639">
        <f t="shared" si="750"/>
        <v>1</v>
      </c>
      <c r="HU163" s="618">
        <f t="shared" si="754"/>
        <v>2.0377872595717266</v>
      </c>
      <c r="HV163" s="618"/>
      <c r="HW163" s="618">
        <f t="shared" si="736"/>
        <v>33.106342091408152</v>
      </c>
      <c r="HX163" s="618">
        <f t="shared" si="755"/>
        <v>1.9553773482119383</v>
      </c>
      <c r="HY163" s="618">
        <f t="shared" si="756"/>
        <v>0.08</v>
      </c>
      <c r="HZ163" s="618"/>
      <c r="IA163" s="618"/>
      <c r="IB163" s="618">
        <f t="shared" si="737"/>
        <v>25.000350341399081</v>
      </c>
      <c r="IC163" s="618">
        <f t="shared" si="738"/>
        <v>1E-3</v>
      </c>
      <c r="ID163" s="618"/>
      <c r="IE163" s="618">
        <f t="shared" si="739"/>
        <v>0</v>
      </c>
      <c r="IF163" s="618">
        <f t="shared" si="740"/>
        <v>40.704999999999998</v>
      </c>
      <c r="IG163" s="618"/>
      <c r="IH163" s="618">
        <f t="shared" si="741"/>
        <v>0</v>
      </c>
      <c r="II163" s="618">
        <f t="shared" si="742"/>
        <v>40.704999999999998</v>
      </c>
      <c r="IJ163" s="618"/>
      <c r="IK163" s="618">
        <f t="shared" si="743"/>
        <v>0</v>
      </c>
      <c r="IL163" s="618">
        <f t="shared" si="744"/>
        <v>40.704999999999998</v>
      </c>
      <c r="IM163" s="618"/>
      <c r="IN163" s="618">
        <f t="shared" si="745"/>
        <v>0</v>
      </c>
      <c r="IO163" s="618">
        <f t="shared" si="746"/>
        <v>40.704999999999998</v>
      </c>
      <c r="IP163" s="618"/>
      <c r="IQ163" s="618">
        <f t="shared" si="747"/>
        <v>0</v>
      </c>
      <c r="IR163" s="618">
        <f t="shared" si="748"/>
        <v>40.704999999999998</v>
      </c>
      <c r="IS163" s="639"/>
      <c r="IT163" s="640"/>
      <c r="IU163" s="640"/>
      <c r="IV163" s="640"/>
      <c r="IW163" s="640"/>
      <c r="IX163" s="640"/>
      <c r="IY163" s="640"/>
      <c r="IZ163" s="640"/>
      <c r="JA163" s="640"/>
      <c r="JB163" s="640"/>
      <c r="JC163" s="640"/>
      <c r="JD163" s="640"/>
      <c r="JE163" s="640"/>
      <c r="JF163" s="640"/>
      <c r="JG163" s="640"/>
      <c r="JH163" s="640"/>
      <c r="JI163" s="640"/>
      <c r="JJ163" s="640"/>
      <c r="JK163" s="640"/>
      <c r="JL163" s="640"/>
      <c r="JM163" s="640"/>
      <c r="JN163" s="640"/>
      <c r="JO163" s="640"/>
      <c r="JP163" s="640"/>
      <c r="JQ163" s="640"/>
      <c r="JR163" s="640"/>
      <c r="JS163" s="640"/>
      <c r="JT163" s="640"/>
      <c r="JU163" s="640"/>
      <c r="JV163" s="652"/>
    </row>
    <row r="164" spans="1:282" s="579" customFormat="1">
      <c r="A164" s="334"/>
      <c r="U164" s="580"/>
      <c r="V164" s="580"/>
      <c r="AC164" s="580"/>
      <c r="AD164" s="580"/>
      <c r="AL164" s="580"/>
      <c r="AM164" s="580"/>
      <c r="AT164" s="580"/>
      <c r="AU164" s="580"/>
      <c r="AV164" s="581">
        <f t="shared" si="758"/>
        <v>0</v>
      </c>
      <c r="AW164" s="581">
        <f>IF($AY$32,'Data Sheet'!AA185,0)</f>
        <v>0</v>
      </c>
      <c r="AX164" s="581">
        <f t="shared" si="759"/>
        <v>40.704999999999998</v>
      </c>
      <c r="CH164" s="334"/>
      <c r="CI164" s="334"/>
      <c r="CO164" s="694" t="str">
        <f t="shared" si="753"/>
        <v>L250SS</v>
      </c>
      <c r="CP164" s="639"/>
      <c r="CQ164" s="618"/>
      <c r="CR164" s="618"/>
      <c r="CS164" s="618"/>
      <c r="CT164" s="626"/>
      <c r="CU164" s="626"/>
      <c r="CV164" s="626"/>
      <c r="CW164" s="626"/>
      <c r="CX164" s="626"/>
      <c r="CY164" s="619"/>
      <c r="CZ164" s="619"/>
      <c r="DA164" s="619"/>
      <c r="DB164" s="619"/>
      <c r="DC164" s="618"/>
      <c r="DD164" s="618"/>
      <c r="DE164" s="618"/>
      <c r="DF164" s="618"/>
      <c r="DG164" s="618"/>
      <c r="DH164" s="618"/>
      <c r="DI164" s="618"/>
      <c r="DJ164" s="618"/>
      <c r="DK164" s="618"/>
      <c r="DL164" s="618"/>
      <c r="DM164" s="618"/>
      <c r="DN164" s="618"/>
      <c r="DO164" s="618"/>
      <c r="DP164" s="618"/>
      <c r="DQ164" s="618"/>
      <c r="DR164" s="618"/>
      <c r="DS164" s="618"/>
      <c r="DT164" s="618"/>
      <c r="DU164" s="618"/>
      <c r="DV164" s="618"/>
      <c r="DW164" s="618"/>
      <c r="DX164" s="618"/>
      <c r="DY164" s="618"/>
      <c r="DZ164" s="618"/>
      <c r="EA164" s="618"/>
      <c r="EB164" s="618"/>
      <c r="EC164" s="618"/>
      <c r="ED164" s="618"/>
      <c r="EE164" s="618"/>
      <c r="EF164" s="618"/>
      <c r="EG164" s="618"/>
      <c r="EH164" s="618"/>
      <c r="EI164" s="618"/>
      <c r="EJ164" s="618"/>
      <c r="EK164" s="618"/>
      <c r="EL164" s="618"/>
      <c r="EM164" s="618"/>
      <c r="EN164" s="618"/>
      <c r="EO164" s="618"/>
      <c r="EP164" s="618"/>
      <c r="EQ164" s="618"/>
      <c r="ER164" s="618"/>
      <c r="ES164" s="618"/>
      <c r="ET164" s="618"/>
      <c r="EU164" s="618"/>
      <c r="EV164" s="618"/>
      <c r="EW164" s="618"/>
      <c r="EX164" s="618"/>
      <c r="EY164" s="618"/>
      <c r="EZ164" s="618"/>
      <c r="FA164" s="618"/>
      <c r="FB164" s="618"/>
      <c r="FC164" s="618"/>
      <c r="FD164" s="618"/>
      <c r="FE164" s="618"/>
      <c r="FF164" s="618"/>
      <c r="FG164" s="618"/>
      <c r="FH164" s="618"/>
      <c r="FI164" s="618"/>
      <c r="FJ164" s="618"/>
      <c r="FK164" s="618"/>
      <c r="FL164" s="618"/>
      <c r="FM164" s="618"/>
      <c r="FN164" s="618"/>
      <c r="FO164" s="618"/>
      <c r="FP164" s="618"/>
      <c r="FQ164" s="618"/>
      <c r="FR164" s="618"/>
      <c r="FS164" s="618"/>
      <c r="FT164" s="618"/>
      <c r="FU164" s="618"/>
      <c r="FV164" s="618"/>
      <c r="FW164" s="618"/>
      <c r="FX164" s="618"/>
      <c r="FY164" s="618"/>
      <c r="FZ164" s="618"/>
      <c r="GA164" s="618"/>
      <c r="GB164" s="618"/>
      <c r="GC164" s="618"/>
      <c r="GD164" s="618"/>
      <c r="GE164" s="618"/>
      <c r="GF164" s="618"/>
      <c r="GG164" s="618"/>
      <c r="GH164" s="618"/>
      <c r="GI164" s="618"/>
      <c r="GJ164" s="618"/>
      <c r="GK164" s="618"/>
      <c r="GL164" s="618"/>
      <c r="GM164" s="618"/>
      <c r="GN164" s="618"/>
      <c r="GO164" s="618"/>
      <c r="GP164" s="618"/>
      <c r="GQ164" s="618"/>
      <c r="GR164" s="618"/>
      <c r="GS164" s="618"/>
      <c r="GT164" s="618"/>
      <c r="GU164" s="618"/>
      <c r="GV164" s="618"/>
      <c r="GW164" s="618"/>
      <c r="GX164" s="618"/>
      <c r="GY164" s="618"/>
      <c r="GZ164" s="618"/>
      <c r="HA164" s="618"/>
      <c r="HB164" s="618"/>
      <c r="HC164" s="618"/>
      <c r="HD164" s="618"/>
      <c r="HE164" s="618"/>
      <c r="HF164" s="639"/>
      <c r="HG164" s="639"/>
      <c r="HH164" s="639"/>
      <c r="HI164" s="639"/>
      <c r="HJ164" s="639"/>
      <c r="HK164" s="639"/>
      <c r="HL164" s="639"/>
      <c r="HM164" s="639"/>
      <c r="HN164" s="639"/>
      <c r="HO164" s="639"/>
      <c r="HP164" s="639"/>
      <c r="HQ164" s="639"/>
      <c r="HR164" s="639">
        <v>8.0500000000000002E-2</v>
      </c>
      <c r="HS164" s="639">
        <f t="shared" si="749"/>
        <v>540.5</v>
      </c>
      <c r="HT164" s="639">
        <f t="shared" si="750"/>
        <v>1</v>
      </c>
      <c r="HU164" s="618">
        <f t="shared" si="754"/>
        <v>2.0505263035453516</v>
      </c>
      <c r="HV164" s="618"/>
      <c r="HW164" s="618">
        <f t="shared" si="736"/>
        <v>33.0882526489656</v>
      </c>
      <c r="HX164" s="618">
        <f t="shared" si="755"/>
        <v>1.9670860344759822</v>
      </c>
      <c r="HY164" s="618">
        <f t="shared" si="756"/>
        <v>8.0500000000000002E-2</v>
      </c>
      <c r="HZ164" s="618"/>
      <c r="IA164" s="618"/>
      <c r="IB164" s="618">
        <f t="shared" si="737"/>
        <v>25.000350341399081</v>
      </c>
      <c r="IC164" s="618">
        <f t="shared" si="738"/>
        <v>1E-3</v>
      </c>
      <c r="ID164" s="618"/>
      <c r="IE164" s="618">
        <f t="shared" si="739"/>
        <v>0</v>
      </c>
      <c r="IF164" s="618">
        <f t="shared" si="740"/>
        <v>40.704999999999998</v>
      </c>
      <c r="IG164" s="618"/>
      <c r="IH164" s="618">
        <f t="shared" si="741"/>
        <v>0</v>
      </c>
      <c r="II164" s="618">
        <f t="shared" si="742"/>
        <v>40.704999999999998</v>
      </c>
      <c r="IJ164" s="618"/>
      <c r="IK164" s="618">
        <f t="shared" si="743"/>
        <v>0</v>
      </c>
      <c r="IL164" s="618">
        <f t="shared" si="744"/>
        <v>40.704999999999998</v>
      </c>
      <c r="IM164" s="618"/>
      <c r="IN164" s="618">
        <f t="shared" si="745"/>
        <v>0</v>
      </c>
      <c r="IO164" s="618">
        <f t="shared" si="746"/>
        <v>40.704999999999998</v>
      </c>
      <c r="IP164" s="618"/>
      <c r="IQ164" s="618">
        <f t="shared" si="747"/>
        <v>0</v>
      </c>
      <c r="IR164" s="618">
        <f t="shared" si="748"/>
        <v>40.704999999999998</v>
      </c>
      <c r="IS164" s="639"/>
      <c r="IT164" s="640"/>
      <c r="IU164" s="640"/>
      <c r="IV164" s="640"/>
      <c r="IW164" s="640"/>
      <c r="IX164" s="640"/>
      <c r="IY164" s="640"/>
      <c r="IZ164" s="640"/>
      <c r="JA164" s="640"/>
      <c r="JB164" s="640"/>
      <c r="JC164" s="640"/>
      <c r="JD164" s="640"/>
      <c r="JE164" s="640"/>
      <c r="JF164" s="640"/>
      <c r="JG164" s="640"/>
      <c r="JH164" s="640"/>
      <c r="JI164" s="640"/>
      <c r="JJ164" s="640"/>
      <c r="JK164" s="640"/>
      <c r="JL164" s="640"/>
      <c r="JM164" s="640"/>
      <c r="JN164" s="640"/>
      <c r="JO164" s="640"/>
      <c r="JP164" s="640"/>
      <c r="JQ164" s="640"/>
      <c r="JR164" s="640"/>
      <c r="JS164" s="640"/>
      <c r="JT164" s="640"/>
      <c r="JU164" s="640"/>
      <c r="JV164" s="652"/>
    </row>
    <row r="165" spans="1:282" s="579" customFormat="1">
      <c r="A165" s="334"/>
      <c r="U165" s="580"/>
      <c r="V165" s="580"/>
      <c r="AC165" s="580"/>
      <c r="AD165" s="580"/>
      <c r="AL165" s="580"/>
      <c r="AM165" s="580"/>
      <c r="AT165" s="580"/>
      <c r="AU165" s="580"/>
      <c r="AV165" s="581">
        <f t="shared" si="758"/>
        <v>0</v>
      </c>
      <c r="AW165" s="581">
        <f>IF($AY$32,'Data Sheet'!AA186,0)</f>
        <v>0</v>
      </c>
      <c r="AX165" s="581">
        <f t="shared" si="759"/>
        <v>40.704999999999998</v>
      </c>
      <c r="CH165" s="334"/>
      <c r="CI165" s="334"/>
      <c r="CO165" s="694" t="str">
        <f t="shared" si="753"/>
        <v>L160Q</v>
      </c>
      <c r="CP165" s="639"/>
      <c r="CQ165" s="618"/>
      <c r="CR165" s="618"/>
      <c r="CS165" s="618"/>
      <c r="CT165" s="626"/>
      <c r="CU165" s="626"/>
      <c r="CV165" s="626"/>
      <c r="CW165" s="626"/>
      <c r="CX165" s="626"/>
      <c r="CY165" s="619"/>
      <c r="CZ165" s="619"/>
      <c r="DA165" s="619"/>
      <c r="DB165" s="619"/>
      <c r="DC165" s="618"/>
      <c r="DD165" s="618"/>
      <c r="DE165" s="618"/>
      <c r="DF165" s="618"/>
      <c r="DG165" s="618"/>
      <c r="DH165" s="618"/>
      <c r="DI165" s="618"/>
      <c r="DJ165" s="618"/>
      <c r="DK165" s="618"/>
      <c r="DL165" s="618"/>
      <c r="DM165" s="618"/>
      <c r="DN165" s="618"/>
      <c r="DO165" s="618"/>
      <c r="DP165" s="618"/>
      <c r="DQ165" s="618"/>
      <c r="DR165" s="618"/>
      <c r="DS165" s="618"/>
      <c r="DT165" s="618"/>
      <c r="DU165" s="618"/>
      <c r="DV165" s="618"/>
      <c r="DW165" s="618"/>
      <c r="DX165" s="618"/>
      <c r="DY165" s="618"/>
      <c r="DZ165" s="618"/>
      <c r="EA165" s="618"/>
      <c r="EB165" s="618"/>
      <c r="EC165" s="618"/>
      <c r="ED165" s="618"/>
      <c r="EE165" s="618"/>
      <c r="EF165" s="618"/>
      <c r="EG165" s="618"/>
      <c r="EH165" s="618"/>
      <c r="EI165" s="618"/>
      <c r="EJ165" s="618"/>
      <c r="EK165" s="618"/>
      <c r="EL165" s="618"/>
      <c r="EM165" s="618"/>
      <c r="EN165" s="618"/>
      <c r="EO165" s="618"/>
      <c r="EP165" s="618"/>
      <c r="EQ165" s="618"/>
      <c r="ER165" s="618"/>
      <c r="ES165" s="618"/>
      <c r="ET165" s="618"/>
      <c r="EU165" s="618"/>
      <c r="EV165" s="618"/>
      <c r="EW165" s="618"/>
      <c r="EX165" s="618"/>
      <c r="EY165" s="618"/>
      <c r="EZ165" s="618"/>
      <c r="FA165" s="618"/>
      <c r="FB165" s="618"/>
      <c r="FC165" s="618"/>
      <c r="FD165" s="618"/>
      <c r="FE165" s="618"/>
      <c r="FF165" s="618"/>
      <c r="FG165" s="618"/>
      <c r="FH165" s="618"/>
      <c r="FI165" s="618"/>
      <c r="FJ165" s="618"/>
      <c r="FK165" s="618"/>
      <c r="FL165" s="618"/>
      <c r="FM165" s="618"/>
      <c r="FN165" s="618"/>
      <c r="FO165" s="618"/>
      <c r="FP165" s="618"/>
      <c r="FQ165" s="618"/>
      <c r="FR165" s="618"/>
      <c r="FS165" s="618"/>
      <c r="FT165" s="618"/>
      <c r="FU165" s="618"/>
      <c r="FV165" s="618"/>
      <c r="FW165" s="618"/>
      <c r="FX165" s="618"/>
      <c r="FY165" s="618"/>
      <c r="FZ165" s="618"/>
      <c r="GA165" s="618"/>
      <c r="GB165" s="618"/>
      <c r="GC165" s="618"/>
      <c r="GD165" s="618"/>
      <c r="GE165" s="618"/>
      <c r="GF165" s="618"/>
      <c r="GG165" s="618"/>
      <c r="GH165" s="618"/>
      <c r="GI165" s="618"/>
      <c r="GJ165" s="618"/>
      <c r="GK165" s="618"/>
      <c r="GL165" s="618"/>
      <c r="GM165" s="618"/>
      <c r="GN165" s="618"/>
      <c r="GO165" s="618"/>
      <c r="GP165" s="618"/>
      <c r="GQ165" s="618"/>
      <c r="GR165" s="618"/>
      <c r="GS165" s="618"/>
      <c r="GT165" s="618"/>
      <c r="GU165" s="618"/>
      <c r="GV165" s="618"/>
      <c r="GW165" s="618"/>
      <c r="GX165" s="618"/>
      <c r="GY165" s="618"/>
      <c r="GZ165" s="618"/>
      <c r="HA165" s="618"/>
      <c r="HB165" s="618"/>
      <c r="HC165" s="618"/>
      <c r="HD165" s="618"/>
      <c r="HE165" s="618"/>
      <c r="HF165" s="639"/>
      <c r="HG165" s="639"/>
      <c r="HH165" s="639"/>
      <c r="HI165" s="639"/>
      <c r="HJ165" s="639"/>
      <c r="HK165" s="639"/>
      <c r="HL165" s="639"/>
      <c r="HM165" s="639"/>
      <c r="HN165" s="639"/>
      <c r="HO165" s="639"/>
      <c r="HP165" s="639"/>
      <c r="HQ165" s="639"/>
      <c r="HR165" s="639">
        <v>8.1000000000000003E-2</v>
      </c>
      <c r="HS165" s="639">
        <f t="shared" si="749"/>
        <v>543.85714285714289</v>
      </c>
      <c r="HT165" s="639">
        <f t="shared" si="750"/>
        <v>1</v>
      </c>
      <c r="HU165" s="618">
        <f t="shared" si="754"/>
        <v>2.0632653475189766</v>
      </c>
      <c r="HV165" s="618"/>
      <c r="HW165" s="618">
        <f t="shared" si="736"/>
        <v>33.070163206523056</v>
      </c>
      <c r="HX165" s="618">
        <f t="shared" si="755"/>
        <v>1.9787883195677278</v>
      </c>
      <c r="HY165" s="618">
        <f t="shared" si="756"/>
        <v>8.1000000000000003E-2</v>
      </c>
      <c r="HZ165" s="618"/>
      <c r="IA165" s="618"/>
      <c r="IB165" s="618">
        <f t="shared" si="737"/>
        <v>25.000350341399081</v>
      </c>
      <c r="IC165" s="618">
        <f t="shared" si="738"/>
        <v>1E-3</v>
      </c>
      <c r="ID165" s="618"/>
      <c r="IE165" s="618">
        <f t="shared" si="739"/>
        <v>0</v>
      </c>
      <c r="IF165" s="618">
        <f t="shared" si="740"/>
        <v>40.704999999999998</v>
      </c>
      <c r="IG165" s="618"/>
      <c r="IH165" s="618">
        <f t="shared" si="741"/>
        <v>0</v>
      </c>
      <c r="II165" s="618">
        <f t="shared" si="742"/>
        <v>40.704999999999998</v>
      </c>
      <c r="IJ165" s="618"/>
      <c r="IK165" s="618">
        <f t="shared" si="743"/>
        <v>0</v>
      </c>
      <c r="IL165" s="618">
        <f t="shared" si="744"/>
        <v>40.704999999999998</v>
      </c>
      <c r="IM165" s="618"/>
      <c r="IN165" s="618">
        <f t="shared" si="745"/>
        <v>0</v>
      </c>
      <c r="IO165" s="618">
        <f t="shared" si="746"/>
        <v>40.704999999999998</v>
      </c>
      <c r="IP165" s="618"/>
      <c r="IQ165" s="618">
        <f t="shared" si="747"/>
        <v>0</v>
      </c>
      <c r="IR165" s="618">
        <f t="shared" si="748"/>
        <v>40.704999999999998</v>
      </c>
      <c r="IS165" s="639"/>
      <c r="IT165" s="640"/>
      <c r="IU165" s="640"/>
      <c r="IV165" s="640"/>
      <c r="IW165" s="640"/>
      <c r="IX165" s="640"/>
      <c r="IY165" s="640"/>
      <c r="IZ165" s="640"/>
      <c r="JA165" s="640"/>
      <c r="JB165" s="640"/>
      <c r="JC165" s="640"/>
      <c r="JD165" s="640"/>
      <c r="JE165" s="640"/>
      <c r="JF165" s="640"/>
      <c r="JG165" s="640"/>
      <c r="JH165" s="640"/>
      <c r="JI165" s="640"/>
      <c r="JJ165" s="640"/>
      <c r="JK165" s="640"/>
      <c r="JL165" s="640"/>
      <c r="JM165" s="640"/>
      <c r="JN165" s="640"/>
      <c r="JO165" s="640"/>
      <c r="JP165" s="640"/>
      <c r="JQ165" s="640"/>
      <c r="JR165" s="640"/>
      <c r="JS165" s="640"/>
      <c r="JT165" s="640"/>
      <c r="JU165" s="640"/>
      <c r="JV165" s="652"/>
    </row>
    <row r="166" spans="1:282" s="579" customFormat="1">
      <c r="A166" s="334"/>
      <c r="U166" s="580"/>
      <c r="V166" s="580"/>
      <c r="AC166" s="580"/>
      <c r="AD166" s="580"/>
      <c r="AL166" s="580"/>
      <c r="AM166" s="580"/>
      <c r="AT166" s="580"/>
      <c r="AU166" s="580"/>
      <c r="AV166" s="581">
        <f t="shared" si="758"/>
        <v>0</v>
      </c>
      <c r="AW166" s="581">
        <f>IF($AY$32,'Data Sheet'!AA187,0)</f>
        <v>0</v>
      </c>
      <c r="AX166" s="581">
        <f t="shared" si="759"/>
        <v>40.704999999999998</v>
      </c>
      <c r="CH166" s="334"/>
      <c r="CI166" s="334"/>
      <c r="CO166" s="694" t="str">
        <f t="shared" si="753"/>
        <v>S200D</v>
      </c>
      <c r="CP166" s="639"/>
      <c r="CQ166" s="618"/>
      <c r="CR166" s="618"/>
      <c r="CS166" s="618"/>
      <c r="CT166" s="626"/>
      <c r="CU166" s="626"/>
      <c r="CV166" s="626"/>
      <c r="CW166" s="626"/>
      <c r="CX166" s="626"/>
      <c r="CY166" s="619"/>
      <c r="CZ166" s="619"/>
      <c r="DA166" s="619"/>
      <c r="DB166" s="619"/>
      <c r="DC166" s="618"/>
      <c r="DD166" s="618"/>
      <c r="DE166" s="618"/>
      <c r="DF166" s="618"/>
      <c r="DG166" s="618"/>
      <c r="DH166" s="618"/>
      <c r="DI166" s="618"/>
      <c r="DJ166" s="618"/>
      <c r="DK166" s="618"/>
      <c r="DL166" s="618"/>
      <c r="DM166" s="618"/>
      <c r="DN166" s="618"/>
      <c r="DO166" s="618"/>
      <c r="DP166" s="618"/>
      <c r="DQ166" s="618"/>
      <c r="DR166" s="618"/>
      <c r="DS166" s="618"/>
      <c r="DT166" s="618"/>
      <c r="DU166" s="618"/>
      <c r="DV166" s="618"/>
      <c r="DW166" s="618"/>
      <c r="DX166" s="618"/>
      <c r="DY166" s="618"/>
      <c r="DZ166" s="618"/>
      <c r="EA166" s="618"/>
      <c r="EB166" s="618"/>
      <c r="EC166" s="618"/>
      <c r="ED166" s="618"/>
      <c r="EE166" s="618"/>
      <c r="EF166" s="618"/>
      <c r="EG166" s="618"/>
      <c r="EH166" s="618"/>
      <c r="EI166" s="618"/>
      <c r="EJ166" s="618"/>
      <c r="EK166" s="618"/>
      <c r="EL166" s="618"/>
      <c r="EM166" s="618"/>
      <c r="EN166" s="618"/>
      <c r="EO166" s="618"/>
      <c r="EP166" s="618"/>
      <c r="EQ166" s="618"/>
      <c r="ER166" s="618"/>
      <c r="ES166" s="618"/>
      <c r="ET166" s="618"/>
      <c r="EU166" s="618"/>
      <c r="EV166" s="618"/>
      <c r="EW166" s="618"/>
      <c r="EX166" s="618"/>
      <c r="EY166" s="618"/>
      <c r="EZ166" s="618"/>
      <c r="FA166" s="618"/>
      <c r="FB166" s="618"/>
      <c r="FC166" s="618"/>
      <c r="FD166" s="618"/>
      <c r="FE166" s="618"/>
      <c r="FF166" s="618"/>
      <c r="FG166" s="618"/>
      <c r="FH166" s="618"/>
      <c r="FI166" s="618"/>
      <c r="FJ166" s="618"/>
      <c r="FK166" s="618"/>
      <c r="FL166" s="618"/>
      <c r="FM166" s="618"/>
      <c r="FN166" s="618"/>
      <c r="FO166" s="618"/>
      <c r="FP166" s="618"/>
      <c r="FQ166" s="618"/>
      <c r="FR166" s="618"/>
      <c r="FS166" s="618"/>
      <c r="FT166" s="618"/>
      <c r="FU166" s="618"/>
      <c r="FV166" s="618"/>
      <c r="FW166" s="618"/>
      <c r="FX166" s="618"/>
      <c r="FY166" s="618"/>
      <c r="FZ166" s="618"/>
      <c r="GA166" s="618"/>
      <c r="GB166" s="618"/>
      <c r="GC166" s="618"/>
      <c r="GD166" s="618"/>
      <c r="GE166" s="618"/>
      <c r="GF166" s="618"/>
      <c r="GG166" s="618"/>
      <c r="GH166" s="618"/>
      <c r="GI166" s="618"/>
      <c r="GJ166" s="618"/>
      <c r="GK166" s="618"/>
      <c r="GL166" s="618"/>
      <c r="GM166" s="618"/>
      <c r="GN166" s="618"/>
      <c r="GO166" s="618"/>
      <c r="GP166" s="618"/>
      <c r="GQ166" s="618"/>
      <c r="GR166" s="618"/>
      <c r="GS166" s="618"/>
      <c r="GT166" s="618"/>
      <c r="GU166" s="618"/>
      <c r="GV166" s="618"/>
      <c r="GW166" s="618"/>
      <c r="GX166" s="618"/>
      <c r="GY166" s="618"/>
      <c r="GZ166" s="618"/>
      <c r="HA166" s="618"/>
      <c r="HB166" s="618"/>
      <c r="HC166" s="618"/>
      <c r="HD166" s="618"/>
      <c r="HE166" s="618"/>
      <c r="HF166" s="639"/>
      <c r="HG166" s="639"/>
      <c r="HH166" s="639"/>
      <c r="HI166" s="639"/>
      <c r="HJ166" s="639"/>
      <c r="HK166" s="639"/>
      <c r="HL166" s="639"/>
      <c r="HM166" s="639"/>
      <c r="HN166" s="639"/>
      <c r="HO166" s="639"/>
      <c r="HP166" s="639"/>
      <c r="HQ166" s="639"/>
      <c r="HR166" s="639">
        <v>8.1500000000000003E-2</v>
      </c>
      <c r="HS166" s="639">
        <f t="shared" si="749"/>
        <v>547.21428571428578</v>
      </c>
      <c r="HT166" s="639">
        <f t="shared" si="750"/>
        <v>1</v>
      </c>
      <c r="HU166" s="618">
        <f t="shared" si="754"/>
        <v>2.0760043914926016</v>
      </c>
      <c r="HV166" s="618"/>
      <c r="HW166" s="618">
        <f t="shared" si="736"/>
        <v>33.052073764080504</v>
      </c>
      <c r="HX166" s="618">
        <f t="shared" si="755"/>
        <v>1.9904842034871755</v>
      </c>
      <c r="HY166" s="618">
        <f t="shared" si="756"/>
        <v>8.1500000000000003E-2</v>
      </c>
      <c r="HZ166" s="618"/>
      <c r="IA166" s="618"/>
      <c r="IB166" s="618">
        <f t="shared" si="737"/>
        <v>25.000350341399081</v>
      </c>
      <c r="IC166" s="618">
        <f t="shared" si="738"/>
        <v>1E-3</v>
      </c>
      <c r="ID166" s="618"/>
      <c r="IE166" s="618">
        <f t="shared" si="739"/>
        <v>0</v>
      </c>
      <c r="IF166" s="618">
        <f t="shared" si="740"/>
        <v>40.704999999999998</v>
      </c>
      <c r="IG166" s="618"/>
      <c r="IH166" s="618">
        <f t="shared" si="741"/>
        <v>0</v>
      </c>
      <c r="II166" s="618">
        <f t="shared" si="742"/>
        <v>40.704999999999998</v>
      </c>
      <c r="IJ166" s="618"/>
      <c r="IK166" s="618">
        <f t="shared" si="743"/>
        <v>0</v>
      </c>
      <c r="IL166" s="618">
        <f t="shared" si="744"/>
        <v>40.704999999999998</v>
      </c>
      <c r="IM166" s="618"/>
      <c r="IN166" s="618">
        <f t="shared" si="745"/>
        <v>0</v>
      </c>
      <c r="IO166" s="618">
        <f t="shared" si="746"/>
        <v>40.704999999999998</v>
      </c>
      <c r="IP166" s="618"/>
      <c r="IQ166" s="618">
        <f t="shared" si="747"/>
        <v>0</v>
      </c>
      <c r="IR166" s="618">
        <f t="shared" si="748"/>
        <v>40.704999999999998</v>
      </c>
      <c r="IS166" s="639"/>
      <c r="IT166" s="640"/>
      <c r="IU166" s="640"/>
      <c r="IV166" s="640"/>
      <c r="IW166" s="640"/>
      <c r="IX166" s="640"/>
      <c r="IY166" s="640"/>
      <c r="IZ166" s="640"/>
      <c r="JA166" s="640"/>
      <c r="JB166" s="640"/>
      <c r="JC166" s="640"/>
      <c r="JD166" s="640"/>
      <c r="JE166" s="640"/>
      <c r="JF166" s="640"/>
      <c r="JG166" s="640"/>
      <c r="JH166" s="640"/>
      <c r="JI166" s="640"/>
      <c r="JJ166" s="640"/>
      <c r="JK166" s="640"/>
      <c r="JL166" s="640"/>
      <c r="JM166" s="640"/>
      <c r="JN166" s="640"/>
      <c r="JO166" s="640"/>
      <c r="JP166" s="640"/>
      <c r="JQ166" s="640"/>
      <c r="JR166" s="640"/>
      <c r="JS166" s="640"/>
      <c r="JT166" s="640"/>
      <c r="JU166" s="640"/>
      <c r="JV166" s="652"/>
    </row>
    <row r="167" spans="1:282" s="579" customFormat="1">
      <c r="A167" s="334"/>
      <c r="U167" s="580"/>
      <c r="V167" s="580"/>
      <c r="AC167" s="580"/>
      <c r="AD167" s="580"/>
      <c r="AL167" s="580"/>
      <c r="AM167" s="580"/>
      <c r="AT167" s="580"/>
      <c r="AU167" s="580"/>
      <c r="AV167" s="581">
        <f t="shared" si="758"/>
        <v>0</v>
      </c>
      <c r="AW167" s="581">
        <f>IF($AY$32,'Data Sheet'!AA188,0)</f>
        <v>0</v>
      </c>
      <c r="AX167" s="581">
        <f t="shared" si="759"/>
        <v>40.704999999999998</v>
      </c>
      <c r="CH167" s="334"/>
      <c r="CI167" s="334"/>
      <c r="CO167" s="694" t="str">
        <f t="shared" si="753"/>
        <v>S200D 1S</v>
      </c>
      <c r="CP167" s="639"/>
      <c r="CQ167" s="618"/>
      <c r="CR167" s="618"/>
      <c r="CS167" s="618"/>
      <c r="CT167" s="626"/>
      <c r="CU167" s="626"/>
      <c r="CV167" s="626"/>
      <c r="CW167" s="626"/>
      <c r="CX167" s="626"/>
      <c r="CY167" s="619"/>
      <c r="CZ167" s="619"/>
      <c r="DA167" s="619"/>
      <c r="DB167" s="619"/>
      <c r="DC167" s="618"/>
      <c r="DD167" s="618"/>
      <c r="DE167" s="618"/>
      <c r="DF167" s="618"/>
      <c r="DG167" s="618"/>
      <c r="DH167" s="618"/>
      <c r="DI167" s="618"/>
      <c r="DJ167" s="618"/>
      <c r="DK167" s="618"/>
      <c r="DL167" s="618"/>
      <c r="DM167" s="618"/>
      <c r="DN167" s="618"/>
      <c r="DO167" s="618"/>
      <c r="DP167" s="618"/>
      <c r="DQ167" s="618"/>
      <c r="DR167" s="618"/>
      <c r="DS167" s="618"/>
      <c r="DT167" s="618"/>
      <c r="DU167" s="618"/>
      <c r="DV167" s="618"/>
      <c r="DW167" s="618"/>
      <c r="DX167" s="618"/>
      <c r="DY167" s="618"/>
      <c r="DZ167" s="618"/>
      <c r="EA167" s="618"/>
      <c r="EB167" s="618"/>
      <c r="EC167" s="618"/>
      <c r="ED167" s="618"/>
      <c r="EE167" s="618"/>
      <c r="EF167" s="618"/>
      <c r="EG167" s="618"/>
      <c r="EH167" s="618"/>
      <c r="EI167" s="618"/>
      <c r="EJ167" s="618"/>
      <c r="EK167" s="618"/>
      <c r="EL167" s="618"/>
      <c r="EM167" s="618"/>
      <c r="EN167" s="618"/>
      <c r="EO167" s="618"/>
      <c r="EP167" s="618"/>
      <c r="EQ167" s="618"/>
      <c r="ER167" s="618"/>
      <c r="ES167" s="618"/>
      <c r="ET167" s="618"/>
      <c r="EU167" s="618"/>
      <c r="EV167" s="618"/>
      <c r="EW167" s="618"/>
      <c r="EX167" s="618"/>
      <c r="EY167" s="618"/>
      <c r="EZ167" s="618"/>
      <c r="FA167" s="618"/>
      <c r="FB167" s="618"/>
      <c r="FC167" s="618"/>
      <c r="FD167" s="618"/>
      <c r="FE167" s="618"/>
      <c r="FF167" s="618"/>
      <c r="FG167" s="618"/>
      <c r="FH167" s="618"/>
      <c r="FI167" s="618"/>
      <c r="FJ167" s="618"/>
      <c r="FK167" s="618"/>
      <c r="FL167" s="618"/>
      <c r="FM167" s="618"/>
      <c r="FN167" s="618"/>
      <c r="FO167" s="618"/>
      <c r="FP167" s="618"/>
      <c r="FQ167" s="618"/>
      <c r="FR167" s="618"/>
      <c r="FS167" s="618"/>
      <c r="FT167" s="618"/>
      <c r="FU167" s="618"/>
      <c r="FV167" s="618"/>
      <c r="FW167" s="618"/>
      <c r="FX167" s="618"/>
      <c r="FY167" s="618"/>
      <c r="FZ167" s="618"/>
      <c r="GA167" s="618"/>
      <c r="GB167" s="618"/>
      <c r="GC167" s="618"/>
      <c r="GD167" s="618"/>
      <c r="GE167" s="618"/>
      <c r="GF167" s="618"/>
      <c r="GG167" s="618"/>
      <c r="GH167" s="618"/>
      <c r="GI167" s="618"/>
      <c r="GJ167" s="618"/>
      <c r="GK167" s="618"/>
      <c r="GL167" s="618"/>
      <c r="GM167" s="618"/>
      <c r="GN167" s="618"/>
      <c r="GO167" s="618"/>
      <c r="GP167" s="618"/>
      <c r="GQ167" s="618"/>
      <c r="GR167" s="618"/>
      <c r="GS167" s="618"/>
      <c r="GT167" s="618"/>
      <c r="GU167" s="618"/>
      <c r="GV167" s="618"/>
      <c r="GW167" s="618"/>
      <c r="GX167" s="618"/>
      <c r="GY167" s="618"/>
      <c r="GZ167" s="618"/>
      <c r="HA167" s="618"/>
      <c r="HB167" s="618"/>
      <c r="HC167" s="618"/>
      <c r="HD167" s="618"/>
      <c r="HE167" s="618"/>
      <c r="HF167" s="639"/>
      <c r="HG167" s="639"/>
      <c r="HH167" s="639"/>
      <c r="HI167" s="639"/>
      <c r="HJ167" s="639"/>
      <c r="HK167" s="639"/>
      <c r="HL167" s="639"/>
      <c r="HM167" s="639"/>
      <c r="HN167" s="639"/>
      <c r="HO167" s="639"/>
      <c r="HP167" s="639"/>
      <c r="HQ167" s="639"/>
      <c r="HR167" s="639">
        <v>8.2000000000000003E-2</v>
      </c>
      <c r="HS167" s="639">
        <f t="shared" si="749"/>
        <v>550.57142857142856</v>
      </c>
      <c r="HT167" s="639">
        <f t="shared" si="750"/>
        <v>1</v>
      </c>
      <c r="HU167" s="618">
        <f t="shared" si="754"/>
        <v>2.0887434354662267</v>
      </c>
      <c r="HV167" s="618"/>
      <c r="HW167" s="618">
        <f t="shared" si="736"/>
        <v>33.033984321637959</v>
      </c>
      <c r="HX167" s="618">
        <f t="shared" si="755"/>
        <v>2.0021736862343249</v>
      </c>
      <c r="HY167" s="618">
        <f t="shared" si="756"/>
        <v>8.2000000000000003E-2</v>
      </c>
      <c r="HZ167" s="618"/>
      <c r="IA167" s="618"/>
      <c r="IB167" s="618">
        <f t="shared" si="737"/>
        <v>25.000350341399081</v>
      </c>
      <c r="IC167" s="618">
        <f t="shared" si="738"/>
        <v>1E-3</v>
      </c>
      <c r="ID167" s="618"/>
      <c r="IE167" s="618">
        <f t="shared" si="739"/>
        <v>0</v>
      </c>
      <c r="IF167" s="618">
        <f t="shared" si="740"/>
        <v>40.704999999999998</v>
      </c>
      <c r="IG167" s="618"/>
      <c r="IH167" s="618">
        <f t="shared" si="741"/>
        <v>0</v>
      </c>
      <c r="II167" s="618">
        <f t="shared" si="742"/>
        <v>40.704999999999998</v>
      </c>
      <c r="IJ167" s="618"/>
      <c r="IK167" s="618">
        <f t="shared" si="743"/>
        <v>0</v>
      </c>
      <c r="IL167" s="618">
        <f t="shared" si="744"/>
        <v>40.704999999999998</v>
      </c>
      <c r="IM167" s="618"/>
      <c r="IN167" s="618">
        <f t="shared" si="745"/>
        <v>0</v>
      </c>
      <c r="IO167" s="618">
        <f t="shared" si="746"/>
        <v>40.704999999999998</v>
      </c>
      <c r="IP167" s="618"/>
      <c r="IQ167" s="618">
        <f t="shared" si="747"/>
        <v>0</v>
      </c>
      <c r="IR167" s="618">
        <f t="shared" si="748"/>
        <v>40.704999999999998</v>
      </c>
      <c r="IS167" s="639"/>
      <c r="IT167" s="640"/>
      <c r="IU167" s="640"/>
      <c r="IV167" s="640"/>
      <c r="IW167" s="640"/>
      <c r="IX167" s="640"/>
      <c r="IY167" s="640"/>
      <c r="IZ167" s="640"/>
      <c r="JA167" s="640"/>
      <c r="JB167" s="640"/>
      <c r="JC167" s="640"/>
      <c r="JD167" s="640"/>
      <c r="JE167" s="640"/>
      <c r="JF167" s="640"/>
      <c r="JG167" s="640"/>
      <c r="JH167" s="640"/>
      <c r="JI167" s="640"/>
      <c r="JJ167" s="640"/>
      <c r="JK167" s="640"/>
      <c r="JL167" s="640"/>
      <c r="JM167" s="640"/>
      <c r="JN167" s="640"/>
      <c r="JO167" s="640"/>
      <c r="JP167" s="640"/>
      <c r="JQ167" s="640"/>
      <c r="JR167" s="640"/>
      <c r="JS167" s="640"/>
      <c r="JT167" s="640"/>
      <c r="JU167" s="640"/>
      <c r="JV167" s="652"/>
    </row>
    <row r="168" spans="1:282" s="579" customFormat="1">
      <c r="A168" s="334"/>
      <c r="U168" s="580"/>
      <c r="V168" s="580"/>
      <c r="AC168" s="580"/>
      <c r="AD168" s="580"/>
      <c r="AL168" s="580"/>
      <c r="AM168" s="580"/>
      <c r="AT168" s="580"/>
      <c r="AU168" s="580"/>
      <c r="AV168" s="581">
        <f t="shared" si="758"/>
        <v>0</v>
      </c>
      <c r="AW168" s="581">
        <f>IF($AY$32,'Data Sheet'!AA189,0)</f>
        <v>0</v>
      </c>
      <c r="AX168" s="581">
        <f t="shared" si="759"/>
        <v>40.704999999999998</v>
      </c>
      <c r="CH168" s="334"/>
      <c r="CI168" s="334"/>
      <c r="CO168" s="694" t="str">
        <f t="shared" si="753"/>
        <v>L320SS</v>
      </c>
      <c r="CP168" s="639"/>
      <c r="CQ168" s="618"/>
      <c r="CR168" s="618"/>
      <c r="CS168" s="618"/>
      <c r="CT168" s="626"/>
      <c r="CU168" s="626"/>
      <c r="CV168" s="626"/>
      <c r="CW168" s="626"/>
      <c r="CX168" s="626"/>
      <c r="CY168" s="619"/>
      <c r="CZ168" s="619"/>
      <c r="DA168" s="619"/>
      <c r="DB168" s="619"/>
      <c r="DC168" s="618"/>
      <c r="DD168" s="618"/>
      <c r="DE168" s="618"/>
      <c r="DF168" s="618"/>
      <c r="DG168" s="618"/>
      <c r="DH168" s="618"/>
      <c r="DI168" s="618"/>
      <c r="DJ168" s="618"/>
      <c r="DK168" s="618"/>
      <c r="DL168" s="618"/>
      <c r="DM168" s="618"/>
      <c r="DN168" s="618"/>
      <c r="DO168" s="618"/>
      <c r="DP168" s="618"/>
      <c r="DQ168" s="618"/>
      <c r="DR168" s="618"/>
      <c r="DS168" s="618"/>
      <c r="DT168" s="618"/>
      <c r="DU168" s="618"/>
      <c r="DV168" s="618"/>
      <c r="DW168" s="618"/>
      <c r="DX168" s="618"/>
      <c r="DY168" s="618"/>
      <c r="DZ168" s="618"/>
      <c r="EA168" s="618"/>
      <c r="EB168" s="618"/>
      <c r="EC168" s="618"/>
      <c r="ED168" s="618"/>
      <c r="EE168" s="618"/>
      <c r="EF168" s="618"/>
      <c r="EG168" s="618"/>
      <c r="EH168" s="618"/>
      <c r="EI168" s="618"/>
      <c r="EJ168" s="618"/>
      <c r="EK168" s="618"/>
      <c r="EL168" s="618"/>
      <c r="EM168" s="618"/>
      <c r="EN168" s="618"/>
      <c r="EO168" s="618"/>
      <c r="EP168" s="618"/>
      <c r="EQ168" s="618"/>
      <c r="ER168" s="618"/>
      <c r="ES168" s="618"/>
      <c r="ET168" s="618"/>
      <c r="EU168" s="618"/>
      <c r="EV168" s="618"/>
      <c r="EW168" s="618"/>
      <c r="EX168" s="618"/>
      <c r="EY168" s="618"/>
      <c r="EZ168" s="618"/>
      <c r="FA168" s="618"/>
      <c r="FB168" s="618"/>
      <c r="FC168" s="618"/>
      <c r="FD168" s="618"/>
      <c r="FE168" s="618"/>
      <c r="FF168" s="618"/>
      <c r="FG168" s="618"/>
      <c r="FH168" s="618"/>
      <c r="FI168" s="618"/>
      <c r="FJ168" s="618"/>
      <c r="FK168" s="618"/>
      <c r="FL168" s="618"/>
      <c r="FM168" s="618"/>
      <c r="FN168" s="618"/>
      <c r="FO168" s="618"/>
      <c r="FP168" s="618"/>
      <c r="FQ168" s="618"/>
      <c r="FR168" s="618"/>
      <c r="FS168" s="618"/>
      <c r="FT168" s="618"/>
      <c r="FU168" s="618"/>
      <c r="FV168" s="618"/>
      <c r="FW168" s="618"/>
      <c r="FX168" s="618"/>
      <c r="FY168" s="618"/>
      <c r="FZ168" s="618"/>
      <c r="GA168" s="618"/>
      <c r="GB168" s="618"/>
      <c r="GC168" s="618"/>
      <c r="GD168" s="618"/>
      <c r="GE168" s="618"/>
      <c r="GF168" s="618"/>
      <c r="GG168" s="618"/>
      <c r="GH168" s="618"/>
      <c r="GI168" s="618"/>
      <c r="GJ168" s="618"/>
      <c r="GK168" s="618"/>
      <c r="GL168" s="618"/>
      <c r="GM168" s="618"/>
      <c r="GN168" s="618"/>
      <c r="GO168" s="618"/>
      <c r="GP168" s="618"/>
      <c r="GQ168" s="618"/>
      <c r="GR168" s="618"/>
      <c r="GS168" s="618"/>
      <c r="GT168" s="618"/>
      <c r="GU168" s="618"/>
      <c r="GV168" s="618"/>
      <c r="GW168" s="618"/>
      <c r="GX168" s="618"/>
      <c r="GY168" s="618"/>
      <c r="GZ168" s="618"/>
      <c r="HA168" s="618"/>
      <c r="HB168" s="618"/>
      <c r="HC168" s="618"/>
      <c r="HD168" s="618"/>
      <c r="HE168" s="618"/>
      <c r="HF168" s="639"/>
      <c r="HG168" s="639"/>
      <c r="HH168" s="639"/>
      <c r="HI168" s="639"/>
      <c r="HJ168" s="639"/>
      <c r="HK168" s="639"/>
      <c r="HL168" s="639"/>
      <c r="HM168" s="639"/>
      <c r="HN168" s="639"/>
      <c r="HO168" s="639"/>
      <c r="HP168" s="639"/>
      <c r="HQ168" s="639"/>
      <c r="HR168" s="639">
        <v>8.2500000000000004E-2</v>
      </c>
      <c r="HS168" s="639">
        <f t="shared" si="749"/>
        <v>553.92857142857144</v>
      </c>
      <c r="HT168" s="639">
        <f t="shared" si="750"/>
        <v>1</v>
      </c>
      <c r="HU168" s="618">
        <f t="shared" si="754"/>
        <v>2.1014824794398517</v>
      </c>
      <c r="HV168" s="618"/>
      <c r="HW168" s="618">
        <f t="shared" si="736"/>
        <v>33.015894879195415</v>
      </c>
      <c r="HX168" s="618">
        <f t="shared" si="755"/>
        <v>2.0138567678091763</v>
      </c>
      <c r="HY168" s="618">
        <f t="shared" si="756"/>
        <v>8.2500000000000004E-2</v>
      </c>
      <c r="HZ168" s="618"/>
      <c r="IA168" s="618"/>
      <c r="IB168" s="618">
        <f t="shared" si="737"/>
        <v>25.000350341399081</v>
      </c>
      <c r="IC168" s="618">
        <f t="shared" si="738"/>
        <v>1E-3</v>
      </c>
      <c r="ID168" s="618"/>
      <c r="IE168" s="618">
        <f t="shared" si="739"/>
        <v>0</v>
      </c>
      <c r="IF168" s="618">
        <f t="shared" si="740"/>
        <v>40.704999999999998</v>
      </c>
      <c r="IG168" s="618"/>
      <c r="IH168" s="618">
        <f t="shared" si="741"/>
        <v>0</v>
      </c>
      <c r="II168" s="618">
        <f t="shared" si="742"/>
        <v>40.704999999999998</v>
      </c>
      <c r="IJ168" s="618"/>
      <c r="IK168" s="618">
        <f t="shared" si="743"/>
        <v>0</v>
      </c>
      <c r="IL168" s="618">
        <f t="shared" si="744"/>
        <v>40.704999999999998</v>
      </c>
      <c r="IM168" s="618"/>
      <c r="IN168" s="618">
        <f t="shared" si="745"/>
        <v>0</v>
      </c>
      <c r="IO168" s="618">
        <f t="shared" si="746"/>
        <v>40.704999999999998</v>
      </c>
      <c r="IP168" s="618"/>
      <c r="IQ168" s="618">
        <f t="shared" si="747"/>
        <v>0</v>
      </c>
      <c r="IR168" s="618">
        <f t="shared" si="748"/>
        <v>40.704999999999998</v>
      </c>
      <c r="IS168" s="639"/>
      <c r="IT168" s="640"/>
      <c r="IU168" s="640"/>
      <c r="IV168" s="640"/>
      <c r="IW168" s="640"/>
      <c r="IX168" s="640"/>
      <c r="IY168" s="640"/>
      <c r="IZ168" s="640"/>
      <c r="JA168" s="640"/>
      <c r="JB168" s="640"/>
      <c r="JC168" s="640"/>
      <c r="JD168" s="640"/>
      <c r="JE168" s="640"/>
      <c r="JF168" s="640"/>
      <c r="JG168" s="640"/>
      <c r="JH168" s="640"/>
      <c r="JI168" s="640"/>
      <c r="JJ168" s="640"/>
      <c r="JK168" s="640"/>
      <c r="JL168" s="640"/>
      <c r="JM168" s="640"/>
      <c r="JN168" s="640"/>
      <c r="JO168" s="640"/>
      <c r="JP168" s="640"/>
      <c r="JQ168" s="640"/>
      <c r="JR168" s="640"/>
      <c r="JS168" s="640"/>
      <c r="JT168" s="640"/>
      <c r="JU168" s="640"/>
      <c r="JV168" s="652"/>
    </row>
    <row r="169" spans="1:282" s="579" customFormat="1">
      <c r="A169" s="334"/>
      <c r="U169" s="580"/>
      <c r="V169" s="580"/>
      <c r="AC169" s="580"/>
      <c r="AD169" s="580"/>
      <c r="AL169" s="580"/>
      <c r="AM169" s="580"/>
      <c r="AT169" s="580"/>
      <c r="AU169" s="580"/>
      <c r="AV169" s="581" t="e">
        <f t="shared" si="758"/>
        <v>#DIV/0!</v>
      </c>
      <c r="AW169" s="581" t="e">
        <f>IF($AY$32,'Data Sheet'!AA190,0)</f>
        <v>#DIV/0!</v>
      </c>
      <c r="AX169" s="581">
        <f t="shared" si="759"/>
        <v>40.704999999999998</v>
      </c>
      <c r="CH169" s="334"/>
      <c r="CI169" s="334"/>
      <c r="CO169" s="694" t="str">
        <f t="shared" si="753"/>
        <v>S160Q</v>
      </c>
      <c r="CP169" s="639"/>
      <c r="CQ169" s="618"/>
      <c r="CR169" s="618"/>
      <c r="CS169" s="618"/>
      <c r="CT169" s="626"/>
      <c r="CU169" s="626"/>
      <c r="CV169" s="626"/>
      <c r="CW169" s="626"/>
      <c r="CX169" s="626"/>
      <c r="CY169" s="619"/>
      <c r="CZ169" s="619"/>
      <c r="DA169" s="619"/>
      <c r="DB169" s="619"/>
      <c r="DC169" s="618"/>
      <c r="DD169" s="618"/>
      <c r="DE169" s="618"/>
      <c r="DF169" s="618"/>
      <c r="DG169" s="618"/>
      <c r="DH169" s="618"/>
      <c r="DI169" s="618"/>
      <c r="DJ169" s="618"/>
      <c r="DK169" s="618"/>
      <c r="DL169" s="618"/>
      <c r="DM169" s="618"/>
      <c r="DN169" s="618"/>
      <c r="DO169" s="618"/>
      <c r="DP169" s="618"/>
      <c r="DQ169" s="618"/>
      <c r="DR169" s="618"/>
      <c r="DS169" s="618"/>
      <c r="DT169" s="618"/>
      <c r="DU169" s="618"/>
      <c r="DV169" s="618"/>
      <c r="DW169" s="618"/>
      <c r="DX169" s="618"/>
      <c r="DY169" s="618"/>
      <c r="DZ169" s="618"/>
      <c r="EA169" s="618"/>
      <c r="EB169" s="618"/>
      <c r="EC169" s="618"/>
      <c r="ED169" s="618"/>
      <c r="EE169" s="618"/>
      <c r="EF169" s="618"/>
      <c r="EG169" s="618"/>
      <c r="EH169" s="618"/>
      <c r="EI169" s="618"/>
      <c r="EJ169" s="618"/>
      <c r="EK169" s="618"/>
      <c r="EL169" s="618"/>
      <c r="EM169" s="618"/>
      <c r="EN169" s="618"/>
      <c r="EO169" s="618"/>
      <c r="EP169" s="618"/>
      <c r="EQ169" s="618"/>
      <c r="ER169" s="618"/>
      <c r="ES169" s="618"/>
      <c r="ET169" s="618"/>
      <c r="EU169" s="618"/>
      <c r="EV169" s="618"/>
      <c r="EW169" s="618"/>
      <c r="EX169" s="618"/>
      <c r="EY169" s="618"/>
      <c r="EZ169" s="618"/>
      <c r="FA169" s="618"/>
      <c r="FB169" s="618"/>
      <c r="FC169" s="618"/>
      <c r="FD169" s="618"/>
      <c r="FE169" s="618"/>
      <c r="FF169" s="618"/>
      <c r="FG169" s="618"/>
      <c r="FH169" s="618"/>
      <c r="FI169" s="618"/>
      <c r="FJ169" s="618"/>
      <c r="FK169" s="618"/>
      <c r="FL169" s="618"/>
      <c r="FM169" s="618"/>
      <c r="FN169" s="618"/>
      <c r="FO169" s="618"/>
      <c r="FP169" s="618"/>
      <c r="FQ169" s="618"/>
      <c r="FR169" s="618"/>
      <c r="FS169" s="618"/>
      <c r="FT169" s="618"/>
      <c r="FU169" s="618"/>
      <c r="FV169" s="618"/>
      <c r="FW169" s="618"/>
      <c r="FX169" s="618"/>
      <c r="FY169" s="618"/>
      <c r="FZ169" s="618"/>
      <c r="GA169" s="618"/>
      <c r="GB169" s="618"/>
      <c r="GC169" s="618"/>
      <c r="GD169" s="618"/>
      <c r="GE169" s="618"/>
      <c r="GF169" s="618"/>
      <c r="GG169" s="618"/>
      <c r="GH169" s="618"/>
      <c r="GI169" s="618"/>
      <c r="GJ169" s="618"/>
      <c r="GK169" s="618"/>
      <c r="GL169" s="618"/>
      <c r="GM169" s="618"/>
      <c r="GN169" s="618"/>
      <c r="GO169" s="618"/>
      <c r="GP169" s="618"/>
      <c r="GQ169" s="618"/>
      <c r="GR169" s="618"/>
      <c r="GS169" s="618"/>
      <c r="GT169" s="618"/>
      <c r="GU169" s="618"/>
      <c r="GV169" s="618"/>
      <c r="GW169" s="618"/>
      <c r="GX169" s="618"/>
      <c r="GY169" s="618"/>
      <c r="GZ169" s="618"/>
      <c r="HA169" s="618"/>
      <c r="HB169" s="618"/>
      <c r="HC169" s="618"/>
      <c r="HD169" s="618"/>
      <c r="HE169" s="618"/>
      <c r="HF169" s="639"/>
      <c r="HG169" s="639"/>
      <c r="HH169" s="639"/>
      <c r="HI169" s="639"/>
      <c r="HJ169" s="639"/>
      <c r="HK169" s="639"/>
      <c r="HL169" s="639"/>
      <c r="HM169" s="639"/>
      <c r="HN169" s="639"/>
      <c r="HO169" s="639"/>
      <c r="HP169" s="639"/>
      <c r="HQ169" s="639"/>
      <c r="HR169" s="639">
        <v>8.3000000000000004E-2</v>
      </c>
      <c r="HS169" s="639">
        <f t="shared" si="749"/>
        <v>557.28571428571433</v>
      </c>
      <c r="HT169" s="639">
        <f t="shared" si="750"/>
        <v>1</v>
      </c>
      <c r="HU169" s="618">
        <f t="shared" si="754"/>
        <v>2.1142215234134767</v>
      </c>
      <c r="HV169" s="618"/>
      <c r="HW169" s="618">
        <f t="shared" si="736"/>
        <v>32.997805436752863</v>
      </c>
      <c r="HX169" s="618">
        <f t="shared" si="755"/>
        <v>2.0255334482117293</v>
      </c>
      <c r="HY169" s="618">
        <f t="shared" si="756"/>
        <v>8.3000000000000004E-2</v>
      </c>
      <c r="HZ169" s="618"/>
      <c r="IA169" s="618"/>
      <c r="IB169" s="618">
        <f t="shared" si="737"/>
        <v>25.000350341399081</v>
      </c>
      <c r="IC169" s="618">
        <f t="shared" si="738"/>
        <v>1E-3</v>
      </c>
      <c r="ID169" s="618"/>
      <c r="IE169" s="618">
        <f t="shared" si="739"/>
        <v>0</v>
      </c>
      <c r="IF169" s="618">
        <f t="shared" si="740"/>
        <v>40.704999999999998</v>
      </c>
      <c r="IG169" s="618"/>
      <c r="IH169" s="618">
        <f t="shared" si="741"/>
        <v>0</v>
      </c>
      <c r="II169" s="618">
        <f t="shared" si="742"/>
        <v>40.704999999999998</v>
      </c>
      <c r="IJ169" s="618"/>
      <c r="IK169" s="618">
        <f t="shared" si="743"/>
        <v>0</v>
      </c>
      <c r="IL169" s="618">
        <f t="shared" si="744"/>
        <v>40.704999999999998</v>
      </c>
      <c r="IM169" s="618"/>
      <c r="IN169" s="618">
        <f t="shared" si="745"/>
        <v>0</v>
      </c>
      <c r="IO169" s="618">
        <f t="shared" si="746"/>
        <v>40.704999999999998</v>
      </c>
      <c r="IP169" s="618"/>
      <c r="IQ169" s="618">
        <f t="shared" si="747"/>
        <v>0</v>
      </c>
      <c r="IR169" s="618">
        <f t="shared" si="748"/>
        <v>40.704999999999998</v>
      </c>
      <c r="IS169" s="639"/>
      <c r="IT169" s="640"/>
      <c r="IU169" s="640"/>
      <c r="IV169" s="640"/>
      <c r="IW169" s="640"/>
      <c r="IX169" s="640"/>
      <c r="IY169" s="640"/>
      <c r="IZ169" s="640"/>
      <c r="JA169" s="640"/>
      <c r="JB169" s="640"/>
      <c r="JC169" s="640"/>
      <c r="JD169" s="640"/>
      <c r="JE169" s="640"/>
      <c r="JF169" s="640"/>
      <c r="JG169" s="640"/>
      <c r="JH169" s="640"/>
      <c r="JI169" s="640"/>
      <c r="JJ169" s="640"/>
      <c r="JK169" s="640"/>
      <c r="JL169" s="640"/>
      <c r="JM169" s="640"/>
      <c r="JN169" s="640"/>
      <c r="JO169" s="640"/>
      <c r="JP169" s="640"/>
      <c r="JQ169" s="640"/>
      <c r="JR169" s="640"/>
      <c r="JS169" s="640"/>
      <c r="JT169" s="640"/>
      <c r="JU169" s="640"/>
      <c r="JV169" s="652"/>
    </row>
    <row r="170" spans="1:282" s="579" customFormat="1">
      <c r="A170" s="334"/>
      <c r="U170" s="580"/>
      <c r="V170" s="580"/>
      <c r="AC170" s="580"/>
      <c r="AD170" s="580"/>
      <c r="AL170" s="580"/>
      <c r="AM170" s="580"/>
      <c r="AT170" s="580"/>
      <c r="AU170" s="580"/>
      <c r="AV170" s="581" t="e">
        <f t="shared" si="758"/>
        <v>#DIV/0!</v>
      </c>
      <c r="AW170" s="581" t="e">
        <f>IF($AY$32,'Data Sheet'!AA191,0)</f>
        <v>#DIV/0!</v>
      </c>
      <c r="AX170" s="581">
        <f t="shared" si="759"/>
        <v>40.704999999999998</v>
      </c>
      <c r="CH170" s="334"/>
      <c r="CI170" s="334"/>
      <c r="CO170" s="694" t="str">
        <f t="shared" si="753"/>
        <v>S160Q 1S</v>
      </c>
      <c r="CP170" s="639"/>
      <c r="CQ170" s="618"/>
      <c r="CR170" s="618"/>
      <c r="CS170" s="618"/>
      <c r="CT170" s="626"/>
      <c r="CU170" s="626"/>
      <c r="CV170" s="626"/>
      <c r="CW170" s="626"/>
      <c r="CX170" s="626"/>
      <c r="CY170" s="619"/>
      <c r="CZ170" s="619"/>
      <c r="DA170" s="619"/>
      <c r="DB170" s="619"/>
      <c r="DC170" s="618"/>
      <c r="DD170" s="618"/>
      <c r="DE170" s="618"/>
      <c r="DF170" s="618"/>
      <c r="DG170" s="618"/>
      <c r="DH170" s="618"/>
      <c r="DI170" s="618"/>
      <c r="DJ170" s="618"/>
      <c r="DK170" s="618"/>
      <c r="DL170" s="618"/>
      <c r="DM170" s="618"/>
      <c r="DN170" s="618"/>
      <c r="DO170" s="618"/>
      <c r="DP170" s="618"/>
      <c r="DQ170" s="618"/>
      <c r="DR170" s="618"/>
      <c r="DS170" s="618"/>
      <c r="DT170" s="618"/>
      <c r="DU170" s="618"/>
      <c r="DV170" s="618"/>
      <c r="DW170" s="618"/>
      <c r="DX170" s="618"/>
      <c r="DY170" s="618"/>
      <c r="DZ170" s="618"/>
      <c r="EA170" s="618"/>
      <c r="EB170" s="618"/>
      <c r="EC170" s="618"/>
      <c r="ED170" s="618"/>
      <c r="EE170" s="618"/>
      <c r="EF170" s="618"/>
      <c r="EG170" s="618"/>
      <c r="EH170" s="618"/>
      <c r="EI170" s="618"/>
      <c r="EJ170" s="618"/>
      <c r="EK170" s="618"/>
      <c r="EL170" s="618"/>
      <c r="EM170" s="618"/>
      <c r="EN170" s="618"/>
      <c r="EO170" s="618"/>
      <c r="EP170" s="618"/>
      <c r="EQ170" s="618"/>
      <c r="ER170" s="618"/>
      <c r="ES170" s="618"/>
      <c r="ET170" s="618"/>
      <c r="EU170" s="618"/>
      <c r="EV170" s="618"/>
      <c r="EW170" s="618"/>
      <c r="EX170" s="618"/>
      <c r="EY170" s="618"/>
      <c r="EZ170" s="618"/>
      <c r="FA170" s="618"/>
      <c r="FB170" s="618"/>
      <c r="FC170" s="618"/>
      <c r="FD170" s="618"/>
      <c r="FE170" s="618"/>
      <c r="FF170" s="618"/>
      <c r="FG170" s="618"/>
      <c r="FH170" s="618"/>
      <c r="FI170" s="618"/>
      <c r="FJ170" s="618"/>
      <c r="FK170" s="618"/>
      <c r="FL170" s="618"/>
      <c r="FM170" s="618"/>
      <c r="FN170" s="618"/>
      <c r="FO170" s="618"/>
      <c r="FP170" s="618"/>
      <c r="FQ170" s="618"/>
      <c r="FR170" s="618"/>
      <c r="FS170" s="618"/>
      <c r="FT170" s="618"/>
      <c r="FU170" s="618"/>
      <c r="FV170" s="618"/>
      <c r="FW170" s="618"/>
      <c r="FX170" s="618"/>
      <c r="FY170" s="618"/>
      <c r="FZ170" s="618"/>
      <c r="GA170" s="618"/>
      <c r="GB170" s="618"/>
      <c r="GC170" s="618"/>
      <c r="GD170" s="618"/>
      <c r="GE170" s="618"/>
      <c r="GF170" s="618"/>
      <c r="GG170" s="618"/>
      <c r="GH170" s="618"/>
      <c r="GI170" s="618"/>
      <c r="GJ170" s="618"/>
      <c r="GK170" s="618"/>
      <c r="GL170" s="618"/>
      <c r="GM170" s="618"/>
      <c r="GN170" s="618"/>
      <c r="GO170" s="618"/>
      <c r="GP170" s="618"/>
      <c r="GQ170" s="618"/>
      <c r="GR170" s="618"/>
      <c r="GS170" s="618"/>
      <c r="GT170" s="618"/>
      <c r="GU170" s="618"/>
      <c r="GV170" s="618"/>
      <c r="GW170" s="618"/>
      <c r="GX170" s="618"/>
      <c r="GY170" s="618"/>
      <c r="GZ170" s="618"/>
      <c r="HA170" s="618"/>
      <c r="HB170" s="618"/>
      <c r="HC170" s="618"/>
      <c r="HD170" s="618"/>
      <c r="HE170" s="618"/>
      <c r="HF170" s="639"/>
      <c r="HG170" s="639"/>
      <c r="HH170" s="639"/>
      <c r="HI170" s="639"/>
      <c r="HJ170" s="639"/>
      <c r="HK170" s="639"/>
      <c r="HL170" s="639"/>
      <c r="HM170" s="639"/>
      <c r="HN170" s="639"/>
      <c r="HO170" s="639"/>
      <c r="HP170" s="639"/>
      <c r="HQ170" s="639"/>
      <c r="HR170" s="639">
        <v>8.3500000000000005E-2</v>
      </c>
      <c r="HS170" s="639">
        <f t="shared" si="749"/>
        <v>560.64285714285722</v>
      </c>
      <c r="HT170" s="639">
        <f t="shared" si="750"/>
        <v>1</v>
      </c>
      <c r="HU170" s="618">
        <f t="shared" si="754"/>
        <v>2.1269605673871017</v>
      </c>
      <c r="HV170" s="618"/>
      <c r="HW170" s="618">
        <f t="shared" si="736"/>
        <v>32.979715994310318</v>
      </c>
      <c r="HX170" s="618">
        <f t="shared" si="755"/>
        <v>2.0372037274419843</v>
      </c>
      <c r="HY170" s="618">
        <f t="shared" si="756"/>
        <v>8.3500000000000005E-2</v>
      </c>
      <c r="HZ170" s="618"/>
      <c r="IA170" s="618"/>
      <c r="IB170" s="618">
        <f t="shared" si="737"/>
        <v>25.000350341399081</v>
      </c>
      <c r="IC170" s="618">
        <f t="shared" si="738"/>
        <v>1E-3</v>
      </c>
      <c r="ID170" s="618"/>
      <c r="IE170" s="618">
        <f t="shared" si="739"/>
        <v>0</v>
      </c>
      <c r="IF170" s="618">
        <f t="shared" si="740"/>
        <v>40.704999999999998</v>
      </c>
      <c r="IG170" s="618"/>
      <c r="IH170" s="618">
        <f t="shared" si="741"/>
        <v>0</v>
      </c>
      <c r="II170" s="618">
        <f t="shared" si="742"/>
        <v>40.704999999999998</v>
      </c>
      <c r="IJ170" s="618"/>
      <c r="IK170" s="618">
        <f t="shared" si="743"/>
        <v>0</v>
      </c>
      <c r="IL170" s="618">
        <f t="shared" si="744"/>
        <v>40.704999999999998</v>
      </c>
      <c r="IM170" s="618"/>
      <c r="IN170" s="618">
        <f t="shared" si="745"/>
        <v>0</v>
      </c>
      <c r="IO170" s="618">
        <f t="shared" si="746"/>
        <v>40.704999999999998</v>
      </c>
      <c r="IP170" s="618"/>
      <c r="IQ170" s="618">
        <f t="shared" si="747"/>
        <v>0</v>
      </c>
      <c r="IR170" s="618">
        <f t="shared" si="748"/>
        <v>40.704999999999998</v>
      </c>
      <c r="IS170" s="639"/>
      <c r="IT170" s="640"/>
      <c r="IU170" s="640"/>
      <c r="IV170" s="640"/>
      <c r="IW170" s="640"/>
      <c r="IX170" s="640"/>
      <c r="IY170" s="640"/>
      <c r="IZ170" s="640"/>
      <c r="JA170" s="640"/>
      <c r="JB170" s="640"/>
      <c r="JC170" s="640"/>
      <c r="JD170" s="640"/>
      <c r="JE170" s="640"/>
      <c r="JF170" s="640"/>
      <c r="JG170" s="640"/>
      <c r="JH170" s="640"/>
      <c r="JI170" s="640"/>
      <c r="JJ170" s="640"/>
      <c r="JK170" s="640"/>
      <c r="JL170" s="640"/>
      <c r="JM170" s="640"/>
      <c r="JN170" s="640"/>
      <c r="JO170" s="640"/>
      <c r="JP170" s="640"/>
      <c r="JQ170" s="640"/>
      <c r="JR170" s="640"/>
      <c r="JS170" s="640"/>
      <c r="JT170" s="640"/>
      <c r="JU170" s="640"/>
      <c r="JV170" s="652"/>
    </row>
    <row r="171" spans="1:282" s="579" customFormat="1">
      <c r="A171" s="334"/>
      <c r="U171" s="580"/>
      <c r="V171" s="580"/>
      <c r="AC171" s="580"/>
      <c r="AD171" s="580"/>
      <c r="AL171" s="580"/>
      <c r="AM171" s="580"/>
      <c r="AT171" s="580"/>
      <c r="AU171" s="580"/>
      <c r="AV171" s="581" t="e">
        <f t="shared" si="758"/>
        <v>#DIV/0!</v>
      </c>
      <c r="AW171" s="581" t="e">
        <f>IF($AY$32,'Data Sheet'!AA192,0)</f>
        <v>#DIV/0!</v>
      </c>
      <c r="AX171" s="581">
        <f t="shared" si="759"/>
        <v>40.704999999999998</v>
      </c>
      <c r="CH171" s="334"/>
      <c r="CI171" s="334"/>
      <c r="CO171" s="694" t="str">
        <f t="shared" si="753"/>
        <v>S160Q 2S</v>
      </c>
      <c r="CP171" s="639"/>
      <c r="CQ171" s="618"/>
      <c r="CR171" s="618"/>
      <c r="CS171" s="618"/>
      <c r="CT171" s="626"/>
      <c r="CU171" s="626"/>
      <c r="CV171" s="626"/>
      <c r="CW171" s="626"/>
      <c r="CX171" s="626"/>
      <c r="CY171" s="619"/>
      <c r="CZ171" s="619"/>
      <c r="DA171" s="619"/>
      <c r="DB171" s="619"/>
      <c r="DC171" s="618"/>
      <c r="DD171" s="618"/>
      <c r="DE171" s="618"/>
      <c r="DF171" s="618"/>
      <c r="DG171" s="618"/>
      <c r="DH171" s="618"/>
      <c r="DI171" s="618"/>
      <c r="DJ171" s="618"/>
      <c r="DK171" s="618"/>
      <c r="DL171" s="618"/>
      <c r="DM171" s="618"/>
      <c r="DN171" s="618"/>
      <c r="DO171" s="618"/>
      <c r="DP171" s="618"/>
      <c r="DQ171" s="618"/>
      <c r="DR171" s="618"/>
      <c r="DS171" s="618"/>
      <c r="DT171" s="618"/>
      <c r="DU171" s="618"/>
      <c r="DV171" s="618"/>
      <c r="DW171" s="618"/>
      <c r="DX171" s="618"/>
      <c r="DY171" s="618"/>
      <c r="DZ171" s="618"/>
      <c r="EA171" s="618"/>
      <c r="EB171" s="618"/>
      <c r="EC171" s="618"/>
      <c r="ED171" s="618"/>
      <c r="EE171" s="618"/>
      <c r="EF171" s="618"/>
      <c r="EG171" s="618"/>
      <c r="EH171" s="618"/>
      <c r="EI171" s="618"/>
      <c r="EJ171" s="618"/>
      <c r="EK171" s="618"/>
      <c r="EL171" s="618"/>
      <c r="EM171" s="618"/>
      <c r="EN171" s="618"/>
      <c r="EO171" s="618"/>
      <c r="EP171" s="618"/>
      <c r="EQ171" s="618"/>
      <c r="ER171" s="618"/>
      <c r="ES171" s="618"/>
      <c r="ET171" s="618"/>
      <c r="EU171" s="618"/>
      <c r="EV171" s="618"/>
      <c r="EW171" s="618"/>
      <c r="EX171" s="618"/>
      <c r="EY171" s="618"/>
      <c r="EZ171" s="618"/>
      <c r="FA171" s="618"/>
      <c r="FB171" s="618"/>
      <c r="FC171" s="618"/>
      <c r="FD171" s="618"/>
      <c r="FE171" s="618"/>
      <c r="FF171" s="618"/>
      <c r="FG171" s="618"/>
      <c r="FH171" s="618"/>
      <c r="FI171" s="618"/>
      <c r="FJ171" s="618"/>
      <c r="FK171" s="618"/>
      <c r="FL171" s="618"/>
      <c r="FM171" s="618"/>
      <c r="FN171" s="618"/>
      <c r="FO171" s="618"/>
      <c r="FP171" s="618"/>
      <c r="FQ171" s="618"/>
      <c r="FR171" s="618"/>
      <c r="FS171" s="618"/>
      <c r="FT171" s="618"/>
      <c r="FU171" s="618"/>
      <c r="FV171" s="618"/>
      <c r="FW171" s="618"/>
      <c r="FX171" s="618"/>
      <c r="FY171" s="618"/>
      <c r="FZ171" s="618"/>
      <c r="GA171" s="618"/>
      <c r="GB171" s="618"/>
      <c r="GC171" s="618"/>
      <c r="GD171" s="618"/>
      <c r="GE171" s="618"/>
      <c r="GF171" s="618"/>
      <c r="GG171" s="618"/>
      <c r="GH171" s="618"/>
      <c r="GI171" s="618"/>
      <c r="GJ171" s="618"/>
      <c r="GK171" s="618"/>
      <c r="GL171" s="618"/>
      <c r="GM171" s="618"/>
      <c r="GN171" s="618"/>
      <c r="GO171" s="618"/>
      <c r="GP171" s="618"/>
      <c r="GQ171" s="618"/>
      <c r="GR171" s="618"/>
      <c r="GS171" s="618"/>
      <c r="GT171" s="618"/>
      <c r="GU171" s="618"/>
      <c r="GV171" s="618"/>
      <c r="GW171" s="618"/>
      <c r="GX171" s="618"/>
      <c r="GY171" s="618"/>
      <c r="GZ171" s="618"/>
      <c r="HA171" s="618"/>
      <c r="HB171" s="618"/>
      <c r="HC171" s="618"/>
      <c r="HD171" s="618"/>
      <c r="HE171" s="618"/>
      <c r="HF171" s="639"/>
      <c r="HG171" s="639"/>
      <c r="HH171" s="639"/>
      <c r="HI171" s="639"/>
      <c r="HJ171" s="639"/>
      <c r="HK171" s="639"/>
      <c r="HL171" s="639"/>
      <c r="HM171" s="639"/>
      <c r="HN171" s="639"/>
      <c r="HO171" s="639"/>
      <c r="HP171" s="639"/>
      <c r="HQ171" s="639"/>
      <c r="HR171" s="639">
        <v>8.4000000000000005E-2</v>
      </c>
      <c r="HS171" s="639">
        <f t="shared" si="749"/>
        <v>564</v>
      </c>
      <c r="HT171" s="639">
        <f t="shared" si="750"/>
        <v>1</v>
      </c>
      <c r="HU171" s="618">
        <f t="shared" si="754"/>
        <v>2.1396996113607267</v>
      </c>
      <c r="HV171" s="618"/>
      <c r="HW171" s="618">
        <f t="shared" si="736"/>
        <v>32.961626551867766</v>
      </c>
      <c r="HX171" s="618">
        <f t="shared" si="755"/>
        <v>2.0488676054999408</v>
      </c>
      <c r="HY171" s="618">
        <f t="shared" si="756"/>
        <v>8.4000000000000005E-2</v>
      </c>
      <c r="HZ171" s="618"/>
      <c r="IA171" s="618"/>
      <c r="IB171" s="618">
        <f t="shared" si="737"/>
        <v>25.000350341399081</v>
      </c>
      <c r="IC171" s="618">
        <f t="shared" si="738"/>
        <v>1E-3</v>
      </c>
      <c r="ID171" s="618"/>
      <c r="IE171" s="618">
        <f t="shared" si="739"/>
        <v>0</v>
      </c>
      <c r="IF171" s="618">
        <f t="shared" si="740"/>
        <v>40.704999999999998</v>
      </c>
      <c r="IG171" s="618"/>
      <c r="IH171" s="618">
        <f t="shared" si="741"/>
        <v>0</v>
      </c>
      <c r="II171" s="618">
        <f t="shared" si="742"/>
        <v>40.704999999999998</v>
      </c>
      <c r="IJ171" s="618"/>
      <c r="IK171" s="618">
        <f t="shared" si="743"/>
        <v>0</v>
      </c>
      <c r="IL171" s="618">
        <f t="shared" si="744"/>
        <v>40.704999999999998</v>
      </c>
      <c r="IM171" s="618"/>
      <c r="IN171" s="618">
        <f t="shared" si="745"/>
        <v>0</v>
      </c>
      <c r="IO171" s="618">
        <f t="shared" si="746"/>
        <v>40.704999999999998</v>
      </c>
      <c r="IP171" s="618"/>
      <c r="IQ171" s="618">
        <f t="shared" si="747"/>
        <v>0</v>
      </c>
      <c r="IR171" s="618">
        <f t="shared" si="748"/>
        <v>40.704999999999998</v>
      </c>
      <c r="IS171" s="639"/>
      <c r="IT171" s="640"/>
      <c r="IU171" s="640"/>
      <c r="IV171" s="640"/>
      <c r="IW171" s="640"/>
      <c r="IX171" s="640"/>
      <c r="IY171" s="640"/>
      <c r="IZ171" s="640"/>
      <c r="JA171" s="640"/>
      <c r="JB171" s="640"/>
      <c r="JC171" s="640"/>
      <c r="JD171" s="640"/>
      <c r="JE171" s="640"/>
      <c r="JF171" s="640"/>
      <c r="JG171" s="640"/>
      <c r="JH171" s="640"/>
      <c r="JI171" s="640"/>
      <c r="JJ171" s="640"/>
      <c r="JK171" s="640"/>
      <c r="JL171" s="640"/>
      <c r="JM171" s="640"/>
      <c r="JN171" s="640"/>
      <c r="JO171" s="640"/>
      <c r="JP171" s="640"/>
      <c r="JQ171" s="640"/>
      <c r="JR171" s="640"/>
      <c r="JS171" s="640"/>
      <c r="JT171" s="640"/>
      <c r="JU171" s="640"/>
      <c r="JV171" s="652"/>
    </row>
    <row r="172" spans="1:282" s="579" customFormat="1">
      <c r="A172" s="334"/>
      <c r="U172" s="580"/>
      <c r="V172" s="580"/>
      <c r="AC172" s="580"/>
      <c r="AD172" s="580"/>
      <c r="AL172" s="580"/>
      <c r="AM172" s="580"/>
      <c r="AT172" s="580"/>
      <c r="AU172" s="580"/>
      <c r="AV172" s="581" t="str">
        <f>IF($AY$30,X32,0)</f>
        <v/>
      </c>
      <c r="AW172" s="581">
        <f>IF($AY$32,'Data Sheet'!AA193,0)</f>
        <v>0</v>
      </c>
      <c r="AX172" s="581">
        <f>X31-AY50</f>
        <v>40.704999999999998</v>
      </c>
      <c r="CH172" s="334"/>
      <c r="CI172" s="334"/>
      <c r="CO172" s="694" t="str">
        <f t="shared" si="753"/>
        <v>L350SS</v>
      </c>
      <c r="CP172" s="639"/>
      <c r="CQ172" s="618"/>
      <c r="CR172" s="618"/>
      <c r="CS172" s="618"/>
      <c r="CT172" s="626"/>
      <c r="CU172" s="626"/>
      <c r="CV172" s="626"/>
      <c r="CW172" s="626"/>
      <c r="CX172" s="626"/>
      <c r="CY172" s="619"/>
      <c r="CZ172" s="619"/>
      <c r="DA172" s="619"/>
      <c r="DB172" s="619"/>
      <c r="DC172" s="618"/>
      <c r="DD172" s="618"/>
      <c r="DE172" s="618"/>
      <c r="DF172" s="618"/>
      <c r="DG172" s="618"/>
      <c r="DH172" s="618"/>
      <c r="DI172" s="618"/>
      <c r="DJ172" s="618"/>
      <c r="DK172" s="618"/>
      <c r="DL172" s="618"/>
      <c r="DM172" s="618"/>
      <c r="DN172" s="618"/>
      <c r="DO172" s="618"/>
      <c r="DP172" s="618"/>
      <c r="DQ172" s="618"/>
      <c r="DR172" s="618"/>
      <c r="DS172" s="618"/>
      <c r="DT172" s="618"/>
      <c r="DU172" s="618"/>
      <c r="DV172" s="618"/>
      <c r="DW172" s="618"/>
      <c r="DX172" s="618"/>
      <c r="DY172" s="618"/>
      <c r="DZ172" s="618"/>
      <c r="EA172" s="618"/>
      <c r="EB172" s="618"/>
      <c r="EC172" s="618"/>
      <c r="ED172" s="618"/>
      <c r="EE172" s="618"/>
      <c r="EF172" s="618"/>
      <c r="EG172" s="618"/>
      <c r="EH172" s="618"/>
      <c r="EI172" s="618"/>
      <c r="EJ172" s="618"/>
      <c r="EK172" s="618"/>
      <c r="EL172" s="618"/>
      <c r="EM172" s="618"/>
      <c r="EN172" s="618"/>
      <c r="EO172" s="618"/>
      <c r="EP172" s="618"/>
      <c r="EQ172" s="618"/>
      <c r="ER172" s="618"/>
      <c r="ES172" s="618"/>
      <c r="ET172" s="618"/>
      <c r="EU172" s="618"/>
      <c r="EV172" s="618"/>
      <c r="EW172" s="618"/>
      <c r="EX172" s="618"/>
      <c r="EY172" s="618"/>
      <c r="EZ172" s="618"/>
      <c r="FA172" s="618"/>
      <c r="FB172" s="618"/>
      <c r="FC172" s="618"/>
      <c r="FD172" s="618"/>
      <c r="FE172" s="618"/>
      <c r="FF172" s="618"/>
      <c r="FG172" s="618"/>
      <c r="FH172" s="618"/>
      <c r="FI172" s="618"/>
      <c r="FJ172" s="618"/>
      <c r="FK172" s="618"/>
      <c r="FL172" s="618"/>
      <c r="FM172" s="618"/>
      <c r="FN172" s="618"/>
      <c r="FO172" s="618"/>
      <c r="FP172" s="618"/>
      <c r="FQ172" s="618"/>
      <c r="FR172" s="618"/>
      <c r="FS172" s="618"/>
      <c r="FT172" s="618"/>
      <c r="FU172" s="618"/>
      <c r="FV172" s="618"/>
      <c r="FW172" s="618"/>
      <c r="FX172" s="618"/>
      <c r="FY172" s="618"/>
      <c r="FZ172" s="618"/>
      <c r="GA172" s="618"/>
      <c r="GB172" s="618"/>
      <c r="GC172" s="618"/>
      <c r="GD172" s="618"/>
      <c r="GE172" s="618"/>
      <c r="GF172" s="618"/>
      <c r="GG172" s="618"/>
      <c r="GH172" s="618"/>
      <c r="GI172" s="618"/>
      <c r="GJ172" s="618"/>
      <c r="GK172" s="618"/>
      <c r="GL172" s="618"/>
      <c r="GM172" s="618"/>
      <c r="GN172" s="618"/>
      <c r="GO172" s="618"/>
      <c r="GP172" s="618"/>
      <c r="GQ172" s="618"/>
      <c r="GR172" s="618"/>
      <c r="GS172" s="618"/>
      <c r="GT172" s="618"/>
      <c r="GU172" s="618"/>
      <c r="GV172" s="618"/>
      <c r="GW172" s="618"/>
      <c r="GX172" s="618"/>
      <c r="GY172" s="618"/>
      <c r="GZ172" s="618"/>
      <c r="HA172" s="618"/>
      <c r="HB172" s="618"/>
      <c r="HC172" s="618"/>
      <c r="HD172" s="618"/>
      <c r="HE172" s="618"/>
      <c r="HF172" s="639"/>
      <c r="HG172" s="639"/>
      <c r="HH172" s="639"/>
      <c r="HI172" s="639"/>
      <c r="HJ172" s="639"/>
      <c r="HK172" s="639"/>
      <c r="HL172" s="639"/>
      <c r="HM172" s="639"/>
      <c r="HN172" s="639"/>
      <c r="HO172" s="639"/>
      <c r="HP172" s="639"/>
      <c r="HQ172" s="639"/>
      <c r="HR172" s="639">
        <v>8.4500000000000006E-2</v>
      </c>
      <c r="HS172" s="639">
        <f t="shared" si="749"/>
        <v>567.35714285714289</v>
      </c>
      <c r="HT172" s="639">
        <f t="shared" si="750"/>
        <v>1</v>
      </c>
      <c r="HU172" s="618">
        <f t="shared" si="754"/>
        <v>2.1524386553343517</v>
      </c>
      <c r="HV172" s="618"/>
      <c r="HW172" s="618">
        <f t="shared" si="736"/>
        <v>32.943537109425222</v>
      </c>
      <c r="HX172" s="618">
        <f t="shared" si="755"/>
        <v>2.0605250823855994</v>
      </c>
      <c r="HY172" s="618">
        <f t="shared" si="756"/>
        <v>8.4500000000000006E-2</v>
      </c>
      <c r="HZ172" s="618"/>
      <c r="IA172" s="618"/>
      <c r="IB172" s="618">
        <f t="shared" si="737"/>
        <v>25.000350341399081</v>
      </c>
      <c r="IC172" s="618">
        <f t="shared" si="738"/>
        <v>1E-3</v>
      </c>
      <c r="ID172" s="618"/>
      <c r="IE172" s="618">
        <f t="shared" si="739"/>
        <v>0</v>
      </c>
      <c r="IF172" s="618">
        <f t="shared" si="740"/>
        <v>40.704999999999998</v>
      </c>
      <c r="IG172" s="618"/>
      <c r="IH172" s="618">
        <f t="shared" si="741"/>
        <v>0</v>
      </c>
      <c r="II172" s="618">
        <f t="shared" si="742"/>
        <v>40.704999999999998</v>
      </c>
      <c r="IJ172" s="618"/>
      <c r="IK172" s="618">
        <f t="shared" si="743"/>
        <v>0</v>
      </c>
      <c r="IL172" s="618">
        <f t="shared" si="744"/>
        <v>40.704999999999998</v>
      </c>
      <c r="IM172" s="618"/>
      <c r="IN172" s="618">
        <f t="shared" si="745"/>
        <v>0</v>
      </c>
      <c r="IO172" s="618">
        <f t="shared" si="746"/>
        <v>40.704999999999998</v>
      </c>
      <c r="IP172" s="618"/>
      <c r="IQ172" s="618">
        <f t="shared" si="747"/>
        <v>0</v>
      </c>
      <c r="IR172" s="618">
        <f t="shared" si="748"/>
        <v>40.704999999999998</v>
      </c>
      <c r="IS172" s="639"/>
      <c r="IT172" s="640"/>
      <c r="IU172" s="640"/>
      <c r="IV172" s="640"/>
      <c r="IW172" s="640"/>
      <c r="IX172" s="640"/>
      <c r="IY172" s="640"/>
      <c r="IZ172" s="640"/>
      <c r="JA172" s="640"/>
      <c r="JB172" s="640"/>
      <c r="JC172" s="640"/>
      <c r="JD172" s="640"/>
      <c r="JE172" s="640"/>
      <c r="JF172" s="640"/>
      <c r="JG172" s="640"/>
      <c r="JH172" s="640"/>
      <c r="JI172" s="640"/>
      <c r="JJ172" s="640"/>
      <c r="JK172" s="640"/>
      <c r="JL172" s="640"/>
      <c r="JM172" s="640"/>
      <c r="JN172" s="640"/>
      <c r="JO172" s="640"/>
      <c r="JP172" s="640"/>
      <c r="JQ172" s="640"/>
      <c r="JR172" s="640"/>
      <c r="JS172" s="640"/>
      <c r="JT172" s="640"/>
      <c r="JU172" s="640"/>
      <c r="JV172" s="652"/>
    </row>
    <row r="173" spans="1:282" s="579" customFormat="1">
      <c r="A173" s="334"/>
      <c r="U173" s="580"/>
      <c r="V173" s="580"/>
      <c r="AC173" s="580"/>
      <c r="AD173" s="580"/>
      <c r="AL173" s="580"/>
      <c r="AM173" s="580"/>
      <c r="AT173" s="580"/>
      <c r="AU173" s="580"/>
      <c r="AV173" s="579" t="str">
        <f>IF($AY$30,Y32,0)</f>
        <v/>
      </c>
      <c r="AW173" s="581">
        <f>IF($AY$32,'Data Sheet'!AA194,0)</f>
        <v>0</v>
      </c>
      <c r="AX173" s="610">
        <f>Y31-AY50</f>
        <v>40.704999999999998</v>
      </c>
      <c r="CH173" s="334"/>
      <c r="CI173" s="334"/>
      <c r="CO173" s="694" t="str">
        <f t="shared" si="753"/>
        <v>S200T</v>
      </c>
      <c r="CP173" s="639"/>
      <c r="CQ173" s="618"/>
      <c r="CR173" s="618"/>
      <c r="CS173" s="618"/>
      <c r="CT173" s="626"/>
      <c r="CU173" s="626"/>
      <c r="CV173" s="626"/>
      <c r="CW173" s="626"/>
      <c r="CX173" s="626"/>
      <c r="CY173" s="619"/>
      <c r="CZ173" s="619"/>
      <c r="DA173" s="619"/>
      <c r="DB173" s="619"/>
      <c r="DC173" s="618"/>
      <c r="DD173" s="618"/>
      <c r="DE173" s="618"/>
      <c r="DF173" s="618"/>
      <c r="DG173" s="618"/>
      <c r="DH173" s="618"/>
      <c r="DI173" s="618"/>
      <c r="DJ173" s="618"/>
      <c r="DK173" s="618"/>
      <c r="DL173" s="618"/>
      <c r="DM173" s="618"/>
      <c r="DN173" s="618"/>
      <c r="DO173" s="618"/>
      <c r="DP173" s="618"/>
      <c r="DQ173" s="618"/>
      <c r="DR173" s="618"/>
      <c r="DS173" s="618"/>
      <c r="DT173" s="618"/>
      <c r="DU173" s="618"/>
      <c r="DV173" s="618"/>
      <c r="DW173" s="618"/>
      <c r="DX173" s="618"/>
      <c r="DY173" s="618"/>
      <c r="DZ173" s="618"/>
      <c r="EA173" s="618"/>
      <c r="EB173" s="618"/>
      <c r="EC173" s="618"/>
      <c r="ED173" s="618"/>
      <c r="EE173" s="618"/>
      <c r="EF173" s="618"/>
      <c r="EG173" s="618"/>
      <c r="EH173" s="618"/>
      <c r="EI173" s="618"/>
      <c r="EJ173" s="618"/>
      <c r="EK173" s="618"/>
      <c r="EL173" s="618"/>
      <c r="EM173" s="618"/>
      <c r="EN173" s="618"/>
      <c r="EO173" s="618"/>
      <c r="EP173" s="618"/>
      <c r="EQ173" s="618"/>
      <c r="ER173" s="618"/>
      <c r="ES173" s="618"/>
      <c r="ET173" s="618"/>
      <c r="EU173" s="618"/>
      <c r="EV173" s="618"/>
      <c r="EW173" s="618"/>
      <c r="EX173" s="618"/>
      <c r="EY173" s="618"/>
      <c r="EZ173" s="618"/>
      <c r="FA173" s="618"/>
      <c r="FB173" s="618"/>
      <c r="FC173" s="618"/>
      <c r="FD173" s="618"/>
      <c r="FE173" s="618"/>
      <c r="FF173" s="618"/>
      <c r="FG173" s="618"/>
      <c r="FH173" s="618"/>
      <c r="FI173" s="618"/>
      <c r="FJ173" s="618"/>
      <c r="FK173" s="618"/>
      <c r="FL173" s="618"/>
      <c r="FM173" s="618"/>
      <c r="FN173" s="618"/>
      <c r="FO173" s="618"/>
      <c r="FP173" s="618"/>
      <c r="FQ173" s="618"/>
      <c r="FR173" s="618"/>
      <c r="FS173" s="618"/>
      <c r="FT173" s="618"/>
      <c r="FU173" s="618"/>
      <c r="FV173" s="618"/>
      <c r="FW173" s="618"/>
      <c r="FX173" s="618"/>
      <c r="FY173" s="618"/>
      <c r="FZ173" s="618"/>
      <c r="GA173" s="618"/>
      <c r="GB173" s="618"/>
      <c r="GC173" s="618"/>
      <c r="GD173" s="618"/>
      <c r="GE173" s="618"/>
      <c r="GF173" s="618"/>
      <c r="GG173" s="618"/>
      <c r="GH173" s="618"/>
      <c r="GI173" s="618"/>
      <c r="GJ173" s="618"/>
      <c r="GK173" s="618"/>
      <c r="GL173" s="618"/>
      <c r="GM173" s="618"/>
      <c r="GN173" s="618"/>
      <c r="GO173" s="618"/>
      <c r="GP173" s="618"/>
      <c r="GQ173" s="618"/>
      <c r="GR173" s="618"/>
      <c r="GS173" s="618"/>
      <c r="GT173" s="618"/>
      <c r="GU173" s="618"/>
      <c r="GV173" s="618"/>
      <c r="GW173" s="618"/>
      <c r="GX173" s="618"/>
      <c r="GY173" s="618"/>
      <c r="GZ173" s="618"/>
      <c r="HA173" s="618"/>
      <c r="HB173" s="618"/>
      <c r="HC173" s="618"/>
      <c r="HD173" s="618"/>
      <c r="HE173" s="618"/>
      <c r="HF173" s="639"/>
      <c r="HG173" s="639"/>
      <c r="HH173" s="639"/>
      <c r="HI173" s="639"/>
      <c r="HJ173" s="639"/>
      <c r="HK173" s="639"/>
      <c r="HL173" s="639"/>
      <c r="HM173" s="639"/>
      <c r="HN173" s="639"/>
      <c r="HO173" s="639"/>
      <c r="HP173" s="639"/>
      <c r="HQ173" s="639"/>
      <c r="HR173" s="639">
        <v>8.5000000000000006E-2</v>
      </c>
      <c r="HS173" s="639">
        <f t="shared" si="749"/>
        <v>570.71428571428578</v>
      </c>
      <c r="HT173" s="639">
        <f t="shared" si="750"/>
        <v>1</v>
      </c>
      <c r="HU173" s="618">
        <f t="shared" si="754"/>
        <v>2.1651776993079768</v>
      </c>
      <c r="HV173" s="618"/>
      <c r="HW173" s="618">
        <f t="shared" si="736"/>
        <v>32.92544766698267</v>
      </c>
      <c r="HX173" s="618">
        <f t="shared" si="755"/>
        <v>2.0721761580989599</v>
      </c>
      <c r="HY173" s="618">
        <f t="shared" si="756"/>
        <v>8.5000000000000006E-2</v>
      </c>
      <c r="HZ173" s="618"/>
      <c r="IA173" s="618"/>
      <c r="IB173" s="618">
        <f t="shared" si="737"/>
        <v>25.000350341399081</v>
      </c>
      <c r="IC173" s="618">
        <f t="shared" si="738"/>
        <v>1E-3</v>
      </c>
      <c r="ID173" s="618"/>
      <c r="IE173" s="618">
        <f t="shared" si="739"/>
        <v>0</v>
      </c>
      <c r="IF173" s="618">
        <f t="shared" si="740"/>
        <v>40.704999999999998</v>
      </c>
      <c r="IG173" s="618"/>
      <c r="IH173" s="618">
        <f t="shared" si="741"/>
        <v>0</v>
      </c>
      <c r="II173" s="618">
        <f t="shared" si="742"/>
        <v>40.704999999999998</v>
      </c>
      <c r="IJ173" s="618"/>
      <c r="IK173" s="618">
        <f t="shared" si="743"/>
        <v>0</v>
      </c>
      <c r="IL173" s="618">
        <f t="shared" si="744"/>
        <v>40.704999999999998</v>
      </c>
      <c r="IM173" s="618"/>
      <c r="IN173" s="618">
        <f t="shared" si="745"/>
        <v>0</v>
      </c>
      <c r="IO173" s="618">
        <f t="shared" si="746"/>
        <v>40.704999999999998</v>
      </c>
      <c r="IP173" s="618"/>
      <c r="IQ173" s="618">
        <f t="shared" si="747"/>
        <v>0</v>
      </c>
      <c r="IR173" s="618">
        <f t="shared" si="748"/>
        <v>40.704999999999998</v>
      </c>
      <c r="IS173" s="639"/>
      <c r="IT173" s="640"/>
      <c r="IU173" s="640"/>
      <c r="IV173" s="640"/>
      <c r="IW173" s="640"/>
      <c r="IX173" s="640"/>
      <c r="IY173" s="640"/>
      <c r="IZ173" s="640"/>
      <c r="JA173" s="640"/>
      <c r="JB173" s="640"/>
      <c r="JC173" s="640"/>
      <c r="JD173" s="640"/>
      <c r="JE173" s="640"/>
      <c r="JF173" s="640"/>
      <c r="JG173" s="640"/>
      <c r="JH173" s="640"/>
      <c r="JI173" s="640"/>
      <c r="JJ173" s="640"/>
      <c r="JK173" s="640"/>
      <c r="JL173" s="640"/>
      <c r="JM173" s="640"/>
      <c r="JN173" s="640"/>
      <c r="JO173" s="640"/>
      <c r="JP173" s="640"/>
      <c r="JQ173" s="640"/>
      <c r="JR173" s="640"/>
      <c r="JS173" s="640"/>
      <c r="JT173" s="640"/>
      <c r="JU173" s="640"/>
      <c r="JV173" s="652"/>
    </row>
    <row r="174" spans="1:282" s="579" customFormat="1">
      <c r="A174" s="334"/>
      <c r="U174" s="580"/>
      <c r="V174" s="580"/>
      <c r="AC174" s="580"/>
      <c r="AD174" s="580"/>
      <c r="AL174" s="580"/>
      <c r="AM174" s="580"/>
      <c r="AT174" s="580"/>
      <c r="AU174" s="580"/>
      <c r="AV174" s="579" t="e">
        <f>O93*$O$82</f>
        <v>#DIV/0!</v>
      </c>
      <c r="AW174" s="581" t="e">
        <f>IF($AY$32,'Data Sheet'!AA195,0)</f>
        <v>#DIV/0!</v>
      </c>
      <c r="AX174" s="610">
        <f>AX173</f>
        <v>40.704999999999998</v>
      </c>
      <c r="CH174" s="334"/>
      <c r="CI174" s="334"/>
      <c r="CO174" s="694" t="str">
        <f t="shared" si="753"/>
        <v>S200T 1S</v>
      </c>
      <c r="CP174" s="639"/>
      <c r="CQ174" s="618"/>
      <c r="CR174" s="618"/>
      <c r="CS174" s="618"/>
      <c r="CT174" s="626"/>
      <c r="CU174" s="626"/>
      <c r="CV174" s="626"/>
      <c r="CW174" s="626"/>
      <c r="CX174" s="626"/>
      <c r="CY174" s="619"/>
      <c r="CZ174" s="619"/>
      <c r="DA174" s="619"/>
      <c r="DB174" s="619"/>
      <c r="DC174" s="618"/>
      <c r="DD174" s="618"/>
      <c r="DE174" s="618"/>
      <c r="DF174" s="618"/>
      <c r="DG174" s="618"/>
      <c r="DH174" s="618"/>
      <c r="DI174" s="618"/>
      <c r="DJ174" s="618"/>
      <c r="DK174" s="618"/>
      <c r="DL174" s="618"/>
      <c r="DM174" s="618"/>
      <c r="DN174" s="618"/>
      <c r="DO174" s="618"/>
      <c r="DP174" s="618"/>
      <c r="DQ174" s="618"/>
      <c r="DR174" s="618"/>
      <c r="DS174" s="618"/>
      <c r="DT174" s="618"/>
      <c r="DU174" s="618"/>
      <c r="DV174" s="618"/>
      <c r="DW174" s="618"/>
      <c r="DX174" s="618"/>
      <c r="DY174" s="618"/>
      <c r="DZ174" s="618"/>
      <c r="EA174" s="618"/>
      <c r="EB174" s="618"/>
      <c r="EC174" s="618"/>
      <c r="ED174" s="618"/>
      <c r="EE174" s="618"/>
      <c r="EF174" s="618"/>
      <c r="EG174" s="618"/>
      <c r="EH174" s="618"/>
      <c r="EI174" s="618"/>
      <c r="EJ174" s="618"/>
      <c r="EK174" s="618"/>
      <c r="EL174" s="618"/>
      <c r="EM174" s="618"/>
      <c r="EN174" s="618"/>
      <c r="EO174" s="618"/>
      <c r="EP174" s="618"/>
      <c r="EQ174" s="618"/>
      <c r="ER174" s="618"/>
      <c r="ES174" s="618"/>
      <c r="ET174" s="618"/>
      <c r="EU174" s="618"/>
      <c r="EV174" s="618"/>
      <c r="EW174" s="618"/>
      <c r="EX174" s="618"/>
      <c r="EY174" s="618"/>
      <c r="EZ174" s="618"/>
      <c r="FA174" s="618"/>
      <c r="FB174" s="618"/>
      <c r="FC174" s="618"/>
      <c r="FD174" s="618"/>
      <c r="FE174" s="618"/>
      <c r="FF174" s="618"/>
      <c r="FG174" s="618"/>
      <c r="FH174" s="618"/>
      <c r="FI174" s="618"/>
      <c r="FJ174" s="618"/>
      <c r="FK174" s="618"/>
      <c r="FL174" s="618"/>
      <c r="FM174" s="618"/>
      <c r="FN174" s="618"/>
      <c r="FO174" s="618"/>
      <c r="FP174" s="618"/>
      <c r="FQ174" s="618"/>
      <c r="FR174" s="618"/>
      <c r="FS174" s="618"/>
      <c r="FT174" s="618"/>
      <c r="FU174" s="618"/>
      <c r="FV174" s="618"/>
      <c r="FW174" s="618"/>
      <c r="FX174" s="618"/>
      <c r="FY174" s="618"/>
      <c r="FZ174" s="618"/>
      <c r="GA174" s="618"/>
      <c r="GB174" s="618"/>
      <c r="GC174" s="618"/>
      <c r="GD174" s="618"/>
      <c r="GE174" s="618"/>
      <c r="GF174" s="618"/>
      <c r="GG174" s="618"/>
      <c r="GH174" s="618"/>
      <c r="GI174" s="618"/>
      <c r="GJ174" s="618"/>
      <c r="GK174" s="618"/>
      <c r="GL174" s="618"/>
      <c r="GM174" s="618"/>
      <c r="GN174" s="618"/>
      <c r="GO174" s="618"/>
      <c r="GP174" s="618"/>
      <c r="GQ174" s="618"/>
      <c r="GR174" s="618"/>
      <c r="GS174" s="618"/>
      <c r="GT174" s="618"/>
      <c r="GU174" s="618"/>
      <c r="GV174" s="618"/>
      <c r="GW174" s="618"/>
      <c r="GX174" s="618"/>
      <c r="GY174" s="618"/>
      <c r="GZ174" s="618"/>
      <c r="HA174" s="618"/>
      <c r="HB174" s="618"/>
      <c r="HC174" s="618"/>
      <c r="HD174" s="618"/>
      <c r="HE174" s="618"/>
      <c r="HF174" s="639"/>
      <c r="HG174" s="639"/>
      <c r="HH174" s="639"/>
      <c r="HI174" s="639"/>
      <c r="HJ174" s="639"/>
      <c r="HK174" s="639"/>
      <c r="HL174" s="639"/>
      <c r="HM174" s="639"/>
      <c r="HN174" s="639"/>
      <c r="HO174" s="639"/>
      <c r="HP174" s="639"/>
      <c r="HQ174" s="639"/>
      <c r="HR174" s="639">
        <v>8.5500000000000007E-2</v>
      </c>
      <c r="HS174" s="639">
        <f t="shared" si="749"/>
        <v>574.07142857142856</v>
      </c>
      <c r="HT174" s="639">
        <f t="shared" si="750"/>
        <v>1</v>
      </c>
      <c r="HU174" s="618">
        <f t="shared" si="754"/>
        <v>2.1779167432816018</v>
      </c>
      <c r="HV174" s="618"/>
      <c r="HW174" s="618">
        <f t="shared" si="736"/>
        <v>32.907358224540125</v>
      </c>
      <c r="HX174" s="618">
        <f t="shared" si="755"/>
        <v>2.083820832640022</v>
      </c>
      <c r="HY174" s="618">
        <f t="shared" si="756"/>
        <v>8.5500000000000007E-2</v>
      </c>
      <c r="HZ174" s="618"/>
      <c r="IA174" s="618"/>
      <c r="IB174" s="618">
        <f t="shared" si="737"/>
        <v>25.000350341399081</v>
      </c>
      <c r="IC174" s="618">
        <f t="shared" si="738"/>
        <v>1E-3</v>
      </c>
      <c r="ID174" s="618"/>
      <c r="IE174" s="618">
        <f t="shared" si="739"/>
        <v>0</v>
      </c>
      <c r="IF174" s="618">
        <f t="shared" si="740"/>
        <v>40.704999999999998</v>
      </c>
      <c r="IG174" s="618"/>
      <c r="IH174" s="618">
        <f t="shared" si="741"/>
        <v>0</v>
      </c>
      <c r="II174" s="618">
        <f t="shared" si="742"/>
        <v>40.704999999999998</v>
      </c>
      <c r="IJ174" s="618"/>
      <c r="IK174" s="618">
        <f t="shared" si="743"/>
        <v>0</v>
      </c>
      <c r="IL174" s="618">
        <f t="shared" si="744"/>
        <v>40.704999999999998</v>
      </c>
      <c r="IM174" s="618"/>
      <c r="IN174" s="618">
        <f t="shared" si="745"/>
        <v>0</v>
      </c>
      <c r="IO174" s="618">
        <f t="shared" si="746"/>
        <v>40.704999999999998</v>
      </c>
      <c r="IP174" s="618"/>
      <c r="IQ174" s="618">
        <f t="shared" si="747"/>
        <v>0</v>
      </c>
      <c r="IR174" s="618">
        <f t="shared" si="748"/>
        <v>40.704999999999998</v>
      </c>
      <c r="IS174" s="639"/>
      <c r="IT174" s="640"/>
      <c r="IU174" s="640"/>
      <c r="IV174" s="640"/>
      <c r="IW174" s="640"/>
      <c r="IX174" s="640"/>
      <c r="IY174" s="640"/>
      <c r="IZ174" s="640"/>
      <c r="JA174" s="640"/>
      <c r="JB174" s="640"/>
      <c r="JC174" s="640"/>
      <c r="JD174" s="640"/>
      <c r="JE174" s="640"/>
      <c r="JF174" s="640"/>
      <c r="JG174" s="640"/>
      <c r="JH174" s="640"/>
      <c r="JI174" s="640"/>
      <c r="JJ174" s="640"/>
      <c r="JK174" s="640"/>
      <c r="JL174" s="640"/>
      <c r="JM174" s="640"/>
      <c r="JN174" s="640"/>
      <c r="JO174" s="640"/>
      <c r="JP174" s="640"/>
      <c r="JQ174" s="640"/>
      <c r="JR174" s="640"/>
      <c r="JS174" s="640"/>
      <c r="JT174" s="640"/>
      <c r="JU174" s="640"/>
      <c r="JV174" s="652"/>
    </row>
    <row r="175" spans="1:282" s="579" customFormat="1">
      <c r="A175" s="334"/>
      <c r="U175" s="580"/>
      <c r="V175" s="580"/>
      <c r="AC175" s="580"/>
      <c r="AD175" s="580"/>
      <c r="AL175" s="580"/>
      <c r="AM175" s="580"/>
      <c r="AT175" s="580"/>
      <c r="AU175" s="580"/>
      <c r="AV175" s="579" t="e">
        <f>O92*$O$82</f>
        <v>#DIV/0!</v>
      </c>
      <c r="AW175" s="581" t="e">
        <f>IF($AY$32,'Data Sheet'!AA196,0)</f>
        <v>#DIV/0!</v>
      </c>
      <c r="AX175" s="610">
        <f>AX174+$O$76</f>
        <v>40.704999999999998</v>
      </c>
      <c r="CH175" s="334"/>
      <c r="CI175" s="334"/>
      <c r="CO175" s="694" t="str">
        <f t="shared" si="753"/>
        <v>L250DS</v>
      </c>
      <c r="CP175" s="639"/>
      <c r="CQ175" s="618"/>
      <c r="CR175" s="618"/>
      <c r="CS175" s="618"/>
      <c r="CT175" s="626"/>
      <c r="CU175" s="626"/>
      <c r="CV175" s="626"/>
      <c r="CW175" s="626"/>
      <c r="CX175" s="626"/>
      <c r="CY175" s="619"/>
      <c r="CZ175" s="619"/>
      <c r="DA175" s="619"/>
      <c r="DB175" s="619"/>
      <c r="DC175" s="618"/>
      <c r="DD175" s="618"/>
      <c r="DE175" s="618"/>
      <c r="DF175" s="618"/>
      <c r="DG175" s="618"/>
      <c r="DH175" s="618"/>
      <c r="DI175" s="618"/>
      <c r="DJ175" s="618"/>
      <c r="DK175" s="618"/>
      <c r="DL175" s="618"/>
      <c r="DM175" s="618"/>
      <c r="DN175" s="618"/>
      <c r="DO175" s="618"/>
      <c r="DP175" s="618"/>
      <c r="DQ175" s="618"/>
      <c r="DR175" s="618"/>
      <c r="DS175" s="618"/>
      <c r="DT175" s="618"/>
      <c r="DU175" s="618"/>
      <c r="DV175" s="618"/>
      <c r="DW175" s="618"/>
      <c r="DX175" s="618"/>
      <c r="DY175" s="618"/>
      <c r="DZ175" s="618"/>
      <c r="EA175" s="618"/>
      <c r="EB175" s="618"/>
      <c r="EC175" s="618"/>
      <c r="ED175" s="618"/>
      <c r="EE175" s="618"/>
      <c r="EF175" s="618"/>
      <c r="EG175" s="618"/>
      <c r="EH175" s="618"/>
      <c r="EI175" s="618"/>
      <c r="EJ175" s="618"/>
      <c r="EK175" s="618"/>
      <c r="EL175" s="618"/>
      <c r="EM175" s="618"/>
      <c r="EN175" s="618"/>
      <c r="EO175" s="618"/>
      <c r="EP175" s="618"/>
      <c r="EQ175" s="618"/>
      <c r="ER175" s="618"/>
      <c r="ES175" s="618"/>
      <c r="ET175" s="618"/>
      <c r="EU175" s="618"/>
      <c r="EV175" s="618"/>
      <c r="EW175" s="618"/>
      <c r="EX175" s="618"/>
      <c r="EY175" s="618"/>
      <c r="EZ175" s="618"/>
      <c r="FA175" s="618"/>
      <c r="FB175" s="618"/>
      <c r="FC175" s="618"/>
      <c r="FD175" s="618"/>
      <c r="FE175" s="618"/>
      <c r="FF175" s="618"/>
      <c r="FG175" s="618"/>
      <c r="FH175" s="618"/>
      <c r="FI175" s="618"/>
      <c r="FJ175" s="618"/>
      <c r="FK175" s="618"/>
      <c r="FL175" s="618"/>
      <c r="FM175" s="618"/>
      <c r="FN175" s="618"/>
      <c r="FO175" s="618"/>
      <c r="FP175" s="618"/>
      <c r="FQ175" s="618"/>
      <c r="FR175" s="618"/>
      <c r="FS175" s="618"/>
      <c r="FT175" s="618"/>
      <c r="FU175" s="618"/>
      <c r="FV175" s="618"/>
      <c r="FW175" s="618"/>
      <c r="FX175" s="618"/>
      <c r="FY175" s="618"/>
      <c r="FZ175" s="618"/>
      <c r="GA175" s="618"/>
      <c r="GB175" s="618"/>
      <c r="GC175" s="618"/>
      <c r="GD175" s="618"/>
      <c r="GE175" s="618"/>
      <c r="GF175" s="618"/>
      <c r="GG175" s="618"/>
      <c r="GH175" s="618"/>
      <c r="GI175" s="618"/>
      <c r="GJ175" s="618"/>
      <c r="GK175" s="618"/>
      <c r="GL175" s="618"/>
      <c r="GM175" s="618"/>
      <c r="GN175" s="618"/>
      <c r="GO175" s="618"/>
      <c r="GP175" s="618"/>
      <c r="GQ175" s="618"/>
      <c r="GR175" s="618"/>
      <c r="GS175" s="618"/>
      <c r="GT175" s="618"/>
      <c r="GU175" s="618"/>
      <c r="GV175" s="618"/>
      <c r="GW175" s="618"/>
      <c r="GX175" s="618"/>
      <c r="GY175" s="618"/>
      <c r="GZ175" s="618"/>
      <c r="HA175" s="618"/>
      <c r="HB175" s="618"/>
      <c r="HC175" s="618"/>
      <c r="HD175" s="618"/>
      <c r="HE175" s="618"/>
      <c r="HF175" s="639"/>
      <c r="HG175" s="639"/>
      <c r="HH175" s="639"/>
      <c r="HI175" s="639"/>
      <c r="HJ175" s="639"/>
      <c r="HK175" s="639"/>
      <c r="HL175" s="639"/>
      <c r="HM175" s="639"/>
      <c r="HN175" s="639"/>
      <c r="HO175" s="639"/>
      <c r="HP175" s="639"/>
      <c r="HQ175" s="639"/>
      <c r="HR175" s="639">
        <v>8.5999999999999993E-2</v>
      </c>
      <c r="HS175" s="639">
        <f t="shared" si="749"/>
        <v>577.42857142857133</v>
      </c>
      <c r="HT175" s="639">
        <f t="shared" si="750"/>
        <v>1</v>
      </c>
      <c r="HU175" s="618">
        <f t="shared" si="754"/>
        <v>2.1906557872552264</v>
      </c>
      <c r="HV175" s="618"/>
      <c r="HW175" s="618">
        <f t="shared" si="736"/>
        <v>32.889268782097581</v>
      </c>
      <c r="HX175" s="618">
        <f t="shared" si="755"/>
        <v>2.0954591060087857</v>
      </c>
      <c r="HY175" s="618">
        <f t="shared" si="756"/>
        <v>8.5999999999999993E-2</v>
      </c>
      <c r="HZ175" s="618"/>
      <c r="IA175" s="618"/>
      <c r="IB175" s="618">
        <f t="shared" si="737"/>
        <v>25.000350341399081</v>
      </c>
      <c r="IC175" s="618">
        <f t="shared" si="738"/>
        <v>1E-3</v>
      </c>
      <c r="ID175" s="618"/>
      <c r="IE175" s="618">
        <f t="shared" si="739"/>
        <v>0</v>
      </c>
      <c r="IF175" s="618">
        <f t="shared" si="740"/>
        <v>40.704999999999998</v>
      </c>
      <c r="IG175" s="618"/>
      <c r="IH175" s="618">
        <f t="shared" si="741"/>
        <v>0</v>
      </c>
      <c r="II175" s="618">
        <f t="shared" si="742"/>
        <v>40.704999999999998</v>
      </c>
      <c r="IJ175" s="618"/>
      <c r="IK175" s="618">
        <f t="shared" si="743"/>
        <v>0</v>
      </c>
      <c r="IL175" s="618">
        <f t="shared" si="744"/>
        <v>40.704999999999998</v>
      </c>
      <c r="IM175" s="618"/>
      <c r="IN175" s="618">
        <f t="shared" si="745"/>
        <v>0</v>
      </c>
      <c r="IO175" s="618">
        <f t="shared" si="746"/>
        <v>40.704999999999998</v>
      </c>
      <c r="IP175" s="618"/>
      <c r="IQ175" s="618">
        <f t="shared" si="747"/>
        <v>0</v>
      </c>
      <c r="IR175" s="618">
        <f t="shared" si="748"/>
        <v>40.704999999999998</v>
      </c>
      <c r="IS175" s="639"/>
      <c r="IT175" s="640"/>
      <c r="IU175" s="640"/>
      <c r="IV175" s="640"/>
      <c r="IW175" s="640"/>
      <c r="IX175" s="640"/>
      <c r="IY175" s="640"/>
      <c r="IZ175" s="640"/>
      <c r="JA175" s="640"/>
      <c r="JB175" s="640"/>
      <c r="JC175" s="640"/>
      <c r="JD175" s="640"/>
      <c r="JE175" s="640"/>
      <c r="JF175" s="640"/>
      <c r="JG175" s="640"/>
      <c r="JH175" s="640"/>
      <c r="JI175" s="640"/>
      <c r="JJ175" s="640"/>
      <c r="JK175" s="640"/>
      <c r="JL175" s="640"/>
      <c r="JM175" s="640"/>
      <c r="JN175" s="640"/>
      <c r="JO175" s="640"/>
      <c r="JP175" s="640"/>
      <c r="JQ175" s="640"/>
      <c r="JR175" s="640"/>
      <c r="JS175" s="640"/>
      <c r="JT175" s="640"/>
      <c r="JU175" s="640"/>
      <c r="JV175" s="652"/>
    </row>
    <row r="176" spans="1:282" s="579" customFormat="1">
      <c r="A176" s="334"/>
      <c r="U176" s="580"/>
      <c r="V176" s="580"/>
      <c r="AC176" s="580"/>
      <c r="AD176" s="580"/>
      <c r="AL176" s="580"/>
      <c r="AM176" s="580"/>
      <c r="AT176" s="580"/>
      <c r="AU176" s="580"/>
      <c r="AV176" s="579" t="e">
        <f>O91*$O$82</f>
        <v>#DIV/0!</v>
      </c>
      <c r="AW176" s="581" t="e">
        <f>IF($AY$32,'Data Sheet'!AA197,0)</f>
        <v>#DIV/0!</v>
      </c>
      <c r="AX176" s="610">
        <f t="shared" ref="AX176:AX184" si="760">AX175+$O$76</f>
        <v>40.704999999999998</v>
      </c>
      <c r="CH176" s="334"/>
      <c r="CI176" s="334"/>
      <c r="CO176" s="694" t="str">
        <f t="shared" si="753"/>
        <v>L320DS</v>
      </c>
      <c r="CP176" s="639"/>
      <c r="CQ176" s="618"/>
      <c r="CR176" s="618"/>
      <c r="CS176" s="618"/>
      <c r="CT176" s="626"/>
      <c r="CU176" s="626"/>
      <c r="CV176" s="626"/>
      <c r="CW176" s="626"/>
      <c r="CX176" s="626"/>
      <c r="CY176" s="619"/>
      <c r="CZ176" s="619"/>
      <c r="DA176" s="619"/>
      <c r="DB176" s="619"/>
      <c r="DC176" s="618"/>
      <c r="DD176" s="618"/>
      <c r="DE176" s="618"/>
      <c r="DF176" s="618"/>
      <c r="DG176" s="618"/>
      <c r="DH176" s="618"/>
      <c r="DI176" s="618"/>
      <c r="DJ176" s="618"/>
      <c r="DK176" s="618"/>
      <c r="DL176" s="618"/>
      <c r="DM176" s="618"/>
      <c r="DN176" s="618"/>
      <c r="DO176" s="618"/>
      <c r="DP176" s="618"/>
      <c r="DQ176" s="618"/>
      <c r="DR176" s="618"/>
      <c r="DS176" s="618"/>
      <c r="DT176" s="618"/>
      <c r="DU176" s="618"/>
      <c r="DV176" s="618"/>
      <c r="DW176" s="618"/>
      <c r="DX176" s="618"/>
      <c r="DY176" s="618"/>
      <c r="DZ176" s="618"/>
      <c r="EA176" s="618"/>
      <c r="EB176" s="618"/>
      <c r="EC176" s="618"/>
      <c r="ED176" s="618"/>
      <c r="EE176" s="618"/>
      <c r="EF176" s="618"/>
      <c r="EG176" s="618"/>
      <c r="EH176" s="618"/>
      <c r="EI176" s="618"/>
      <c r="EJ176" s="618"/>
      <c r="EK176" s="618"/>
      <c r="EL176" s="618"/>
      <c r="EM176" s="618"/>
      <c r="EN176" s="618"/>
      <c r="EO176" s="618"/>
      <c r="EP176" s="618"/>
      <c r="EQ176" s="618"/>
      <c r="ER176" s="618"/>
      <c r="ES176" s="618"/>
      <c r="ET176" s="618"/>
      <c r="EU176" s="618"/>
      <c r="EV176" s="618"/>
      <c r="EW176" s="618"/>
      <c r="EX176" s="618"/>
      <c r="EY176" s="618"/>
      <c r="EZ176" s="618"/>
      <c r="FA176" s="618"/>
      <c r="FB176" s="618"/>
      <c r="FC176" s="618"/>
      <c r="FD176" s="618"/>
      <c r="FE176" s="618"/>
      <c r="FF176" s="618"/>
      <c r="FG176" s="618"/>
      <c r="FH176" s="618"/>
      <c r="FI176" s="618"/>
      <c r="FJ176" s="618"/>
      <c r="FK176" s="618"/>
      <c r="FL176" s="618"/>
      <c r="FM176" s="618"/>
      <c r="FN176" s="618"/>
      <c r="FO176" s="618"/>
      <c r="FP176" s="618"/>
      <c r="FQ176" s="618"/>
      <c r="FR176" s="618"/>
      <c r="FS176" s="618"/>
      <c r="FT176" s="618"/>
      <c r="FU176" s="618"/>
      <c r="FV176" s="618"/>
      <c r="FW176" s="618"/>
      <c r="FX176" s="618"/>
      <c r="FY176" s="618"/>
      <c r="FZ176" s="618"/>
      <c r="GA176" s="618"/>
      <c r="GB176" s="618"/>
      <c r="GC176" s="618"/>
      <c r="GD176" s="618"/>
      <c r="GE176" s="618"/>
      <c r="GF176" s="618"/>
      <c r="GG176" s="618"/>
      <c r="GH176" s="618"/>
      <c r="GI176" s="618"/>
      <c r="GJ176" s="618"/>
      <c r="GK176" s="618"/>
      <c r="GL176" s="618"/>
      <c r="GM176" s="618"/>
      <c r="GN176" s="618"/>
      <c r="GO176" s="618"/>
      <c r="GP176" s="618"/>
      <c r="GQ176" s="618"/>
      <c r="GR176" s="618"/>
      <c r="GS176" s="618"/>
      <c r="GT176" s="618"/>
      <c r="GU176" s="618"/>
      <c r="GV176" s="618"/>
      <c r="GW176" s="618"/>
      <c r="GX176" s="618"/>
      <c r="GY176" s="618"/>
      <c r="GZ176" s="618"/>
      <c r="HA176" s="618"/>
      <c r="HB176" s="618"/>
      <c r="HC176" s="618"/>
      <c r="HD176" s="618"/>
      <c r="HE176" s="618"/>
      <c r="HF176" s="639"/>
      <c r="HG176" s="639"/>
      <c r="HH176" s="639"/>
      <c r="HI176" s="639"/>
      <c r="HJ176" s="639"/>
      <c r="HK176" s="639"/>
      <c r="HL176" s="639"/>
      <c r="HM176" s="639"/>
      <c r="HN176" s="639"/>
      <c r="HO176" s="639"/>
      <c r="HP176" s="639"/>
      <c r="HQ176" s="639"/>
      <c r="HR176" s="639">
        <v>8.6499999999999994E-2</v>
      </c>
      <c r="HS176" s="639">
        <f t="shared" si="749"/>
        <v>580.78571428571422</v>
      </c>
      <c r="HT176" s="639">
        <f t="shared" si="750"/>
        <v>1</v>
      </c>
      <c r="HU176" s="618">
        <f t="shared" si="754"/>
        <v>2.2033948312288514</v>
      </c>
      <c r="HV176" s="618"/>
      <c r="HW176" s="618">
        <f t="shared" si="736"/>
        <v>32.871179339655029</v>
      </c>
      <c r="HX176" s="618">
        <f t="shared" si="755"/>
        <v>2.1070909782052518</v>
      </c>
      <c r="HY176" s="618">
        <f t="shared" si="756"/>
        <v>8.6499999999999994E-2</v>
      </c>
      <c r="HZ176" s="618"/>
      <c r="IA176" s="618"/>
      <c r="IB176" s="618">
        <f t="shared" si="737"/>
        <v>25.000350341399081</v>
      </c>
      <c r="IC176" s="618">
        <f t="shared" si="738"/>
        <v>1E-3</v>
      </c>
      <c r="ID176" s="618"/>
      <c r="IE176" s="618">
        <f t="shared" si="739"/>
        <v>0</v>
      </c>
      <c r="IF176" s="618">
        <f t="shared" si="740"/>
        <v>40.704999999999998</v>
      </c>
      <c r="IG176" s="618"/>
      <c r="IH176" s="618">
        <f t="shared" si="741"/>
        <v>0</v>
      </c>
      <c r="II176" s="618">
        <f t="shared" si="742"/>
        <v>40.704999999999998</v>
      </c>
      <c r="IJ176" s="618"/>
      <c r="IK176" s="618">
        <f t="shared" si="743"/>
        <v>0</v>
      </c>
      <c r="IL176" s="618">
        <f t="shared" si="744"/>
        <v>40.704999999999998</v>
      </c>
      <c r="IM176" s="618"/>
      <c r="IN176" s="618">
        <f t="shared" si="745"/>
        <v>0</v>
      </c>
      <c r="IO176" s="618">
        <f t="shared" si="746"/>
        <v>40.704999999999998</v>
      </c>
      <c r="IP176" s="618"/>
      <c r="IQ176" s="618">
        <f t="shared" si="747"/>
        <v>0</v>
      </c>
      <c r="IR176" s="618">
        <f t="shared" si="748"/>
        <v>40.704999999999998</v>
      </c>
      <c r="IS176" s="639"/>
      <c r="IT176" s="640"/>
      <c r="IU176" s="640"/>
      <c r="IV176" s="640"/>
      <c r="IW176" s="640"/>
      <c r="IX176" s="640"/>
      <c r="IY176" s="640"/>
      <c r="IZ176" s="640"/>
      <c r="JA176" s="640"/>
      <c r="JB176" s="640"/>
      <c r="JC176" s="640"/>
      <c r="JD176" s="640"/>
      <c r="JE176" s="640"/>
      <c r="JF176" s="640"/>
      <c r="JG176" s="640"/>
      <c r="JH176" s="640"/>
      <c r="JI176" s="640"/>
      <c r="JJ176" s="640"/>
      <c r="JK176" s="640"/>
      <c r="JL176" s="640"/>
      <c r="JM176" s="640"/>
      <c r="JN176" s="640"/>
      <c r="JO176" s="640"/>
      <c r="JP176" s="640"/>
      <c r="JQ176" s="640"/>
      <c r="JR176" s="640"/>
      <c r="JS176" s="640"/>
      <c r="JT176" s="640"/>
      <c r="JU176" s="640"/>
      <c r="JV176" s="652"/>
    </row>
    <row r="177" spans="1:282" s="579" customFormat="1">
      <c r="A177" s="334"/>
      <c r="U177" s="580"/>
      <c r="V177" s="580"/>
      <c r="AC177" s="580"/>
      <c r="AD177" s="580"/>
      <c r="AL177" s="580"/>
      <c r="AM177" s="580"/>
      <c r="AT177" s="580"/>
      <c r="AU177" s="580"/>
      <c r="AV177" s="579">
        <f>O90*$O$82</f>
        <v>0</v>
      </c>
      <c r="AW177" s="581">
        <f>IF($AY$32,'Data Sheet'!AA198,0)</f>
        <v>0</v>
      </c>
      <c r="AX177" s="610">
        <f t="shared" si="760"/>
        <v>40.704999999999998</v>
      </c>
      <c r="CH177" s="334"/>
      <c r="CI177" s="334"/>
      <c r="CO177" s="694" t="str">
        <f t="shared" si="753"/>
        <v>L250D</v>
      </c>
      <c r="CP177" s="639"/>
      <c r="CQ177" s="618"/>
      <c r="CR177" s="618"/>
      <c r="CS177" s="618"/>
      <c r="CT177" s="626"/>
      <c r="CU177" s="626"/>
      <c r="CV177" s="626"/>
      <c r="CW177" s="626"/>
      <c r="CX177" s="626"/>
      <c r="CY177" s="619"/>
      <c r="CZ177" s="619"/>
      <c r="DA177" s="619"/>
      <c r="DB177" s="619"/>
      <c r="DC177" s="618"/>
      <c r="DD177" s="618"/>
      <c r="DE177" s="618"/>
      <c r="DF177" s="618"/>
      <c r="DG177" s="618"/>
      <c r="DH177" s="618"/>
      <c r="DI177" s="618"/>
      <c r="DJ177" s="618"/>
      <c r="DK177" s="618"/>
      <c r="DL177" s="618"/>
      <c r="DM177" s="618"/>
      <c r="DN177" s="618"/>
      <c r="DO177" s="618"/>
      <c r="DP177" s="618"/>
      <c r="DQ177" s="618"/>
      <c r="DR177" s="618"/>
      <c r="DS177" s="618"/>
      <c r="DT177" s="618"/>
      <c r="DU177" s="618"/>
      <c r="DV177" s="618"/>
      <c r="DW177" s="618"/>
      <c r="DX177" s="618"/>
      <c r="DY177" s="618"/>
      <c r="DZ177" s="618"/>
      <c r="EA177" s="618"/>
      <c r="EB177" s="618"/>
      <c r="EC177" s="618"/>
      <c r="ED177" s="618"/>
      <c r="EE177" s="618"/>
      <c r="EF177" s="618"/>
      <c r="EG177" s="618"/>
      <c r="EH177" s="618"/>
      <c r="EI177" s="618"/>
      <c r="EJ177" s="618"/>
      <c r="EK177" s="618"/>
      <c r="EL177" s="618"/>
      <c r="EM177" s="618"/>
      <c r="EN177" s="618"/>
      <c r="EO177" s="618"/>
      <c r="EP177" s="618"/>
      <c r="EQ177" s="618"/>
      <c r="ER177" s="618"/>
      <c r="ES177" s="618"/>
      <c r="ET177" s="618"/>
      <c r="EU177" s="618"/>
      <c r="EV177" s="618"/>
      <c r="EW177" s="618"/>
      <c r="EX177" s="618"/>
      <c r="EY177" s="618"/>
      <c r="EZ177" s="618"/>
      <c r="FA177" s="618"/>
      <c r="FB177" s="618"/>
      <c r="FC177" s="618"/>
      <c r="FD177" s="618"/>
      <c r="FE177" s="618"/>
      <c r="FF177" s="618"/>
      <c r="FG177" s="618"/>
      <c r="FH177" s="618"/>
      <c r="FI177" s="618"/>
      <c r="FJ177" s="618"/>
      <c r="FK177" s="618"/>
      <c r="FL177" s="618"/>
      <c r="FM177" s="618"/>
      <c r="FN177" s="618"/>
      <c r="FO177" s="618"/>
      <c r="FP177" s="618"/>
      <c r="FQ177" s="618"/>
      <c r="FR177" s="618"/>
      <c r="FS177" s="618"/>
      <c r="FT177" s="618"/>
      <c r="FU177" s="618"/>
      <c r="FV177" s="618"/>
      <c r="FW177" s="618"/>
      <c r="FX177" s="618"/>
      <c r="FY177" s="618"/>
      <c r="FZ177" s="618"/>
      <c r="GA177" s="618"/>
      <c r="GB177" s="618"/>
      <c r="GC177" s="618"/>
      <c r="GD177" s="618"/>
      <c r="GE177" s="618"/>
      <c r="GF177" s="618"/>
      <c r="GG177" s="618"/>
      <c r="GH177" s="618"/>
      <c r="GI177" s="618"/>
      <c r="GJ177" s="618"/>
      <c r="GK177" s="618"/>
      <c r="GL177" s="618"/>
      <c r="GM177" s="618"/>
      <c r="GN177" s="618"/>
      <c r="GO177" s="618"/>
      <c r="GP177" s="618"/>
      <c r="GQ177" s="618"/>
      <c r="GR177" s="618"/>
      <c r="GS177" s="618"/>
      <c r="GT177" s="618"/>
      <c r="GU177" s="618"/>
      <c r="GV177" s="618"/>
      <c r="GW177" s="618"/>
      <c r="GX177" s="618"/>
      <c r="GY177" s="618"/>
      <c r="GZ177" s="618"/>
      <c r="HA177" s="618"/>
      <c r="HB177" s="618"/>
      <c r="HC177" s="618"/>
      <c r="HD177" s="618"/>
      <c r="HE177" s="618"/>
      <c r="HF177" s="639"/>
      <c r="HG177" s="639"/>
      <c r="HH177" s="639"/>
      <c r="HI177" s="639"/>
      <c r="HJ177" s="639"/>
      <c r="HK177" s="639"/>
      <c r="HL177" s="639"/>
      <c r="HM177" s="639"/>
      <c r="HN177" s="639"/>
      <c r="HO177" s="639"/>
      <c r="HP177" s="639"/>
      <c r="HQ177" s="639"/>
      <c r="HR177" s="639">
        <v>8.6999999999999994E-2</v>
      </c>
      <c r="HS177" s="639">
        <f t="shared" si="749"/>
        <v>584.14285714285711</v>
      </c>
      <c r="HT177" s="639">
        <f t="shared" si="750"/>
        <v>1</v>
      </c>
      <c r="HU177" s="618">
        <f t="shared" si="754"/>
        <v>2.2161338752024764</v>
      </c>
      <c r="HV177" s="618"/>
      <c r="HW177" s="618">
        <f t="shared" si="736"/>
        <v>32.853089897212485</v>
      </c>
      <c r="HX177" s="618">
        <f t="shared" si="755"/>
        <v>2.1187164492294195</v>
      </c>
      <c r="HY177" s="618">
        <f t="shared" si="756"/>
        <v>8.6999999999999994E-2</v>
      </c>
      <c r="HZ177" s="618"/>
      <c r="IA177" s="618"/>
      <c r="IB177" s="618">
        <f t="shared" si="737"/>
        <v>25.000350341399081</v>
      </c>
      <c r="IC177" s="618">
        <f t="shared" si="738"/>
        <v>1E-3</v>
      </c>
      <c r="ID177" s="618"/>
      <c r="IE177" s="618">
        <f t="shared" si="739"/>
        <v>0</v>
      </c>
      <c r="IF177" s="618">
        <f t="shared" si="740"/>
        <v>40.704999999999998</v>
      </c>
      <c r="IG177" s="618"/>
      <c r="IH177" s="618">
        <f t="shared" si="741"/>
        <v>0</v>
      </c>
      <c r="II177" s="618">
        <f t="shared" si="742"/>
        <v>40.704999999999998</v>
      </c>
      <c r="IJ177" s="618"/>
      <c r="IK177" s="618">
        <f t="shared" si="743"/>
        <v>0</v>
      </c>
      <c r="IL177" s="618">
        <f t="shared" si="744"/>
        <v>40.704999999999998</v>
      </c>
      <c r="IM177" s="618"/>
      <c r="IN177" s="618">
        <f t="shared" si="745"/>
        <v>0</v>
      </c>
      <c r="IO177" s="618">
        <f t="shared" si="746"/>
        <v>40.704999999999998</v>
      </c>
      <c r="IP177" s="618"/>
      <c r="IQ177" s="618">
        <f t="shared" si="747"/>
        <v>0</v>
      </c>
      <c r="IR177" s="618">
        <f t="shared" si="748"/>
        <v>40.704999999999998</v>
      </c>
      <c r="IS177" s="639"/>
      <c r="IT177" s="640"/>
      <c r="IU177" s="640"/>
      <c r="IV177" s="640"/>
      <c r="IW177" s="640"/>
      <c r="IX177" s="640"/>
      <c r="IY177" s="640"/>
      <c r="IZ177" s="640"/>
      <c r="JA177" s="640"/>
      <c r="JB177" s="640"/>
      <c r="JC177" s="640"/>
      <c r="JD177" s="640"/>
      <c r="JE177" s="640"/>
      <c r="JF177" s="640"/>
      <c r="JG177" s="640"/>
      <c r="JH177" s="640"/>
      <c r="JI177" s="640"/>
      <c r="JJ177" s="640"/>
      <c r="JK177" s="640"/>
      <c r="JL177" s="640"/>
      <c r="JM177" s="640"/>
      <c r="JN177" s="640"/>
      <c r="JO177" s="640"/>
      <c r="JP177" s="640"/>
      <c r="JQ177" s="640"/>
      <c r="JR177" s="640"/>
      <c r="JS177" s="640"/>
      <c r="JT177" s="640"/>
      <c r="JU177" s="640"/>
      <c r="JV177" s="652"/>
    </row>
    <row r="178" spans="1:282" s="579" customFormat="1">
      <c r="A178" s="334"/>
      <c r="U178" s="580"/>
      <c r="V178" s="580"/>
      <c r="AC178" s="580"/>
      <c r="AD178" s="580"/>
      <c r="AL178" s="580"/>
      <c r="AM178" s="580"/>
      <c r="AT178" s="580"/>
      <c r="AU178" s="580"/>
      <c r="AV178" s="579">
        <f>O89*$O$82</f>
        <v>0</v>
      </c>
      <c r="AW178" s="581">
        <f>IF($AY$32,'Data Sheet'!AA199,0)</f>
        <v>0</v>
      </c>
      <c r="AX178" s="610">
        <f t="shared" si="760"/>
        <v>40.704999999999998</v>
      </c>
      <c r="CH178" s="334"/>
      <c r="CI178" s="334"/>
      <c r="CO178" s="694" t="str">
        <f t="shared" si="753"/>
        <v>L250D-1S</v>
      </c>
      <c r="CP178" s="639"/>
      <c r="CQ178" s="618"/>
      <c r="CR178" s="618"/>
      <c r="CS178" s="618"/>
      <c r="CT178" s="626"/>
      <c r="CU178" s="626"/>
      <c r="CV178" s="626"/>
      <c r="CW178" s="626"/>
      <c r="CX178" s="626"/>
      <c r="CY178" s="619"/>
      <c r="CZ178" s="619"/>
      <c r="DA178" s="619"/>
      <c r="DB178" s="619"/>
      <c r="DC178" s="618"/>
      <c r="DD178" s="618"/>
      <c r="DE178" s="618"/>
      <c r="DF178" s="618"/>
      <c r="DG178" s="618"/>
      <c r="DH178" s="618"/>
      <c r="DI178" s="618"/>
      <c r="DJ178" s="618"/>
      <c r="DK178" s="618"/>
      <c r="DL178" s="618"/>
      <c r="DM178" s="618"/>
      <c r="DN178" s="618"/>
      <c r="DO178" s="618"/>
      <c r="DP178" s="618"/>
      <c r="DQ178" s="618"/>
      <c r="DR178" s="618"/>
      <c r="DS178" s="618"/>
      <c r="DT178" s="618"/>
      <c r="DU178" s="618"/>
      <c r="DV178" s="618"/>
      <c r="DW178" s="618"/>
      <c r="DX178" s="618"/>
      <c r="DY178" s="618"/>
      <c r="DZ178" s="618"/>
      <c r="EA178" s="618"/>
      <c r="EB178" s="618"/>
      <c r="EC178" s="618"/>
      <c r="ED178" s="618"/>
      <c r="EE178" s="618"/>
      <c r="EF178" s="618"/>
      <c r="EG178" s="618"/>
      <c r="EH178" s="618"/>
      <c r="EI178" s="618"/>
      <c r="EJ178" s="618"/>
      <c r="EK178" s="618"/>
      <c r="EL178" s="618"/>
      <c r="EM178" s="618"/>
      <c r="EN178" s="618"/>
      <c r="EO178" s="618"/>
      <c r="EP178" s="618"/>
      <c r="EQ178" s="618"/>
      <c r="ER178" s="618"/>
      <c r="ES178" s="618"/>
      <c r="ET178" s="618"/>
      <c r="EU178" s="618"/>
      <c r="EV178" s="618"/>
      <c r="EW178" s="618"/>
      <c r="EX178" s="618"/>
      <c r="EY178" s="618"/>
      <c r="EZ178" s="618"/>
      <c r="FA178" s="618"/>
      <c r="FB178" s="618"/>
      <c r="FC178" s="618"/>
      <c r="FD178" s="618"/>
      <c r="FE178" s="618"/>
      <c r="FF178" s="618"/>
      <c r="FG178" s="618"/>
      <c r="FH178" s="618"/>
      <c r="FI178" s="618"/>
      <c r="FJ178" s="618"/>
      <c r="FK178" s="618"/>
      <c r="FL178" s="618"/>
      <c r="FM178" s="618"/>
      <c r="FN178" s="618"/>
      <c r="FO178" s="618"/>
      <c r="FP178" s="618"/>
      <c r="FQ178" s="618"/>
      <c r="FR178" s="618"/>
      <c r="FS178" s="618"/>
      <c r="FT178" s="618"/>
      <c r="FU178" s="618"/>
      <c r="FV178" s="618"/>
      <c r="FW178" s="618"/>
      <c r="FX178" s="618"/>
      <c r="FY178" s="618"/>
      <c r="FZ178" s="618"/>
      <c r="GA178" s="618"/>
      <c r="GB178" s="618"/>
      <c r="GC178" s="618"/>
      <c r="GD178" s="618"/>
      <c r="GE178" s="618"/>
      <c r="GF178" s="618"/>
      <c r="GG178" s="618"/>
      <c r="GH178" s="618"/>
      <c r="GI178" s="618"/>
      <c r="GJ178" s="618"/>
      <c r="GK178" s="618"/>
      <c r="GL178" s="618"/>
      <c r="GM178" s="618"/>
      <c r="GN178" s="618"/>
      <c r="GO178" s="618"/>
      <c r="GP178" s="618"/>
      <c r="GQ178" s="618"/>
      <c r="GR178" s="618"/>
      <c r="GS178" s="618"/>
      <c r="GT178" s="618"/>
      <c r="GU178" s="618"/>
      <c r="GV178" s="618"/>
      <c r="GW178" s="618"/>
      <c r="GX178" s="618"/>
      <c r="GY178" s="618"/>
      <c r="GZ178" s="618"/>
      <c r="HA178" s="618"/>
      <c r="HB178" s="618"/>
      <c r="HC178" s="618"/>
      <c r="HD178" s="618"/>
      <c r="HE178" s="618"/>
      <c r="HF178" s="639"/>
      <c r="HG178" s="639"/>
      <c r="HH178" s="639"/>
      <c r="HI178" s="639"/>
      <c r="HJ178" s="639"/>
      <c r="HK178" s="639"/>
      <c r="HL178" s="639"/>
      <c r="HM178" s="639"/>
      <c r="HN178" s="639"/>
      <c r="HO178" s="639"/>
      <c r="HP178" s="639"/>
      <c r="HQ178" s="639"/>
      <c r="HR178" s="639">
        <v>8.7499999999999994E-2</v>
      </c>
      <c r="HS178" s="639">
        <f t="shared" si="749"/>
        <v>587.5</v>
      </c>
      <c r="HT178" s="639">
        <f t="shared" si="750"/>
        <v>1</v>
      </c>
      <c r="HU178" s="618">
        <f t="shared" si="754"/>
        <v>2.2288729191761014</v>
      </c>
      <c r="HV178" s="618"/>
      <c r="HW178" s="618">
        <f t="shared" si="736"/>
        <v>32.83500045476994</v>
      </c>
      <c r="HX178" s="618">
        <f t="shared" si="755"/>
        <v>2.1303355190812892</v>
      </c>
      <c r="HY178" s="618">
        <f t="shared" si="756"/>
        <v>8.7499999999999994E-2</v>
      </c>
      <c r="HZ178" s="618"/>
      <c r="IA178" s="618"/>
      <c r="IB178" s="618">
        <f t="shared" si="737"/>
        <v>25.000350341399081</v>
      </c>
      <c r="IC178" s="618">
        <f t="shared" si="738"/>
        <v>1E-3</v>
      </c>
      <c r="ID178" s="618"/>
      <c r="IE178" s="618">
        <f t="shared" si="739"/>
        <v>0</v>
      </c>
      <c r="IF178" s="618">
        <f t="shared" si="740"/>
        <v>40.704999999999998</v>
      </c>
      <c r="IG178" s="618"/>
      <c r="IH178" s="618">
        <f t="shared" si="741"/>
        <v>0</v>
      </c>
      <c r="II178" s="618">
        <f t="shared" si="742"/>
        <v>40.704999999999998</v>
      </c>
      <c r="IJ178" s="618"/>
      <c r="IK178" s="618">
        <f t="shared" si="743"/>
        <v>0</v>
      </c>
      <c r="IL178" s="618">
        <f t="shared" si="744"/>
        <v>40.704999999999998</v>
      </c>
      <c r="IM178" s="618"/>
      <c r="IN178" s="618">
        <f t="shared" si="745"/>
        <v>0</v>
      </c>
      <c r="IO178" s="618">
        <f t="shared" si="746"/>
        <v>40.704999999999998</v>
      </c>
      <c r="IP178" s="618"/>
      <c r="IQ178" s="618">
        <f t="shared" si="747"/>
        <v>0</v>
      </c>
      <c r="IR178" s="618">
        <f t="shared" si="748"/>
        <v>40.704999999999998</v>
      </c>
      <c r="IS178" s="639"/>
      <c r="IT178" s="640"/>
      <c r="IU178" s="640"/>
      <c r="IV178" s="640"/>
      <c r="IW178" s="640"/>
      <c r="IX178" s="640"/>
      <c r="IY178" s="640"/>
      <c r="IZ178" s="640"/>
      <c r="JA178" s="640"/>
      <c r="JB178" s="640"/>
      <c r="JC178" s="640"/>
      <c r="JD178" s="640"/>
      <c r="JE178" s="640"/>
      <c r="JF178" s="640"/>
      <c r="JG178" s="640"/>
      <c r="JH178" s="640"/>
      <c r="JI178" s="640"/>
      <c r="JJ178" s="640"/>
      <c r="JK178" s="640"/>
      <c r="JL178" s="640"/>
      <c r="JM178" s="640"/>
      <c r="JN178" s="640"/>
      <c r="JO178" s="640"/>
      <c r="JP178" s="640"/>
      <c r="JQ178" s="640"/>
      <c r="JR178" s="640"/>
      <c r="JS178" s="640"/>
      <c r="JT178" s="640"/>
      <c r="JU178" s="640"/>
      <c r="JV178" s="652"/>
    </row>
    <row r="179" spans="1:282" s="579" customFormat="1">
      <c r="A179" s="334"/>
      <c r="U179" s="580"/>
      <c r="V179" s="580"/>
      <c r="AC179" s="580"/>
      <c r="AD179" s="580"/>
      <c r="AL179" s="580"/>
      <c r="AM179" s="580"/>
      <c r="AT179" s="580"/>
      <c r="AU179" s="580"/>
      <c r="AV179" s="579">
        <f>O88*$O$82</f>
        <v>0</v>
      </c>
      <c r="AW179" s="581">
        <f>IF($AY$32,'Data Sheet'!AA200,0)</f>
        <v>0</v>
      </c>
      <c r="AX179" s="610">
        <f t="shared" si="760"/>
        <v>40.704999999999998</v>
      </c>
      <c r="CH179" s="334"/>
      <c r="CI179" s="334"/>
      <c r="CO179" s="694" t="str">
        <f t="shared" si="753"/>
        <v>S200Q</v>
      </c>
      <c r="CP179" s="639"/>
      <c r="CQ179" s="618"/>
      <c r="CR179" s="618"/>
      <c r="CS179" s="618"/>
      <c r="CT179" s="626"/>
      <c r="CU179" s="626"/>
      <c r="CV179" s="626"/>
      <c r="CW179" s="626"/>
      <c r="CX179" s="626"/>
      <c r="CY179" s="619"/>
      <c r="CZ179" s="619"/>
      <c r="DA179" s="619"/>
      <c r="DB179" s="619"/>
      <c r="DC179" s="618"/>
      <c r="DD179" s="618"/>
      <c r="DE179" s="618"/>
      <c r="DF179" s="618"/>
      <c r="DG179" s="618"/>
      <c r="DH179" s="618"/>
      <c r="DI179" s="618"/>
      <c r="DJ179" s="618"/>
      <c r="DK179" s="618"/>
      <c r="DL179" s="618"/>
      <c r="DM179" s="618"/>
      <c r="DN179" s="618"/>
      <c r="DO179" s="618"/>
      <c r="DP179" s="618"/>
      <c r="DQ179" s="618"/>
      <c r="DR179" s="618"/>
      <c r="DS179" s="618"/>
      <c r="DT179" s="618"/>
      <c r="DU179" s="618"/>
      <c r="DV179" s="618"/>
      <c r="DW179" s="618"/>
      <c r="DX179" s="618"/>
      <c r="DY179" s="618"/>
      <c r="DZ179" s="618"/>
      <c r="EA179" s="618"/>
      <c r="EB179" s="618"/>
      <c r="EC179" s="618"/>
      <c r="ED179" s="618"/>
      <c r="EE179" s="618"/>
      <c r="EF179" s="618"/>
      <c r="EG179" s="618"/>
      <c r="EH179" s="618"/>
      <c r="EI179" s="618"/>
      <c r="EJ179" s="618"/>
      <c r="EK179" s="618"/>
      <c r="EL179" s="618"/>
      <c r="EM179" s="618"/>
      <c r="EN179" s="618"/>
      <c r="EO179" s="618"/>
      <c r="EP179" s="618"/>
      <c r="EQ179" s="618"/>
      <c r="ER179" s="618"/>
      <c r="ES179" s="618"/>
      <c r="ET179" s="618"/>
      <c r="EU179" s="618"/>
      <c r="EV179" s="618"/>
      <c r="EW179" s="618"/>
      <c r="EX179" s="618"/>
      <c r="EY179" s="618"/>
      <c r="EZ179" s="618"/>
      <c r="FA179" s="618"/>
      <c r="FB179" s="618"/>
      <c r="FC179" s="618"/>
      <c r="FD179" s="618"/>
      <c r="FE179" s="618"/>
      <c r="FF179" s="618"/>
      <c r="FG179" s="618"/>
      <c r="FH179" s="618"/>
      <c r="FI179" s="618"/>
      <c r="FJ179" s="618"/>
      <c r="FK179" s="618"/>
      <c r="FL179" s="618"/>
      <c r="FM179" s="618"/>
      <c r="FN179" s="618"/>
      <c r="FO179" s="618"/>
      <c r="FP179" s="618"/>
      <c r="FQ179" s="618"/>
      <c r="FR179" s="618"/>
      <c r="FS179" s="618"/>
      <c r="FT179" s="618"/>
      <c r="FU179" s="618"/>
      <c r="FV179" s="618"/>
      <c r="FW179" s="618"/>
      <c r="FX179" s="618"/>
      <c r="FY179" s="618"/>
      <c r="FZ179" s="618"/>
      <c r="GA179" s="618"/>
      <c r="GB179" s="618"/>
      <c r="GC179" s="618"/>
      <c r="GD179" s="618"/>
      <c r="GE179" s="618"/>
      <c r="GF179" s="618"/>
      <c r="GG179" s="618"/>
      <c r="GH179" s="618"/>
      <c r="GI179" s="618"/>
      <c r="GJ179" s="618"/>
      <c r="GK179" s="618"/>
      <c r="GL179" s="618"/>
      <c r="GM179" s="618"/>
      <c r="GN179" s="618"/>
      <c r="GO179" s="618"/>
      <c r="GP179" s="618"/>
      <c r="GQ179" s="618"/>
      <c r="GR179" s="618"/>
      <c r="GS179" s="618"/>
      <c r="GT179" s="618"/>
      <c r="GU179" s="618"/>
      <c r="GV179" s="618"/>
      <c r="GW179" s="618"/>
      <c r="GX179" s="618"/>
      <c r="GY179" s="618"/>
      <c r="GZ179" s="618"/>
      <c r="HA179" s="618"/>
      <c r="HB179" s="618"/>
      <c r="HC179" s="618"/>
      <c r="HD179" s="618"/>
      <c r="HE179" s="618"/>
      <c r="HF179" s="639"/>
      <c r="HG179" s="639"/>
      <c r="HH179" s="639"/>
      <c r="HI179" s="639"/>
      <c r="HJ179" s="639"/>
      <c r="HK179" s="639"/>
      <c r="HL179" s="639"/>
      <c r="HM179" s="639"/>
      <c r="HN179" s="639"/>
      <c r="HO179" s="639"/>
      <c r="HP179" s="639"/>
      <c r="HQ179" s="639"/>
      <c r="HR179" s="639">
        <v>8.7999999999999995E-2</v>
      </c>
      <c r="HS179" s="639">
        <f t="shared" si="749"/>
        <v>590.85714285714278</v>
      </c>
      <c r="HT179" s="639">
        <f t="shared" si="750"/>
        <v>1</v>
      </c>
      <c r="HU179" s="618">
        <f t="shared" si="754"/>
        <v>2.2416119631497264</v>
      </c>
      <c r="HV179" s="618"/>
      <c r="HW179" s="618">
        <f t="shared" si="736"/>
        <v>32.816911012327388</v>
      </c>
      <c r="HX179" s="618">
        <f t="shared" si="755"/>
        <v>2.1419481877608604</v>
      </c>
      <c r="HY179" s="618">
        <f t="shared" si="756"/>
        <v>8.7999999999999995E-2</v>
      </c>
      <c r="HZ179" s="618"/>
      <c r="IA179" s="618"/>
      <c r="IB179" s="618">
        <f t="shared" si="737"/>
        <v>25.000350341399081</v>
      </c>
      <c r="IC179" s="618">
        <f t="shared" si="738"/>
        <v>1E-3</v>
      </c>
      <c r="ID179" s="618"/>
      <c r="IE179" s="618">
        <f t="shared" si="739"/>
        <v>0</v>
      </c>
      <c r="IF179" s="618">
        <f t="shared" si="740"/>
        <v>40.704999999999998</v>
      </c>
      <c r="IG179" s="618"/>
      <c r="IH179" s="618">
        <f t="shared" si="741"/>
        <v>0</v>
      </c>
      <c r="II179" s="618">
        <f t="shared" si="742"/>
        <v>40.704999999999998</v>
      </c>
      <c r="IJ179" s="618"/>
      <c r="IK179" s="618">
        <f t="shared" si="743"/>
        <v>0</v>
      </c>
      <c r="IL179" s="618">
        <f t="shared" si="744"/>
        <v>40.704999999999998</v>
      </c>
      <c r="IM179" s="618"/>
      <c r="IN179" s="618">
        <f t="shared" si="745"/>
        <v>0</v>
      </c>
      <c r="IO179" s="618">
        <f t="shared" si="746"/>
        <v>40.704999999999998</v>
      </c>
      <c r="IP179" s="618"/>
      <c r="IQ179" s="618">
        <f t="shared" si="747"/>
        <v>0</v>
      </c>
      <c r="IR179" s="618">
        <f t="shared" si="748"/>
        <v>40.704999999999998</v>
      </c>
      <c r="IS179" s="639"/>
      <c r="IT179" s="640"/>
      <c r="IU179" s="640"/>
      <c r="IV179" s="640"/>
      <c r="IW179" s="640"/>
      <c r="IX179" s="640"/>
      <c r="IY179" s="640"/>
      <c r="IZ179" s="640"/>
      <c r="JA179" s="640"/>
      <c r="JB179" s="640"/>
      <c r="JC179" s="640"/>
      <c r="JD179" s="640"/>
      <c r="JE179" s="640"/>
      <c r="JF179" s="640"/>
      <c r="JG179" s="640"/>
      <c r="JH179" s="640"/>
      <c r="JI179" s="640"/>
      <c r="JJ179" s="640"/>
      <c r="JK179" s="640"/>
      <c r="JL179" s="640"/>
      <c r="JM179" s="640"/>
      <c r="JN179" s="640"/>
      <c r="JO179" s="640"/>
      <c r="JP179" s="640"/>
      <c r="JQ179" s="640"/>
      <c r="JR179" s="640"/>
      <c r="JS179" s="640"/>
      <c r="JT179" s="640"/>
      <c r="JU179" s="640"/>
      <c r="JV179" s="652"/>
    </row>
    <row r="180" spans="1:282" s="579" customFormat="1">
      <c r="A180" s="334"/>
      <c r="U180" s="580"/>
      <c r="V180" s="580"/>
      <c r="AC180" s="580"/>
      <c r="AD180" s="580"/>
      <c r="AL180" s="580"/>
      <c r="AM180" s="580"/>
      <c r="AT180" s="580"/>
      <c r="AU180" s="580"/>
      <c r="AV180" s="579">
        <f>O87*$O$82</f>
        <v>0</v>
      </c>
      <c r="AW180" s="581">
        <f>IF($AY$32,'Data Sheet'!AA201,0)</f>
        <v>0</v>
      </c>
      <c r="AX180" s="610">
        <f t="shared" si="760"/>
        <v>40.704999999999998</v>
      </c>
      <c r="CH180" s="334"/>
      <c r="CI180" s="334"/>
      <c r="CO180" s="694" t="str">
        <f t="shared" si="753"/>
        <v>S200Q 1S</v>
      </c>
      <c r="CP180" s="639"/>
      <c r="CQ180" s="618"/>
      <c r="CR180" s="618"/>
      <c r="CS180" s="618"/>
      <c r="CT180" s="626"/>
      <c r="CU180" s="626"/>
      <c r="CV180" s="626"/>
      <c r="CW180" s="626"/>
      <c r="CX180" s="626"/>
      <c r="CY180" s="619"/>
      <c r="CZ180" s="619"/>
      <c r="DA180" s="619"/>
      <c r="DB180" s="619"/>
      <c r="DC180" s="618"/>
      <c r="DD180" s="618"/>
      <c r="DE180" s="618"/>
      <c r="DF180" s="618"/>
      <c r="DG180" s="618"/>
      <c r="DH180" s="618"/>
      <c r="DI180" s="618"/>
      <c r="DJ180" s="618"/>
      <c r="DK180" s="618"/>
      <c r="DL180" s="618"/>
      <c r="DM180" s="618"/>
      <c r="DN180" s="618"/>
      <c r="DO180" s="618"/>
      <c r="DP180" s="618"/>
      <c r="DQ180" s="618"/>
      <c r="DR180" s="618"/>
      <c r="DS180" s="618"/>
      <c r="DT180" s="618"/>
      <c r="DU180" s="618"/>
      <c r="DV180" s="618"/>
      <c r="DW180" s="618"/>
      <c r="DX180" s="618"/>
      <c r="DY180" s="618"/>
      <c r="DZ180" s="618"/>
      <c r="EA180" s="618"/>
      <c r="EB180" s="618"/>
      <c r="EC180" s="618"/>
      <c r="ED180" s="618"/>
      <c r="EE180" s="618"/>
      <c r="EF180" s="618"/>
      <c r="EG180" s="618"/>
      <c r="EH180" s="618"/>
      <c r="EI180" s="618"/>
      <c r="EJ180" s="618"/>
      <c r="EK180" s="618"/>
      <c r="EL180" s="618"/>
      <c r="EM180" s="618"/>
      <c r="EN180" s="618"/>
      <c r="EO180" s="618"/>
      <c r="EP180" s="618"/>
      <c r="EQ180" s="618"/>
      <c r="ER180" s="618"/>
      <c r="ES180" s="618"/>
      <c r="ET180" s="618"/>
      <c r="EU180" s="618"/>
      <c r="EV180" s="618"/>
      <c r="EW180" s="618"/>
      <c r="EX180" s="618"/>
      <c r="EY180" s="618"/>
      <c r="EZ180" s="618"/>
      <c r="FA180" s="618"/>
      <c r="FB180" s="618"/>
      <c r="FC180" s="618"/>
      <c r="FD180" s="618"/>
      <c r="FE180" s="618"/>
      <c r="FF180" s="618"/>
      <c r="FG180" s="618"/>
      <c r="FH180" s="618"/>
      <c r="FI180" s="618"/>
      <c r="FJ180" s="618"/>
      <c r="FK180" s="618"/>
      <c r="FL180" s="618"/>
      <c r="FM180" s="618"/>
      <c r="FN180" s="618"/>
      <c r="FO180" s="618"/>
      <c r="FP180" s="618"/>
      <c r="FQ180" s="618"/>
      <c r="FR180" s="618"/>
      <c r="FS180" s="618"/>
      <c r="FT180" s="618"/>
      <c r="FU180" s="618"/>
      <c r="FV180" s="618"/>
      <c r="FW180" s="618"/>
      <c r="FX180" s="618"/>
      <c r="FY180" s="618"/>
      <c r="FZ180" s="618"/>
      <c r="GA180" s="618"/>
      <c r="GB180" s="618"/>
      <c r="GC180" s="618"/>
      <c r="GD180" s="618"/>
      <c r="GE180" s="618"/>
      <c r="GF180" s="618"/>
      <c r="GG180" s="618"/>
      <c r="GH180" s="618"/>
      <c r="GI180" s="618"/>
      <c r="GJ180" s="618"/>
      <c r="GK180" s="618"/>
      <c r="GL180" s="618"/>
      <c r="GM180" s="618"/>
      <c r="GN180" s="618"/>
      <c r="GO180" s="618"/>
      <c r="GP180" s="618"/>
      <c r="GQ180" s="618"/>
      <c r="GR180" s="618"/>
      <c r="GS180" s="618"/>
      <c r="GT180" s="618"/>
      <c r="GU180" s="618"/>
      <c r="GV180" s="618"/>
      <c r="GW180" s="618"/>
      <c r="GX180" s="618"/>
      <c r="GY180" s="618"/>
      <c r="GZ180" s="618"/>
      <c r="HA180" s="618"/>
      <c r="HB180" s="618"/>
      <c r="HC180" s="618"/>
      <c r="HD180" s="618"/>
      <c r="HE180" s="618"/>
      <c r="HF180" s="639"/>
      <c r="HG180" s="639"/>
      <c r="HH180" s="639"/>
      <c r="HI180" s="639"/>
      <c r="HJ180" s="639"/>
      <c r="HK180" s="639"/>
      <c r="HL180" s="639"/>
      <c r="HM180" s="639"/>
      <c r="HN180" s="639"/>
      <c r="HO180" s="639"/>
      <c r="HP180" s="639"/>
      <c r="HQ180" s="639"/>
      <c r="HR180" s="639">
        <v>8.8499999999999995E-2</v>
      </c>
      <c r="HS180" s="639">
        <f t="shared" si="749"/>
        <v>594.21428571428567</v>
      </c>
      <c r="HT180" s="639">
        <f t="shared" si="750"/>
        <v>1</v>
      </c>
      <c r="HU180" s="618">
        <f t="shared" si="754"/>
        <v>2.2543510071233515</v>
      </c>
      <c r="HV180" s="618"/>
      <c r="HW180" s="618">
        <f t="shared" si="736"/>
        <v>32.798821569884844</v>
      </c>
      <c r="HX180" s="618">
        <f t="shared" si="755"/>
        <v>2.1535544552681336</v>
      </c>
      <c r="HY180" s="618">
        <f t="shared" si="756"/>
        <v>8.8499999999999995E-2</v>
      </c>
      <c r="HZ180" s="618"/>
      <c r="IA180" s="618"/>
      <c r="IB180" s="618">
        <f t="shared" si="737"/>
        <v>25.000350341399081</v>
      </c>
      <c r="IC180" s="618">
        <f t="shared" si="738"/>
        <v>1E-3</v>
      </c>
      <c r="ID180" s="618"/>
      <c r="IE180" s="618">
        <f t="shared" si="739"/>
        <v>0</v>
      </c>
      <c r="IF180" s="618">
        <f t="shared" si="740"/>
        <v>40.704999999999998</v>
      </c>
      <c r="IG180" s="618"/>
      <c r="IH180" s="618">
        <f t="shared" si="741"/>
        <v>0</v>
      </c>
      <c r="II180" s="618">
        <f t="shared" si="742"/>
        <v>40.704999999999998</v>
      </c>
      <c r="IJ180" s="618"/>
      <c r="IK180" s="618">
        <f t="shared" si="743"/>
        <v>0</v>
      </c>
      <c r="IL180" s="618">
        <f t="shared" si="744"/>
        <v>40.704999999999998</v>
      </c>
      <c r="IM180" s="618"/>
      <c r="IN180" s="618">
        <f t="shared" si="745"/>
        <v>0</v>
      </c>
      <c r="IO180" s="618">
        <f t="shared" si="746"/>
        <v>40.704999999999998</v>
      </c>
      <c r="IP180" s="618"/>
      <c r="IQ180" s="618">
        <f t="shared" si="747"/>
        <v>0</v>
      </c>
      <c r="IR180" s="618">
        <f t="shared" si="748"/>
        <v>40.704999999999998</v>
      </c>
      <c r="IS180" s="639"/>
      <c r="IT180" s="640"/>
      <c r="IU180" s="640"/>
      <c r="IV180" s="640"/>
      <c r="IW180" s="640"/>
      <c r="IX180" s="640"/>
      <c r="IY180" s="640"/>
      <c r="IZ180" s="640"/>
      <c r="JA180" s="640"/>
      <c r="JB180" s="640"/>
      <c r="JC180" s="640"/>
      <c r="JD180" s="640"/>
      <c r="JE180" s="640"/>
      <c r="JF180" s="640"/>
      <c r="JG180" s="640"/>
      <c r="JH180" s="640"/>
      <c r="JI180" s="640"/>
      <c r="JJ180" s="640"/>
      <c r="JK180" s="640"/>
      <c r="JL180" s="640"/>
      <c r="JM180" s="640"/>
      <c r="JN180" s="640"/>
      <c r="JO180" s="640"/>
      <c r="JP180" s="640"/>
      <c r="JQ180" s="640"/>
      <c r="JR180" s="640"/>
      <c r="JS180" s="640"/>
      <c r="JT180" s="640"/>
      <c r="JU180" s="640"/>
      <c r="JV180" s="652"/>
    </row>
    <row r="181" spans="1:282" s="579" customFormat="1">
      <c r="A181" s="334"/>
      <c r="U181" s="580"/>
      <c r="V181" s="580"/>
      <c r="AC181" s="580"/>
      <c r="AD181" s="580"/>
      <c r="AL181" s="580"/>
      <c r="AM181" s="580"/>
      <c r="AT181" s="580"/>
      <c r="AU181" s="580"/>
      <c r="AV181" s="579">
        <f>O86*$O$82</f>
        <v>0</v>
      </c>
      <c r="AW181" s="581">
        <f>IF($AY$32,'Data Sheet'!AA202,0)</f>
        <v>0</v>
      </c>
      <c r="AX181" s="610">
        <f t="shared" si="760"/>
        <v>40.704999999999998</v>
      </c>
      <c r="CH181" s="334"/>
      <c r="CI181" s="334"/>
      <c r="CO181" s="694" t="str">
        <f t="shared" si="753"/>
        <v>S200Q 2S</v>
      </c>
      <c r="CP181" s="639"/>
      <c r="CQ181" s="618"/>
      <c r="CR181" s="618"/>
      <c r="CS181" s="618"/>
      <c r="CT181" s="626"/>
      <c r="CU181" s="626"/>
      <c r="CV181" s="626"/>
      <c r="CW181" s="626"/>
      <c r="CX181" s="626"/>
      <c r="CY181" s="619"/>
      <c r="CZ181" s="619"/>
      <c r="DA181" s="619"/>
      <c r="DB181" s="619"/>
      <c r="DC181" s="618"/>
      <c r="DD181" s="618"/>
      <c r="DE181" s="618"/>
      <c r="DF181" s="618"/>
      <c r="DG181" s="618"/>
      <c r="DH181" s="618"/>
      <c r="DI181" s="618"/>
      <c r="DJ181" s="618"/>
      <c r="DK181" s="618"/>
      <c r="DL181" s="618"/>
      <c r="DM181" s="618"/>
      <c r="DN181" s="618"/>
      <c r="DO181" s="618"/>
      <c r="DP181" s="618"/>
      <c r="DQ181" s="618"/>
      <c r="DR181" s="618"/>
      <c r="DS181" s="618"/>
      <c r="DT181" s="618"/>
      <c r="DU181" s="618"/>
      <c r="DV181" s="618"/>
      <c r="DW181" s="618"/>
      <c r="DX181" s="618"/>
      <c r="DY181" s="618"/>
      <c r="DZ181" s="618"/>
      <c r="EA181" s="618"/>
      <c r="EB181" s="618"/>
      <c r="EC181" s="618"/>
      <c r="ED181" s="618"/>
      <c r="EE181" s="618"/>
      <c r="EF181" s="618"/>
      <c r="EG181" s="618"/>
      <c r="EH181" s="618"/>
      <c r="EI181" s="618"/>
      <c r="EJ181" s="618"/>
      <c r="EK181" s="618"/>
      <c r="EL181" s="618"/>
      <c r="EM181" s="618"/>
      <c r="EN181" s="618"/>
      <c r="EO181" s="618"/>
      <c r="EP181" s="618"/>
      <c r="EQ181" s="618"/>
      <c r="ER181" s="618"/>
      <c r="ES181" s="618"/>
      <c r="ET181" s="618"/>
      <c r="EU181" s="618"/>
      <c r="EV181" s="618"/>
      <c r="EW181" s="618"/>
      <c r="EX181" s="618"/>
      <c r="EY181" s="618"/>
      <c r="EZ181" s="618"/>
      <c r="FA181" s="618"/>
      <c r="FB181" s="618"/>
      <c r="FC181" s="618"/>
      <c r="FD181" s="618"/>
      <c r="FE181" s="618"/>
      <c r="FF181" s="618"/>
      <c r="FG181" s="618"/>
      <c r="FH181" s="618"/>
      <c r="FI181" s="618"/>
      <c r="FJ181" s="618"/>
      <c r="FK181" s="618"/>
      <c r="FL181" s="618"/>
      <c r="FM181" s="618"/>
      <c r="FN181" s="618"/>
      <c r="FO181" s="618"/>
      <c r="FP181" s="618"/>
      <c r="FQ181" s="618"/>
      <c r="FR181" s="618"/>
      <c r="FS181" s="618"/>
      <c r="FT181" s="618"/>
      <c r="FU181" s="618"/>
      <c r="FV181" s="618"/>
      <c r="FW181" s="618"/>
      <c r="FX181" s="618"/>
      <c r="FY181" s="618"/>
      <c r="FZ181" s="618"/>
      <c r="GA181" s="618"/>
      <c r="GB181" s="618"/>
      <c r="GC181" s="618"/>
      <c r="GD181" s="618"/>
      <c r="GE181" s="618"/>
      <c r="GF181" s="618"/>
      <c r="GG181" s="618"/>
      <c r="GH181" s="618"/>
      <c r="GI181" s="618"/>
      <c r="GJ181" s="618"/>
      <c r="GK181" s="618"/>
      <c r="GL181" s="618"/>
      <c r="GM181" s="618"/>
      <c r="GN181" s="618"/>
      <c r="GO181" s="618"/>
      <c r="GP181" s="618"/>
      <c r="GQ181" s="618"/>
      <c r="GR181" s="618"/>
      <c r="GS181" s="618"/>
      <c r="GT181" s="618"/>
      <c r="GU181" s="618"/>
      <c r="GV181" s="618"/>
      <c r="GW181" s="618"/>
      <c r="GX181" s="618"/>
      <c r="GY181" s="618"/>
      <c r="GZ181" s="618"/>
      <c r="HA181" s="618"/>
      <c r="HB181" s="618"/>
      <c r="HC181" s="618"/>
      <c r="HD181" s="618"/>
      <c r="HE181" s="618"/>
      <c r="HF181" s="639"/>
      <c r="HG181" s="639"/>
      <c r="HH181" s="639"/>
      <c r="HI181" s="639"/>
      <c r="HJ181" s="639"/>
      <c r="HK181" s="639"/>
      <c r="HL181" s="639"/>
      <c r="HM181" s="639"/>
      <c r="HN181" s="639"/>
      <c r="HO181" s="639"/>
      <c r="HP181" s="639"/>
      <c r="HQ181" s="639"/>
      <c r="HR181" s="639">
        <v>8.8999999999999996E-2</v>
      </c>
      <c r="HS181" s="639">
        <f t="shared" si="749"/>
        <v>597.57142857142856</v>
      </c>
      <c r="HT181" s="639">
        <f t="shared" si="750"/>
        <v>1</v>
      </c>
      <c r="HU181" s="618">
        <f t="shared" si="754"/>
        <v>2.2670900510969765</v>
      </c>
      <c r="HV181" s="618"/>
      <c r="HW181" s="618">
        <f t="shared" si="736"/>
        <v>32.780732127442292</v>
      </c>
      <c r="HX181" s="618">
        <f t="shared" si="755"/>
        <v>2.1651543216031088</v>
      </c>
      <c r="HY181" s="618">
        <f t="shared" si="756"/>
        <v>8.8999999999999996E-2</v>
      </c>
      <c r="HZ181" s="618"/>
      <c r="IA181" s="618"/>
      <c r="IB181" s="618">
        <f t="shared" si="737"/>
        <v>25.000350341399081</v>
      </c>
      <c r="IC181" s="618">
        <f t="shared" si="738"/>
        <v>1E-3</v>
      </c>
      <c r="ID181" s="618"/>
      <c r="IE181" s="618">
        <f t="shared" si="739"/>
        <v>0</v>
      </c>
      <c r="IF181" s="618">
        <f t="shared" si="740"/>
        <v>40.704999999999998</v>
      </c>
      <c r="IG181" s="618"/>
      <c r="IH181" s="618">
        <f t="shared" si="741"/>
        <v>0</v>
      </c>
      <c r="II181" s="618">
        <f t="shared" si="742"/>
        <v>40.704999999999998</v>
      </c>
      <c r="IJ181" s="618"/>
      <c r="IK181" s="618">
        <f t="shared" si="743"/>
        <v>0</v>
      </c>
      <c r="IL181" s="618">
        <f t="shared" si="744"/>
        <v>40.704999999999998</v>
      </c>
      <c r="IM181" s="618"/>
      <c r="IN181" s="618">
        <f t="shared" si="745"/>
        <v>0</v>
      </c>
      <c r="IO181" s="618">
        <f t="shared" si="746"/>
        <v>40.704999999999998</v>
      </c>
      <c r="IP181" s="618"/>
      <c r="IQ181" s="618">
        <f t="shared" si="747"/>
        <v>0</v>
      </c>
      <c r="IR181" s="618">
        <f t="shared" si="748"/>
        <v>40.704999999999998</v>
      </c>
      <c r="IS181" s="639"/>
      <c r="IT181" s="640"/>
      <c r="IU181" s="640"/>
      <c r="IV181" s="640"/>
      <c r="IW181" s="640"/>
      <c r="IX181" s="640"/>
      <c r="IY181" s="640"/>
      <c r="IZ181" s="640"/>
      <c r="JA181" s="640"/>
      <c r="JB181" s="640"/>
      <c r="JC181" s="640"/>
      <c r="JD181" s="640"/>
      <c r="JE181" s="640"/>
      <c r="JF181" s="640"/>
      <c r="JG181" s="640"/>
      <c r="JH181" s="640"/>
      <c r="JI181" s="640"/>
      <c r="JJ181" s="640"/>
      <c r="JK181" s="640"/>
      <c r="JL181" s="640"/>
      <c r="JM181" s="640"/>
      <c r="JN181" s="640"/>
      <c r="JO181" s="640"/>
      <c r="JP181" s="640"/>
      <c r="JQ181" s="640"/>
      <c r="JR181" s="640"/>
      <c r="JS181" s="640"/>
      <c r="JT181" s="640"/>
      <c r="JU181" s="640"/>
      <c r="JV181" s="652"/>
    </row>
    <row r="182" spans="1:282" s="579" customFormat="1">
      <c r="A182" s="334"/>
      <c r="U182" s="580"/>
      <c r="V182" s="580"/>
      <c r="AC182" s="580"/>
      <c r="AD182" s="580"/>
      <c r="AL182" s="580"/>
      <c r="AM182" s="580"/>
      <c r="AT182" s="580"/>
      <c r="AU182" s="580"/>
      <c r="AV182" s="579" t="e">
        <f>O85*$O$82</f>
        <v>#DIV/0!</v>
      </c>
      <c r="AW182" s="581" t="e">
        <f>IF($AY$32,'Data Sheet'!AA203,0)</f>
        <v>#DIV/0!</v>
      </c>
      <c r="AX182" s="610">
        <f t="shared" si="760"/>
        <v>40.704999999999998</v>
      </c>
      <c r="CH182" s="334"/>
      <c r="CI182" s="334"/>
      <c r="CO182" s="694" t="str">
        <f t="shared" si="753"/>
        <v>S250D</v>
      </c>
      <c r="CP182" s="639"/>
      <c r="CQ182" s="618"/>
      <c r="CR182" s="618"/>
      <c r="CS182" s="618"/>
      <c r="CT182" s="626"/>
      <c r="CU182" s="626"/>
      <c r="CV182" s="626"/>
      <c r="CW182" s="626"/>
      <c r="CX182" s="626"/>
      <c r="CY182" s="619"/>
      <c r="CZ182" s="619"/>
      <c r="DA182" s="619"/>
      <c r="DB182" s="619"/>
      <c r="DC182" s="618"/>
      <c r="DD182" s="618"/>
      <c r="DE182" s="618"/>
      <c r="DF182" s="618"/>
      <c r="DG182" s="618"/>
      <c r="DH182" s="618"/>
      <c r="DI182" s="618"/>
      <c r="DJ182" s="618"/>
      <c r="DK182" s="618"/>
      <c r="DL182" s="618"/>
      <c r="DM182" s="618"/>
      <c r="DN182" s="618"/>
      <c r="DO182" s="618"/>
      <c r="DP182" s="618"/>
      <c r="DQ182" s="618"/>
      <c r="DR182" s="618"/>
      <c r="DS182" s="618"/>
      <c r="DT182" s="618"/>
      <c r="DU182" s="618"/>
      <c r="DV182" s="618"/>
      <c r="DW182" s="618"/>
      <c r="DX182" s="618"/>
      <c r="DY182" s="618"/>
      <c r="DZ182" s="618"/>
      <c r="EA182" s="618"/>
      <c r="EB182" s="618"/>
      <c r="EC182" s="618"/>
      <c r="ED182" s="618"/>
      <c r="EE182" s="618"/>
      <c r="EF182" s="618"/>
      <c r="EG182" s="618"/>
      <c r="EH182" s="618"/>
      <c r="EI182" s="618"/>
      <c r="EJ182" s="618"/>
      <c r="EK182" s="618"/>
      <c r="EL182" s="618"/>
      <c r="EM182" s="618"/>
      <c r="EN182" s="618"/>
      <c r="EO182" s="618"/>
      <c r="EP182" s="618"/>
      <c r="EQ182" s="618"/>
      <c r="ER182" s="618"/>
      <c r="ES182" s="618"/>
      <c r="ET182" s="618"/>
      <c r="EU182" s="618"/>
      <c r="EV182" s="618"/>
      <c r="EW182" s="618"/>
      <c r="EX182" s="618"/>
      <c r="EY182" s="618"/>
      <c r="EZ182" s="618"/>
      <c r="FA182" s="618"/>
      <c r="FB182" s="618"/>
      <c r="FC182" s="618"/>
      <c r="FD182" s="618"/>
      <c r="FE182" s="618"/>
      <c r="FF182" s="618"/>
      <c r="FG182" s="618"/>
      <c r="FH182" s="618"/>
      <c r="FI182" s="618"/>
      <c r="FJ182" s="618"/>
      <c r="FK182" s="618"/>
      <c r="FL182" s="618"/>
      <c r="FM182" s="618"/>
      <c r="FN182" s="618"/>
      <c r="FO182" s="618"/>
      <c r="FP182" s="618"/>
      <c r="FQ182" s="618"/>
      <c r="FR182" s="618"/>
      <c r="FS182" s="618"/>
      <c r="FT182" s="618"/>
      <c r="FU182" s="618"/>
      <c r="FV182" s="618"/>
      <c r="FW182" s="618"/>
      <c r="FX182" s="618"/>
      <c r="FY182" s="618"/>
      <c r="FZ182" s="618"/>
      <c r="GA182" s="618"/>
      <c r="GB182" s="618"/>
      <c r="GC182" s="618"/>
      <c r="GD182" s="618"/>
      <c r="GE182" s="618"/>
      <c r="GF182" s="618"/>
      <c r="GG182" s="618"/>
      <c r="GH182" s="618"/>
      <c r="GI182" s="618"/>
      <c r="GJ182" s="618"/>
      <c r="GK182" s="618"/>
      <c r="GL182" s="618"/>
      <c r="GM182" s="618"/>
      <c r="GN182" s="618"/>
      <c r="GO182" s="618"/>
      <c r="GP182" s="618"/>
      <c r="GQ182" s="618"/>
      <c r="GR182" s="618"/>
      <c r="GS182" s="618"/>
      <c r="GT182" s="618"/>
      <c r="GU182" s="618"/>
      <c r="GV182" s="618"/>
      <c r="GW182" s="618"/>
      <c r="GX182" s="618"/>
      <c r="GY182" s="618"/>
      <c r="GZ182" s="618"/>
      <c r="HA182" s="618"/>
      <c r="HB182" s="618"/>
      <c r="HC182" s="618"/>
      <c r="HD182" s="618"/>
      <c r="HE182" s="618"/>
      <c r="HF182" s="639"/>
      <c r="HG182" s="639"/>
      <c r="HH182" s="639"/>
      <c r="HI182" s="639"/>
      <c r="HJ182" s="639"/>
      <c r="HK182" s="639"/>
      <c r="HL182" s="639"/>
      <c r="HM182" s="639"/>
      <c r="HN182" s="639"/>
      <c r="HO182" s="639"/>
      <c r="HP182" s="639"/>
      <c r="HQ182" s="639"/>
      <c r="HR182" s="639">
        <v>8.9499999999999996E-2</v>
      </c>
      <c r="HS182" s="639">
        <f t="shared" si="749"/>
        <v>600.92857142857144</v>
      </c>
      <c r="HT182" s="639">
        <f t="shared" si="750"/>
        <v>1</v>
      </c>
      <c r="HU182" s="618">
        <f t="shared" si="754"/>
        <v>2.2798290950706015</v>
      </c>
      <c r="HV182" s="618"/>
      <c r="HW182" s="618">
        <f t="shared" si="736"/>
        <v>32.762642684999747</v>
      </c>
      <c r="HX182" s="618">
        <f t="shared" si="755"/>
        <v>2.1767477867657856</v>
      </c>
      <c r="HY182" s="618">
        <f t="shared" si="756"/>
        <v>8.9499999999999996E-2</v>
      </c>
      <c r="HZ182" s="618"/>
      <c r="IA182" s="618"/>
      <c r="IB182" s="618">
        <f t="shared" si="737"/>
        <v>25.000350341399081</v>
      </c>
      <c r="IC182" s="618">
        <f t="shared" si="738"/>
        <v>1E-3</v>
      </c>
      <c r="ID182" s="618"/>
      <c r="IE182" s="618">
        <f t="shared" si="739"/>
        <v>0</v>
      </c>
      <c r="IF182" s="618">
        <f t="shared" si="740"/>
        <v>40.704999999999998</v>
      </c>
      <c r="IG182" s="618"/>
      <c r="IH182" s="618">
        <f t="shared" si="741"/>
        <v>0</v>
      </c>
      <c r="II182" s="618">
        <f t="shared" si="742"/>
        <v>40.704999999999998</v>
      </c>
      <c r="IJ182" s="618"/>
      <c r="IK182" s="618">
        <f t="shared" si="743"/>
        <v>0</v>
      </c>
      <c r="IL182" s="618">
        <f t="shared" si="744"/>
        <v>40.704999999999998</v>
      </c>
      <c r="IM182" s="618"/>
      <c r="IN182" s="618">
        <f t="shared" si="745"/>
        <v>0</v>
      </c>
      <c r="IO182" s="618">
        <f t="shared" si="746"/>
        <v>40.704999999999998</v>
      </c>
      <c r="IP182" s="618"/>
      <c r="IQ182" s="618">
        <f t="shared" si="747"/>
        <v>0</v>
      </c>
      <c r="IR182" s="618">
        <f t="shared" si="748"/>
        <v>40.704999999999998</v>
      </c>
      <c r="IS182" s="639"/>
      <c r="IT182" s="640"/>
      <c r="IU182" s="640"/>
      <c r="IV182" s="640"/>
      <c r="IW182" s="640"/>
      <c r="IX182" s="640"/>
      <c r="IY182" s="640"/>
      <c r="IZ182" s="640"/>
      <c r="JA182" s="640"/>
      <c r="JB182" s="640"/>
      <c r="JC182" s="640"/>
      <c r="JD182" s="640"/>
      <c r="JE182" s="640"/>
      <c r="JF182" s="640"/>
      <c r="JG182" s="640"/>
      <c r="JH182" s="640"/>
      <c r="JI182" s="640"/>
      <c r="JJ182" s="640"/>
      <c r="JK182" s="640"/>
      <c r="JL182" s="640"/>
      <c r="JM182" s="640"/>
      <c r="JN182" s="640"/>
      <c r="JO182" s="640"/>
      <c r="JP182" s="640"/>
      <c r="JQ182" s="640"/>
      <c r="JR182" s="640"/>
      <c r="JS182" s="640"/>
      <c r="JT182" s="640"/>
      <c r="JU182" s="640"/>
      <c r="JV182" s="652"/>
    </row>
    <row r="183" spans="1:282" s="579" customFormat="1">
      <c r="A183" s="334"/>
      <c r="U183" s="580"/>
      <c r="V183" s="580"/>
      <c r="AC183" s="580"/>
      <c r="AD183" s="580"/>
      <c r="AL183" s="580"/>
      <c r="AM183" s="580"/>
      <c r="AT183" s="580"/>
      <c r="AU183" s="580"/>
      <c r="AV183" s="579" t="e">
        <f>O84*$O$82</f>
        <v>#DIV/0!</v>
      </c>
      <c r="AW183" s="581" t="e">
        <f>IF($AY$32,'Data Sheet'!AA204,0)</f>
        <v>#DIV/0!</v>
      </c>
      <c r="AX183" s="610">
        <f t="shared" si="760"/>
        <v>40.704999999999998</v>
      </c>
      <c r="CH183" s="334"/>
      <c r="CI183" s="334"/>
      <c r="CO183" s="694" t="str">
        <f t="shared" si="753"/>
        <v>S250D 1S</v>
      </c>
      <c r="CP183" s="639"/>
      <c r="CQ183" s="618"/>
      <c r="CR183" s="618"/>
      <c r="CS183" s="618"/>
      <c r="CT183" s="626"/>
      <c r="CU183" s="626"/>
      <c r="CV183" s="626"/>
      <c r="CW183" s="626"/>
      <c r="CX183" s="626"/>
      <c r="CY183" s="619"/>
      <c r="CZ183" s="619"/>
      <c r="DA183" s="619"/>
      <c r="DB183" s="619"/>
      <c r="DC183" s="618"/>
      <c r="DD183" s="618"/>
      <c r="DE183" s="618"/>
      <c r="DF183" s="618"/>
      <c r="DG183" s="618"/>
      <c r="DH183" s="618"/>
      <c r="DI183" s="618"/>
      <c r="DJ183" s="618"/>
      <c r="DK183" s="618"/>
      <c r="DL183" s="618"/>
      <c r="DM183" s="618"/>
      <c r="DN183" s="618"/>
      <c r="DO183" s="618"/>
      <c r="DP183" s="618"/>
      <c r="DQ183" s="618"/>
      <c r="DR183" s="618"/>
      <c r="DS183" s="618"/>
      <c r="DT183" s="618"/>
      <c r="DU183" s="618"/>
      <c r="DV183" s="618"/>
      <c r="DW183" s="618"/>
      <c r="DX183" s="618"/>
      <c r="DY183" s="618"/>
      <c r="DZ183" s="618"/>
      <c r="EA183" s="618"/>
      <c r="EB183" s="618"/>
      <c r="EC183" s="618"/>
      <c r="ED183" s="618"/>
      <c r="EE183" s="618"/>
      <c r="EF183" s="618"/>
      <c r="EG183" s="618"/>
      <c r="EH183" s="618"/>
      <c r="EI183" s="618"/>
      <c r="EJ183" s="618"/>
      <c r="EK183" s="618"/>
      <c r="EL183" s="618"/>
      <c r="EM183" s="618"/>
      <c r="EN183" s="618"/>
      <c r="EO183" s="618"/>
      <c r="EP183" s="618"/>
      <c r="EQ183" s="618"/>
      <c r="ER183" s="618"/>
      <c r="ES183" s="618"/>
      <c r="ET183" s="618"/>
      <c r="EU183" s="618"/>
      <c r="EV183" s="618"/>
      <c r="EW183" s="618"/>
      <c r="EX183" s="618"/>
      <c r="EY183" s="618"/>
      <c r="EZ183" s="618"/>
      <c r="FA183" s="618"/>
      <c r="FB183" s="618"/>
      <c r="FC183" s="618"/>
      <c r="FD183" s="618"/>
      <c r="FE183" s="618"/>
      <c r="FF183" s="618"/>
      <c r="FG183" s="618"/>
      <c r="FH183" s="618"/>
      <c r="FI183" s="618"/>
      <c r="FJ183" s="618"/>
      <c r="FK183" s="618"/>
      <c r="FL183" s="618"/>
      <c r="FM183" s="618"/>
      <c r="FN183" s="618"/>
      <c r="FO183" s="618"/>
      <c r="FP183" s="618"/>
      <c r="FQ183" s="618"/>
      <c r="FR183" s="618"/>
      <c r="FS183" s="618"/>
      <c r="FT183" s="618"/>
      <c r="FU183" s="618"/>
      <c r="FV183" s="618"/>
      <c r="FW183" s="618"/>
      <c r="FX183" s="618"/>
      <c r="FY183" s="618"/>
      <c r="FZ183" s="618"/>
      <c r="GA183" s="618"/>
      <c r="GB183" s="618"/>
      <c r="GC183" s="618"/>
      <c r="GD183" s="618"/>
      <c r="GE183" s="618"/>
      <c r="GF183" s="618"/>
      <c r="GG183" s="618"/>
      <c r="GH183" s="618"/>
      <c r="GI183" s="618"/>
      <c r="GJ183" s="618"/>
      <c r="GK183" s="618"/>
      <c r="GL183" s="618"/>
      <c r="GM183" s="618"/>
      <c r="GN183" s="618"/>
      <c r="GO183" s="618"/>
      <c r="GP183" s="618"/>
      <c r="GQ183" s="618"/>
      <c r="GR183" s="618"/>
      <c r="GS183" s="618"/>
      <c r="GT183" s="618"/>
      <c r="GU183" s="618"/>
      <c r="GV183" s="618"/>
      <c r="GW183" s="618"/>
      <c r="GX183" s="618"/>
      <c r="GY183" s="618"/>
      <c r="GZ183" s="618"/>
      <c r="HA183" s="618"/>
      <c r="HB183" s="618"/>
      <c r="HC183" s="618"/>
      <c r="HD183" s="618"/>
      <c r="HE183" s="618"/>
      <c r="HF183" s="639"/>
      <c r="HG183" s="639"/>
      <c r="HH183" s="639"/>
      <c r="HI183" s="639"/>
      <c r="HJ183" s="639"/>
      <c r="HK183" s="639"/>
      <c r="HL183" s="639"/>
      <c r="HM183" s="639"/>
      <c r="HN183" s="639"/>
      <c r="HO183" s="639"/>
      <c r="HP183" s="639"/>
      <c r="HQ183" s="639"/>
      <c r="HR183" s="639">
        <v>0.09</v>
      </c>
      <c r="HS183" s="639">
        <f t="shared" si="749"/>
        <v>604.28571428571422</v>
      </c>
      <c r="HT183" s="639">
        <f t="shared" si="750"/>
        <v>1</v>
      </c>
      <c r="HU183" s="618">
        <f t="shared" si="754"/>
        <v>2.2925681390442265</v>
      </c>
      <c r="HV183" s="618"/>
      <c r="HW183" s="618">
        <f t="shared" si="736"/>
        <v>32.744553242557195</v>
      </c>
      <c r="HX183" s="618">
        <f t="shared" si="755"/>
        <v>2.1883348507561644</v>
      </c>
      <c r="HY183" s="618">
        <f t="shared" si="756"/>
        <v>0.09</v>
      </c>
      <c r="HZ183" s="618"/>
      <c r="IA183" s="618"/>
      <c r="IB183" s="618">
        <f t="shared" si="737"/>
        <v>25.000350341399081</v>
      </c>
      <c r="IC183" s="618">
        <f t="shared" si="738"/>
        <v>1E-3</v>
      </c>
      <c r="ID183" s="618"/>
      <c r="IE183" s="618">
        <f t="shared" si="739"/>
        <v>0</v>
      </c>
      <c r="IF183" s="618">
        <f t="shared" si="740"/>
        <v>40.704999999999998</v>
      </c>
      <c r="IG183" s="618"/>
      <c r="IH183" s="618">
        <f t="shared" si="741"/>
        <v>0</v>
      </c>
      <c r="II183" s="618">
        <f t="shared" si="742"/>
        <v>40.704999999999998</v>
      </c>
      <c r="IJ183" s="618"/>
      <c r="IK183" s="618">
        <f t="shared" si="743"/>
        <v>0</v>
      </c>
      <c r="IL183" s="618">
        <f t="shared" si="744"/>
        <v>40.704999999999998</v>
      </c>
      <c r="IM183" s="618"/>
      <c r="IN183" s="618">
        <f t="shared" si="745"/>
        <v>0</v>
      </c>
      <c r="IO183" s="618">
        <f t="shared" si="746"/>
        <v>40.704999999999998</v>
      </c>
      <c r="IP183" s="618"/>
      <c r="IQ183" s="618">
        <f t="shared" si="747"/>
        <v>0</v>
      </c>
      <c r="IR183" s="618">
        <f t="shared" si="748"/>
        <v>40.704999999999998</v>
      </c>
      <c r="IS183" s="639"/>
      <c r="IT183" s="640"/>
      <c r="IU183" s="640"/>
      <c r="IV183" s="640"/>
      <c r="IW183" s="640"/>
      <c r="IX183" s="640"/>
      <c r="IY183" s="640"/>
      <c r="IZ183" s="640"/>
      <c r="JA183" s="640"/>
      <c r="JB183" s="640"/>
      <c r="JC183" s="640"/>
      <c r="JD183" s="640"/>
      <c r="JE183" s="640"/>
      <c r="JF183" s="640"/>
      <c r="JG183" s="640"/>
      <c r="JH183" s="640"/>
      <c r="JI183" s="640"/>
      <c r="JJ183" s="640"/>
      <c r="JK183" s="640"/>
      <c r="JL183" s="640"/>
      <c r="JM183" s="640"/>
      <c r="JN183" s="640"/>
      <c r="JO183" s="640"/>
      <c r="JP183" s="640"/>
      <c r="JQ183" s="640"/>
      <c r="JR183" s="640"/>
      <c r="JS183" s="640"/>
      <c r="JT183" s="640"/>
      <c r="JU183" s="640"/>
      <c r="JV183" s="652"/>
    </row>
    <row r="184" spans="1:282" s="579" customFormat="1">
      <c r="A184" s="334"/>
      <c r="U184" s="580"/>
      <c r="V184" s="580"/>
      <c r="AC184" s="580"/>
      <c r="AD184" s="580"/>
      <c r="AL184" s="580"/>
      <c r="AM184" s="580"/>
      <c r="AT184" s="580"/>
      <c r="AU184" s="580"/>
      <c r="AV184" s="579" t="e">
        <f>O83*$O$82</f>
        <v>#DIV/0!</v>
      </c>
      <c r="AW184" s="581" t="e">
        <f>IF($AY$32,'Data Sheet'!AA205,0)</f>
        <v>#DIV/0!</v>
      </c>
      <c r="AX184" s="610">
        <f t="shared" si="760"/>
        <v>40.704999999999998</v>
      </c>
      <c r="CH184" s="334"/>
      <c r="CI184" s="334"/>
      <c r="CO184" s="694" t="str">
        <f t="shared" si="753"/>
        <v>L350DS</v>
      </c>
      <c r="CP184" s="639"/>
      <c r="CQ184" s="618"/>
      <c r="CR184" s="618"/>
      <c r="CS184" s="618"/>
      <c r="CT184" s="626"/>
      <c r="CU184" s="626"/>
      <c r="CV184" s="626"/>
      <c r="CW184" s="626"/>
      <c r="CX184" s="626"/>
      <c r="CY184" s="619"/>
      <c r="CZ184" s="619"/>
      <c r="DA184" s="619"/>
      <c r="DB184" s="619"/>
      <c r="DC184" s="618"/>
      <c r="DD184" s="618"/>
      <c r="DE184" s="618"/>
      <c r="DF184" s="618"/>
      <c r="DG184" s="618"/>
      <c r="DH184" s="618"/>
      <c r="DI184" s="618"/>
      <c r="DJ184" s="618"/>
      <c r="DK184" s="618"/>
      <c r="DL184" s="618"/>
      <c r="DM184" s="618"/>
      <c r="DN184" s="618"/>
      <c r="DO184" s="618"/>
      <c r="DP184" s="618"/>
      <c r="DQ184" s="618"/>
      <c r="DR184" s="618"/>
      <c r="DS184" s="618"/>
      <c r="DT184" s="618"/>
      <c r="DU184" s="618"/>
      <c r="DV184" s="618"/>
      <c r="DW184" s="618"/>
      <c r="DX184" s="618"/>
      <c r="DY184" s="618"/>
      <c r="DZ184" s="618"/>
      <c r="EA184" s="618"/>
      <c r="EB184" s="618"/>
      <c r="EC184" s="618"/>
      <c r="ED184" s="618"/>
      <c r="EE184" s="618"/>
      <c r="EF184" s="618"/>
      <c r="EG184" s="618"/>
      <c r="EH184" s="618"/>
      <c r="EI184" s="618"/>
      <c r="EJ184" s="618"/>
      <c r="EK184" s="618"/>
      <c r="EL184" s="618"/>
      <c r="EM184" s="618"/>
      <c r="EN184" s="618"/>
      <c r="EO184" s="618"/>
      <c r="EP184" s="618"/>
      <c r="EQ184" s="618"/>
      <c r="ER184" s="618"/>
      <c r="ES184" s="618"/>
      <c r="ET184" s="618"/>
      <c r="EU184" s="618"/>
      <c r="EV184" s="618"/>
      <c r="EW184" s="618"/>
      <c r="EX184" s="618"/>
      <c r="EY184" s="618"/>
      <c r="EZ184" s="618"/>
      <c r="FA184" s="618"/>
      <c r="FB184" s="618"/>
      <c r="FC184" s="618"/>
      <c r="FD184" s="618"/>
      <c r="FE184" s="618"/>
      <c r="FF184" s="618"/>
      <c r="FG184" s="618"/>
      <c r="FH184" s="618"/>
      <c r="FI184" s="618"/>
      <c r="FJ184" s="618"/>
      <c r="FK184" s="618"/>
      <c r="FL184" s="618"/>
      <c r="FM184" s="618"/>
      <c r="FN184" s="618"/>
      <c r="FO184" s="618"/>
      <c r="FP184" s="618"/>
      <c r="FQ184" s="618"/>
      <c r="FR184" s="618"/>
      <c r="FS184" s="618"/>
      <c r="FT184" s="618"/>
      <c r="FU184" s="618"/>
      <c r="FV184" s="618"/>
      <c r="FW184" s="618"/>
      <c r="FX184" s="618"/>
      <c r="FY184" s="618"/>
      <c r="FZ184" s="618"/>
      <c r="GA184" s="618"/>
      <c r="GB184" s="618"/>
      <c r="GC184" s="618"/>
      <c r="GD184" s="618"/>
      <c r="GE184" s="618"/>
      <c r="GF184" s="618"/>
      <c r="GG184" s="618"/>
      <c r="GH184" s="618"/>
      <c r="GI184" s="618"/>
      <c r="GJ184" s="618"/>
      <c r="GK184" s="618"/>
      <c r="GL184" s="618"/>
      <c r="GM184" s="618"/>
      <c r="GN184" s="618"/>
      <c r="GO184" s="618"/>
      <c r="GP184" s="618"/>
      <c r="GQ184" s="618"/>
      <c r="GR184" s="618"/>
      <c r="GS184" s="618"/>
      <c r="GT184" s="618"/>
      <c r="GU184" s="618"/>
      <c r="GV184" s="618"/>
      <c r="GW184" s="618"/>
      <c r="GX184" s="618"/>
      <c r="GY184" s="618"/>
      <c r="GZ184" s="618"/>
      <c r="HA184" s="618"/>
      <c r="HB184" s="618"/>
      <c r="HC184" s="618"/>
      <c r="HD184" s="618"/>
      <c r="HE184" s="618"/>
      <c r="HF184" s="639"/>
      <c r="HG184" s="639"/>
      <c r="HH184" s="639"/>
      <c r="HI184" s="639"/>
      <c r="HJ184" s="639"/>
      <c r="HK184" s="639"/>
      <c r="HL184" s="639"/>
      <c r="HM184" s="639"/>
      <c r="HN184" s="639"/>
      <c r="HO184" s="639"/>
      <c r="HP184" s="639"/>
      <c r="HQ184" s="639"/>
      <c r="HR184" s="639">
        <v>9.0499999999999997E-2</v>
      </c>
      <c r="HS184" s="639">
        <f t="shared" si="749"/>
        <v>607.64285714285711</v>
      </c>
      <c r="HT184" s="639">
        <f t="shared" si="750"/>
        <v>1</v>
      </c>
      <c r="HU184" s="618">
        <f t="shared" si="754"/>
        <v>2.3053071830178515</v>
      </c>
      <c r="HV184" s="618"/>
      <c r="HW184" s="618">
        <f t="shared" si="736"/>
        <v>32.726463800114651</v>
      </c>
      <c r="HX184" s="618">
        <f t="shared" si="755"/>
        <v>2.1999155135742452</v>
      </c>
      <c r="HY184" s="618">
        <f t="shared" si="756"/>
        <v>9.0499999999999997E-2</v>
      </c>
      <c r="HZ184" s="618"/>
      <c r="IA184" s="618"/>
      <c r="IB184" s="618">
        <f t="shared" si="737"/>
        <v>25.000350341399081</v>
      </c>
      <c r="IC184" s="618">
        <f t="shared" si="738"/>
        <v>1E-3</v>
      </c>
      <c r="ID184" s="618"/>
      <c r="IE184" s="618">
        <f t="shared" si="739"/>
        <v>0</v>
      </c>
      <c r="IF184" s="618">
        <f t="shared" si="740"/>
        <v>40.704999999999998</v>
      </c>
      <c r="IG184" s="618"/>
      <c r="IH184" s="618">
        <f t="shared" si="741"/>
        <v>0</v>
      </c>
      <c r="II184" s="618">
        <f t="shared" si="742"/>
        <v>40.704999999999998</v>
      </c>
      <c r="IJ184" s="618"/>
      <c r="IK184" s="618">
        <f t="shared" si="743"/>
        <v>0</v>
      </c>
      <c r="IL184" s="618">
        <f t="shared" si="744"/>
        <v>40.704999999999998</v>
      </c>
      <c r="IM184" s="618"/>
      <c r="IN184" s="618">
        <f t="shared" si="745"/>
        <v>0</v>
      </c>
      <c r="IO184" s="618">
        <f t="shared" si="746"/>
        <v>40.704999999999998</v>
      </c>
      <c r="IP184" s="618"/>
      <c r="IQ184" s="618">
        <f t="shared" si="747"/>
        <v>0</v>
      </c>
      <c r="IR184" s="618">
        <f t="shared" si="748"/>
        <v>40.704999999999998</v>
      </c>
      <c r="IS184" s="639"/>
      <c r="IT184" s="640"/>
      <c r="IU184" s="640"/>
      <c r="IV184" s="640"/>
      <c r="IW184" s="640"/>
      <c r="IX184" s="640"/>
      <c r="IY184" s="640"/>
      <c r="IZ184" s="640"/>
      <c r="JA184" s="640"/>
      <c r="JB184" s="640"/>
      <c r="JC184" s="640"/>
      <c r="JD184" s="640"/>
      <c r="JE184" s="640"/>
      <c r="JF184" s="640"/>
      <c r="JG184" s="640"/>
      <c r="JH184" s="640"/>
      <c r="JI184" s="640"/>
      <c r="JJ184" s="640"/>
      <c r="JK184" s="640"/>
      <c r="JL184" s="640"/>
      <c r="JM184" s="640"/>
      <c r="JN184" s="640"/>
      <c r="JO184" s="640"/>
      <c r="JP184" s="640"/>
      <c r="JQ184" s="640"/>
      <c r="JR184" s="640"/>
      <c r="JS184" s="640"/>
      <c r="JT184" s="640"/>
      <c r="JU184" s="640"/>
      <c r="JV184" s="652"/>
    </row>
    <row r="185" spans="1:282" s="579" customFormat="1">
      <c r="A185" s="334"/>
      <c r="U185" s="580"/>
      <c r="V185" s="580"/>
      <c r="AC185" s="580"/>
      <c r="AD185" s="580"/>
      <c r="AL185" s="580"/>
      <c r="AM185" s="580"/>
      <c r="AT185" s="580"/>
      <c r="AU185" s="580"/>
      <c r="AV185" s="579" t="str">
        <f>IF($AY$30,Z32,0)</f>
        <v/>
      </c>
      <c r="AW185" s="581">
        <f>IF($AY$32,'Data Sheet'!AA206,0)</f>
        <v>0</v>
      </c>
      <c r="AX185" s="610">
        <f>Z31-AY50</f>
        <v>40.704999999999998</v>
      </c>
      <c r="CH185" s="334"/>
      <c r="CI185" s="334"/>
      <c r="CO185" s="694" t="str">
        <f t="shared" si="753"/>
        <v>L250TS</v>
      </c>
      <c r="CP185" s="639"/>
      <c r="CQ185" s="618"/>
      <c r="CR185" s="618"/>
      <c r="CS185" s="618"/>
      <c r="CT185" s="626"/>
      <c r="CU185" s="626"/>
      <c r="CV185" s="626"/>
      <c r="CW185" s="626"/>
      <c r="CX185" s="626"/>
      <c r="CY185" s="619"/>
      <c r="CZ185" s="619"/>
      <c r="DA185" s="619"/>
      <c r="DB185" s="619"/>
      <c r="DC185" s="618"/>
      <c r="DD185" s="618"/>
      <c r="DE185" s="618"/>
      <c r="DF185" s="618"/>
      <c r="DG185" s="618"/>
      <c r="DH185" s="618"/>
      <c r="DI185" s="618"/>
      <c r="DJ185" s="618"/>
      <c r="DK185" s="618"/>
      <c r="DL185" s="618"/>
      <c r="DM185" s="618"/>
      <c r="DN185" s="618"/>
      <c r="DO185" s="618"/>
      <c r="DP185" s="618"/>
      <c r="DQ185" s="618"/>
      <c r="DR185" s="618"/>
      <c r="DS185" s="618"/>
      <c r="DT185" s="618"/>
      <c r="DU185" s="618"/>
      <c r="DV185" s="618"/>
      <c r="DW185" s="618"/>
      <c r="DX185" s="618"/>
      <c r="DY185" s="618"/>
      <c r="DZ185" s="618"/>
      <c r="EA185" s="618"/>
      <c r="EB185" s="618"/>
      <c r="EC185" s="618"/>
      <c r="ED185" s="618"/>
      <c r="EE185" s="618"/>
      <c r="EF185" s="618"/>
      <c r="EG185" s="618"/>
      <c r="EH185" s="618"/>
      <c r="EI185" s="618"/>
      <c r="EJ185" s="618"/>
      <c r="EK185" s="618"/>
      <c r="EL185" s="618"/>
      <c r="EM185" s="618"/>
      <c r="EN185" s="618"/>
      <c r="EO185" s="618"/>
      <c r="EP185" s="618"/>
      <c r="EQ185" s="618"/>
      <c r="ER185" s="618"/>
      <c r="ES185" s="618"/>
      <c r="ET185" s="618"/>
      <c r="EU185" s="618"/>
      <c r="EV185" s="618"/>
      <c r="EW185" s="618"/>
      <c r="EX185" s="618"/>
      <c r="EY185" s="618"/>
      <c r="EZ185" s="618"/>
      <c r="FA185" s="618"/>
      <c r="FB185" s="618"/>
      <c r="FC185" s="618"/>
      <c r="FD185" s="618"/>
      <c r="FE185" s="618"/>
      <c r="FF185" s="618"/>
      <c r="FG185" s="618"/>
      <c r="FH185" s="618"/>
      <c r="FI185" s="618"/>
      <c r="FJ185" s="618"/>
      <c r="FK185" s="618"/>
      <c r="FL185" s="618"/>
      <c r="FM185" s="618"/>
      <c r="FN185" s="618"/>
      <c r="FO185" s="618"/>
      <c r="FP185" s="618"/>
      <c r="FQ185" s="618"/>
      <c r="FR185" s="618"/>
      <c r="FS185" s="618"/>
      <c r="FT185" s="618"/>
      <c r="FU185" s="618"/>
      <c r="FV185" s="618"/>
      <c r="FW185" s="618"/>
      <c r="FX185" s="618"/>
      <c r="FY185" s="618"/>
      <c r="FZ185" s="618"/>
      <c r="GA185" s="618"/>
      <c r="GB185" s="618"/>
      <c r="GC185" s="618"/>
      <c r="GD185" s="618"/>
      <c r="GE185" s="618"/>
      <c r="GF185" s="618"/>
      <c r="GG185" s="618"/>
      <c r="GH185" s="618"/>
      <c r="GI185" s="618"/>
      <c r="GJ185" s="618"/>
      <c r="GK185" s="618"/>
      <c r="GL185" s="618"/>
      <c r="GM185" s="618"/>
      <c r="GN185" s="618"/>
      <c r="GO185" s="618"/>
      <c r="GP185" s="618"/>
      <c r="GQ185" s="618"/>
      <c r="GR185" s="618"/>
      <c r="GS185" s="618"/>
      <c r="GT185" s="618"/>
      <c r="GU185" s="618"/>
      <c r="GV185" s="618"/>
      <c r="GW185" s="618"/>
      <c r="GX185" s="618"/>
      <c r="GY185" s="618"/>
      <c r="GZ185" s="618"/>
      <c r="HA185" s="618"/>
      <c r="HB185" s="618"/>
      <c r="HC185" s="618"/>
      <c r="HD185" s="618"/>
      <c r="HE185" s="618"/>
      <c r="HF185" s="639"/>
      <c r="HG185" s="639"/>
      <c r="HH185" s="639"/>
      <c r="HI185" s="639"/>
      <c r="HJ185" s="639"/>
      <c r="HK185" s="639"/>
      <c r="HL185" s="639"/>
      <c r="HM185" s="639"/>
      <c r="HN185" s="639"/>
      <c r="HO185" s="639"/>
      <c r="HP185" s="639"/>
      <c r="HQ185" s="639"/>
      <c r="HR185" s="639">
        <v>9.0999999999999998E-2</v>
      </c>
      <c r="HS185" s="639">
        <f t="shared" si="749"/>
        <v>611</v>
      </c>
      <c r="HT185" s="639">
        <f t="shared" si="750"/>
        <v>1</v>
      </c>
      <c r="HU185" s="618">
        <f t="shared" si="754"/>
        <v>2.3180462269914766</v>
      </c>
      <c r="HV185" s="618"/>
      <c r="HW185" s="618">
        <f t="shared" si="736"/>
        <v>32.708374357672106</v>
      </c>
      <c r="HX185" s="618">
        <f t="shared" si="755"/>
        <v>2.2114897752200275</v>
      </c>
      <c r="HY185" s="618">
        <f t="shared" si="756"/>
        <v>9.0999999999999998E-2</v>
      </c>
      <c r="HZ185" s="618"/>
      <c r="IA185" s="618"/>
      <c r="IB185" s="618">
        <f t="shared" si="737"/>
        <v>25.000350341399081</v>
      </c>
      <c r="IC185" s="618">
        <f t="shared" si="738"/>
        <v>1E-3</v>
      </c>
      <c r="ID185" s="618"/>
      <c r="IE185" s="618">
        <f t="shared" si="739"/>
        <v>0</v>
      </c>
      <c r="IF185" s="618">
        <f t="shared" si="740"/>
        <v>40.704999999999998</v>
      </c>
      <c r="IG185" s="618"/>
      <c r="IH185" s="618">
        <f t="shared" si="741"/>
        <v>0</v>
      </c>
      <c r="II185" s="618">
        <f t="shared" si="742"/>
        <v>40.704999999999998</v>
      </c>
      <c r="IJ185" s="618"/>
      <c r="IK185" s="618">
        <f t="shared" si="743"/>
        <v>0</v>
      </c>
      <c r="IL185" s="618">
        <f t="shared" si="744"/>
        <v>40.704999999999998</v>
      </c>
      <c r="IM185" s="618"/>
      <c r="IN185" s="618">
        <f t="shared" si="745"/>
        <v>0</v>
      </c>
      <c r="IO185" s="618">
        <f t="shared" si="746"/>
        <v>40.704999999999998</v>
      </c>
      <c r="IP185" s="618"/>
      <c r="IQ185" s="618">
        <f t="shared" si="747"/>
        <v>0</v>
      </c>
      <c r="IR185" s="618">
        <f t="shared" si="748"/>
        <v>40.704999999999998</v>
      </c>
      <c r="IS185" s="639"/>
      <c r="IT185" s="640"/>
      <c r="IU185" s="640"/>
      <c r="IV185" s="640"/>
      <c r="IW185" s="640"/>
      <c r="IX185" s="640"/>
      <c r="IY185" s="640"/>
      <c r="IZ185" s="640"/>
      <c r="JA185" s="640"/>
      <c r="JB185" s="640"/>
      <c r="JC185" s="640"/>
      <c r="JD185" s="640"/>
      <c r="JE185" s="640"/>
      <c r="JF185" s="640"/>
      <c r="JG185" s="640"/>
      <c r="JH185" s="640"/>
      <c r="JI185" s="640"/>
      <c r="JJ185" s="640"/>
      <c r="JK185" s="640"/>
      <c r="JL185" s="640"/>
      <c r="JM185" s="640"/>
      <c r="JN185" s="640"/>
      <c r="JO185" s="640"/>
      <c r="JP185" s="640"/>
      <c r="JQ185" s="640"/>
      <c r="JR185" s="640"/>
      <c r="JS185" s="640"/>
      <c r="JT185" s="640"/>
      <c r="JU185" s="640"/>
      <c r="JV185" s="652"/>
    </row>
    <row r="186" spans="1:282" s="579" customFormat="1">
      <c r="A186" s="334"/>
      <c r="U186" s="580"/>
      <c r="V186" s="580"/>
      <c r="AC186" s="580"/>
      <c r="AD186" s="580"/>
      <c r="AL186" s="580"/>
      <c r="AM186" s="580"/>
      <c r="AT186" s="580"/>
      <c r="AU186" s="580"/>
      <c r="AV186" s="579" t="str">
        <f>IF($AY$30,AA32,0)</f>
        <v/>
      </c>
      <c r="AW186" s="581">
        <f>IF($AY$32,'Data Sheet'!AA207,0)</f>
        <v>0</v>
      </c>
      <c r="AX186" s="610">
        <f>IF($AY$33,AA31,AX185)</f>
        <v>40.704999999999998</v>
      </c>
      <c r="CH186" s="334"/>
      <c r="CI186" s="334"/>
      <c r="CO186" s="694" t="str">
        <f t="shared" si="753"/>
        <v>L320TS</v>
      </c>
      <c r="CP186" s="639"/>
      <c r="CQ186" s="618"/>
      <c r="CR186" s="618"/>
      <c r="CS186" s="618"/>
      <c r="CT186" s="626"/>
      <c r="CU186" s="626"/>
      <c r="CV186" s="626"/>
      <c r="CW186" s="626"/>
      <c r="CX186" s="626"/>
      <c r="CY186" s="619"/>
      <c r="CZ186" s="619"/>
      <c r="DA186" s="619"/>
      <c r="DB186" s="619"/>
      <c r="DC186" s="618"/>
      <c r="DD186" s="618"/>
      <c r="DE186" s="618"/>
      <c r="DF186" s="618"/>
      <c r="DG186" s="618"/>
      <c r="DH186" s="618"/>
      <c r="DI186" s="618"/>
      <c r="DJ186" s="618"/>
      <c r="DK186" s="618"/>
      <c r="DL186" s="618"/>
      <c r="DM186" s="618"/>
      <c r="DN186" s="618"/>
      <c r="DO186" s="618"/>
      <c r="DP186" s="618"/>
      <c r="DQ186" s="618"/>
      <c r="DR186" s="618"/>
      <c r="DS186" s="618"/>
      <c r="DT186" s="618"/>
      <c r="DU186" s="618"/>
      <c r="DV186" s="618"/>
      <c r="DW186" s="618"/>
      <c r="DX186" s="618"/>
      <c r="DY186" s="618"/>
      <c r="DZ186" s="618"/>
      <c r="EA186" s="618"/>
      <c r="EB186" s="618"/>
      <c r="EC186" s="618"/>
      <c r="ED186" s="618"/>
      <c r="EE186" s="618"/>
      <c r="EF186" s="618"/>
      <c r="EG186" s="618"/>
      <c r="EH186" s="618"/>
      <c r="EI186" s="618"/>
      <c r="EJ186" s="618"/>
      <c r="EK186" s="618"/>
      <c r="EL186" s="618"/>
      <c r="EM186" s="618"/>
      <c r="EN186" s="618"/>
      <c r="EO186" s="618"/>
      <c r="EP186" s="618"/>
      <c r="EQ186" s="618"/>
      <c r="ER186" s="618"/>
      <c r="ES186" s="618"/>
      <c r="ET186" s="618"/>
      <c r="EU186" s="618"/>
      <c r="EV186" s="618"/>
      <c r="EW186" s="618"/>
      <c r="EX186" s="618"/>
      <c r="EY186" s="618"/>
      <c r="EZ186" s="618"/>
      <c r="FA186" s="618"/>
      <c r="FB186" s="618"/>
      <c r="FC186" s="618"/>
      <c r="FD186" s="618"/>
      <c r="FE186" s="618"/>
      <c r="FF186" s="618"/>
      <c r="FG186" s="618"/>
      <c r="FH186" s="618"/>
      <c r="FI186" s="618"/>
      <c r="FJ186" s="618"/>
      <c r="FK186" s="618"/>
      <c r="FL186" s="618"/>
      <c r="FM186" s="618"/>
      <c r="FN186" s="618"/>
      <c r="FO186" s="618"/>
      <c r="FP186" s="618"/>
      <c r="FQ186" s="618"/>
      <c r="FR186" s="618"/>
      <c r="FS186" s="618"/>
      <c r="FT186" s="618"/>
      <c r="FU186" s="618"/>
      <c r="FV186" s="618"/>
      <c r="FW186" s="618"/>
      <c r="FX186" s="618"/>
      <c r="FY186" s="618"/>
      <c r="FZ186" s="618"/>
      <c r="GA186" s="618"/>
      <c r="GB186" s="618"/>
      <c r="GC186" s="618"/>
      <c r="GD186" s="618"/>
      <c r="GE186" s="618"/>
      <c r="GF186" s="618"/>
      <c r="GG186" s="618"/>
      <c r="GH186" s="618"/>
      <c r="GI186" s="618"/>
      <c r="GJ186" s="618"/>
      <c r="GK186" s="618"/>
      <c r="GL186" s="618"/>
      <c r="GM186" s="618"/>
      <c r="GN186" s="618"/>
      <c r="GO186" s="618"/>
      <c r="GP186" s="618"/>
      <c r="GQ186" s="618"/>
      <c r="GR186" s="618"/>
      <c r="GS186" s="618"/>
      <c r="GT186" s="618"/>
      <c r="GU186" s="618"/>
      <c r="GV186" s="618"/>
      <c r="GW186" s="618"/>
      <c r="GX186" s="618"/>
      <c r="GY186" s="618"/>
      <c r="GZ186" s="618"/>
      <c r="HA186" s="618"/>
      <c r="HB186" s="618"/>
      <c r="HC186" s="618"/>
      <c r="HD186" s="618"/>
      <c r="HE186" s="618"/>
      <c r="HF186" s="639"/>
      <c r="HG186" s="639"/>
      <c r="HH186" s="639"/>
      <c r="HI186" s="639"/>
      <c r="HJ186" s="639"/>
      <c r="HK186" s="639"/>
      <c r="HL186" s="639"/>
      <c r="HM186" s="639"/>
      <c r="HN186" s="639"/>
      <c r="HO186" s="639"/>
      <c r="HP186" s="639"/>
      <c r="HQ186" s="639"/>
      <c r="HR186" s="639">
        <v>9.1499999999999998E-2</v>
      </c>
      <c r="HS186" s="639">
        <f t="shared" si="749"/>
        <v>614.35714285714289</v>
      </c>
      <c r="HT186" s="639">
        <f t="shared" si="750"/>
        <v>1</v>
      </c>
      <c r="HU186" s="618">
        <f t="shared" si="754"/>
        <v>2.3307852709651016</v>
      </c>
      <c r="HV186" s="618"/>
      <c r="HW186" s="618">
        <f t="shared" si="736"/>
        <v>32.690284915229554</v>
      </c>
      <c r="HX186" s="618">
        <f t="shared" si="755"/>
        <v>2.2230576356935119</v>
      </c>
      <c r="HY186" s="618">
        <f t="shared" si="756"/>
        <v>9.1499999999999998E-2</v>
      </c>
      <c r="HZ186" s="618"/>
      <c r="IA186" s="618"/>
      <c r="IB186" s="618">
        <f t="shared" si="737"/>
        <v>25.000350341399081</v>
      </c>
      <c r="IC186" s="618">
        <f t="shared" si="738"/>
        <v>1E-3</v>
      </c>
      <c r="ID186" s="618"/>
      <c r="IE186" s="618">
        <f t="shared" si="739"/>
        <v>0</v>
      </c>
      <c r="IF186" s="618">
        <f t="shared" si="740"/>
        <v>40.704999999999998</v>
      </c>
      <c r="IG186" s="618"/>
      <c r="IH186" s="618">
        <f t="shared" si="741"/>
        <v>0</v>
      </c>
      <c r="II186" s="618">
        <f t="shared" si="742"/>
        <v>40.704999999999998</v>
      </c>
      <c r="IJ186" s="618"/>
      <c r="IK186" s="618">
        <f t="shared" si="743"/>
        <v>0</v>
      </c>
      <c r="IL186" s="618">
        <f t="shared" si="744"/>
        <v>40.704999999999998</v>
      </c>
      <c r="IM186" s="618"/>
      <c r="IN186" s="618">
        <f t="shared" si="745"/>
        <v>0</v>
      </c>
      <c r="IO186" s="618">
        <f t="shared" si="746"/>
        <v>40.704999999999998</v>
      </c>
      <c r="IP186" s="618"/>
      <c r="IQ186" s="618">
        <f t="shared" si="747"/>
        <v>0</v>
      </c>
      <c r="IR186" s="618">
        <f t="shared" si="748"/>
        <v>40.704999999999998</v>
      </c>
      <c r="IS186" s="639"/>
      <c r="IT186" s="640"/>
      <c r="IU186" s="640"/>
      <c r="IV186" s="640"/>
      <c r="IW186" s="640"/>
      <c r="IX186" s="640"/>
      <c r="IY186" s="640"/>
      <c r="IZ186" s="640"/>
      <c r="JA186" s="640"/>
      <c r="JB186" s="640"/>
      <c r="JC186" s="640"/>
      <c r="JD186" s="640"/>
      <c r="JE186" s="640"/>
      <c r="JF186" s="640"/>
      <c r="JG186" s="640"/>
      <c r="JH186" s="640"/>
      <c r="JI186" s="640"/>
      <c r="JJ186" s="640"/>
      <c r="JK186" s="640"/>
      <c r="JL186" s="640"/>
      <c r="JM186" s="640"/>
      <c r="JN186" s="640"/>
      <c r="JO186" s="640"/>
      <c r="JP186" s="640"/>
      <c r="JQ186" s="640"/>
      <c r="JR186" s="640"/>
      <c r="JS186" s="640"/>
      <c r="JT186" s="640"/>
      <c r="JU186" s="640"/>
      <c r="JV186" s="652"/>
    </row>
    <row r="187" spans="1:282" s="612" customFormat="1">
      <c r="A187" s="611"/>
      <c r="U187" s="613"/>
      <c r="V187" s="613"/>
      <c r="AC187" s="613"/>
      <c r="AD187" s="613"/>
      <c r="AL187" s="613"/>
      <c r="AM187" s="613"/>
      <c r="AT187" s="613"/>
      <c r="AU187" s="613"/>
      <c r="AX187" s="614"/>
      <c r="CH187" s="611"/>
      <c r="CI187" s="611"/>
      <c r="CO187" s="694" t="str">
        <f t="shared" si="753"/>
        <v>L250T</v>
      </c>
      <c r="CP187" s="645"/>
      <c r="CQ187" s="618"/>
      <c r="CR187" s="618"/>
      <c r="CS187" s="618"/>
      <c r="CT187" s="626"/>
      <c r="CU187" s="626"/>
      <c r="CV187" s="626"/>
      <c r="CW187" s="626"/>
      <c r="CX187" s="626"/>
      <c r="CY187" s="619"/>
      <c r="CZ187" s="619"/>
      <c r="DA187" s="619"/>
      <c r="DB187" s="619"/>
      <c r="DC187" s="618"/>
      <c r="DD187" s="618"/>
      <c r="DE187" s="618"/>
      <c r="DF187" s="618"/>
      <c r="DG187" s="618"/>
      <c r="DH187" s="618"/>
      <c r="DI187" s="618"/>
      <c r="DJ187" s="618"/>
      <c r="DK187" s="618"/>
      <c r="DL187" s="618"/>
      <c r="DM187" s="618"/>
      <c r="DN187" s="618"/>
      <c r="DO187" s="618"/>
      <c r="DP187" s="618"/>
      <c r="DQ187" s="618"/>
      <c r="DR187" s="618"/>
      <c r="DS187" s="618"/>
      <c r="DT187" s="618"/>
      <c r="DU187" s="618"/>
      <c r="DV187" s="618"/>
      <c r="DW187" s="618"/>
      <c r="DX187" s="618"/>
      <c r="DY187" s="618"/>
      <c r="DZ187" s="618"/>
      <c r="EA187" s="618"/>
      <c r="EB187" s="618"/>
      <c r="EC187" s="618"/>
      <c r="ED187" s="618"/>
      <c r="EE187" s="618"/>
      <c r="EF187" s="618"/>
      <c r="EG187" s="618"/>
      <c r="EH187" s="618"/>
      <c r="EI187" s="618"/>
      <c r="EJ187" s="618"/>
      <c r="EK187" s="618"/>
      <c r="EL187" s="618"/>
      <c r="EM187" s="618"/>
      <c r="EN187" s="618"/>
      <c r="EO187" s="618"/>
      <c r="EP187" s="618"/>
      <c r="EQ187" s="618"/>
      <c r="ER187" s="618"/>
      <c r="ES187" s="618"/>
      <c r="ET187" s="618"/>
      <c r="EU187" s="618"/>
      <c r="EV187" s="618"/>
      <c r="EW187" s="618"/>
      <c r="EX187" s="618"/>
      <c r="EY187" s="618"/>
      <c r="EZ187" s="618"/>
      <c r="FA187" s="618"/>
      <c r="FB187" s="618"/>
      <c r="FC187" s="618"/>
      <c r="FD187" s="618"/>
      <c r="FE187" s="618"/>
      <c r="FF187" s="618"/>
      <c r="FG187" s="618"/>
      <c r="FH187" s="618"/>
      <c r="FI187" s="618"/>
      <c r="FJ187" s="618"/>
      <c r="FK187" s="618"/>
      <c r="FL187" s="618"/>
      <c r="FM187" s="618"/>
      <c r="FN187" s="618"/>
      <c r="FO187" s="618"/>
      <c r="FP187" s="618"/>
      <c r="FQ187" s="618"/>
      <c r="FR187" s="618"/>
      <c r="FS187" s="618"/>
      <c r="FT187" s="618"/>
      <c r="FU187" s="618"/>
      <c r="FV187" s="618"/>
      <c r="FW187" s="618"/>
      <c r="FX187" s="618"/>
      <c r="FY187" s="618"/>
      <c r="FZ187" s="618"/>
      <c r="GA187" s="618"/>
      <c r="GB187" s="618"/>
      <c r="GC187" s="618"/>
      <c r="GD187" s="618"/>
      <c r="GE187" s="618"/>
      <c r="GF187" s="618"/>
      <c r="GG187" s="618"/>
      <c r="GH187" s="618"/>
      <c r="GI187" s="618"/>
      <c r="GJ187" s="618"/>
      <c r="GK187" s="618"/>
      <c r="GL187" s="618"/>
      <c r="GM187" s="618"/>
      <c r="GN187" s="618"/>
      <c r="GO187" s="618"/>
      <c r="GP187" s="618"/>
      <c r="GQ187" s="618"/>
      <c r="GR187" s="618"/>
      <c r="GS187" s="618"/>
      <c r="GT187" s="618"/>
      <c r="GU187" s="618"/>
      <c r="GV187" s="618"/>
      <c r="GW187" s="618"/>
      <c r="GX187" s="618"/>
      <c r="GY187" s="618"/>
      <c r="GZ187" s="618"/>
      <c r="HA187" s="618"/>
      <c r="HB187" s="618"/>
      <c r="HC187" s="618"/>
      <c r="HD187" s="618"/>
      <c r="HE187" s="618"/>
      <c r="HF187" s="645"/>
      <c r="HG187" s="645"/>
      <c r="HH187" s="645"/>
      <c r="HI187" s="645"/>
      <c r="HJ187" s="645"/>
      <c r="HK187" s="645"/>
      <c r="HL187" s="645"/>
      <c r="HM187" s="645"/>
      <c r="HN187" s="645"/>
      <c r="HO187" s="645"/>
      <c r="HP187" s="645"/>
      <c r="HQ187" s="645"/>
      <c r="HR187" s="645">
        <v>9.1999999999999998E-2</v>
      </c>
      <c r="HS187" s="645">
        <f t="shared" si="749"/>
        <v>617.71428571428567</v>
      </c>
      <c r="HT187" s="645">
        <f t="shared" si="750"/>
        <v>1</v>
      </c>
      <c r="HU187" s="618">
        <f t="shared" si="754"/>
        <v>2.3435243149387266</v>
      </c>
      <c r="HV187" s="618"/>
      <c r="HW187" s="618">
        <f t="shared" si="736"/>
        <v>32.67219547278701</v>
      </c>
      <c r="HX187" s="618">
        <f t="shared" si="755"/>
        <v>2.2346190949946978</v>
      </c>
      <c r="HY187" s="618">
        <f t="shared" si="756"/>
        <v>9.1999999999999998E-2</v>
      </c>
      <c r="HZ187" s="618"/>
      <c r="IA187" s="618"/>
      <c r="IB187" s="618">
        <f t="shared" si="737"/>
        <v>25.000350341399081</v>
      </c>
      <c r="IC187" s="618">
        <f t="shared" si="738"/>
        <v>1E-3</v>
      </c>
      <c r="ID187" s="618"/>
      <c r="IE187" s="618">
        <f t="shared" si="739"/>
        <v>0</v>
      </c>
      <c r="IF187" s="618">
        <f t="shared" si="740"/>
        <v>40.704999999999998</v>
      </c>
      <c r="IG187" s="618"/>
      <c r="IH187" s="618">
        <f t="shared" si="741"/>
        <v>0</v>
      </c>
      <c r="II187" s="618">
        <f t="shared" si="742"/>
        <v>40.704999999999998</v>
      </c>
      <c r="IJ187" s="618"/>
      <c r="IK187" s="618">
        <f t="shared" si="743"/>
        <v>0</v>
      </c>
      <c r="IL187" s="618">
        <f t="shared" si="744"/>
        <v>40.704999999999998</v>
      </c>
      <c r="IM187" s="618"/>
      <c r="IN187" s="618">
        <f t="shared" si="745"/>
        <v>0</v>
      </c>
      <c r="IO187" s="618">
        <f t="shared" si="746"/>
        <v>40.704999999999998</v>
      </c>
      <c r="IP187" s="618"/>
      <c r="IQ187" s="618">
        <f t="shared" si="747"/>
        <v>0</v>
      </c>
      <c r="IR187" s="618">
        <f t="shared" si="748"/>
        <v>40.704999999999998</v>
      </c>
      <c r="IS187" s="645"/>
      <c r="IT187" s="640"/>
      <c r="IU187" s="640"/>
      <c r="IV187" s="640"/>
      <c r="IW187" s="640"/>
      <c r="IX187" s="640"/>
      <c r="IY187" s="640"/>
      <c r="IZ187" s="640"/>
      <c r="JA187" s="640"/>
      <c r="JB187" s="640"/>
      <c r="JC187" s="640"/>
      <c r="JD187" s="640"/>
      <c r="JE187" s="640"/>
      <c r="JF187" s="640"/>
      <c r="JG187" s="640"/>
      <c r="JH187" s="640"/>
      <c r="JI187" s="640"/>
      <c r="JJ187" s="640"/>
      <c r="JK187" s="640"/>
      <c r="JL187" s="640"/>
      <c r="JM187" s="640"/>
      <c r="JN187" s="640"/>
      <c r="JO187" s="640"/>
      <c r="JP187" s="640"/>
      <c r="JQ187" s="640"/>
      <c r="JR187" s="640"/>
      <c r="JS187" s="640"/>
      <c r="JT187" s="640"/>
      <c r="JU187" s="640"/>
      <c r="JV187" s="653"/>
    </row>
    <row r="188" spans="1:282" s="612" customFormat="1">
      <c r="A188" s="611"/>
      <c r="U188" s="613"/>
      <c r="V188" s="613"/>
      <c r="AC188" s="613"/>
      <c r="AD188" s="613"/>
      <c r="AL188" s="613"/>
      <c r="AM188" s="613"/>
      <c r="AT188" s="613"/>
      <c r="AU188" s="613"/>
      <c r="AX188" s="614"/>
      <c r="CH188" s="611"/>
      <c r="CI188" s="611"/>
      <c r="CO188" s="694" t="str">
        <f t="shared" si="753"/>
        <v>L250T-1S</v>
      </c>
      <c r="CP188" s="645"/>
      <c r="CQ188" s="618"/>
      <c r="CR188" s="618"/>
      <c r="CS188" s="618"/>
      <c r="CT188" s="626"/>
      <c r="CU188" s="626"/>
      <c r="CV188" s="626"/>
      <c r="CW188" s="626"/>
      <c r="CX188" s="626"/>
      <c r="CY188" s="619"/>
      <c r="CZ188" s="619"/>
      <c r="DA188" s="619"/>
      <c r="DB188" s="619"/>
      <c r="DC188" s="618"/>
      <c r="DD188" s="618"/>
      <c r="DE188" s="618"/>
      <c r="DF188" s="618"/>
      <c r="DG188" s="618"/>
      <c r="DH188" s="618"/>
      <c r="DI188" s="618"/>
      <c r="DJ188" s="618"/>
      <c r="DK188" s="618"/>
      <c r="DL188" s="618"/>
      <c r="DM188" s="618"/>
      <c r="DN188" s="618"/>
      <c r="DO188" s="618"/>
      <c r="DP188" s="618"/>
      <c r="DQ188" s="618"/>
      <c r="DR188" s="618"/>
      <c r="DS188" s="618"/>
      <c r="DT188" s="618"/>
      <c r="DU188" s="618"/>
      <c r="DV188" s="618"/>
      <c r="DW188" s="618"/>
      <c r="DX188" s="618"/>
      <c r="DY188" s="618"/>
      <c r="DZ188" s="618"/>
      <c r="EA188" s="618"/>
      <c r="EB188" s="618"/>
      <c r="EC188" s="618"/>
      <c r="ED188" s="618"/>
      <c r="EE188" s="618"/>
      <c r="EF188" s="618"/>
      <c r="EG188" s="618"/>
      <c r="EH188" s="618"/>
      <c r="EI188" s="618"/>
      <c r="EJ188" s="618"/>
      <c r="EK188" s="618"/>
      <c r="EL188" s="618"/>
      <c r="EM188" s="618"/>
      <c r="EN188" s="618"/>
      <c r="EO188" s="618"/>
      <c r="EP188" s="618"/>
      <c r="EQ188" s="618"/>
      <c r="ER188" s="618"/>
      <c r="ES188" s="618"/>
      <c r="ET188" s="618"/>
      <c r="EU188" s="618"/>
      <c r="EV188" s="618"/>
      <c r="EW188" s="618"/>
      <c r="EX188" s="618"/>
      <c r="EY188" s="618"/>
      <c r="EZ188" s="618"/>
      <c r="FA188" s="618"/>
      <c r="FB188" s="618"/>
      <c r="FC188" s="618"/>
      <c r="FD188" s="618"/>
      <c r="FE188" s="618"/>
      <c r="FF188" s="618"/>
      <c r="FG188" s="618"/>
      <c r="FH188" s="618"/>
      <c r="FI188" s="618"/>
      <c r="FJ188" s="618"/>
      <c r="FK188" s="618"/>
      <c r="FL188" s="618"/>
      <c r="FM188" s="618"/>
      <c r="FN188" s="618"/>
      <c r="FO188" s="618"/>
      <c r="FP188" s="618"/>
      <c r="FQ188" s="618"/>
      <c r="FR188" s="618"/>
      <c r="FS188" s="618"/>
      <c r="FT188" s="618"/>
      <c r="FU188" s="618"/>
      <c r="FV188" s="618"/>
      <c r="FW188" s="618"/>
      <c r="FX188" s="618"/>
      <c r="FY188" s="618"/>
      <c r="FZ188" s="618"/>
      <c r="GA188" s="618"/>
      <c r="GB188" s="618"/>
      <c r="GC188" s="618"/>
      <c r="GD188" s="618"/>
      <c r="GE188" s="618"/>
      <c r="GF188" s="618"/>
      <c r="GG188" s="618"/>
      <c r="GH188" s="618"/>
      <c r="GI188" s="618"/>
      <c r="GJ188" s="618"/>
      <c r="GK188" s="618"/>
      <c r="GL188" s="618"/>
      <c r="GM188" s="618"/>
      <c r="GN188" s="618"/>
      <c r="GO188" s="618"/>
      <c r="GP188" s="618"/>
      <c r="GQ188" s="618"/>
      <c r="GR188" s="618"/>
      <c r="GS188" s="618"/>
      <c r="GT188" s="618"/>
      <c r="GU188" s="618"/>
      <c r="GV188" s="618"/>
      <c r="GW188" s="618"/>
      <c r="GX188" s="618"/>
      <c r="GY188" s="618"/>
      <c r="GZ188" s="618"/>
      <c r="HA188" s="618"/>
      <c r="HB188" s="618"/>
      <c r="HC188" s="618"/>
      <c r="HD188" s="618"/>
      <c r="HE188" s="618"/>
      <c r="HF188" s="645"/>
      <c r="HG188" s="645"/>
      <c r="HH188" s="645"/>
      <c r="HI188" s="645"/>
      <c r="HJ188" s="645"/>
      <c r="HK188" s="645"/>
      <c r="HL188" s="645"/>
      <c r="HM188" s="645"/>
      <c r="HN188" s="645"/>
      <c r="HO188" s="645"/>
      <c r="HP188" s="645"/>
      <c r="HQ188" s="645"/>
      <c r="HR188" s="645">
        <v>9.2499999999999999E-2</v>
      </c>
      <c r="HS188" s="645">
        <f t="shared" si="749"/>
        <v>621.07142857142856</v>
      </c>
      <c r="HT188" s="645">
        <f t="shared" si="750"/>
        <v>1</v>
      </c>
      <c r="HU188" s="618">
        <f t="shared" si="754"/>
        <v>2.3562633589123516</v>
      </c>
      <c r="HV188" s="618"/>
      <c r="HW188" s="618">
        <f t="shared" si="736"/>
        <v>32.654106030344458</v>
      </c>
      <c r="HX188" s="618">
        <f t="shared" si="755"/>
        <v>2.2461741531235857</v>
      </c>
      <c r="HY188" s="618">
        <f t="shared" si="756"/>
        <v>9.2499999999999999E-2</v>
      </c>
      <c r="HZ188" s="618"/>
      <c r="IA188" s="618"/>
      <c r="IB188" s="618">
        <f t="shared" si="737"/>
        <v>25.000350341399081</v>
      </c>
      <c r="IC188" s="618">
        <f t="shared" si="738"/>
        <v>1E-3</v>
      </c>
      <c r="ID188" s="618"/>
      <c r="IE188" s="618">
        <f t="shared" si="739"/>
        <v>0</v>
      </c>
      <c r="IF188" s="618">
        <f t="shared" si="740"/>
        <v>40.704999999999998</v>
      </c>
      <c r="IG188" s="618"/>
      <c r="IH188" s="618">
        <f t="shared" si="741"/>
        <v>0</v>
      </c>
      <c r="II188" s="618">
        <f t="shared" si="742"/>
        <v>40.704999999999998</v>
      </c>
      <c r="IJ188" s="618"/>
      <c r="IK188" s="618">
        <f t="shared" si="743"/>
        <v>0</v>
      </c>
      <c r="IL188" s="618">
        <f t="shared" si="744"/>
        <v>40.704999999999998</v>
      </c>
      <c r="IM188" s="618"/>
      <c r="IN188" s="618">
        <f t="shared" si="745"/>
        <v>0</v>
      </c>
      <c r="IO188" s="618">
        <f t="shared" si="746"/>
        <v>40.704999999999998</v>
      </c>
      <c r="IP188" s="618"/>
      <c r="IQ188" s="618">
        <f t="shared" si="747"/>
        <v>0</v>
      </c>
      <c r="IR188" s="618">
        <f t="shared" si="748"/>
        <v>40.704999999999998</v>
      </c>
      <c r="IS188" s="645"/>
      <c r="IT188" s="640"/>
      <c r="IU188" s="640"/>
      <c r="IV188" s="640"/>
      <c r="IW188" s="640"/>
      <c r="IX188" s="640"/>
      <c r="IY188" s="640"/>
      <c r="IZ188" s="640"/>
      <c r="JA188" s="640"/>
      <c r="JB188" s="640"/>
      <c r="JC188" s="640"/>
      <c r="JD188" s="640"/>
      <c r="JE188" s="640"/>
      <c r="JF188" s="640"/>
      <c r="JG188" s="640"/>
      <c r="JH188" s="640"/>
      <c r="JI188" s="640"/>
      <c r="JJ188" s="640"/>
      <c r="JK188" s="640"/>
      <c r="JL188" s="640"/>
      <c r="JM188" s="640"/>
      <c r="JN188" s="640"/>
      <c r="JO188" s="640"/>
      <c r="JP188" s="640"/>
      <c r="JQ188" s="640"/>
      <c r="JR188" s="640"/>
      <c r="JS188" s="640"/>
      <c r="JT188" s="640"/>
      <c r="JU188" s="640"/>
      <c r="JV188" s="653"/>
    </row>
    <row r="189" spans="1:282" s="612" customFormat="1">
      <c r="A189" s="611"/>
      <c r="U189" s="613"/>
      <c r="V189" s="613"/>
      <c r="AC189" s="613"/>
      <c r="AD189" s="613"/>
      <c r="AL189" s="613"/>
      <c r="AM189" s="613"/>
      <c r="AT189" s="613"/>
      <c r="AU189" s="613"/>
      <c r="AX189" s="614"/>
      <c r="CH189" s="611"/>
      <c r="CI189" s="611"/>
      <c r="CO189" s="694" t="str">
        <f t="shared" si="753"/>
        <v>L320D</v>
      </c>
      <c r="CP189" s="645"/>
      <c r="CQ189" s="618"/>
      <c r="CR189" s="618"/>
      <c r="CS189" s="618"/>
      <c r="CT189" s="626"/>
      <c r="CU189" s="626"/>
      <c r="CV189" s="626"/>
      <c r="CW189" s="626"/>
      <c r="CX189" s="626"/>
      <c r="CY189" s="619"/>
      <c r="CZ189" s="619"/>
      <c r="DA189" s="619"/>
      <c r="DB189" s="619"/>
      <c r="DC189" s="618"/>
      <c r="DD189" s="618"/>
      <c r="DE189" s="618"/>
      <c r="DF189" s="618"/>
      <c r="DG189" s="618"/>
      <c r="DH189" s="618"/>
      <c r="DI189" s="618"/>
      <c r="DJ189" s="618"/>
      <c r="DK189" s="618"/>
      <c r="DL189" s="618"/>
      <c r="DM189" s="618"/>
      <c r="DN189" s="618"/>
      <c r="DO189" s="618"/>
      <c r="DP189" s="618"/>
      <c r="DQ189" s="618"/>
      <c r="DR189" s="618"/>
      <c r="DS189" s="618"/>
      <c r="DT189" s="618"/>
      <c r="DU189" s="618"/>
      <c r="DV189" s="618"/>
      <c r="DW189" s="618"/>
      <c r="DX189" s="618"/>
      <c r="DY189" s="618"/>
      <c r="DZ189" s="618"/>
      <c r="EA189" s="618"/>
      <c r="EB189" s="618"/>
      <c r="EC189" s="618"/>
      <c r="ED189" s="618"/>
      <c r="EE189" s="618"/>
      <c r="EF189" s="618"/>
      <c r="EG189" s="618"/>
      <c r="EH189" s="618"/>
      <c r="EI189" s="618"/>
      <c r="EJ189" s="618"/>
      <c r="EK189" s="618"/>
      <c r="EL189" s="618"/>
      <c r="EM189" s="618"/>
      <c r="EN189" s="618"/>
      <c r="EO189" s="618"/>
      <c r="EP189" s="618"/>
      <c r="EQ189" s="618"/>
      <c r="ER189" s="618"/>
      <c r="ES189" s="618"/>
      <c r="ET189" s="618"/>
      <c r="EU189" s="618"/>
      <c r="EV189" s="618"/>
      <c r="EW189" s="618"/>
      <c r="EX189" s="618"/>
      <c r="EY189" s="618"/>
      <c r="EZ189" s="618"/>
      <c r="FA189" s="618"/>
      <c r="FB189" s="618"/>
      <c r="FC189" s="618"/>
      <c r="FD189" s="618"/>
      <c r="FE189" s="618"/>
      <c r="FF189" s="618"/>
      <c r="FG189" s="618"/>
      <c r="FH189" s="618"/>
      <c r="FI189" s="618"/>
      <c r="FJ189" s="618"/>
      <c r="FK189" s="618"/>
      <c r="FL189" s="618"/>
      <c r="FM189" s="618"/>
      <c r="FN189" s="618"/>
      <c r="FO189" s="618"/>
      <c r="FP189" s="618"/>
      <c r="FQ189" s="618"/>
      <c r="FR189" s="618"/>
      <c r="FS189" s="618"/>
      <c r="FT189" s="618"/>
      <c r="FU189" s="618"/>
      <c r="FV189" s="618"/>
      <c r="FW189" s="618"/>
      <c r="FX189" s="618"/>
      <c r="FY189" s="618"/>
      <c r="FZ189" s="618"/>
      <c r="GA189" s="618"/>
      <c r="GB189" s="618"/>
      <c r="GC189" s="618"/>
      <c r="GD189" s="618"/>
      <c r="GE189" s="618"/>
      <c r="GF189" s="618"/>
      <c r="GG189" s="618"/>
      <c r="GH189" s="618"/>
      <c r="GI189" s="618"/>
      <c r="GJ189" s="618"/>
      <c r="GK189" s="618"/>
      <c r="GL189" s="618"/>
      <c r="GM189" s="618"/>
      <c r="GN189" s="618"/>
      <c r="GO189" s="618"/>
      <c r="GP189" s="618"/>
      <c r="GQ189" s="618"/>
      <c r="GR189" s="618"/>
      <c r="GS189" s="618"/>
      <c r="GT189" s="618"/>
      <c r="GU189" s="618"/>
      <c r="GV189" s="618"/>
      <c r="GW189" s="618"/>
      <c r="GX189" s="618"/>
      <c r="GY189" s="618"/>
      <c r="GZ189" s="618"/>
      <c r="HA189" s="618"/>
      <c r="HB189" s="618"/>
      <c r="HC189" s="618"/>
      <c r="HD189" s="618"/>
      <c r="HE189" s="618"/>
      <c r="HF189" s="645"/>
      <c r="HG189" s="645"/>
      <c r="HH189" s="645"/>
      <c r="HI189" s="645"/>
      <c r="HJ189" s="645"/>
      <c r="HK189" s="645"/>
      <c r="HL189" s="645"/>
      <c r="HM189" s="645"/>
      <c r="HN189" s="645"/>
      <c r="HO189" s="645"/>
      <c r="HP189" s="645"/>
      <c r="HQ189" s="645"/>
      <c r="HR189" s="645">
        <v>9.2999999999999999E-2</v>
      </c>
      <c r="HS189" s="645">
        <f t="shared" si="749"/>
        <v>624.42857142857144</v>
      </c>
      <c r="HT189" s="645">
        <f t="shared" si="750"/>
        <v>1</v>
      </c>
      <c r="HU189" s="618">
        <f t="shared" si="754"/>
        <v>2.3690024028859766</v>
      </c>
      <c r="HV189" s="618"/>
      <c r="HW189" s="618">
        <f t="shared" si="736"/>
        <v>32.636016587901914</v>
      </c>
      <c r="HX189" s="618">
        <f t="shared" si="755"/>
        <v>2.2577228100801756</v>
      </c>
      <c r="HY189" s="618">
        <f t="shared" si="756"/>
        <v>9.2999999999999999E-2</v>
      </c>
      <c r="HZ189" s="618"/>
      <c r="IA189" s="618"/>
      <c r="IB189" s="618">
        <f t="shared" si="737"/>
        <v>25.000350341399081</v>
      </c>
      <c r="IC189" s="618">
        <f t="shared" si="738"/>
        <v>1E-3</v>
      </c>
      <c r="ID189" s="618"/>
      <c r="IE189" s="618">
        <f t="shared" si="739"/>
        <v>0</v>
      </c>
      <c r="IF189" s="618">
        <f t="shared" si="740"/>
        <v>40.704999999999998</v>
      </c>
      <c r="IG189" s="618"/>
      <c r="IH189" s="618">
        <f t="shared" si="741"/>
        <v>0</v>
      </c>
      <c r="II189" s="618">
        <f t="shared" si="742"/>
        <v>40.704999999999998</v>
      </c>
      <c r="IJ189" s="618"/>
      <c r="IK189" s="618">
        <f t="shared" si="743"/>
        <v>0</v>
      </c>
      <c r="IL189" s="618">
        <f t="shared" si="744"/>
        <v>40.704999999999998</v>
      </c>
      <c r="IM189" s="618"/>
      <c r="IN189" s="618">
        <f t="shared" si="745"/>
        <v>0</v>
      </c>
      <c r="IO189" s="618">
        <f t="shared" si="746"/>
        <v>40.704999999999998</v>
      </c>
      <c r="IP189" s="618"/>
      <c r="IQ189" s="618">
        <f t="shared" si="747"/>
        <v>0</v>
      </c>
      <c r="IR189" s="618">
        <f t="shared" si="748"/>
        <v>40.704999999999998</v>
      </c>
      <c r="IS189" s="645"/>
      <c r="IT189" s="640"/>
      <c r="IU189" s="640"/>
      <c r="IV189" s="640"/>
      <c r="IW189" s="640"/>
      <c r="IX189" s="640"/>
      <c r="IY189" s="640"/>
      <c r="IZ189" s="640"/>
      <c r="JA189" s="640"/>
      <c r="JB189" s="640"/>
      <c r="JC189" s="640"/>
      <c r="JD189" s="640"/>
      <c r="JE189" s="640"/>
      <c r="JF189" s="640"/>
      <c r="JG189" s="640"/>
      <c r="JH189" s="640"/>
      <c r="JI189" s="640"/>
      <c r="JJ189" s="640"/>
      <c r="JK189" s="640"/>
      <c r="JL189" s="640"/>
      <c r="JM189" s="640"/>
      <c r="JN189" s="640"/>
      <c r="JO189" s="640"/>
      <c r="JP189" s="640"/>
      <c r="JQ189" s="640"/>
      <c r="JR189" s="640"/>
      <c r="JS189" s="640"/>
      <c r="JT189" s="640"/>
      <c r="JU189" s="640"/>
      <c r="JV189" s="653"/>
    </row>
    <row r="190" spans="1:282" s="612" customFormat="1">
      <c r="A190" s="611"/>
      <c r="U190" s="613"/>
      <c r="V190" s="613"/>
      <c r="AC190" s="613"/>
      <c r="AD190" s="613"/>
      <c r="AL190" s="613"/>
      <c r="AM190" s="613"/>
      <c r="AT190" s="613"/>
      <c r="AU190" s="613"/>
      <c r="AX190" s="614"/>
      <c r="CH190" s="611"/>
      <c r="CI190" s="611"/>
      <c r="CO190" s="694" t="str">
        <f t="shared" si="753"/>
        <v>L320D-1S</v>
      </c>
      <c r="CP190" s="645"/>
      <c r="CQ190" s="618"/>
      <c r="CR190" s="618"/>
      <c r="CS190" s="618"/>
      <c r="CT190" s="626"/>
      <c r="CU190" s="626"/>
      <c r="CV190" s="626"/>
      <c r="CW190" s="626"/>
      <c r="CX190" s="626"/>
      <c r="CY190" s="619"/>
      <c r="CZ190" s="619"/>
      <c r="DA190" s="619"/>
      <c r="DB190" s="619"/>
      <c r="DC190" s="618"/>
      <c r="DD190" s="618"/>
      <c r="DE190" s="618"/>
      <c r="DF190" s="618"/>
      <c r="DG190" s="618"/>
      <c r="DH190" s="618"/>
      <c r="DI190" s="618"/>
      <c r="DJ190" s="618"/>
      <c r="DK190" s="618"/>
      <c r="DL190" s="618"/>
      <c r="DM190" s="618"/>
      <c r="DN190" s="618"/>
      <c r="DO190" s="618"/>
      <c r="DP190" s="618"/>
      <c r="DQ190" s="618"/>
      <c r="DR190" s="618"/>
      <c r="DS190" s="618"/>
      <c r="DT190" s="618"/>
      <c r="DU190" s="618"/>
      <c r="DV190" s="618"/>
      <c r="DW190" s="618"/>
      <c r="DX190" s="618"/>
      <c r="DY190" s="618"/>
      <c r="DZ190" s="618"/>
      <c r="EA190" s="618"/>
      <c r="EB190" s="618"/>
      <c r="EC190" s="618"/>
      <c r="ED190" s="618"/>
      <c r="EE190" s="618"/>
      <c r="EF190" s="618"/>
      <c r="EG190" s="618"/>
      <c r="EH190" s="618"/>
      <c r="EI190" s="618"/>
      <c r="EJ190" s="618"/>
      <c r="EK190" s="618"/>
      <c r="EL190" s="618"/>
      <c r="EM190" s="618"/>
      <c r="EN190" s="618"/>
      <c r="EO190" s="618"/>
      <c r="EP190" s="618"/>
      <c r="EQ190" s="618"/>
      <c r="ER190" s="618"/>
      <c r="ES190" s="618"/>
      <c r="ET190" s="618"/>
      <c r="EU190" s="618"/>
      <c r="EV190" s="618"/>
      <c r="EW190" s="618"/>
      <c r="EX190" s="618"/>
      <c r="EY190" s="618"/>
      <c r="EZ190" s="618"/>
      <c r="FA190" s="618"/>
      <c r="FB190" s="618"/>
      <c r="FC190" s="618"/>
      <c r="FD190" s="618"/>
      <c r="FE190" s="618"/>
      <c r="FF190" s="618"/>
      <c r="FG190" s="618"/>
      <c r="FH190" s="618"/>
      <c r="FI190" s="618"/>
      <c r="FJ190" s="618"/>
      <c r="FK190" s="618"/>
      <c r="FL190" s="618"/>
      <c r="FM190" s="618"/>
      <c r="FN190" s="618"/>
      <c r="FO190" s="618"/>
      <c r="FP190" s="618"/>
      <c r="FQ190" s="618"/>
      <c r="FR190" s="618"/>
      <c r="FS190" s="618"/>
      <c r="FT190" s="618"/>
      <c r="FU190" s="618"/>
      <c r="FV190" s="618"/>
      <c r="FW190" s="618"/>
      <c r="FX190" s="618"/>
      <c r="FY190" s="618"/>
      <c r="FZ190" s="618"/>
      <c r="GA190" s="618"/>
      <c r="GB190" s="618"/>
      <c r="GC190" s="618"/>
      <c r="GD190" s="618"/>
      <c r="GE190" s="618"/>
      <c r="GF190" s="618"/>
      <c r="GG190" s="618"/>
      <c r="GH190" s="618"/>
      <c r="GI190" s="618"/>
      <c r="GJ190" s="618"/>
      <c r="GK190" s="618"/>
      <c r="GL190" s="618"/>
      <c r="GM190" s="618"/>
      <c r="GN190" s="618"/>
      <c r="GO190" s="618"/>
      <c r="GP190" s="618"/>
      <c r="GQ190" s="618"/>
      <c r="GR190" s="618"/>
      <c r="GS190" s="618"/>
      <c r="GT190" s="618"/>
      <c r="GU190" s="618"/>
      <c r="GV190" s="618"/>
      <c r="GW190" s="618"/>
      <c r="GX190" s="618"/>
      <c r="GY190" s="618"/>
      <c r="GZ190" s="618"/>
      <c r="HA190" s="618"/>
      <c r="HB190" s="618"/>
      <c r="HC190" s="618"/>
      <c r="HD190" s="618"/>
      <c r="HE190" s="618"/>
      <c r="HF190" s="645"/>
      <c r="HG190" s="645"/>
      <c r="HH190" s="645"/>
      <c r="HI190" s="645"/>
      <c r="HJ190" s="645"/>
      <c r="HK190" s="645"/>
      <c r="HL190" s="645"/>
      <c r="HM190" s="645"/>
      <c r="HN190" s="645"/>
      <c r="HO190" s="645"/>
      <c r="HP190" s="645"/>
      <c r="HQ190" s="645"/>
      <c r="HR190" s="645">
        <v>9.35E-2</v>
      </c>
      <c r="HS190" s="645">
        <f t="shared" si="749"/>
        <v>627.78571428571433</v>
      </c>
      <c r="HT190" s="645">
        <f t="shared" si="750"/>
        <v>1</v>
      </c>
      <c r="HU190" s="618">
        <f t="shared" si="754"/>
        <v>2.3817414468596017</v>
      </c>
      <c r="HV190" s="618"/>
      <c r="HW190" s="618">
        <f t="shared" si="736"/>
        <v>32.617927145459369</v>
      </c>
      <c r="HX190" s="618">
        <f t="shared" si="755"/>
        <v>2.2692650658644671</v>
      </c>
      <c r="HY190" s="618">
        <f t="shared" si="756"/>
        <v>9.35E-2</v>
      </c>
      <c r="HZ190" s="618"/>
      <c r="IA190" s="618"/>
      <c r="IB190" s="618">
        <f t="shared" si="737"/>
        <v>25.000350341399081</v>
      </c>
      <c r="IC190" s="618">
        <f t="shared" si="738"/>
        <v>1E-3</v>
      </c>
      <c r="ID190" s="618"/>
      <c r="IE190" s="618">
        <f t="shared" si="739"/>
        <v>0</v>
      </c>
      <c r="IF190" s="618">
        <f t="shared" si="740"/>
        <v>40.704999999999998</v>
      </c>
      <c r="IG190" s="618"/>
      <c r="IH190" s="618">
        <f t="shared" si="741"/>
        <v>0</v>
      </c>
      <c r="II190" s="618">
        <f t="shared" si="742"/>
        <v>40.704999999999998</v>
      </c>
      <c r="IJ190" s="618"/>
      <c r="IK190" s="618">
        <f t="shared" si="743"/>
        <v>0</v>
      </c>
      <c r="IL190" s="618">
        <f t="shared" si="744"/>
        <v>40.704999999999998</v>
      </c>
      <c r="IM190" s="618"/>
      <c r="IN190" s="618">
        <f t="shared" si="745"/>
        <v>0</v>
      </c>
      <c r="IO190" s="618">
        <f t="shared" si="746"/>
        <v>40.704999999999998</v>
      </c>
      <c r="IP190" s="618"/>
      <c r="IQ190" s="618">
        <f t="shared" si="747"/>
        <v>0</v>
      </c>
      <c r="IR190" s="618">
        <f t="shared" si="748"/>
        <v>40.704999999999998</v>
      </c>
      <c r="IS190" s="645"/>
      <c r="IT190" s="640"/>
      <c r="IU190" s="640"/>
      <c r="IV190" s="640"/>
      <c r="IW190" s="640"/>
      <c r="IX190" s="640"/>
      <c r="IY190" s="640"/>
      <c r="IZ190" s="640"/>
      <c r="JA190" s="640"/>
      <c r="JB190" s="640"/>
      <c r="JC190" s="640"/>
      <c r="JD190" s="640"/>
      <c r="JE190" s="640"/>
      <c r="JF190" s="640"/>
      <c r="JG190" s="640"/>
      <c r="JH190" s="640"/>
      <c r="JI190" s="640"/>
      <c r="JJ190" s="640"/>
      <c r="JK190" s="640"/>
      <c r="JL190" s="640"/>
      <c r="JM190" s="640"/>
      <c r="JN190" s="640"/>
      <c r="JO190" s="640"/>
      <c r="JP190" s="640"/>
      <c r="JQ190" s="640"/>
      <c r="JR190" s="640"/>
      <c r="JS190" s="640"/>
      <c r="JT190" s="640"/>
      <c r="JU190" s="640"/>
      <c r="JV190" s="653"/>
    </row>
    <row r="191" spans="1:282" s="612" customFormat="1">
      <c r="A191" s="611"/>
      <c r="U191" s="613"/>
      <c r="V191" s="613"/>
      <c r="AC191" s="613"/>
      <c r="AD191" s="613"/>
      <c r="AL191" s="613"/>
      <c r="AM191" s="613"/>
      <c r="AT191" s="613"/>
      <c r="AU191" s="613"/>
      <c r="AX191" s="614"/>
      <c r="CH191" s="611"/>
      <c r="CI191" s="611"/>
      <c r="CO191" s="694" t="str">
        <f t="shared" si="753"/>
        <v>L250QS</v>
      </c>
      <c r="CP191" s="645"/>
      <c r="CQ191" s="618"/>
      <c r="CR191" s="618"/>
      <c r="CS191" s="618"/>
      <c r="CT191" s="626"/>
      <c r="CU191" s="626"/>
      <c r="CV191" s="626"/>
      <c r="CW191" s="641"/>
      <c r="CX191" s="641"/>
      <c r="CY191" s="624"/>
      <c r="CZ191" s="624"/>
      <c r="DA191" s="642" t="s">
        <v>317</v>
      </c>
      <c r="DB191" s="624"/>
      <c r="DC191" s="606">
        <f>(ML+($CY132*2))*$AC$7+$DD191-IF(AND($Z$4,$V$11),Fl,0)</f>
        <v>6.4050000000000011</v>
      </c>
      <c r="DD191" s="607">
        <f>(ML+($CY132*2))*(9.81*IF($W$11&gt;0,1,-1))*((SIN(a)*IF($W$11&gt;0,1,-1))+u*COS(a))+IF($V$11,Fl,0)+Fr</f>
        <v>4.9050000000000011</v>
      </c>
      <c r="DE191" s="606">
        <f>(ML+($CY132*2))*$AC$10-$DD191+IF(AND($Z$4,$V$11),Fl,0)</f>
        <v>-3.4050000000000011</v>
      </c>
      <c r="DF191" s="606">
        <f>(ML+($CY132*2))*9.81*SIN(a)+IF($V$11,Fl,0)-IF(AND($Z$4,$V$11),Fl,0)</f>
        <v>0</v>
      </c>
      <c r="DG191" s="606">
        <f>IF($P$13,(ML+($CY132*2))*$AC$15+$DH191,0)</f>
        <v>0</v>
      </c>
      <c r="DH191" s="606">
        <f>IF($P$13,(ML+($CY132*2))*(9.81*IF($W$19&gt;0,1,-1))*((SIN(a)*IF($W$19&gt;0,1,-1))+u*COS(a))+IF($V$19,Fl,0)+Fr,0)</f>
        <v>0</v>
      </c>
      <c r="DI191" s="606">
        <f>IF($P$13,(ML+($CY132*2))*$AC$18-$DH191,0)</f>
        <v>0</v>
      </c>
      <c r="DJ191" s="606">
        <f>IF($P$13,(ML+($CY132*2))*9.81*SIN(a)+IF($V$19,Fl,0),0)</f>
        <v>0</v>
      </c>
      <c r="DK191" s="606">
        <f>IF($P$21,(ML+($CY132*2))*$AC$23+$DL191,0)</f>
        <v>0</v>
      </c>
      <c r="DL191" s="606">
        <f>IF($P$21,(ML+($CY132*2))*(9.81*IF($W$27&gt;0,1,-1))*((SIN(a)*IF($W$27&gt;0,1,-1))+u*COS(a))+IF($V$27,Fl,0)+Fr,0)</f>
        <v>0</v>
      </c>
      <c r="DM191" s="606">
        <f>IF($P$21,(ML+($CY132*2))*$AC$26-$DL191,0)</f>
        <v>0</v>
      </c>
      <c r="DN191" s="606">
        <f>IF($P$21,(ML+($CY132*2))*9.81*SIN(a)+IF($V$27,Fl,0),0)</f>
        <v>0</v>
      </c>
      <c r="DO191" s="606">
        <f>IF($AG$5,(ML+($CY132*2))*$AT$7+$DP191,0)</f>
        <v>0</v>
      </c>
      <c r="DP191" s="606">
        <f>IF($AG$5,(ML+($CY132*2))*(9.81*IF($AN$11&gt;0,1,-1))*((SIN(a)*IF($AN$11&gt;0,1,-1))+u*COS(a))+IF($AM$11,Fl,0)+Fr,0)</f>
        <v>0</v>
      </c>
      <c r="DQ191" s="608">
        <f>IF($AG$5,(ML+($CY132*2))*$AT$10-$DP191,0)</f>
        <v>0</v>
      </c>
      <c r="DR191" s="608">
        <f>IF($AG$5,(ML+($CY132*2))*9.81*SIN(a)+IF($AM$11,Fl,0),0)</f>
        <v>0</v>
      </c>
      <c r="DS191" s="606">
        <f>IF($AG$13,(ML+($CY132*2))*$AT$15+$DT191,0)</f>
        <v>0</v>
      </c>
      <c r="DT191" s="606">
        <f>IF($AG$13,(ML+($CY132*2))*(9.81*IF($AN$19&gt;0,1,-1))*((SIN(a)*IF($AN$19&gt;0,1,-1))+u*COS(a))+IF($AM$19,Fl,0)+Fr,0)</f>
        <v>0</v>
      </c>
      <c r="DU191" s="609">
        <f>IF($AG$13,(ML+($CY132*2))*$AT$18-$DT191,0)</f>
        <v>0</v>
      </c>
      <c r="DV191" s="609">
        <f>IF($AG$13,(ML+($CY132*2))*9.81*SIN(a)+IF($AM$19,Fl,0),0)</f>
        <v>0</v>
      </c>
      <c r="DW191" s="606">
        <f>IF($AG$21,(ML+($CY132*2))*$AT$23+$DX191,0)</f>
        <v>0</v>
      </c>
      <c r="DX191" s="606">
        <f>IF($AG$21,(ML+($CY132*2))*(9.81*IF($AN$27&gt;0,1,-1))*((SIN(a)*IF($AN$27&gt;0,1,-1))+u*COS(a))+IF($AM$27,Fl,0)+Fr,0)</f>
        <v>0</v>
      </c>
      <c r="DY191" s="606">
        <f>IF($AG$21,(ML+($CY132*2))*$AT$26-$DX191,0)</f>
        <v>0</v>
      </c>
      <c r="DZ191" s="606">
        <f>IF($AG$21,(ML+($CY132*2))*9.81*SIN(a)+IF($AM$27,Fl,0),0)</f>
        <v>0</v>
      </c>
      <c r="EA191" s="643" t="s">
        <v>92</v>
      </c>
      <c r="EB191" s="643">
        <f t="shared" ref="EB191:EB194" si="761">SQRT((((IF(DC191&gt;0,DC191,DC191*-1))^2*$D$38)+((IF(DD191&gt;0,DD191,DD191*-1))^2*$E$38)+((IF(DE191&gt;0,DE191,DE191*-1))^2*$F$38)+((IF(DF191&gt;0,DF191,DF191*-1))^2*$G$38)+((IF(DG191&gt;0,DG191,DG191*-1))^2*$H$38)+((IF(DH191&gt;0,DH191,DH191*-1))^2*$I$38)+((IF(DI191&gt;0,DI191,DI191*-1))^2*$J$38)+((IF(DJ191&gt;0,DJ191,DJ191*-1))^2*$K$38)+((IF(DK191&gt;0,DK191,DK191*-1))^2*$L$38)+((IF(DL191&gt;0,DL191,DL191*-1))^2*$M$38)+((IF(DM191&gt;0,DM191,DM191*-1))^2*$N$38)+((IF(DN191&gt;0,DN191,DN191*-1))^2*$O$38)+((IF(DO191&gt;0,DO191,DO191*-1))^2*$P$38)+((IF(DP191&gt;0,DP191,DP191*-1))^2*$Q$38)+((IF(DQ191&gt;0,DQ191,DQ191*-1))^2*$R$38)+((IF(DR191&gt;0,DR191,DR191*-1))^2*$S$38)+((IF(DS191&gt;0,DS191,DS191*-1))^2*$T$38)+((IF(DT191&gt;0,DT191,DT191*-1))^2*$U$38)+((IF(DU191&gt;0,DU191,DU191*-1))^2*$V$38)+((IF(DV191&gt;0,DV191,DV191*-1))^2*$W$38)+((IF(DW191&gt;0,DW191,DW191*-1))^2*$X$38)+((IF(DX191&gt;0,DX191,DX191*-1))^2*$Y$38)+((IF(DY191&gt;0,DY191,DY191*-1))^2*$Z$38)+((IF(DZ191&gt;0,DZ191,DZ191*-1))^2*$AA$38))/$AA$31)</f>
        <v>0.65233440053895697</v>
      </c>
      <c r="EC191" s="639"/>
      <c r="ED191" s="639"/>
      <c r="EE191" s="639"/>
      <c r="EF191" s="639"/>
      <c r="EG191" s="639"/>
      <c r="EH191" s="639"/>
      <c r="EI191" s="639"/>
      <c r="EJ191" s="639"/>
      <c r="EK191" s="639"/>
      <c r="EL191" s="639"/>
      <c r="EM191" s="639"/>
      <c r="EN191" s="639"/>
      <c r="EO191" s="639"/>
      <c r="EP191" s="639"/>
      <c r="EQ191" s="639"/>
      <c r="ER191" s="639"/>
      <c r="ES191" s="639"/>
      <c r="ET191" s="639"/>
      <c r="EU191" s="639"/>
      <c r="EV191" s="639"/>
      <c r="EW191" s="639"/>
      <c r="EX191" s="639"/>
      <c r="EY191" s="639"/>
      <c r="EZ191" s="639"/>
      <c r="FA191" s="639"/>
      <c r="FB191" s="639"/>
      <c r="FC191" s="639"/>
      <c r="FD191" s="639"/>
      <c r="FE191" s="639"/>
      <c r="FF191" s="639"/>
      <c r="FG191" s="639"/>
      <c r="FH191" s="639"/>
      <c r="FI191" s="639"/>
      <c r="FJ191" s="639"/>
      <c r="FK191" s="639"/>
      <c r="FL191" s="639"/>
      <c r="FM191" s="639"/>
      <c r="FN191" s="639"/>
      <c r="FO191" s="639"/>
      <c r="FP191" s="639"/>
      <c r="FQ191" s="639"/>
      <c r="FR191" s="639"/>
      <c r="FS191" s="639"/>
      <c r="FT191" s="639"/>
      <c r="FU191" s="639"/>
      <c r="FV191" s="639"/>
      <c r="FW191" s="639"/>
      <c r="FX191" s="639"/>
      <c r="FY191" s="639"/>
      <c r="FZ191" s="639"/>
      <c r="GA191" s="639"/>
      <c r="GB191" s="639"/>
      <c r="GC191" s="639"/>
      <c r="GD191" s="639"/>
      <c r="GE191" s="639"/>
      <c r="GF191" s="639"/>
      <c r="GG191" s="639"/>
      <c r="GH191" s="639"/>
      <c r="GI191" s="639"/>
      <c r="GJ191" s="639"/>
      <c r="GK191" s="639"/>
      <c r="GL191" s="639"/>
      <c r="GM191" s="639"/>
      <c r="GN191" s="639"/>
      <c r="GO191" s="639"/>
      <c r="GP191" s="639"/>
      <c r="GQ191" s="639"/>
      <c r="GR191" s="639"/>
      <c r="GS191" s="639"/>
      <c r="GT191" s="639"/>
      <c r="GU191" s="639"/>
      <c r="GV191" s="639"/>
      <c r="GW191" s="639"/>
      <c r="GX191" s="639"/>
      <c r="GY191" s="639"/>
      <c r="GZ191" s="639"/>
      <c r="HA191" s="639"/>
      <c r="HB191" s="639"/>
      <c r="HC191" s="639"/>
      <c r="HD191" s="639"/>
      <c r="HE191" s="639"/>
      <c r="HF191" s="645"/>
      <c r="HG191" s="645"/>
      <c r="HH191" s="645"/>
      <c r="HI191" s="645"/>
      <c r="HJ191" s="645"/>
      <c r="HK191" s="645"/>
      <c r="HL191" s="645"/>
      <c r="HM191" s="645"/>
      <c r="HN191" s="645"/>
      <c r="HO191" s="645"/>
      <c r="HP191" s="645"/>
      <c r="HQ191" s="645"/>
      <c r="HR191" s="645">
        <v>9.4E-2</v>
      </c>
      <c r="HS191" s="645">
        <f t="shared" si="749"/>
        <v>631.14285714285711</v>
      </c>
      <c r="HT191" s="645">
        <f t="shared" si="750"/>
        <v>1</v>
      </c>
      <c r="HU191" s="618">
        <f t="shared" si="754"/>
        <v>2.3944804908332267</v>
      </c>
      <c r="HV191" s="618"/>
      <c r="HW191" s="618">
        <f t="shared" si="736"/>
        <v>32.599837703016817</v>
      </c>
      <c r="HX191" s="618">
        <f t="shared" si="755"/>
        <v>2.2808009204764605</v>
      </c>
      <c r="HY191" s="618">
        <f t="shared" si="756"/>
        <v>9.4E-2</v>
      </c>
      <c r="HZ191" s="618"/>
      <c r="IA191" s="618"/>
      <c r="IB191" s="618">
        <f t="shared" si="737"/>
        <v>25.000350341399081</v>
      </c>
      <c r="IC191" s="618">
        <f t="shared" si="738"/>
        <v>1E-3</v>
      </c>
      <c r="ID191" s="618"/>
      <c r="IE191" s="618">
        <f t="shared" si="739"/>
        <v>0</v>
      </c>
      <c r="IF191" s="618">
        <f t="shared" si="740"/>
        <v>40.704999999999998</v>
      </c>
      <c r="IG191" s="618"/>
      <c r="IH191" s="618">
        <f t="shared" si="741"/>
        <v>0</v>
      </c>
      <c r="II191" s="618">
        <f t="shared" si="742"/>
        <v>40.704999999999998</v>
      </c>
      <c r="IJ191" s="618"/>
      <c r="IK191" s="618">
        <f t="shared" si="743"/>
        <v>0</v>
      </c>
      <c r="IL191" s="618">
        <f t="shared" si="744"/>
        <v>40.704999999999998</v>
      </c>
      <c r="IM191" s="618"/>
      <c r="IN191" s="618">
        <f t="shared" si="745"/>
        <v>0</v>
      </c>
      <c r="IO191" s="618">
        <f t="shared" si="746"/>
        <v>40.704999999999998</v>
      </c>
      <c r="IP191" s="618"/>
      <c r="IQ191" s="618">
        <f t="shared" si="747"/>
        <v>0</v>
      </c>
      <c r="IR191" s="618">
        <f t="shared" si="748"/>
        <v>40.704999999999998</v>
      </c>
      <c r="IS191" s="645"/>
      <c r="IT191" s="640"/>
      <c r="IU191" s="640"/>
      <c r="IV191" s="640"/>
      <c r="IW191" s="640"/>
      <c r="IX191" s="640"/>
      <c r="IY191" s="640"/>
      <c r="IZ191" s="640"/>
      <c r="JA191" s="640"/>
      <c r="JB191" s="640"/>
      <c r="JC191" s="640"/>
      <c r="JD191" s="640"/>
      <c r="JE191" s="640"/>
      <c r="JF191" s="640"/>
      <c r="JG191" s="640"/>
      <c r="JH191" s="640"/>
      <c r="JI191" s="640"/>
      <c r="JJ191" s="640"/>
      <c r="JK191" s="640"/>
      <c r="JL191" s="640"/>
      <c r="JM191" s="640"/>
      <c r="JN191" s="640"/>
      <c r="JO191" s="640"/>
      <c r="JP191" s="640"/>
      <c r="JQ191" s="640"/>
      <c r="JR191" s="640"/>
      <c r="JS191" s="640"/>
      <c r="JT191" s="640"/>
      <c r="JU191" s="640"/>
      <c r="JV191" s="653"/>
    </row>
    <row r="192" spans="1:282" s="612" customFormat="1">
      <c r="A192" s="611"/>
      <c r="U192" s="613"/>
      <c r="V192" s="613"/>
      <c r="AC192" s="613"/>
      <c r="AD192" s="613"/>
      <c r="AL192" s="613"/>
      <c r="AM192" s="613"/>
      <c r="AT192" s="613"/>
      <c r="AU192" s="613"/>
      <c r="AX192" s="614"/>
      <c r="CH192" s="611"/>
      <c r="CI192" s="611"/>
      <c r="CO192" s="694" t="str">
        <f t="shared" si="753"/>
        <v>S320D 1S</v>
      </c>
      <c r="CP192" s="645"/>
      <c r="CQ192" s="618"/>
      <c r="CR192" s="618"/>
      <c r="CS192" s="618"/>
      <c r="CT192" s="626"/>
      <c r="CU192" s="626"/>
      <c r="CV192" s="626"/>
      <c r="CW192" s="641"/>
      <c r="CX192" s="641"/>
      <c r="CY192" s="624"/>
      <c r="CZ192" s="624"/>
      <c r="DA192" s="642" t="s">
        <v>362</v>
      </c>
      <c r="DB192" s="624"/>
      <c r="DC192" s="606">
        <f>(ML+($CY133*2))*$AC$7+$DD192-IF(AND($Z$4,$V$11),Fl,0)</f>
        <v>12.297599999999999</v>
      </c>
      <c r="DD192" s="607">
        <f>(ML+($CY133*2))*(9.81*IF($W$11&gt;0,1,-1))*((SIN(a)*IF($W$11&gt;0,1,-1))+u*COS(a))+IF($V$11,Fl,0)+Fr</f>
        <v>9.4176000000000002</v>
      </c>
      <c r="DE192" s="606">
        <f>(ML+($CY133*2))*$AC$10-$DD192+IF(AND($Z$4,$V$11),Fl,0)</f>
        <v>-6.5376000000000003</v>
      </c>
      <c r="DF192" s="606">
        <f>(ML+($CY133*2))*9.81*SIN(a)+IF($V$11,Fl,0)-IF(AND($Z$4,$V$11),Fl,0)</f>
        <v>0</v>
      </c>
      <c r="DG192" s="606">
        <f>IF($P$13,(ML+($CY133*2))*$AC$15+$DH192,0)</f>
        <v>0</v>
      </c>
      <c r="DH192" s="606">
        <f>IF($P$13,(ML+($CY133*2))*(9.81*IF($W$19&gt;0,1,-1))*((SIN(a)*IF($W$19&gt;0,1,-1))+u*COS(a))+IF($V$19,Fl,0)+Fr,0)</f>
        <v>0</v>
      </c>
      <c r="DI192" s="606">
        <f>IF($P$13,(ML+($CY133*2))*$AC$18-$DH192,0)</f>
        <v>0</v>
      </c>
      <c r="DJ192" s="606">
        <f>IF($P$13,(ML+($CY133*2))*9.81*SIN(a)+IF($V$19,Fl,0),0)</f>
        <v>0</v>
      </c>
      <c r="DK192" s="606">
        <f>IF($P$21,(ML+($CY133*2))*$AC$23+$DL192,0)</f>
        <v>0</v>
      </c>
      <c r="DL192" s="606">
        <f>IF($P$21,(ML+($CY133*2))*(9.81*IF($W$27&gt;0,1,-1))*((SIN(a)*IF($W$27&gt;0,1,-1))+u*COS(a))+IF($V$27,Fl,0)+Fr,0)</f>
        <v>0</v>
      </c>
      <c r="DM192" s="606">
        <f>IF($P$21,(ML+($CY133*2))*$AC$26-$DL192,0)</f>
        <v>0</v>
      </c>
      <c r="DN192" s="606">
        <f>IF($P$21,(ML+($CY133*2))*9.81*SIN(a)+IF($V$27,Fl,0),0)</f>
        <v>0</v>
      </c>
      <c r="DO192" s="606">
        <f>IF($AG$5,(ML+($CY133*2))*$AT$7+$DP192,0)</f>
        <v>0</v>
      </c>
      <c r="DP192" s="606">
        <f>IF($AG$5,(ML+($CY133*2))*(9.81*IF($AN$11&gt;0,1,-1))*((SIN(a)*IF($AN$11&gt;0,1,-1))+u*COS(a))+IF($AM$11,Fl,0)+Fr,0)</f>
        <v>0</v>
      </c>
      <c r="DQ192" s="608">
        <f>IF($AG$5,(ML+($CY133*2))*$AT$10-$DP192,0)</f>
        <v>0</v>
      </c>
      <c r="DR192" s="608">
        <f>IF($AG$5,(ML+($CY133*2))*9.81*SIN(a)+IF($AM$11,Fl,0),0)</f>
        <v>0</v>
      </c>
      <c r="DS192" s="606">
        <f>IF($AG$13,(ML+($CY133*2))*$AT$15+$DT192,0)</f>
        <v>0</v>
      </c>
      <c r="DT192" s="606">
        <f>IF($AG$13,(ML+($CY133*2))*(9.81*IF($AN$19&gt;0,1,-1))*((SIN(a)*IF($AN$19&gt;0,1,-1))+u*COS(a))+IF($AM$19,Fl,0)+Fr,0)</f>
        <v>0</v>
      </c>
      <c r="DU192" s="609">
        <f>IF($AG$13,(ML+($CY133*2))*$AT$18-$DT192,0)</f>
        <v>0</v>
      </c>
      <c r="DV192" s="609">
        <f>IF($AG$13,(ML+($CY133*2))*9.81*SIN(a)+IF($AM$19,Fl,0),0)</f>
        <v>0</v>
      </c>
      <c r="DW192" s="606">
        <f>IF($AG$21,(ML+($CY133*2))*$AT$23+$DX192,0)</f>
        <v>0</v>
      </c>
      <c r="DX192" s="606">
        <f>IF($AG$21,(ML+($CY133*2))*(9.81*IF($AN$27&gt;0,1,-1))*((SIN(a)*IF($AN$27&gt;0,1,-1))+u*COS(a))+IF($AM$27,Fl,0)+Fr,0)</f>
        <v>0</v>
      </c>
      <c r="DY192" s="606">
        <f>IF($AG$21,(ML+($CY133*2))*$AT$26-$DX192,0)</f>
        <v>0</v>
      </c>
      <c r="DZ192" s="606">
        <f>IF($AG$21,(ML+($CY133*2))*9.81*SIN(a)+IF($AM$27,Fl,0),0)</f>
        <v>0</v>
      </c>
      <c r="EA192" s="643" t="s">
        <v>92</v>
      </c>
      <c r="EB192" s="643">
        <f t="shared" si="761"/>
        <v>1.252482049034797</v>
      </c>
      <c r="EC192" s="639"/>
      <c r="ED192" s="639"/>
      <c r="EE192" s="639"/>
      <c r="EF192" s="639"/>
      <c r="EG192" s="639"/>
      <c r="EH192" s="639"/>
      <c r="EI192" s="639"/>
      <c r="EJ192" s="639"/>
      <c r="EK192" s="639"/>
      <c r="EL192" s="639"/>
      <c r="EM192" s="639"/>
      <c r="EN192" s="639"/>
      <c r="EO192" s="639"/>
      <c r="EP192" s="639"/>
      <c r="EQ192" s="639"/>
      <c r="ER192" s="639"/>
      <c r="ES192" s="639"/>
      <c r="ET192" s="639"/>
      <c r="EU192" s="639"/>
      <c r="EV192" s="639"/>
      <c r="EW192" s="639"/>
      <c r="EX192" s="639"/>
      <c r="EY192" s="639"/>
      <c r="EZ192" s="639"/>
      <c r="FA192" s="639"/>
      <c r="FB192" s="639"/>
      <c r="FC192" s="639"/>
      <c r="FD192" s="639"/>
      <c r="FE192" s="639"/>
      <c r="FF192" s="639"/>
      <c r="FG192" s="639"/>
      <c r="FH192" s="639"/>
      <c r="FI192" s="639"/>
      <c r="FJ192" s="639"/>
      <c r="FK192" s="639"/>
      <c r="FL192" s="639"/>
      <c r="FM192" s="639"/>
      <c r="FN192" s="639"/>
      <c r="FO192" s="639"/>
      <c r="FP192" s="639"/>
      <c r="FQ192" s="639"/>
      <c r="FR192" s="639"/>
      <c r="FS192" s="639"/>
      <c r="FT192" s="639"/>
      <c r="FU192" s="639"/>
      <c r="FV192" s="639"/>
      <c r="FW192" s="639"/>
      <c r="FX192" s="639"/>
      <c r="FY192" s="639"/>
      <c r="FZ192" s="639"/>
      <c r="GA192" s="639"/>
      <c r="GB192" s="639"/>
      <c r="GC192" s="639"/>
      <c r="GD192" s="639"/>
      <c r="GE192" s="639"/>
      <c r="GF192" s="639"/>
      <c r="GG192" s="639"/>
      <c r="GH192" s="639"/>
      <c r="GI192" s="639"/>
      <c r="GJ192" s="639"/>
      <c r="GK192" s="639"/>
      <c r="GL192" s="639"/>
      <c r="GM192" s="639"/>
      <c r="GN192" s="639"/>
      <c r="GO192" s="639"/>
      <c r="GP192" s="639"/>
      <c r="GQ192" s="639"/>
      <c r="GR192" s="639"/>
      <c r="GS192" s="639"/>
      <c r="GT192" s="639"/>
      <c r="GU192" s="639"/>
      <c r="GV192" s="639"/>
      <c r="GW192" s="639"/>
      <c r="GX192" s="639"/>
      <c r="GY192" s="639"/>
      <c r="GZ192" s="639"/>
      <c r="HA192" s="639"/>
      <c r="HB192" s="639"/>
      <c r="HC192" s="639"/>
      <c r="HD192" s="639"/>
      <c r="HE192" s="639"/>
      <c r="HF192" s="645"/>
      <c r="HG192" s="645"/>
      <c r="HH192" s="645"/>
      <c r="HI192" s="645"/>
      <c r="HJ192" s="645"/>
      <c r="HK192" s="645"/>
      <c r="HL192" s="645"/>
      <c r="HM192" s="645"/>
      <c r="HN192" s="645"/>
      <c r="HO192" s="645"/>
      <c r="HP192" s="645"/>
      <c r="HQ192" s="645"/>
      <c r="HR192" s="645">
        <v>9.4500000000000001E-2</v>
      </c>
      <c r="HS192" s="645">
        <f t="shared" si="749"/>
        <v>634.5</v>
      </c>
      <c r="HT192" s="645">
        <f t="shared" si="750"/>
        <v>1</v>
      </c>
      <c r="HU192" s="618">
        <f t="shared" si="754"/>
        <v>2.4072195348068517</v>
      </c>
      <c r="HV192" s="618"/>
      <c r="HW192" s="618">
        <f t="shared" si="736"/>
        <v>32.581748260574273</v>
      </c>
      <c r="HX192" s="618">
        <f t="shared" si="755"/>
        <v>2.292330373916156</v>
      </c>
      <c r="HY192" s="618">
        <f t="shared" si="756"/>
        <v>9.4500000000000001E-2</v>
      </c>
      <c r="HZ192" s="618"/>
      <c r="IA192" s="618"/>
      <c r="IB192" s="618">
        <f t="shared" si="737"/>
        <v>25.000350341399081</v>
      </c>
      <c r="IC192" s="618">
        <f t="shared" si="738"/>
        <v>1E-3</v>
      </c>
      <c r="ID192" s="618"/>
      <c r="IE192" s="618">
        <f t="shared" si="739"/>
        <v>0</v>
      </c>
      <c r="IF192" s="618">
        <f t="shared" si="740"/>
        <v>40.704999999999998</v>
      </c>
      <c r="IG192" s="618"/>
      <c r="IH192" s="618">
        <f t="shared" si="741"/>
        <v>0</v>
      </c>
      <c r="II192" s="618">
        <f t="shared" si="742"/>
        <v>40.704999999999998</v>
      </c>
      <c r="IJ192" s="618"/>
      <c r="IK192" s="618">
        <f t="shared" si="743"/>
        <v>0</v>
      </c>
      <c r="IL192" s="618">
        <f t="shared" si="744"/>
        <v>40.704999999999998</v>
      </c>
      <c r="IM192" s="618"/>
      <c r="IN192" s="618">
        <f t="shared" si="745"/>
        <v>0</v>
      </c>
      <c r="IO192" s="618">
        <f t="shared" si="746"/>
        <v>40.704999999999998</v>
      </c>
      <c r="IP192" s="618"/>
      <c r="IQ192" s="618">
        <f t="shared" si="747"/>
        <v>0</v>
      </c>
      <c r="IR192" s="618">
        <f t="shared" si="748"/>
        <v>40.704999999999998</v>
      </c>
      <c r="IS192" s="645"/>
      <c r="IT192" s="640"/>
      <c r="IU192" s="640"/>
      <c r="IV192" s="640"/>
      <c r="IW192" s="640"/>
      <c r="IX192" s="640"/>
      <c r="IY192" s="640"/>
      <c r="IZ192" s="640"/>
      <c r="JA192" s="640"/>
      <c r="JB192" s="640"/>
      <c r="JC192" s="640"/>
      <c r="JD192" s="640"/>
      <c r="JE192" s="640"/>
      <c r="JF192" s="640"/>
      <c r="JG192" s="640"/>
      <c r="JH192" s="640"/>
      <c r="JI192" s="640"/>
      <c r="JJ192" s="640"/>
      <c r="JK192" s="640"/>
      <c r="JL192" s="640"/>
      <c r="JM192" s="640"/>
      <c r="JN192" s="640"/>
      <c r="JO192" s="640"/>
      <c r="JP192" s="640"/>
      <c r="JQ192" s="640"/>
      <c r="JR192" s="640"/>
      <c r="JS192" s="640"/>
      <c r="JT192" s="640"/>
      <c r="JU192" s="640"/>
      <c r="JV192" s="653"/>
    </row>
    <row r="193" spans="1:282" s="612" customFormat="1">
      <c r="A193" s="611"/>
      <c r="U193" s="613"/>
      <c r="V193" s="613"/>
      <c r="AC193" s="613"/>
      <c r="AD193" s="613"/>
      <c r="AL193" s="613"/>
      <c r="AM193" s="613"/>
      <c r="AT193" s="613"/>
      <c r="AU193" s="613"/>
      <c r="AX193" s="614"/>
      <c r="CH193" s="611"/>
      <c r="CI193" s="611"/>
      <c r="CO193" s="694" t="str">
        <f t="shared" si="753"/>
        <v>L350TS</v>
      </c>
      <c r="CP193" s="645"/>
      <c r="CQ193" s="618"/>
      <c r="CR193" s="618"/>
      <c r="CS193" s="618"/>
      <c r="CT193" s="626"/>
      <c r="CU193" s="626"/>
      <c r="CV193" s="626"/>
      <c r="CW193" s="641"/>
      <c r="CX193" s="641"/>
      <c r="CY193" s="624"/>
      <c r="CZ193" s="624"/>
      <c r="DA193" s="642" t="s">
        <v>358</v>
      </c>
      <c r="DB193" s="624"/>
      <c r="DC193" s="606">
        <f>(ML+($CY134*2))*$AC$7+$DD193-IF(AND($Z$4,$V$11),Fl,0)</f>
        <v>0.51240000000000008</v>
      </c>
      <c r="DD193" s="607">
        <f>(ML+($CY134*2))*(9.81*IF($W$11&gt;0,1,-1))*((SIN(a)*IF($W$11&gt;0,1,-1))+u*COS(a))+IF($V$11,Fl,0)+Fr</f>
        <v>0.39240000000000008</v>
      </c>
      <c r="DE193" s="606">
        <f>(ML+($CY134*2))*$AC$10-$DD193+IF(AND($Z$4,$V$11),Fl,0)</f>
        <v>-0.27240000000000009</v>
      </c>
      <c r="DF193" s="606">
        <f>(ML+($CY134*2))*9.81*SIN(a)+IF($V$11,Fl,0)-IF(AND($Z$4,$V$11),Fl,0)</f>
        <v>0</v>
      </c>
      <c r="DG193" s="606">
        <f>IF($P$13,(ML+($CY134*2))*$AC$15+$DH193,0)</f>
        <v>0</v>
      </c>
      <c r="DH193" s="606">
        <f>IF($P$13,(ML+($CY134*2))*(9.81*IF($W$19&gt;0,1,-1))*((SIN(a)*IF($W$19&gt;0,1,-1))+u*COS(a))+IF($V$19,Fl,0)+Fr,0)</f>
        <v>0</v>
      </c>
      <c r="DI193" s="606">
        <f>IF($P$13,(ML+($CY134*2))*$AC$18-$DH193,0)</f>
        <v>0</v>
      </c>
      <c r="DJ193" s="606">
        <f>IF($P$13,(ML+($CY134*2))*9.81*SIN(a)+IF($V$19,Fl,0),0)</f>
        <v>0</v>
      </c>
      <c r="DK193" s="606">
        <f>IF($P$21,(ML+($CY134*2))*$AC$23+$DL193,0)</f>
        <v>0</v>
      </c>
      <c r="DL193" s="606">
        <f>IF($P$21,(ML+($CY134*2))*(9.81*IF($W$27&gt;0,1,-1))*((SIN(a)*IF($W$27&gt;0,1,-1))+u*COS(a))+IF($V$27,Fl,0)+Fr,0)</f>
        <v>0</v>
      </c>
      <c r="DM193" s="606">
        <f>IF($P$21,(ML+($CY134*2))*$AC$26-$DL193,0)</f>
        <v>0</v>
      </c>
      <c r="DN193" s="606">
        <f>IF($P$21,(ML+($CY134*2))*9.81*SIN(a)+IF($V$27,Fl,0),0)</f>
        <v>0</v>
      </c>
      <c r="DO193" s="606">
        <f>IF($AG$5,(ML+($CY134*2))*$AT$7+$DP193,0)</f>
        <v>0</v>
      </c>
      <c r="DP193" s="606">
        <f>IF($AG$5,(ML+($CY134*2))*(9.81*IF($AN$11&gt;0,1,-1))*((SIN(a)*IF($AN$11&gt;0,1,-1))+u*COS(a))+IF($AM$11,Fl,0)+Fr,0)</f>
        <v>0</v>
      </c>
      <c r="DQ193" s="608">
        <f>IF($AG$5,(ML+($CY134*2))*$AT$10-$DP193,0)</f>
        <v>0</v>
      </c>
      <c r="DR193" s="608">
        <f>IF($AG$5,(ML+($CY134*2))*9.81*SIN(a)+IF($AM$11,Fl,0),0)</f>
        <v>0</v>
      </c>
      <c r="DS193" s="606">
        <f>IF($AG$13,(ML+($CY134*2))*$AT$15+$DT193,0)</f>
        <v>0</v>
      </c>
      <c r="DT193" s="606">
        <f>IF($AG$13,(ML+($CY134*2))*(9.81*IF($AN$19&gt;0,1,-1))*((SIN(a)*IF($AN$19&gt;0,1,-1))+u*COS(a))+IF($AM$19,Fl,0)+Fr,0)</f>
        <v>0</v>
      </c>
      <c r="DU193" s="609">
        <f>IF($AG$13,(ML+($CY134*2))*$AT$18-$DT193,0)</f>
        <v>0</v>
      </c>
      <c r="DV193" s="609">
        <f>IF($AG$13,(ML+($CY134*2))*9.81*SIN(a)+IF($AM$19,Fl,0),0)</f>
        <v>0</v>
      </c>
      <c r="DW193" s="606">
        <f>IF($AG$21,(ML+($CY134*2))*$AT$23+$DX193,0)</f>
        <v>0</v>
      </c>
      <c r="DX193" s="606">
        <f>IF($AG$21,(ML+($CY134*2))*(9.81*IF($AN$27&gt;0,1,-1))*((SIN(a)*IF($AN$27&gt;0,1,-1))+u*COS(a))+IF($AM$27,Fl,0)+Fr,0)</f>
        <v>0</v>
      </c>
      <c r="DY193" s="606">
        <f>IF($AG$21,(ML+($CY134*2))*$AT$26-$DX193,0)</f>
        <v>0</v>
      </c>
      <c r="DZ193" s="606">
        <f>IF($AG$21,(ML+($CY134*2))*9.81*SIN(a)+IF($AM$27,Fl,0),0)</f>
        <v>0</v>
      </c>
      <c r="EA193" s="643" t="s">
        <v>92</v>
      </c>
      <c r="EB193" s="643">
        <f t="shared" si="761"/>
        <v>5.2186752043116555E-2</v>
      </c>
      <c r="EC193" s="639"/>
      <c r="ED193" s="639"/>
      <c r="EE193" s="639"/>
      <c r="EF193" s="639"/>
      <c r="EG193" s="639"/>
      <c r="EH193" s="639"/>
      <c r="EI193" s="639"/>
      <c r="EJ193" s="639"/>
      <c r="EK193" s="639"/>
      <c r="EL193" s="639"/>
      <c r="EM193" s="639"/>
      <c r="EN193" s="639"/>
      <c r="EO193" s="639"/>
      <c r="EP193" s="639"/>
      <c r="EQ193" s="639"/>
      <c r="ER193" s="639"/>
      <c r="ES193" s="639"/>
      <c r="ET193" s="639"/>
      <c r="EU193" s="639"/>
      <c r="EV193" s="639"/>
      <c r="EW193" s="639"/>
      <c r="EX193" s="639"/>
      <c r="EY193" s="639"/>
      <c r="EZ193" s="639"/>
      <c r="FA193" s="639"/>
      <c r="FB193" s="639"/>
      <c r="FC193" s="639"/>
      <c r="FD193" s="639"/>
      <c r="FE193" s="639"/>
      <c r="FF193" s="639"/>
      <c r="FG193" s="639"/>
      <c r="FH193" s="639"/>
      <c r="FI193" s="639"/>
      <c r="FJ193" s="639"/>
      <c r="FK193" s="639"/>
      <c r="FL193" s="639"/>
      <c r="FM193" s="639"/>
      <c r="FN193" s="639"/>
      <c r="FO193" s="639"/>
      <c r="FP193" s="639"/>
      <c r="FQ193" s="639"/>
      <c r="FR193" s="639"/>
      <c r="FS193" s="639"/>
      <c r="FT193" s="639"/>
      <c r="FU193" s="639"/>
      <c r="FV193" s="639"/>
      <c r="FW193" s="639"/>
      <c r="FX193" s="639"/>
      <c r="FY193" s="639"/>
      <c r="FZ193" s="639"/>
      <c r="GA193" s="639"/>
      <c r="GB193" s="639"/>
      <c r="GC193" s="639"/>
      <c r="GD193" s="639"/>
      <c r="GE193" s="639"/>
      <c r="GF193" s="639"/>
      <c r="GG193" s="639"/>
      <c r="GH193" s="639"/>
      <c r="GI193" s="639"/>
      <c r="GJ193" s="639"/>
      <c r="GK193" s="639"/>
      <c r="GL193" s="639"/>
      <c r="GM193" s="639"/>
      <c r="GN193" s="639"/>
      <c r="GO193" s="639"/>
      <c r="GP193" s="639"/>
      <c r="GQ193" s="639"/>
      <c r="GR193" s="639"/>
      <c r="GS193" s="639"/>
      <c r="GT193" s="639"/>
      <c r="GU193" s="639"/>
      <c r="GV193" s="639"/>
      <c r="GW193" s="639"/>
      <c r="GX193" s="639"/>
      <c r="GY193" s="639"/>
      <c r="GZ193" s="639"/>
      <c r="HA193" s="639"/>
      <c r="HB193" s="639"/>
      <c r="HC193" s="639"/>
      <c r="HD193" s="639"/>
      <c r="HE193" s="639"/>
      <c r="HF193" s="645"/>
      <c r="HG193" s="645"/>
      <c r="HH193" s="645"/>
      <c r="HI193" s="645"/>
      <c r="HJ193" s="645"/>
      <c r="HK193" s="645"/>
      <c r="HL193" s="645"/>
      <c r="HM193" s="645"/>
      <c r="HN193" s="645"/>
      <c r="HO193" s="645"/>
      <c r="HP193" s="645"/>
      <c r="HQ193" s="645"/>
      <c r="HR193" s="645">
        <v>9.5000000000000001E-2</v>
      </c>
      <c r="HS193" s="645">
        <f t="shared" si="749"/>
        <v>637.85714285714289</v>
      </c>
      <c r="HT193" s="645">
        <f t="shared" si="750"/>
        <v>1</v>
      </c>
      <c r="HU193" s="618">
        <f t="shared" si="754"/>
        <v>2.4199585787804767</v>
      </c>
      <c r="HV193" s="618"/>
      <c r="HW193" s="618">
        <f t="shared" si="736"/>
        <v>32.563658818131721</v>
      </c>
      <c r="HX193" s="618">
        <f t="shared" si="755"/>
        <v>2.303853426183553</v>
      </c>
      <c r="HY193" s="618">
        <f t="shared" si="756"/>
        <v>9.5000000000000001E-2</v>
      </c>
      <c r="HZ193" s="618"/>
      <c r="IA193" s="618"/>
      <c r="IB193" s="618">
        <f t="shared" si="737"/>
        <v>25.000350341399081</v>
      </c>
      <c r="IC193" s="618">
        <f t="shared" si="738"/>
        <v>1E-3</v>
      </c>
      <c r="ID193" s="618"/>
      <c r="IE193" s="618">
        <f t="shared" si="739"/>
        <v>0</v>
      </c>
      <c r="IF193" s="618">
        <f t="shared" si="740"/>
        <v>40.704999999999998</v>
      </c>
      <c r="IG193" s="618"/>
      <c r="IH193" s="618">
        <f t="shared" si="741"/>
        <v>0</v>
      </c>
      <c r="II193" s="618">
        <f t="shared" si="742"/>
        <v>40.704999999999998</v>
      </c>
      <c r="IJ193" s="618"/>
      <c r="IK193" s="618">
        <f t="shared" si="743"/>
        <v>0</v>
      </c>
      <c r="IL193" s="618">
        <f t="shared" si="744"/>
        <v>40.704999999999998</v>
      </c>
      <c r="IM193" s="618"/>
      <c r="IN193" s="618">
        <f t="shared" si="745"/>
        <v>0</v>
      </c>
      <c r="IO193" s="618">
        <f t="shared" si="746"/>
        <v>40.704999999999998</v>
      </c>
      <c r="IP193" s="618"/>
      <c r="IQ193" s="618">
        <f t="shared" si="747"/>
        <v>0</v>
      </c>
      <c r="IR193" s="618">
        <f t="shared" si="748"/>
        <v>40.704999999999998</v>
      </c>
      <c r="IS193" s="645"/>
      <c r="IT193" s="639"/>
      <c r="IU193" s="639"/>
      <c r="IV193" s="639"/>
      <c r="IW193" s="639"/>
      <c r="IX193" s="639"/>
      <c r="IY193" s="639"/>
      <c r="IZ193" s="639"/>
      <c r="JA193" s="639"/>
      <c r="JB193" s="639"/>
      <c r="JC193" s="639"/>
      <c r="JD193" s="639"/>
      <c r="JE193" s="639"/>
      <c r="JF193" s="639"/>
      <c r="JG193" s="639"/>
      <c r="JH193" s="639"/>
      <c r="JI193" s="639"/>
      <c r="JJ193" s="639"/>
      <c r="JK193" s="639"/>
      <c r="JL193" s="639"/>
      <c r="JM193" s="639"/>
      <c r="JN193" s="639"/>
      <c r="JO193" s="639"/>
      <c r="JP193" s="639"/>
      <c r="JQ193" s="639"/>
      <c r="JR193" s="639"/>
      <c r="JS193" s="639"/>
      <c r="JT193" s="639"/>
      <c r="JU193" s="639"/>
      <c r="JV193" s="653"/>
    </row>
    <row r="194" spans="1:282" s="612" customFormat="1">
      <c r="A194" s="611"/>
      <c r="U194" s="613"/>
      <c r="V194" s="613"/>
      <c r="AC194" s="613"/>
      <c r="AD194" s="613"/>
      <c r="AL194" s="613"/>
      <c r="AM194" s="613"/>
      <c r="AT194" s="613"/>
      <c r="AU194" s="613"/>
      <c r="AX194" s="614"/>
      <c r="CH194" s="611"/>
      <c r="CI194" s="611"/>
      <c r="CO194" s="694" t="str">
        <f t="shared" si="753"/>
        <v>S320D</v>
      </c>
      <c r="CP194" s="645"/>
      <c r="CQ194" s="618"/>
      <c r="CR194" s="618"/>
      <c r="CS194" s="618"/>
      <c r="CT194" s="626"/>
      <c r="CU194" s="626"/>
      <c r="CV194" s="626"/>
      <c r="CW194" s="641"/>
      <c r="CX194" s="641"/>
      <c r="CY194" s="624"/>
      <c r="CZ194" s="624"/>
      <c r="DA194" s="644"/>
      <c r="DB194" s="624"/>
      <c r="DC194" s="606">
        <f>(ML+($CY135*2))*$AC$7+$DD194-IF(AND($Z$4,$V$11),Fl,0)</f>
        <v>0.51240000000000008</v>
      </c>
      <c r="DD194" s="607">
        <f>(ML+($CY135*2))*(9.81*IF($W$11&gt;0,1,-1))*((SIN(a)*IF($W$11&gt;0,1,-1))+u*COS(a))+IF($V$11,Fl,0)+Fr</f>
        <v>0.39240000000000008</v>
      </c>
      <c r="DE194" s="606">
        <f>(ML+($CY135*2))*$AC$10-$DD194+IF(AND($Z$4,$V$11),Fl,0)</f>
        <v>-0.27240000000000009</v>
      </c>
      <c r="DF194" s="606">
        <f>(ML+($CY135*2))*9.81*SIN(a)+IF($V$11,Fl,0)-IF(AND($Z$4,$V$11),Fl,0)</f>
        <v>0</v>
      </c>
      <c r="DG194" s="606">
        <f>IF($P$13,(ML+($CY135*2))*$AC$15+$DH194,0)</f>
        <v>0</v>
      </c>
      <c r="DH194" s="606">
        <f>IF($P$13,(ML+($CY135*2))*(9.81*IF($W$19&gt;0,1,-1))*((SIN(a)*IF($W$19&gt;0,1,-1))+u*COS(a))+IF($V$19,Fl,0)+Fr,0)</f>
        <v>0</v>
      </c>
      <c r="DI194" s="606">
        <f>IF($P$13,(ML+($CY135*2))*$AC$18-$DH194,0)</f>
        <v>0</v>
      </c>
      <c r="DJ194" s="606">
        <f>IF($P$13,(ML+($CY135*2))*9.81*SIN(a)+IF($V$19,Fl,0),0)</f>
        <v>0</v>
      </c>
      <c r="DK194" s="606">
        <f>IF($P$21,(ML+($CY135*2))*$AC$23+$DL194,0)</f>
        <v>0</v>
      </c>
      <c r="DL194" s="606">
        <f>IF($P$21,(ML+($CY135*2))*(9.81*IF($W$27&gt;0,1,-1))*((SIN(a)*IF($W$27&gt;0,1,-1))+u*COS(a))+IF($V$27,Fl,0)+Fr,0)</f>
        <v>0</v>
      </c>
      <c r="DM194" s="606">
        <f>IF($P$21,(ML+($CY135*2))*$AC$26-$DL194,0)</f>
        <v>0</v>
      </c>
      <c r="DN194" s="606">
        <f>IF($P$21,(ML+($CY135*2))*9.81*SIN(a)+IF($V$27,Fl,0),0)</f>
        <v>0</v>
      </c>
      <c r="DO194" s="606">
        <f>IF($AG$5,(ML+($CY135*2))*$AT$7+$DP194,0)</f>
        <v>0</v>
      </c>
      <c r="DP194" s="606">
        <f>IF($AG$5,(ML+($CY135*2))*(9.81*IF($AN$11&gt;0,1,-1))*((SIN(a)*IF($AN$11&gt;0,1,-1))+u*COS(a))+IF($AM$11,Fl,0)+Fr,0)</f>
        <v>0</v>
      </c>
      <c r="DQ194" s="608">
        <f>IF($AG$5,(ML+($CY135*2))*$AT$10-$DP194,0)</f>
        <v>0</v>
      </c>
      <c r="DR194" s="608">
        <f>IF($AG$5,(ML+($CY135*2))*9.81*SIN(a)+IF($AM$11,Fl,0),0)</f>
        <v>0</v>
      </c>
      <c r="DS194" s="606">
        <f>IF($AG$13,(ML+($CY135*2))*$AT$15+$DT194,0)</f>
        <v>0</v>
      </c>
      <c r="DT194" s="606">
        <f>IF($AG$13,(ML+($CY135*2))*(9.81*IF($AN$19&gt;0,1,-1))*((SIN(a)*IF($AN$19&gt;0,1,-1))+u*COS(a))+IF($AM$19,Fl,0)+Fr,0)</f>
        <v>0</v>
      </c>
      <c r="DU194" s="609">
        <f>IF($AG$13,(ML+($CY135*2))*$AT$18-$DT194,0)</f>
        <v>0</v>
      </c>
      <c r="DV194" s="609">
        <f>IF($AG$13,(ML+($CY135*2))*9.81*SIN(a)+IF($AM$19,Fl,0),0)</f>
        <v>0</v>
      </c>
      <c r="DW194" s="606">
        <f>IF($AG$21,(ML+($CY135*2))*$AT$23+$DX194,0)</f>
        <v>0</v>
      </c>
      <c r="DX194" s="606">
        <f>IF($AG$21,(ML+($CY135*2))*(9.81*IF($AN$27&gt;0,1,-1))*((SIN(a)*IF($AN$27&gt;0,1,-1))+u*COS(a))+IF($AM$27,Fl,0)+Fr,0)</f>
        <v>0</v>
      </c>
      <c r="DY194" s="606">
        <f>IF($AG$21,(ML+($CY135*2))*$AT$26-$DX194,0)</f>
        <v>0</v>
      </c>
      <c r="DZ194" s="606">
        <f>IF($AG$21,(ML+($CY135*2))*9.81*SIN(a)+IF($AM$27,Fl,0),0)</f>
        <v>0</v>
      </c>
      <c r="EA194" s="643" t="s">
        <v>92</v>
      </c>
      <c r="EB194" s="643">
        <f t="shared" si="761"/>
        <v>5.2186752043116555E-2</v>
      </c>
      <c r="EC194" s="639"/>
      <c r="ED194" s="639"/>
      <c r="EE194" s="639"/>
      <c r="EF194" s="639"/>
      <c r="EG194" s="639"/>
      <c r="EH194" s="639"/>
      <c r="EI194" s="639"/>
      <c r="EJ194" s="639"/>
      <c r="EK194" s="639"/>
      <c r="EL194" s="639"/>
      <c r="EM194" s="639"/>
      <c r="EN194" s="639"/>
      <c r="EO194" s="639"/>
      <c r="EP194" s="639"/>
      <c r="EQ194" s="639"/>
      <c r="ER194" s="639"/>
      <c r="ES194" s="639"/>
      <c r="ET194" s="639"/>
      <c r="EU194" s="639"/>
      <c r="EV194" s="639"/>
      <c r="EW194" s="639"/>
      <c r="EX194" s="639"/>
      <c r="EY194" s="639"/>
      <c r="EZ194" s="639"/>
      <c r="FA194" s="639"/>
      <c r="FB194" s="639"/>
      <c r="FC194" s="639"/>
      <c r="FD194" s="639"/>
      <c r="FE194" s="639"/>
      <c r="FF194" s="639"/>
      <c r="FG194" s="639"/>
      <c r="FH194" s="639"/>
      <c r="FI194" s="639"/>
      <c r="FJ194" s="639"/>
      <c r="FK194" s="639"/>
      <c r="FL194" s="639"/>
      <c r="FM194" s="639"/>
      <c r="FN194" s="639"/>
      <c r="FO194" s="639"/>
      <c r="FP194" s="639"/>
      <c r="FQ194" s="639"/>
      <c r="FR194" s="639"/>
      <c r="FS194" s="639"/>
      <c r="FT194" s="639"/>
      <c r="FU194" s="639"/>
      <c r="FV194" s="639"/>
      <c r="FW194" s="639"/>
      <c r="FX194" s="639"/>
      <c r="FY194" s="639"/>
      <c r="FZ194" s="639"/>
      <c r="GA194" s="639"/>
      <c r="GB194" s="639"/>
      <c r="GC194" s="639"/>
      <c r="GD194" s="639"/>
      <c r="GE194" s="639"/>
      <c r="GF194" s="639"/>
      <c r="GG194" s="639"/>
      <c r="GH194" s="639"/>
      <c r="GI194" s="639"/>
      <c r="GJ194" s="639"/>
      <c r="GK194" s="639"/>
      <c r="GL194" s="639"/>
      <c r="GM194" s="639"/>
      <c r="GN194" s="639"/>
      <c r="GO194" s="639"/>
      <c r="GP194" s="639"/>
      <c r="GQ194" s="639"/>
      <c r="GR194" s="639"/>
      <c r="GS194" s="639"/>
      <c r="GT194" s="639"/>
      <c r="GU194" s="639"/>
      <c r="GV194" s="639"/>
      <c r="GW194" s="639"/>
      <c r="GX194" s="639"/>
      <c r="GY194" s="639"/>
      <c r="GZ194" s="639"/>
      <c r="HA194" s="639"/>
      <c r="HB194" s="639"/>
      <c r="HC194" s="639"/>
      <c r="HD194" s="639"/>
      <c r="HE194" s="639"/>
      <c r="HF194" s="645"/>
      <c r="HG194" s="645"/>
      <c r="HH194" s="645"/>
      <c r="HI194" s="645"/>
      <c r="HJ194" s="645"/>
      <c r="HK194" s="645"/>
      <c r="HL194" s="645"/>
      <c r="HM194" s="645"/>
      <c r="HN194" s="645"/>
      <c r="HO194" s="645"/>
      <c r="HP194" s="645"/>
      <c r="HQ194" s="645"/>
      <c r="HR194" s="645">
        <v>9.5500000000000002E-2</v>
      </c>
      <c r="HS194" s="645">
        <f t="shared" si="749"/>
        <v>641.21428571428567</v>
      </c>
      <c r="HT194" s="645">
        <f t="shared" si="750"/>
        <v>1</v>
      </c>
      <c r="HU194" s="618">
        <f t="shared" si="754"/>
        <v>2.4326976227541017</v>
      </c>
      <c r="HV194" s="618"/>
      <c r="HW194" s="618">
        <f t="shared" si="736"/>
        <v>32.545569375689176</v>
      </c>
      <c r="HX194" s="618">
        <f t="shared" si="755"/>
        <v>2.3153700772786521</v>
      </c>
      <c r="HY194" s="618">
        <f t="shared" si="756"/>
        <v>9.5500000000000002E-2</v>
      </c>
      <c r="HZ194" s="618"/>
      <c r="IA194" s="618"/>
      <c r="IB194" s="618">
        <f t="shared" si="737"/>
        <v>25.000350341399081</v>
      </c>
      <c r="IC194" s="618">
        <f t="shared" si="738"/>
        <v>1E-3</v>
      </c>
      <c r="ID194" s="618"/>
      <c r="IE194" s="618">
        <f t="shared" si="739"/>
        <v>0</v>
      </c>
      <c r="IF194" s="618">
        <f t="shared" si="740"/>
        <v>40.704999999999998</v>
      </c>
      <c r="IG194" s="618"/>
      <c r="IH194" s="618">
        <f t="shared" si="741"/>
        <v>0</v>
      </c>
      <c r="II194" s="618">
        <f t="shared" si="742"/>
        <v>40.704999999999998</v>
      </c>
      <c r="IJ194" s="618"/>
      <c r="IK194" s="618">
        <f t="shared" si="743"/>
        <v>0</v>
      </c>
      <c r="IL194" s="618">
        <f t="shared" si="744"/>
        <v>40.704999999999998</v>
      </c>
      <c r="IM194" s="618"/>
      <c r="IN194" s="618">
        <f t="shared" si="745"/>
        <v>0</v>
      </c>
      <c r="IO194" s="618">
        <f t="shared" si="746"/>
        <v>40.704999999999998</v>
      </c>
      <c r="IP194" s="618"/>
      <c r="IQ194" s="618">
        <f t="shared" si="747"/>
        <v>0</v>
      </c>
      <c r="IR194" s="618">
        <f t="shared" si="748"/>
        <v>40.704999999999998</v>
      </c>
      <c r="IS194" s="645"/>
      <c r="IT194" s="639"/>
      <c r="IU194" s="639"/>
      <c r="IV194" s="639"/>
      <c r="IW194" s="639"/>
      <c r="IX194" s="639"/>
      <c r="IY194" s="639"/>
      <c r="IZ194" s="639"/>
      <c r="JA194" s="639"/>
      <c r="JB194" s="639"/>
      <c r="JC194" s="639"/>
      <c r="JD194" s="639"/>
      <c r="JE194" s="639"/>
      <c r="JF194" s="639"/>
      <c r="JG194" s="639"/>
      <c r="JH194" s="639"/>
      <c r="JI194" s="639"/>
      <c r="JJ194" s="639"/>
      <c r="JK194" s="639"/>
      <c r="JL194" s="639"/>
      <c r="JM194" s="639"/>
      <c r="JN194" s="639"/>
      <c r="JO194" s="639"/>
      <c r="JP194" s="639"/>
      <c r="JQ194" s="639"/>
      <c r="JR194" s="639"/>
      <c r="JS194" s="639"/>
      <c r="JT194" s="639"/>
      <c r="JU194" s="639"/>
      <c r="JV194" s="653"/>
    </row>
    <row r="195" spans="1:282" s="612" customFormat="1">
      <c r="A195" s="611"/>
      <c r="U195" s="613"/>
      <c r="V195" s="613"/>
      <c r="AC195" s="613"/>
      <c r="AD195" s="613"/>
      <c r="AL195" s="613"/>
      <c r="AM195" s="613"/>
      <c r="AT195" s="613"/>
      <c r="AU195" s="613"/>
      <c r="AX195" s="614"/>
      <c r="CH195" s="611"/>
      <c r="CI195" s="611"/>
      <c r="CO195" s="694" t="str">
        <f t="shared" si="753"/>
        <v>S250T 1S</v>
      </c>
      <c r="CP195" s="645"/>
      <c r="CQ195" s="618"/>
      <c r="CR195" s="618"/>
      <c r="CS195" s="618"/>
      <c r="CT195" s="626"/>
      <c r="CU195" s="626"/>
      <c r="CV195" s="626"/>
      <c r="CW195" s="641"/>
      <c r="CX195" s="641"/>
      <c r="CY195" s="624"/>
      <c r="CZ195" s="624"/>
      <c r="DA195" s="624"/>
      <c r="DB195" s="624"/>
      <c r="DC195" s="639"/>
      <c r="DD195" s="639"/>
      <c r="DE195" s="639"/>
      <c r="DF195" s="639"/>
      <c r="DG195" s="639"/>
      <c r="DH195" s="639"/>
      <c r="DI195" s="639"/>
      <c r="DJ195" s="639"/>
      <c r="DK195" s="639"/>
      <c r="DL195" s="639"/>
      <c r="DM195" s="639"/>
      <c r="DN195" s="639"/>
      <c r="DO195" s="639"/>
      <c r="DP195" s="639"/>
      <c r="DQ195" s="639"/>
      <c r="DR195" s="639"/>
      <c r="DS195" s="639"/>
      <c r="DT195" s="639"/>
      <c r="DU195" s="639"/>
      <c r="DV195" s="639"/>
      <c r="DW195" s="639"/>
      <c r="DX195" s="639"/>
      <c r="DY195" s="639"/>
      <c r="DZ195" s="639"/>
      <c r="EA195" s="639"/>
      <c r="EB195" s="639"/>
      <c r="EC195" s="639"/>
      <c r="ED195" s="639"/>
      <c r="EE195" s="639"/>
      <c r="EF195" s="639"/>
      <c r="EG195" s="639"/>
      <c r="EH195" s="639"/>
      <c r="EI195" s="639"/>
      <c r="EJ195" s="639"/>
      <c r="EK195" s="639"/>
      <c r="EL195" s="639"/>
      <c r="EM195" s="639"/>
      <c r="EN195" s="639"/>
      <c r="EO195" s="639"/>
      <c r="EP195" s="639"/>
      <c r="EQ195" s="639"/>
      <c r="ER195" s="639"/>
      <c r="ES195" s="639"/>
      <c r="ET195" s="639"/>
      <c r="EU195" s="639"/>
      <c r="EV195" s="639"/>
      <c r="EW195" s="639"/>
      <c r="EX195" s="639"/>
      <c r="EY195" s="639"/>
      <c r="EZ195" s="639"/>
      <c r="FA195" s="639"/>
      <c r="FB195" s="639"/>
      <c r="FC195" s="639"/>
      <c r="FD195" s="639"/>
      <c r="FE195" s="639"/>
      <c r="FF195" s="639"/>
      <c r="FG195" s="639"/>
      <c r="FH195" s="639"/>
      <c r="FI195" s="639"/>
      <c r="FJ195" s="639"/>
      <c r="FK195" s="639"/>
      <c r="FL195" s="639"/>
      <c r="FM195" s="639"/>
      <c r="FN195" s="639"/>
      <c r="FO195" s="639"/>
      <c r="FP195" s="639"/>
      <c r="FQ195" s="639"/>
      <c r="FR195" s="639"/>
      <c r="FS195" s="639"/>
      <c r="FT195" s="639"/>
      <c r="FU195" s="639"/>
      <c r="FV195" s="639"/>
      <c r="FW195" s="639"/>
      <c r="FX195" s="639"/>
      <c r="FY195" s="639"/>
      <c r="FZ195" s="639"/>
      <c r="GA195" s="639"/>
      <c r="GB195" s="639"/>
      <c r="GC195" s="639"/>
      <c r="GD195" s="639"/>
      <c r="GE195" s="639"/>
      <c r="GF195" s="639"/>
      <c r="GG195" s="639"/>
      <c r="GH195" s="639"/>
      <c r="GI195" s="639"/>
      <c r="GJ195" s="639"/>
      <c r="GK195" s="639"/>
      <c r="GL195" s="639"/>
      <c r="GM195" s="639"/>
      <c r="GN195" s="639"/>
      <c r="GO195" s="639"/>
      <c r="GP195" s="639"/>
      <c r="GQ195" s="639"/>
      <c r="GR195" s="639"/>
      <c r="GS195" s="639"/>
      <c r="GT195" s="639"/>
      <c r="GU195" s="639"/>
      <c r="GV195" s="639"/>
      <c r="GW195" s="639"/>
      <c r="GX195" s="639"/>
      <c r="GY195" s="639"/>
      <c r="GZ195" s="639"/>
      <c r="HA195" s="639"/>
      <c r="HB195" s="639"/>
      <c r="HC195" s="639"/>
      <c r="HD195" s="639"/>
      <c r="HE195" s="639"/>
      <c r="HF195" s="645"/>
      <c r="HG195" s="645"/>
      <c r="HH195" s="645"/>
      <c r="HI195" s="645"/>
      <c r="HJ195" s="645"/>
      <c r="HK195" s="645"/>
      <c r="HL195" s="645"/>
      <c r="HM195" s="645"/>
      <c r="HN195" s="645"/>
      <c r="HO195" s="645"/>
      <c r="HP195" s="645"/>
      <c r="HQ195" s="645"/>
      <c r="HR195" s="645">
        <v>9.6000000000000002E-2</v>
      </c>
      <c r="HS195" s="645">
        <f t="shared" si="749"/>
        <v>644.57142857142856</v>
      </c>
      <c r="HT195" s="645">
        <f t="shared" si="750"/>
        <v>1</v>
      </c>
      <c r="HU195" s="618">
        <f t="shared" si="754"/>
        <v>2.4454366667277267</v>
      </c>
      <c r="HV195" s="618"/>
      <c r="HW195" s="618">
        <f t="shared" si="736"/>
        <v>32.527479933246624</v>
      </c>
      <c r="HX195" s="618">
        <f t="shared" si="755"/>
        <v>2.3268803272014527</v>
      </c>
      <c r="HY195" s="618">
        <f t="shared" si="756"/>
        <v>9.6000000000000002E-2</v>
      </c>
      <c r="HZ195" s="618"/>
      <c r="IA195" s="618"/>
      <c r="IB195" s="618">
        <f t="shared" si="737"/>
        <v>25.000350341399081</v>
      </c>
      <c r="IC195" s="618">
        <f t="shared" si="738"/>
        <v>1E-3</v>
      </c>
      <c r="ID195" s="618"/>
      <c r="IE195" s="618">
        <f t="shared" si="739"/>
        <v>0</v>
      </c>
      <c r="IF195" s="618">
        <f t="shared" si="740"/>
        <v>40.704999999999998</v>
      </c>
      <c r="IG195" s="618"/>
      <c r="IH195" s="618">
        <f t="shared" si="741"/>
        <v>0</v>
      </c>
      <c r="II195" s="618">
        <f t="shared" si="742"/>
        <v>40.704999999999998</v>
      </c>
      <c r="IJ195" s="618"/>
      <c r="IK195" s="618">
        <f t="shared" si="743"/>
        <v>0</v>
      </c>
      <c r="IL195" s="618">
        <f t="shared" si="744"/>
        <v>40.704999999999998</v>
      </c>
      <c r="IM195" s="618"/>
      <c r="IN195" s="618">
        <f t="shared" si="745"/>
        <v>0</v>
      </c>
      <c r="IO195" s="618">
        <f t="shared" si="746"/>
        <v>40.704999999999998</v>
      </c>
      <c r="IP195" s="618"/>
      <c r="IQ195" s="618">
        <f t="shared" si="747"/>
        <v>0</v>
      </c>
      <c r="IR195" s="618">
        <f t="shared" si="748"/>
        <v>40.704999999999998</v>
      </c>
      <c r="IS195" s="645"/>
      <c r="IT195" s="639"/>
      <c r="IU195" s="639"/>
      <c r="IV195" s="639"/>
      <c r="IW195" s="639"/>
      <c r="IX195" s="639"/>
      <c r="IY195" s="639"/>
      <c r="IZ195" s="639"/>
      <c r="JA195" s="639"/>
      <c r="JB195" s="639"/>
      <c r="JC195" s="639"/>
      <c r="JD195" s="639"/>
      <c r="JE195" s="639"/>
      <c r="JF195" s="639"/>
      <c r="JG195" s="639"/>
      <c r="JH195" s="639"/>
      <c r="JI195" s="639"/>
      <c r="JJ195" s="639"/>
      <c r="JK195" s="639"/>
      <c r="JL195" s="639"/>
      <c r="JM195" s="639"/>
      <c r="JN195" s="639"/>
      <c r="JO195" s="639"/>
      <c r="JP195" s="639"/>
      <c r="JQ195" s="639"/>
      <c r="JR195" s="639"/>
      <c r="JS195" s="639"/>
      <c r="JT195" s="639"/>
      <c r="JU195" s="639"/>
      <c r="JV195" s="653"/>
    </row>
    <row r="196" spans="1:282" s="612" customFormat="1">
      <c r="A196" s="611"/>
      <c r="U196" s="613"/>
      <c r="V196" s="613"/>
      <c r="AC196" s="613"/>
      <c r="AD196" s="613"/>
      <c r="AL196" s="613"/>
      <c r="AM196" s="613"/>
      <c r="AT196" s="613"/>
      <c r="AU196" s="613"/>
      <c r="AX196" s="614"/>
      <c r="CH196" s="611"/>
      <c r="CI196" s="611"/>
      <c r="CO196" s="694" t="str">
        <f t="shared" si="753"/>
        <v>L320QS</v>
      </c>
      <c r="CP196" s="645"/>
      <c r="CQ196" s="618"/>
      <c r="CR196" s="618"/>
      <c r="CS196" s="618"/>
      <c r="CT196" s="626"/>
      <c r="CU196" s="626"/>
      <c r="CV196" s="626"/>
      <c r="CW196" s="641"/>
      <c r="CX196" s="641"/>
      <c r="CY196" s="624"/>
      <c r="CZ196" s="624"/>
      <c r="DA196" s="624"/>
      <c r="DB196" s="624"/>
      <c r="DC196" s="639"/>
      <c r="DD196" s="639"/>
      <c r="DE196" s="639"/>
      <c r="DF196" s="639"/>
      <c r="DG196" s="639"/>
      <c r="DH196" s="639"/>
      <c r="DI196" s="639"/>
      <c r="DJ196" s="639"/>
      <c r="DK196" s="639"/>
      <c r="DL196" s="639"/>
      <c r="DM196" s="639"/>
      <c r="DN196" s="639"/>
      <c r="DO196" s="639"/>
      <c r="DP196" s="639"/>
      <c r="DQ196" s="639"/>
      <c r="DR196" s="639"/>
      <c r="DS196" s="639"/>
      <c r="DT196" s="639"/>
      <c r="DU196" s="639"/>
      <c r="DV196" s="639"/>
      <c r="DW196" s="639"/>
      <c r="DX196" s="639"/>
      <c r="DY196" s="639"/>
      <c r="DZ196" s="639"/>
      <c r="EA196" s="639"/>
      <c r="EB196" s="639"/>
      <c r="EC196" s="639"/>
      <c r="ED196" s="639"/>
      <c r="EE196" s="639"/>
      <c r="EF196" s="639"/>
      <c r="EG196" s="639"/>
      <c r="EH196" s="639"/>
      <c r="EI196" s="639"/>
      <c r="EJ196" s="639"/>
      <c r="EK196" s="639"/>
      <c r="EL196" s="639"/>
      <c r="EM196" s="639"/>
      <c r="EN196" s="639"/>
      <c r="EO196" s="639"/>
      <c r="EP196" s="639"/>
      <c r="EQ196" s="639"/>
      <c r="ER196" s="639"/>
      <c r="ES196" s="639"/>
      <c r="ET196" s="639"/>
      <c r="EU196" s="639"/>
      <c r="EV196" s="639"/>
      <c r="EW196" s="639"/>
      <c r="EX196" s="639"/>
      <c r="EY196" s="639"/>
      <c r="EZ196" s="639"/>
      <c r="FA196" s="639"/>
      <c r="FB196" s="639"/>
      <c r="FC196" s="639"/>
      <c r="FD196" s="639"/>
      <c r="FE196" s="639"/>
      <c r="FF196" s="639"/>
      <c r="FG196" s="639"/>
      <c r="FH196" s="639"/>
      <c r="FI196" s="639"/>
      <c r="FJ196" s="639"/>
      <c r="FK196" s="639"/>
      <c r="FL196" s="639"/>
      <c r="FM196" s="639"/>
      <c r="FN196" s="639"/>
      <c r="FO196" s="639"/>
      <c r="FP196" s="639"/>
      <c r="FQ196" s="639"/>
      <c r="FR196" s="639"/>
      <c r="FS196" s="639"/>
      <c r="FT196" s="639"/>
      <c r="FU196" s="639"/>
      <c r="FV196" s="639"/>
      <c r="FW196" s="639"/>
      <c r="FX196" s="639"/>
      <c r="FY196" s="639"/>
      <c r="FZ196" s="639"/>
      <c r="GA196" s="639"/>
      <c r="GB196" s="639"/>
      <c r="GC196" s="639"/>
      <c r="GD196" s="639"/>
      <c r="GE196" s="639"/>
      <c r="GF196" s="639"/>
      <c r="GG196" s="639"/>
      <c r="GH196" s="639"/>
      <c r="GI196" s="639"/>
      <c r="GJ196" s="639"/>
      <c r="GK196" s="639"/>
      <c r="GL196" s="639"/>
      <c r="GM196" s="639"/>
      <c r="GN196" s="639"/>
      <c r="GO196" s="639"/>
      <c r="GP196" s="639"/>
      <c r="GQ196" s="639"/>
      <c r="GR196" s="639"/>
      <c r="GS196" s="639"/>
      <c r="GT196" s="639"/>
      <c r="GU196" s="639"/>
      <c r="GV196" s="639"/>
      <c r="GW196" s="639"/>
      <c r="GX196" s="639"/>
      <c r="GY196" s="639"/>
      <c r="GZ196" s="639"/>
      <c r="HA196" s="639"/>
      <c r="HB196" s="639"/>
      <c r="HC196" s="639"/>
      <c r="HD196" s="639"/>
      <c r="HE196" s="639"/>
      <c r="HF196" s="645"/>
      <c r="HG196" s="645"/>
      <c r="HH196" s="645"/>
      <c r="HI196" s="645"/>
      <c r="HJ196" s="645"/>
      <c r="HK196" s="645"/>
      <c r="HL196" s="645"/>
      <c r="HM196" s="645"/>
      <c r="HN196" s="645"/>
      <c r="HO196" s="645"/>
      <c r="HP196" s="645"/>
      <c r="HQ196" s="645"/>
      <c r="HR196" s="645">
        <v>9.6500000000000002E-2</v>
      </c>
      <c r="HS196" s="645">
        <f t="shared" si="749"/>
        <v>647.92857142857144</v>
      </c>
      <c r="HT196" s="645">
        <f t="shared" si="750"/>
        <v>1</v>
      </c>
      <c r="HU196" s="618">
        <f t="shared" si="754"/>
        <v>2.4581757107013518</v>
      </c>
      <c r="HV196" s="618"/>
      <c r="HW196" s="618">
        <f t="shared" ref="HW196:HW259" si="762">$HW$3-(HU196*$AQ$36)</f>
        <v>32.50939049080408</v>
      </c>
      <c r="HX196" s="618">
        <f t="shared" si="755"/>
        <v>2.3383841759519552</v>
      </c>
      <c r="HY196" s="618">
        <f t="shared" si="756"/>
        <v>9.6500000000000002E-2</v>
      </c>
      <c r="HZ196" s="618"/>
      <c r="IA196" s="618"/>
      <c r="IB196" s="618">
        <f t="shared" ref="IB196:IB259" si="763">IF(AND(HX196&lt;$IB$1,HY196&lt;$IC$1,$AY$31),(HX196*1000)*IF($D$45&lt;0,-1,1),IB195)</f>
        <v>25.000350341399081</v>
      </c>
      <c r="IC196" s="618">
        <f t="shared" ref="IC196:IC259" si="764">IF(AND(HX196&lt;$IB$1,HY196&lt;$IC$1,$AY$31),HY196,IC195)</f>
        <v>1E-3</v>
      </c>
      <c r="ID196" s="618"/>
      <c r="IE196" s="618">
        <f t="shared" ref="IE196:IE259" si="765">IF(AND(HX196&lt;$IE$1,HY196&lt;$IF$1,$AY$31),(HX196*1000)*IF($H$45&lt;0,-1,1),IE195)</f>
        <v>0</v>
      </c>
      <c r="IF196" s="618">
        <f t="shared" ref="IF196:IF259" si="766">IF(AND(HX196&lt;$IE$1,HY196&lt;$IF$1,$AY$31),HY196+$IF$3,IF195)</f>
        <v>40.704999999999998</v>
      </c>
      <c r="IG196" s="618"/>
      <c r="IH196" s="618">
        <f t="shared" ref="IH196:IH259" si="767">IF(AND(HX196&lt;$IH$1,HY196&lt;$II$1,$AY$31),(HX196*1000)*IF($L$45&lt;0,-1,1),IH195)</f>
        <v>0</v>
      </c>
      <c r="II196" s="618">
        <f t="shared" ref="II196:II259" si="768">IF(AND(HX196&lt;$IH$1,HY196&lt;$II$1,$AY$31),HY196+$II$3,II195)</f>
        <v>40.704999999999998</v>
      </c>
      <c r="IJ196" s="618"/>
      <c r="IK196" s="618">
        <f t="shared" ref="IK196:IK259" si="769">IF(AND(HX196&lt;$IK$1,HY196&lt;$IL$1,$AY$31),(HX196*1000)*IF($P$45&lt;0,-1,1),IK195)</f>
        <v>0</v>
      </c>
      <c r="IL196" s="618">
        <f t="shared" ref="IL196:IL259" si="770">IF(AND(HX196&lt;$IK$1,HY196&lt;$IL$1,$AY$31),HY196+$IL$3,IL195)</f>
        <v>40.704999999999998</v>
      </c>
      <c r="IM196" s="618"/>
      <c r="IN196" s="618">
        <f t="shared" ref="IN196:IN259" si="771">IF(AND(HX196&lt;$IN$1,HY196&lt;$IO$1,$AY$31),(HX196*1000)*IF($T$45&lt;0,-1,1),IN195)</f>
        <v>0</v>
      </c>
      <c r="IO196" s="618">
        <f t="shared" ref="IO196:IO259" si="772">IF(AND(HX196&lt;$IN$1,HY196&lt;$IO$1,$AY$31),HY196+$IO$3,IO195)</f>
        <v>40.704999999999998</v>
      </c>
      <c r="IP196" s="618"/>
      <c r="IQ196" s="618">
        <f t="shared" ref="IQ196:IQ259" si="773">IF(AND(HX196&lt;$IQ$1,HY196&lt;$IR$1,$AY$31),(HX196*1000)*IF($X$45&lt;0,-1,1),IQ195)</f>
        <v>0</v>
      </c>
      <c r="IR196" s="618">
        <f t="shared" ref="IR196:IR259" si="774">IF(AND(HX196&lt;$IQ$1,HY196&lt;$IR$1,$AY$31),HY196+$IR$3,IR195)</f>
        <v>40.704999999999998</v>
      </c>
      <c r="IS196" s="645"/>
      <c r="IT196" s="639"/>
      <c r="IU196" s="639"/>
      <c r="IV196" s="639"/>
      <c r="IW196" s="639"/>
      <c r="IX196" s="639"/>
      <c r="IY196" s="639"/>
      <c r="IZ196" s="639"/>
      <c r="JA196" s="639"/>
      <c r="JB196" s="639"/>
      <c r="JC196" s="639"/>
      <c r="JD196" s="639"/>
      <c r="JE196" s="639"/>
      <c r="JF196" s="639"/>
      <c r="JG196" s="639"/>
      <c r="JH196" s="639"/>
      <c r="JI196" s="639"/>
      <c r="JJ196" s="639"/>
      <c r="JK196" s="639"/>
      <c r="JL196" s="639"/>
      <c r="JM196" s="639"/>
      <c r="JN196" s="639"/>
      <c r="JO196" s="639"/>
      <c r="JP196" s="639"/>
      <c r="JQ196" s="639"/>
      <c r="JR196" s="639"/>
      <c r="JS196" s="639"/>
      <c r="JT196" s="639"/>
      <c r="JU196" s="639"/>
      <c r="JV196" s="653"/>
    </row>
    <row r="197" spans="1:282" s="612" customFormat="1">
      <c r="A197" s="611"/>
      <c r="U197" s="613"/>
      <c r="V197" s="613"/>
      <c r="AC197" s="613"/>
      <c r="AD197" s="613"/>
      <c r="AL197" s="613"/>
      <c r="AM197" s="613"/>
      <c r="AT197" s="613"/>
      <c r="AU197" s="613"/>
      <c r="AX197" s="614"/>
      <c r="CH197" s="611"/>
      <c r="CI197" s="611"/>
      <c r="CO197" s="694" t="str">
        <f t="shared" si="753"/>
        <v>S250T</v>
      </c>
      <c r="CP197" s="645"/>
      <c r="CQ197" s="618"/>
      <c r="CR197" s="618"/>
      <c r="CS197" s="618"/>
      <c r="CT197" s="626"/>
      <c r="CU197" s="626"/>
      <c r="CV197" s="626"/>
      <c r="CW197" s="641"/>
      <c r="CX197" s="641"/>
      <c r="CY197" s="624"/>
      <c r="CZ197" s="624"/>
      <c r="DA197" s="624"/>
      <c r="DB197" s="624"/>
      <c r="DC197" s="639"/>
      <c r="DD197" s="639"/>
      <c r="DE197" s="639"/>
      <c r="DF197" s="639"/>
      <c r="DG197" s="639"/>
      <c r="DH197" s="639"/>
      <c r="DI197" s="639"/>
      <c r="DJ197" s="639"/>
      <c r="DK197" s="639"/>
      <c r="DL197" s="639"/>
      <c r="DM197" s="639"/>
      <c r="DN197" s="639"/>
      <c r="DO197" s="639"/>
      <c r="DP197" s="639"/>
      <c r="DQ197" s="639"/>
      <c r="DR197" s="639"/>
      <c r="DS197" s="639"/>
      <c r="DT197" s="639"/>
      <c r="DU197" s="639"/>
      <c r="DV197" s="639"/>
      <c r="DW197" s="639"/>
      <c r="DX197" s="639"/>
      <c r="DY197" s="639"/>
      <c r="DZ197" s="639"/>
      <c r="EA197" s="639"/>
      <c r="EB197" s="639"/>
      <c r="EC197" s="639"/>
      <c r="ED197" s="639"/>
      <c r="EE197" s="639"/>
      <c r="EF197" s="639"/>
      <c r="EG197" s="639"/>
      <c r="EH197" s="639"/>
      <c r="EI197" s="639"/>
      <c r="EJ197" s="639"/>
      <c r="EK197" s="639"/>
      <c r="EL197" s="639"/>
      <c r="EM197" s="639"/>
      <c r="EN197" s="639"/>
      <c r="EO197" s="639"/>
      <c r="EP197" s="639"/>
      <c r="EQ197" s="639"/>
      <c r="ER197" s="639"/>
      <c r="ES197" s="639"/>
      <c r="ET197" s="639"/>
      <c r="EU197" s="639"/>
      <c r="EV197" s="639"/>
      <c r="EW197" s="639"/>
      <c r="EX197" s="639"/>
      <c r="EY197" s="639"/>
      <c r="EZ197" s="639"/>
      <c r="FA197" s="639"/>
      <c r="FB197" s="639"/>
      <c r="FC197" s="639"/>
      <c r="FD197" s="639"/>
      <c r="FE197" s="639"/>
      <c r="FF197" s="639"/>
      <c r="FG197" s="639"/>
      <c r="FH197" s="639"/>
      <c r="FI197" s="639"/>
      <c r="FJ197" s="639"/>
      <c r="FK197" s="639"/>
      <c r="FL197" s="639"/>
      <c r="FM197" s="639"/>
      <c r="FN197" s="639"/>
      <c r="FO197" s="639"/>
      <c r="FP197" s="639"/>
      <c r="FQ197" s="639"/>
      <c r="FR197" s="639"/>
      <c r="FS197" s="639"/>
      <c r="FT197" s="639"/>
      <c r="FU197" s="639"/>
      <c r="FV197" s="639"/>
      <c r="FW197" s="639"/>
      <c r="FX197" s="639"/>
      <c r="FY197" s="639"/>
      <c r="FZ197" s="639"/>
      <c r="GA197" s="639"/>
      <c r="GB197" s="639"/>
      <c r="GC197" s="639"/>
      <c r="GD197" s="639"/>
      <c r="GE197" s="639"/>
      <c r="GF197" s="639"/>
      <c r="GG197" s="639"/>
      <c r="GH197" s="639"/>
      <c r="GI197" s="639"/>
      <c r="GJ197" s="639"/>
      <c r="GK197" s="639"/>
      <c r="GL197" s="639"/>
      <c r="GM197" s="639"/>
      <c r="GN197" s="639"/>
      <c r="GO197" s="639"/>
      <c r="GP197" s="639"/>
      <c r="GQ197" s="639"/>
      <c r="GR197" s="639"/>
      <c r="GS197" s="639"/>
      <c r="GT197" s="639"/>
      <c r="GU197" s="639"/>
      <c r="GV197" s="639"/>
      <c r="GW197" s="639"/>
      <c r="GX197" s="639"/>
      <c r="GY197" s="639"/>
      <c r="GZ197" s="639"/>
      <c r="HA197" s="639"/>
      <c r="HB197" s="639"/>
      <c r="HC197" s="639"/>
      <c r="HD197" s="639"/>
      <c r="HE197" s="639"/>
      <c r="HF197" s="645"/>
      <c r="HG197" s="645"/>
      <c r="HH197" s="645"/>
      <c r="HI197" s="645"/>
      <c r="HJ197" s="645"/>
      <c r="HK197" s="645"/>
      <c r="HL197" s="645"/>
      <c r="HM197" s="645"/>
      <c r="HN197" s="645"/>
      <c r="HO197" s="645"/>
      <c r="HP197" s="645"/>
      <c r="HQ197" s="645"/>
      <c r="HR197" s="645">
        <v>9.7000000000000003E-2</v>
      </c>
      <c r="HS197" s="645">
        <f t="shared" si="749"/>
        <v>651.28571428571433</v>
      </c>
      <c r="HT197" s="645">
        <f t="shared" si="750"/>
        <v>1</v>
      </c>
      <c r="HU197" s="618">
        <f t="shared" si="754"/>
        <v>2.4709147546749768</v>
      </c>
      <c r="HV197" s="618"/>
      <c r="HW197" s="618">
        <f t="shared" si="762"/>
        <v>32.491301048361535</v>
      </c>
      <c r="HX197" s="618">
        <f t="shared" si="755"/>
        <v>2.3498816235301598</v>
      </c>
      <c r="HY197" s="618">
        <f t="shared" si="756"/>
        <v>9.7000000000000003E-2</v>
      </c>
      <c r="HZ197" s="618"/>
      <c r="IA197" s="618"/>
      <c r="IB197" s="618">
        <f t="shared" si="763"/>
        <v>25.000350341399081</v>
      </c>
      <c r="IC197" s="618">
        <f t="shared" si="764"/>
        <v>1E-3</v>
      </c>
      <c r="ID197" s="618"/>
      <c r="IE197" s="618">
        <f t="shared" si="765"/>
        <v>0</v>
      </c>
      <c r="IF197" s="618">
        <f t="shared" si="766"/>
        <v>40.704999999999998</v>
      </c>
      <c r="IG197" s="618"/>
      <c r="IH197" s="618">
        <f t="shared" si="767"/>
        <v>0</v>
      </c>
      <c r="II197" s="618">
        <f t="shared" si="768"/>
        <v>40.704999999999998</v>
      </c>
      <c r="IJ197" s="618"/>
      <c r="IK197" s="618">
        <f t="shared" si="769"/>
        <v>0</v>
      </c>
      <c r="IL197" s="618">
        <f t="shared" si="770"/>
        <v>40.704999999999998</v>
      </c>
      <c r="IM197" s="618"/>
      <c r="IN197" s="618">
        <f t="shared" si="771"/>
        <v>0</v>
      </c>
      <c r="IO197" s="618">
        <f t="shared" si="772"/>
        <v>40.704999999999998</v>
      </c>
      <c r="IP197" s="618"/>
      <c r="IQ197" s="618">
        <f t="shared" si="773"/>
        <v>0</v>
      </c>
      <c r="IR197" s="618">
        <f t="shared" si="774"/>
        <v>40.704999999999998</v>
      </c>
      <c r="IS197" s="645"/>
      <c r="IT197" s="639"/>
      <c r="IU197" s="639"/>
      <c r="IV197" s="639"/>
      <c r="IW197" s="639"/>
      <c r="IX197" s="639"/>
      <c r="IY197" s="639"/>
      <c r="IZ197" s="639"/>
      <c r="JA197" s="639"/>
      <c r="JB197" s="639"/>
      <c r="JC197" s="639"/>
      <c r="JD197" s="639"/>
      <c r="JE197" s="639"/>
      <c r="JF197" s="639"/>
      <c r="JG197" s="639"/>
      <c r="JH197" s="639"/>
      <c r="JI197" s="639"/>
      <c r="JJ197" s="639"/>
      <c r="JK197" s="639"/>
      <c r="JL197" s="639"/>
      <c r="JM197" s="639"/>
      <c r="JN197" s="639"/>
      <c r="JO197" s="639"/>
      <c r="JP197" s="639"/>
      <c r="JQ197" s="639"/>
      <c r="JR197" s="639"/>
      <c r="JS197" s="639"/>
      <c r="JT197" s="639"/>
      <c r="JU197" s="639"/>
      <c r="JV197" s="653"/>
    </row>
    <row r="198" spans="1:282" s="612" customFormat="1">
      <c r="A198" s="611"/>
      <c r="U198" s="613"/>
      <c r="V198" s="613"/>
      <c r="AC198" s="613"/>
      <c r="AD198" s="613"/>
      <c r="AL198" s="613"/>
      <c r="AM198" s="613"/>
      <c r="AT198" s="613"/>
      <c r="AU198" s="613"/>
      <c r="AX198" s="614"/>
      <c r="CH198" s="611"/>
      <c r="CI198" s="611"/>
      <c r="CO198" s="694" t="str">
        <f t="shared" si="753"/>
        <v>L250Q</v>
      </c>
      <c r="CP198" s="645"/>
      <c r="CQ198" s="618"/>
      <c r="CR198" s="618"/>
      <c r="CS198" s="618"/>
      <c r="CT198" s="626"/>
      <c r="CU198" s="626"/>
      <c r="CV198" s="626"/>
      <c r="CW198" s="641"/>
      <c r="CX198" s="641"/>
      <c r="CY198" s="624"/>
      <c r="CZ198" s="624"/>
      <c r="DA198" s="624"/>
      <c r="DB198" s="624"/>
      <c r="DC198" s="639"/>
      <c r="DD198" s="639"/>
      <c r="DE198" s="639"/>
      <c r="DF198" s="639"/>
      <c r="DG198" s="639"/>
      <c r="DH198" s="639"/>
      <c r="DI198" s="639"/>
      <c r="DJ198" s="639"/>
      <c r="DK198" s="639"/>
      <c r="DL198" s="639"/>
      <c r="DM198" s="639"/>
      <c r="DN198" s="639"/>
      <c r="DO198" s="639"/>
      <c r="DP198" s="639"/>
      <c r="DQ198" s="639"/>
      <c r="DR198" s="639"/>
      <c r="DS198" s="639"/>
      <c r="DT198" s="639"/>
      <c r="DU198" s="639"/>
      <c r="DV198" s="639"/>
      <c r="DW198" s="639"/>
      <c r="DX198" s="639"/>
      <c r="DY198" s="639"/>
      <c r="DZ198" s="639"/>
      <c r="EA198" s="639"/>
      <c r="EB198" s="639"/>
      <c r="EC198" s="639"/>
      <c r="ED198" s="639"/>
      <c r="EE198" s="639"/>
      <c r="EF198" s="639"/>
      <c r="EG198" s="639"/>
      <c r="EH198" s="639"/>
      <c r="EI198" s="639"/>
      <c r="EJ198" s="639"/>
      <c r="EK198" s="639"/>
      <c r="EL198" s="639"/>
      <c r="EM198" s="639"/>
      <c r="EN198" s="639"/>
      <c r="EO198" s="639"/>
      <c r="EP198" s="639"/>
      <c r="EQ198" s="639"/>
      <c r="ER198" s="639"/>
      <c r="ES198" s="639"/>
      <c r="ET198" s="639"/>
      <c r="EU198" s="639"/>
      <c r="EV198" s="639"/>
      <c r="EW198" s="639"/>
      <c r="EX198" s="639"/>
      <c r="EY198" s="639"/>
      <c r="EZ198" s="639"/>
      <c r="FA198" s="639"/>
      <c r="FB198" s="639"/>
      <c r="FC198" s="639"/>
      <c r="FD198" s="639"/>
      <c r="FE198" s="639"/>
      <c r="FF198" s="639"/>
      <c r="FG198" s="639"/>
      <c r="FH198" s="639"/>
      <c r="FI198" s="639"/>
      <c r="FJ198" s="639"/>
      <c r="FK198" s="639"/>
      <c r="FL198" s="639"/>
      <c r="FM198" s="639"/>
      <c r="FN198" s="639"/>
      <c r="FO198" s="639"/>
      <c r="FP198" s="639"/>
      <c r="FQ198" s="639"/>
      <c r="FR198" s="639"/>
      <c r="FS198" s="639"/>
      <c r="FT198" s="639"/>
      <c r="FU198" s="639"/>
      <c r="FV198" s="639"/>
      <c r="FW198" s="639"/>
      <c r="FX198" s="639"/>
      <c r="FY198" s="639"/>
      <c r="FZ198" s="639"/>
      <c r="GA198" s="639"/>
      <c r="GB198" s="639"/>
      <c r="GC198" s="639"/>
      <c r="GD198" s="639"/>
      <c r="GE198" s="639"/>
      <c r="GF198" s="639"/>
      <c r="GG198" s="639"/>
      <c r="GH198" s="639"/>
      <c r="GI198" s="639"/>
      <c r="GJ198" s="639"/>
      <c r="GK198" s="639"/>
      <c r="GL198" s="639"/>
      <c r="GM198" s="639"/>
      <c r="GN198" s="639"/>
      <c r="GO198" s="639"/>
      <c r="GP198" s="639"/>
      <c r="GQ198" s="639"/>
      <c r="GR198" s="639"/>
      <c r="GS198" s="639"/>
      <c r="GT198" s="639"/>
      <c r="GU198" s="639"/>
      <c r="GV198" s="639"/>
      <c r="GW198" s="639"/>
      <c r="GX198" s="639"/>
      <c r="GY198" s="639"/>
      <c r="GZ198" s="639"/>
      <c r="HA198" s="639"/>
      <c r="HB198" s="639"/>
      <c r="HC198" s="639"/>
      <c r="HD198" s="639"/>
      <c r="HE198" s="639"/>
      <c r="HF198" s="645"/>
      <c r="HG198" s="645"/>
      <c r="HH198" s="645"/>
      <c r="HI198" s="645"/>
      <c r="HJ198" s="645"/>
      <c r="HK198" s="645"/>
      <c r="HL198" s="645"/>
      <c r="HM198" s="645"/>
      <c r="HN198" s="645"/>
      <c r="HO198" s="645"/>
      <c r="HP198" s="645"/>
      <c r="HQ198" s="645"/>
      <c r="HR198" s="645">
        <v>9.7500000000000003E-2</v>
      </c>
      <c r="HS198" s="645">
        <f t="shared" ref="HS198:HS261" si="775">HR198/$AQ$43</f>
        <v>654.64285714285711</v>
      </c>
      <c r="HT198" s="645">
        <f t="shared" ref="HT198:HT261" si="776">1-EXP(-HS198)</f>
        <v>1</v>
      </c>
      <c r="HU198" s="618">
        <f t="shared" si="754"/>
        <v>2.4836537986486018</v>
      </c>
      <c r="HV198" s="618"/>
      <c r="HW198" s="618">
        <f t="shared" si="762"/>
        <v>32.473211605918983</v>
      </c>
      <c r="HX198" s="618">
        <f t="shared" si="755"/>
        <v>2.361372669936066</v>
      </c>
      <c r="HY198" s="618">
        <f t="shared" si="756"/>
        <v>9.7500000000000003E-2</v>
      </c>
      <c r="HZ198" s="618"/>
      <c r="IA198" s="618"/>
      <c r="IB198" s="618">
        <f t="shared" si="763"/>
        <v>25.000350341399081</v>
      </c>
      <c r="IC198" s="618">
        <f t="shared" si="764"/>
        <v>1E-3</v>
      </c>
      <c r="ID198" s="618"/>
      <c r="IE198" s="618">
        <f t="shared" si="765"/>
        <v>0</v>
      </c>
      <c r="IF198" s="618">
        <f t="shared" si="766"/>
        <v>40.704999999999998</v>
      </c>
      <c r="IG198" s="618"/>
      <c r="IH198" s="618">
        <f t="shared" si="767"/>
        <v>0</v>
      </c>
      <c r="II198" s="618">
        <f t="shared" si="768"/>
        <v>40.704999999999998</v>
      </c>
      <c r="IJ198" s="618"/>
      <c r="IK198" s="618">
        <f t="shared" si="769"/>
        <v>0</v>
      </c>
      <c r="IL198" s="618">
        <f t="shared" si="770"/>
        <v>40.704999999999998</v>
      </c>
      <c r="IM198" s="618"/>
      <c r="IN198" s="618">
        <f t="shared" si="771"/>
        <v>0</v>
      </c>
      <c r="IO198" s="618">
        <f t="shared" si="772"/>
        <v>40.704999999999998</v>
      </c>
      <c r="IP198" s="618"/>
      <c r="IQ198" s="618">
        <f t="shared" si="773"/>
        <v>0</v>
      </c>
      <c r="IR198" s="618">
        <f t="shared" si="774"/>
        <v>40.704999999999998</v>
      </c>
      <c r="IS198" s="645"/>
      <c r="IT198" s="639"/>
      <c r="IU198" s="639"/>
      <c r="IV198" s="639"/>
      <c r="IW198" s="639"/>
      <c r="IX198" s="639"/>
      <c r="IY198" s="639"/>
      <c r="IZ198" s="639"/>
      <c r="JA198" s="639"/>
      <c r="JB198" s="639"/>
      <c r="JC198" s="639"/>
      <c r="JD198" s="639"/>
      <c r="JE198" s="639"/>
      <c r="JF198" s="639"/>
      <c r="JG198" s="639"/>
      <c r="JH198" s="639"/>
      <c r="JI198" s="639"/>
      <c r="JJ198" s="639"/>
      <c r="JK198" s="639"/>
      <c r="JL198" s="639"/>
      <c r="JM198" s="639"/>
      <c r="JN198" s="639"/>
      <c r="JO198" s="639"/>
      <c r="JP198" s="639"/>
      <c r="JQ198" s="639"/>
      <c r="JR198" s="639"/>
      <c r="JS198" s="639"/>
      <c r="JT198" s="639"/>
      <c r="JU198" s="639"/>
      <c r="JV198" s="653"/>
    </row>
    <row r="199" spans="1:282" s="612" customFormat="1">
      <c r="A199" s="611"/>
      <c r="U199" s="613"/>
      <c r="V199" s="613"/>
      <c r="AC199" s="613"/>
      <c r="AD199" s="613"/>
      <c r="AL199" s="613"/>
      <c r="AM199" s="613"/>
      <c r="AT199" s="613"/>
      <c r="AU199" s="613"/>
      <c r="AX199" s="614"/>
      <c r="CH199" s="611"/>
      <c r="CI199" s="611"/>
      <c r="CO199" s="694" t="str">
        <f t="shared" si="753"/>
        <v>L250Q-1S</v>
      </c>
      <c r="CP199" s="645"/>
      <c r="CQ199" s="618"/>
      <c r="CR199" s="618"/>
      <c r="CS199" s="618"/>
      <c r="CT199" s="626"/>
      <c r="CU199" s="626"/>
      <c r="CV199" s="626"/>
      <c r="CW199" s="641"/>
      <c r="CX199" s="641"/>
      <c r="CY199" s="624"/>
      <c r="CZ199" s="624"/>
      <c r="DA199" s="624"/>
      <c r="DB199" s="624"/>
      <c r="DC199" s="639"/>
      <c r="DD199" s="639"/>
      <c r="DE199" s="639"/>
      <c r="DF199" s="639"/>
      <c r="DG199" s="639"/>
      <c r="DH199" s="639"/>
      <c r="DI199" s="639"/>
      <c r="DJ199" s="639"/>
      <c r="DK199" s="639"/>
      <c r="DL199" s="639"/>
      <c r="DM199" s="639"/>
      <c r="DN199" s="639"/>
      <c r="DO199" s="639"/>
      <c r="DP199" s="639"/>
      <c r="DQ199" s="639"/>
      <c r="DR199" s="639"/>
      <c r="DS199" s="639"/>
      <c r="DT199" s="639"/>
      <c r="DU199" s="639"/>
      <c r="DV199" s="639"/>
      <c r="DW199" s="639"/>
      <c r="DX199" s="639"/>
      <c r="DY199" s="639"/>
      <c r="DZ199" s="639"/>
      <c r="EA199" s="639"/>
      <c r="EB199" s="639"/>
      <c r="EC199" s="639"/>
      <c r="ED199" s="639"/>
      <c r="EE199" s="639"/>
      <c r="EF199" s="639"/>
      <c r="EG199" s="639"/>
      <c r="EH199" s="639"/>
      <c r="EI199" s="639"/>
      <c r="EJ199" s="639"/>
      <c r="EK199" s="639"/>
      <c r="EL199" s="639"/>
      <c r="EM199" s="639"/>
      <c r="EN199" s="639"/>
      <c r="EO199" s="639"/>
      <c r="EP199" s="639"/>
      <c r="EQ199" s="639"/>
      <c r="ER199" s="639"/>
      <c r="ES199" s="639"/>
      <c r="ET199" s="639"/>
      <c r="EU199" s="639"/>
      <c r="EV199" s="639"/>
      <c r="EW199" s="639"/>
      <c r="EX199" s="639"/>
      <c r="EY199" s="639"/>
      <c r="EZ199" s="639"/>
      <c r="FA199" s="639"/>
      <c r="FB199" s="639"/>
      <c r="FC199" s="639"/>
      <c r="FD199" s="639"/>
      <c r="FE199" s="639"/>
      <c r="FF199" s="639"/>
      <c r="FG199" s="639"/>
      <c r="FH199" s="639"/>
      <c r="FI199" s="639"/>
      <c r="FJ199" s="639"/>
      <c r="FK199" s="639"/>
      <c r="FL199" s="639"/>
      <c r="FM199" s="639"/>
      <c r="FN199" s="639"/>
      <c r="FO199" s="639"/>
      <c r="FP199" s="639"/>
      <c r="FQ199" s="639"/>
      <c r="FR199" s="639"/>
      <c r="FS199" s="639"/>
      <c r="FT199" s="639"/>
      <c r="FU199" s="639"/>
      <c r="FV199" s="639"/>
      <c r="FW199" s="639"/>
      <c r="FX199" s="639"/>
      <c r="FY199" s="639"/>
      <c r="FZ199" s="639"/>
      <c r="GA199" s="639"/>
      <c r="GB199" s="639"/>
      <c r="GC199" s="639"/>
      <c r="GD199" s="639"/>
      <c r="GE199" s="639"/>
      <c r="GF199" s="639"/>
      <c r="GG199" s="639"/>
      <c r="GH199" s="639"/>
      <c r="GI199" s="639"/>
      <c r="GJ199" s="639"/>
      <c r="GK199" s="639"/>
      <c r="GL199" s="639"/>
      <c r="GM199" s="639"/>
      <c r="GN199" s="639"/>
      <c r="GO199" s="639"/>
      <c r="GP199" s="639"/>
      <c r="GQ199" s="639"/>
      <c r="GR199" s="639"/>
      <c r="GS199" s="639"/>
      <c r="GT199" s="639"/>
      <c r="GU199" s="639"/>
      <c r="GV199" s="639"/>
      <c r="GW199" s="639"/>
      <c r="GX199" s="639"/>
      <c r="GY199" s="639"/>
      <c r="GZ199" s="639"/>
      <c r="HA199" s="639"/>
      <c r="HB199" s="639"/>
      <c r="HC199" s="639"/>
      <c r="HD199" s="639"/>
      <c r="HE199" s="639"/>
      <c r="HF199" s="645"/>
      <c r="HG199" s="645"/>
      <c r="HH199" s="645"/>
      <c r="HI199" s="645"/>
      <c r="HJ199" s="645"/>
      <c r="HK199" s="645"/>
      <c r="HL199" s="645"/>
      <c r="HM199" s="645"/>
      <c r="HN199" s="645"/>
      <c r="HO199" s="645"/>
      <c r="HP199" s="645"/>
      <c r="HQ199" s="645"/>
      <c r="HR199" s="645">
        <v>9.8000000000000004E-2</v>
      </c>
      <c r="HS199" s="645">
        <f t="shared" si="775"/>
        <v>658</v>
      </c>
      <c r="HT199" s="645">
        <f t="shared" si="776"/>
        <v>1</v>
      </c>
      <c r="HU199" s="618">
        <f t="shared" si="754"/>
        <v>2.4963928426222268</v>
      </c>
      <c r="HV199" s="618"/>
      <c r="HW199" s="618">
        <f t="shared" si="762"/>
        <v>32.455122163476439</v>
      </c>
      <c r="HX199" s="618">
        <f t="shared" si="755"/>
        <v>2.3728573151696741</v>
      </c>
      <c r="HY199" s="618">
        <f t="shared" si="756"/>
        <v>9.8000000000000004E-2</v>
      </c>
      <c r="HZ199" s="618"/>
      <c r="IA199" s="618"/>
      <c r="IB199" s="618">
        <f t="shared" si="763"/>
        <v>25.000350341399081</v>
      </c>
      <c r="IC199" s="618">
        <f t="shared" si="764"/>
        <v>1E-3</v>
      </c>
      <c r="ID199" s="618"/>
      <c r="IE199" s="618">
        <f t="shared" si="765"/>
        <v>0</v>
      </c>
      <c r="IF199" s="618">
        <f t="shared" si="766"/>
        <v>40.704999999999998</v>
      </c>
      <c r="IG199" s="618"/>
      <c r="IH199" s="618">
        <f t="shared" si="767"/>
        <v>0</v>
      </c>
      <c r="II199" s="618">
        <f t="shared" si="768"/>
        <v>40.704999999999998</v>
      </c>
      <c r="IJ199" s="618"/>
      <c r="IK199" s="618">
        <f t="shared" si="769"/>
        <v>0</v>
      </c>
      <c r="IL199" s="618">
        <f t="shared" si="770"/>
        <v>40.704999999999998</v>
      </c>
      <c r="IM199" s="618"/>
      <c r="IN199" s="618">
        <f t="shared" si="771"/>
        <v>0</v>
      </c>
      <c r="IO199" s="618">
        <f t="shared" si="772"/>
        <v>40.704999999999998</v>
      </c>
      <c r="IP199" s="618"/>
      <c r="IQ199" s="618">
        <f t="shared" si="773"/>
        <v>0</v>
      </c>
      <c r="IR199" s="618">
        <f t="shared" si="774"/>
        <v>40.704999999999998</v>
      </c>
      <c r="IS199" s="645"/>
      <c r="IT199" s="639"/>
      <c r="IU199" s="639"/>
      <c r="IV199" s="639"/>
      <c r="IW199" s="639"/>
      <c r="IX199" s="639"/>
      <c r="IY199" s="639"/>
      <c r="IZ199" s="639"/>
      <c r="JA199" s="639"/>
      <c r="JB199" s="639"/>
      <c r="JC199" s="639"/>
      <c r="JD199" s="639"/>
      <c r="JE199" s="639"/>
      <c r="JF199" s="639"/>
      <c r="JG199" s="639"/>
      <c r="JH199" s="639"/>
      <c r="JI199" s="639"/>
      <c r="JJ199" s="639"/>
      <c r="JK199" s="639"/>
      <c r="JL199" s="639"/>
      <c r="JM199" s="639"/>
      <c r="JN199" s="639"/>
      <c r="JO199" s="639"/>
      <c r="JP199" s="639"/>
      <c r="JQ199" s="639"/>
      <c r="JR199" s="639"/>
      <c r="JS199" s="639"/>
      <c r="JT199" s="639"/>
      <c r="JU199" s="639"/>
      <c r="JV199" s="653"/>
    </row>
    <row r="200" spans="1:282" s="612" customFormat="1">
      <c r="A200" s="611"/>
      <c r="U200" s="613"/>
      <c r="V200" s="613"/>
      <c r="AC200" s="613"/>
      <c r="AD200" s="613"/>
      <c r="AL200" s="613"/>
      <c r="AM200" s="613"/>
      <c r="AT200" s="613"/>
      <c r="AU200" s="613"/>
      <c r="AX200" s="614"/>
      <c r="CH200" s="611"/>
      <c r="CI200" s="611"/>
      <c r="CO200" s="694" t="str">
        <f t="shared" si="753"/>
        <v>L250Q-2S</v>
      </c>
      <c r="CP200" s="645"/>
      <c r="CQ200" s="618"/>
      <c r="CR200" s="618"/>
      <c r="CS200" s="618"/>
      <c r="CT200" s="626"/>
      <c r="CU200" s="626"/>
      <c r="CV200" s="626"/>
      <c r="CW200" s="641"/>
      <c r="CX200" s="641"/>
      <c r="CY200" s="624"/>
      <c r="CZ200" s="624"/>
      <c r="DA200" s="624"/>
      <c r="DB200" s="624"/>
      <c r="DC200" s="639"/>
      <c r="DD200" s="639"/>
      <c r="DE200" s="639"/>
      <c r="DF200" s="639"/>
      <c r="DG200" s="639"/>
      <c r="DH200" s="639"/>
      <c r="DI200" s="639"/>
      <c r="DJ200" s="639"/>
      <c r="DK200" s="639"/>
      <c r="DL200" s="639"/>
      <c r="DM200" s="639"/>
      <c r="DN200" s="639"/>
      <c r="DO200" s="639"/>
      <c r="DP200" s="639"/>
      <c r="DQ200" s="639"/>
      <c r="DR200" s="639"/>
      <c r="DS200" s="639"/>
      <c r="DT200" s="639"/>
      <c r="DU200" s="639"/>
      <c r="DV200" s="639"/>
      <c r="DW200" s="639"/>
      <c r="DX200" s="639"/>
      <c r="DY200" s="639"/>
      <c r="DZ200" s="639"/>
      <c r="EA200" s="639"/>
      <c r="EB200" s="639"/>
      <c r="EC200" s="639"/>
      <c r="ED200" s="639"/>
      <c r="EE200" s="639"/>
      <c r="EF200" s="639"/>
      <c r="EG200" s="639"/>
      <c r="EH200" s="639"/>
      <c r="EI200" s="639"/>
      <c r="EJ200" s="639"/>
      <c r="EK200" s="639"/>
      <c r="EL200" s="639"/>
      <c r="EM200" s="639"/>
      <c r="EN200" s="639"/>
      <c r="EO200" s="639"/>
      <c r="EP200" s="639"/>
      <c r="EQ200" s="639"/>
      <c r="ER200" s="639"/>
      <c r="ES200" s="639"/>
      <c r="ET200" s="639"/>
      <c r="EU200" s="639"/>
      <c r="EV200" s="639"/>
      <c r="EW200" s="639"/>
      <c r="EX200" s="639"/>
      <c r="EY200" s="639"/>
      <c r="EZ200" s="639"/>
      <c r="FA200" s="639"/>
      <c r="FB200" s="639"/>
      <c r="FC200" s="639"/>
      <c r="FD200" s="639"/>
      <c r="FE200" s="639"/>
      <c r="FF200" s="639"/>
      <c r="FG200" s="639"/>
      <c r="FH200" s="639"/>
      <c r="FI200" s="639"/>
      <c r="FJ200" s="639"/>
      <c r="FK200" s="639"/>
      <c r="FL200" s="639"/>
      <c r="FM200" s="639"/>
      <c r="FN200" s="639"/>
      <c r="FO200" s="639"/>
      <c r="FP200" s="639"/>
      <c r="FQ200" s="639"/>
      <c r="FR200" s="639"/>
      <c r="FS200" s="639"/>
      <c r="FT200" s="639"/>
      <c r="FU200" s="639"/>
      <c r="FV200" s="639"/>
      <c r="FW200" s="639"/>
      <c r="FX200" s="639"/>
      <c r="FY200" s="639"/>
      <c r="FZ200" s="639"/>
      <c r="GA200" s="639"/>
      <c r="GB200" s="639"/>
      <c r="GC200" s="639"/>
      <c r="GD200" s="639"/>
      <c r="GE200" s="639"/>
      <c r="GF200" s="639"/>
      <c r="GG200" s="639"/>
      <c r="GH200" s="639"/>
      <c r="GI200" s="639"/>
      <c r="GJ200" s="639"/>
      <c r="GK200" s="639"/>
      <c r="GL200" s="639"/>
      <c r="GM200" s="639"/>
      <c r="GN200" s="639"/>
      <c r="GO200" s="639"/>
      <c r="GP200" s="639"/>
      <c r="GQ200" s="639"/>
      <c r="GR200" s="639"/>
      <c r="GS200" s="639"/>
      <c r="GT200" s="639"/>
      <c r="GU200" s="639"/>
      <c r="GV200" s="639"/>
      <c r="GW200" s="639"/>
      <c r="GX200" s="639"/>
      <c r="GY200" s="639"/>
      <c r="GZ200" s="639"/>
      <c r="HA200" s="639"/>
      <c r="HB200" s="639"/>
      <c r="HC200" s="639"/>
      <c r="HD200" s="639"/>
      <c r="HE200" s="639"/>
      <c r="HF200" s="645"/>
      <c r="HG200" s="645"/>
      <c r="HH200" s="645"/>
      <c r="HI200" s="645"/>
      <c r="HJ200" s="645"/>
      <c r="HK200" s="645"/>
      <c r="HL200" s="645"/>
      <c r="HM200" s="645"/>
      <c r="HN200" s="645"/>
      <c r="HO200" s="645"/>
      <c r="HP200" s="645"/>
      <c r="HQ200" s="645"/>
      <c r="HR200" s="645">
        <v>9.8500000000000004E-2</v>
      </c>
      <c r="HS200" s="645">
        <f t="shared" si="775"/>
        <v>661.35714285714289</v>
      </c>
      <c r="HT200" s="645">
        <f t="shared" si="776"/>
        <v>1</v>
      </c>
      <c r="HU200" s="618">
        <f t="shared" si="754"/>
        <v>2.5091318865958518</v>
      </c>
      <c r="HV200" s="618"/>
      <c r="HW200" s="618">
        <f t="shared" si="762"/>
        <v>32.437032721033887</v>
      </c>
      <c r="HX200" s="618">
        <f t="shared" si="755"/>
        <v>2.3843355592309843</v>
      </c>
      <c r="HY200" s="618">
        <f t="shared" si="756"/>
        <v>9.8500000000000004E-2</v>
      </c>
      <c r="HZ200" s="618"/>
      <c r="IA200" s="618"/>
      <c r="IB200" s="618">
        <f t="shared" si="763"/>
        <v>25.000350341399081</v>
      </c>
      <c r="IC200" s="618">
        <f t="shared" si="764"/>
        <v>1E-3</v>
      </c>
      <c r="ID200" s="618"/>
      <c r="IE200" s="618">
        <f t="shared" si="765"/>
        <v>0</v>
      </c>
      <c r="IF200" s="618">
        <f t="shared" si="766"/>
        <v>40.704999999999998</v>
      </c>
      <c r="IG200" s="618"/>
      <c r="IH200" s="618">
        <f t="shared" si="767"/>
        <v>0</v>
      </c>
      <c r="II200" s="618">
        <f t="shared" si="768"/>
        <v>40.704999999999998</v>
      </c>
      <c r="IJ200" s="618"/>
      <c r="IK200" s="618">
        <f t="shared" si="769"/>
        <v>0</v>
      </c>
      <c r="IL200" s="618">
        <f t="shared" si="770"/>
        <v>40.704999999999998</v>
      </c>
      <c r="IM200" s="618"/>
      <c r="IN200" s="618">
        <f t="shared" si="771"/>
        <v>0</v>
      </c>
      <c r="IO200" s="618">
        <f t="shared" si="772"/>
        <v>40.704999999999998</v>
      </c>
      <c r="IP200" s="618"/>
      <c r="IQ200" s="618">
        <f t="shared" si="773"/>
        <v>0</v>
      </c>
      <c r="IR200" s="618">
        <f t="shared" si="774"/>
        <v>40.704999999999998</v>
      </c>
      <c r="IS200" s="645"/>
      <c r="IT200" s="639"/>
      <c r="IU200" s="639"/>
      <c r="IV200" s="639"/>
      <c r="IW200" s="639"/>
      <c r="IX200" s="639"/>
      <c r="IY200" s="639"/>
      <c r="IZ200" s="639"/>
      <c r="JA200" s="639"/>
      <c r="JB200" s="639"/>
      <c r="JC200" s="639"/>
      <c r="JD200" s="639"/>
      <c r="JE200" s="639"/>
      <c r="JF200" s="639"/>
      <c r="JG200" s="639"/>
      <c r="JH200" s="639"/>
      <c r="JI200" s="639"/>
      <c r="JJ200" s="639"/>
      <c r="JK200" s="639"/>
      <c r="JL200" s="639"/>
      <c r="JM200" s="639"/>
      <c r="JN200" s="639"/>
      <c r="JO200" s="639"/>
      <c r="JP200" s="639"/>
      <c r="JQ200" s="639"/>
      <c r="JR200" s="639"/>
      <c r="JS200" s="639"/>
      <c r="JT200" s="639"/>
      <c r="JU200" s="639"/>
      <c r="JV200" s="653"/>
    </row>
    <row r="201" spans="1:282" s="612" customFormat="1">
      <c r="A201" s="611"/>
      <c r="U201" s="613"/>
      <c r="V201" s="613"/>
      <c r="AC201" s="613"/>
      <c r="AD201" s="613"/>
      <c r="AL201" s="613"/>
      <c r="AM201" s="613"/>
      <c r="AT201" s="613"/>
      <c r="AU201" s="613"/>
      <c r="AX201" s="614"/>
      <c r="CH201" s="611"/>
      <c r="CI201" s="611"/>
      <c r="CO201" s="694" t="str">
        <f t="shared" si="753"/>
        <v>L350QS</v>
      </c>
      <c r="CP201" s="645"/>
      <c r="CQ201" s="618"/>
      <c r="CR201" s="618"/>
      <c r="CS201" s="618"/>
      <c r="CT201" s="626"/>
      <c r="CU201" s="626"/>
      <c r="CV201" s="626"/>
      <c r="CW201" s="641"/>
      <c r="CX201" s="641"/>
      <c r="CY201" s="624"/>
      <c r="CZ201" s="624"/>
      <c r="DA201" s="624"/>
      <c r="DB201" s="624"/>
      <c r="DC201" s="639"/>
      <c r="DD201" s="639"/>
      <c r="DE201" s="639"/>
      <c r="DF201" s="639"/>
      <c r="DG201" s="639"/>
      <c r="DH201" s="639"/>
      <c r="DI201" s="639"/>
      <c r="DJ201" s="639"/>
      <c r="DK201" s="639"/>
      <c r="DL201" s="639"/>
      <c r="DM201" s="639"/>
      <c r="DN201" s="639"/>
      <c r="DO201" s="639"/>
      <c r="DP201" s="639"/>
      <c r="DQ201" s="639"/>
      <c r="DR201" s="639"/>
      <c r="DS201" s="639"/>
      <c r="DT201" s="639"/>
      <c r="DU201" s="639"/>
      <c r="DV201" s="639"/>
      <c r="DW201" s="639"/>
      <c r="DX201" s="639"/>
      <c r="DY201" s="639"/>
      <c r="DZ201" s="639"/>
      <c r="EA201" s="639"/>
      <c r="EB201" s="639"/>
      <c r="EC201" s="639"/>
      <c r="ED201" s="639"/>
      <c r="EE201" s="639"/>
      <c r="EF201" s="639"/>
      <c r="EG201" s="639"/>
      <c r="EH201" s="639"/>
      <c r="EI201" s="639"/>
      <c r="EJ201" s="639"/>
      <c r="EK201" s="639"/>
      <c r="EL201" s="639"/>
      <c r="EM201" s="639"/>
      <c r="EN201" s="639"/>
      <c r="EO201" s="639"/>
      <c r="EP201" s="639"/>
      <c r="EQ201" s="639"/>
      <c r="ER201" s="639"/>
      <c r="ES201" s="639"/>
      <c r="ET201" s="639"/>
      <c r="EU201" s="639"/>
      <c r="EV201" s="639"/>
      <c r="EW201" s="639"/>
      <c r="EX201" s="639"/>
      <c r="EY201" s="639"/>
      <c r="EZ201" s="639"/>
      <c r="FA201" s="639"/>
      <c r="FB201" s="639"/>
      <c r="FC201" s="639"/>
      <c r="FD201" s="639"/>
      <c r="FE201" s="639"/>
      <c r="FF201" s="639"/>
      <c r="FG201" s="639"/>
      <c r="FH201" s="639"/>
      <c r="FI201" s="639"/>
      <c r="FJ201" s="639"/>
      <c r="FK201" s="639"/>
      <c r="FL201" s="639"/>
      <c r="FM201" s="639"/>
      <c r="FN201" s="639"/>
      <c r="FO201" s="639"/>
      <c r="FP201" s="639"/>
      <c r="FQ201" s="639"/>
      <c r="FR201" s="639"/>
      <c r="FS201" s="639"/>
      <c r="FT201" s="639"/>
      <c r="FU201" s="639"/>
      <c r="FV201" s="639"/>
      <c r="FW201" s="639"/>
      <c r="FX201" s="639"/>
      <c r="FY201" s="639"/>
      <c r="FZ201" s="639"/>
      <c r="GA201" s="639"/>
      <c r="GB201" s="639"/>
      <c r="GC201" s="639"/>
      <c r="GD201" s="639"/>
      <c r="GE201" s="639"/>
      <c r="GF201" s="639"/>
      <c r="GG201" s="639"/>
      <c r="GH201" s="639"/>
      <c r="GI201" s="639"/>
      <c r="GJ201" s="639"/>
      <c r="GK201" s="639"/>
      <c r="GL201" s="639"/>
      <c r="GM201" s="639"/>
      <c r="GN201" s="639"/>
      <c r="GO201" s="639"/>
      <c r="GP201" s="639"/>
      <c r="GQ201" s="639"/>
      <c r="GR201" s="639"/>
      <c r="GS201" s="639"/>
      <c r="GT201" s="639"/>
      <c r="GU201" s="639"/>
      <c r="GV201" s="639"/>
      <c r="GW201" s="639"/>
      <c r="GX201" s="639"/>
      <c r="GY201" s="639"/>
      <c r="GZ201" s="639"/>
      <c r="HA201" s="639"/>
      <c r="HB201" s="639"/>
      <c r="HC201" s="639"/>
      <c r="HD201" s="639"/>
      <c r="HE201" s="639"/>
      <c r="HF201" s="645"/>
      <c r="HG201" s="645"/>
      <c r="HH201" s="645"/>
      <c r="HI201" s="645"/>
      <c r="HJ201" s="645"/>
      <c r="HK201" s="645"/>
      <c r="HL201" s="645"/>
      <c r="HM201" s="645"/>
      <c r="HN201" s="645"/>
      <c r="HO201" s="645"/>
      <c r="HP201" s="645"/>
      <c r="HQ201" s="645"/>
      <c r="HR201" s="645">
        <v>9.9000000000000005E-2</v>
      </c>
      <c r="HS201" s="645">
        <f t="shared" si="775"/>
        <v>664.71428571428578</v>
      </c>
      <c r="HT201" s="645">
        <f t="shared" si="776"/>
        <v>1</v>
      </c>
      <c r="HU201" s="618">
        <f t="shared" si="754"/>
        <v>2.5218709305694769</v>
      </c>
      <c r="HV201" s="618"/>
      <c r="HW201" s="618">
        <f t="shared" si="762"/>
        <v>32.418943278591343</v>
      </c>
      <c r="HX201" s="618">
        <f t="shared" si="755"/>
        <v>2.395807402119996</v>
      </c>
      <c r="HY201" s="618">
        <f t="shared" si="756"/>
        <v>9.9000000000000005E-2</v>
      </c>
      <c r="HZ201" s="618"/>
      <c r="IA201" s="618"/>
      <c r="IB201" s="618">
        <f t="shared" si="763"/>
        <v>25.000350341399081</v>
      </c>
      <c r="IC201" s="618">
        <f t="shared" si="764"/>
        <v>1E-3</v>
      </c>
      <c r="ID201" s="618"/>
      <c r="IE201" s="618">
        <f t="shared" si="765"/>
        <v>0</v>
      </c>
      <c r="IF201" s="618">
        <f t="shared" si="766"/>
        <v>40.704999999999998</v>
      </c>
      <c r="IG201" s="618"/>
      <c r="IH201" s="618">
        <f t="shared" si="767"/>
        <v>0</v>
      </c>
      <c r="II201" s="618">
        <f t="shared" si="768"/>
        <v>40.704999999999998</v>
      </c>
      <c r="IJ201" s="618"/>
      <c r="IK201" s="618">
        <f t="shared" si="769"/>
        <v>0</v>
      </c>
      <c r="IL201" s="618">
        <f t="shared" si="770"/>
        <v>40.704999999999998</v>
      </c>
      <c r="IM201" s="618"/>
      <c r="IN201" s="618">
        <f t="shared" si="771"/>
        <v>0</v>
      </c>
      <c r="IO201" s="618">
        <f t="shared" si="772"/>
        <v>40.704999999999998</v>
      </c>
      <c r="IP201" s="618"/>
      <c r="IQ201" s="618">
        <f t="shared" si="773"/>
        <v>0</v>
      </c>
      <c r="IR201" s="618">
        <f t="shared" si="774"/>
        <v>40.704999999999998</v>
      </c>
      <c r="IS201" s="645"/>
      <c r="IT201" s="639"/>
      <c r="IU201" s="639"/>
      <c r="IV201" s="639"/>
      <c r="IW201" s="639"/>
      <c r="IX201" s="639"/>
      <c r="IY201" s="639"/>
      <c r="IZ201" s="639"/>
      <c r="JA201" s="639"/>
      <c r="JB201" s="639"/>
      <c r="JC201" s="639"/>
      <c r="JD201" s="639"/>
      <c r="JE201" s="639"/>
      <c r="JF201" s="639"/>
      <c r="JG201" s="639"/>
      <c r="JH201" s="639"/>
      <c r="JI201" s="639"/>
      <c r="JJ201" s="639"/>
      <c r="JK201" s="639"/>
      <c r="JL201" s="639"/>
      <c r="JM201" s="639"/>
      <c r="JN201" s="639"/>
      <c r="JO201" s="639"/>
      <c r="JP201" s="639"/>
      <c r="JQ201" s="639"/>
      <c r="JR201" s="639"/>
      <c r="JS201" s="639"/>
      <c r="JT201" s="639"/>
      <c r="JU201" s="639"/>
      <c r="JV201" s="653"/>
    </row>
    <row r="202" spans="1:282" s="612" customFormat="1">
      <c r="A202" s="611"/>
      <c r="U202" s="613"/>
      <c r="V202" s="613"/>
      <c r="AC202" s="613"/>
      <c r="AD202" s="613"/>
      <c r="AL202" s="613"/>
      <c r="AM202" s="613"/>
      <c r="AT202" s="613"/>
      <c r="AU202" s="613"/>
      <c r="AX202" s="614"/>
      <c r="CH202" s="611"/>
      <c r="CI202" s="611"/>
      <c r="CO202" s="694" t="str">
        <f t="shared" ref="CO202:CO256" si="777">CQ69</f>
        <v>S250Q 1S</v>
      </c>
      <c r="CP202" s="645"/>
      <c r="CQ202" s="618"/>
      <c r="CR202" s="618"/>
      <c r="CS202" s="618"/>
      <c r="CT202" s="626"/>
      <c r="CU202" s="626"/>
      <c r="CV202" s="626"/>
      <c r="CW202" s="641"/>
      <c r="CX202" s="641"/>
      <c r="CY202" s="624"/>
      <c r="CZ202" s="624"/>
      <c r="DA202" s="624"/>
      <c r="DB202" s="624"/>
      <c r="DC202" s="639"/>
      <c r="DD202" s="639"/>
      <c r="DE202" s="639"/>
      <c r="DF202" s="639"/>
      <c r="DG202" s="639"/>
      <c r="DH202" s="639"/>
      <c r="DI202" s="639"/>
      <c r="DJ202" s="639"/>
      <c r="DK202" s="639"/>
      <c r="DL202" s="639"/>
      <c r="DM202" s="639"/>
      <c r="DN202" s="639"/>
      <c r="DO202" s="639"/>
      <c r="DP202" s="639"/>
      <c r="DQ202" s="639"/>
      <c r="DR202" s="639"/>
      <c r="DS202" s="639"/>
      <c r="DT202" s="639"/>
      <c r="DU202" s="639"/>
      <c r="DV202" s="639"/>
      <c r="DW202" s="639"/>
      <c r="DX202" s="639"/>
      <c r="DY202" s="639"/>
      <c r="DZ202" s="639"/>
      <c r="EA202" s="639"/>
      <c r="EB202" s="639"/>
      <c r="EC202" s="639"/>
      <c r="ED202" s="639"/>
      <c r="EE202" s="639"/>
      <c r="EF202" s="639"/>
      <c r="EG202" s="639"/>
      <c r="EH202" s="639"/>
      <c r="EI202" s="639"/>
      <c r="EJ202" s="639"/>
      <c r="EK202" s="639"/>
      <c r="EL202" s="639"/>
      <c r="EM202" s="639"/>
      <c r="EN202" s="639"/>
      <c r="EO202" s="639"/>
      <c r="EP202" s="639"/>
      <c r="EQ202" s="639"/>
      <c r="ER202" s="639"/>
      <c r="ES202" s="639"/>
      <c r="ET202" s="639"/>
      <c r="EU202" s="639"/>
      <c r="EV202" s="639"/>
      <c r="EW202" s="639"/>
      <c r="EX202" s="639"/>
      <c r="EY202" s="639"/>
      <c r="EZ202" s="639"/>
      <c r="FA202" s="639"/>
      <c r="FB202" s="639"/>
      <c r="FC202" s="639"/>
      <c r="FD202" s="639"/>
      <c r="FE202" s="639"/>
      <c r="FF202" s="639"/>
      <c r="FG202" s="639"/>
      <c r="FH202" s="639"/>
      <c r="FI202" s="639"/>
      <c r="FJ202" s="639"/>
      <c r="FK202" s="639"/>
      <c r="FL202" s="639"/>
      <c r="FM202" s="639"/>
      <c r="FN202" s="639"/>
      <c r="FO202" s="639"/>
      <c r="FP202" s="639"/>
      <c r="FQ202" s="639"/>
      <c r="FR202" s="639"/>
      <c r="FS202" s="639"/>
      <c r="FT202" s="639"/>
      <c r="FU202" s="639"/>
      <c r="FV202" s="639"/>
      <c r="FW202" s="639"/>
      <c r="FX202" s="639"/>
      <c r="FY202" s="639"/>
      <c r="FZ202" s="639"/>
      <c r="GA202" s="639"/>
      <c r="GB202" s="639"/>
      <c r="GC202" s="639"/>
      <c r="GD202" s="639"/>
      <c r="GE202" s="639"/>
      <c r="GF202" s="639"/>
      <c r="GG202" s="639"/>
      <c r="GH202" s="639"/>
      <c r="GI202" s="639"/>
      <c r="GJ202" s="639"/>
      <c r="GK202" s="639"/>
      <c r="GL202" s="639"/>
      <c r="GM202" s="639"/>
      <c r="GN202" s="639"/>
      <c r="GO202" s="639"/>
      <c r="GP202" s="639"/>
      <c r="GQ202" s="639"/>
      <c r="GR202" s="639"/>
      <c r="GS202" s="639"/>
      <c r="GT202" s="639"/>
      <c r="GU202" s="639"/>
      <c r="GV202" s="639"/>
      <c r="GW202" s="639"/>
      <c r="GX202" s="639"/>
      <c r="GY202" s="639"/>
      <c r="GZ202" s="639"/>
      <c r="HA202" s="639"/>
      <c r="HB202" s="639"/>
      <c r="HC202" s="639"/>
      <c r="HD202" s="639"/>
      <c r="HE202" s="639"/>
      <c r="HF202" s="645"/>
      <c r="HG202" s="645"/>
      <c r="HH202" s="645"/>
      <c r="HI202" s="645"/>
      <c r="HJ202" s="645"/>
      <c r="HK202" s="645"/>
      <c r="HL202" s="645"/>
      <c r="HM202" s="645"/>
      <c r="HN202" s="645"/>
      <c r="HO202" s="645"/>
      <c r="HP202" s="645"/>
      <c r="HQ202" s="645"/>
      <c r="HR202" s="645">
        <v>9.9500000000000005E-2</v>
      </c>
      <c r="HS202" s="645">
        <f t="shared" si="775"/>
        <v>668.07142857142856</v>
      </c>
      <c r="HT202" s="645">
        <f t="shared" si="776"/>
        <v>1</v>
      </c>
      <c r="HU202" s="618">
        <f t="shared" si="754"/>
        <v>2.5346099745431019</v>
      </c>
      <c r="HV202" s="618"/>
      <c r="HW202" s="618">
        <f t="shared" si="762"/>
        <v>32.400853836148798</v>
      </c>
      <c r="HX202" s="618">
        <f t="shared" si="755"/>
        <v>2.4072728438367097</v>
      </c>
      <c r="HY202" s="618">
        <f t="shared" si="756"/>
        <v>9.9500000000000005E-2</v>
      </c>
      <c r="HZ202" s="618"/>
      <c r="IA202" s="618"/>
      <c r="IB202" s="618">
        <f t="shared" si="763"/>
        <v>25.000350341399081</v>
      </c>
      <c r="IC202" s="618">
        <f t="shared" si="764"/>
        <v>1E-3</v>
      </c>
      <c r="ID202" s="618"/>
      <c r="IE202" s="618">
        <f t="shared" si="765"/>
        <v>0</v>
      </c>
      <c r="IF202" s="618">
        <f t="shared" si="766"/>
        <v>40.704999999999998</v>
      </c>
      <c r="IG202" s="618"/>
      <c r="IH202" s="618">
        <f t="shared" si="767"/>
        <v>0</v>
      </c>
      <c r="II202" s="618">
        <f t="shared" si="768"/>
        <v>40.704999999999998</v>
      </c>
      <c r="IJ202" s="618"/>
      <c r="IK202" s="618">
        <f t="shared" si="769"/>
        <v>0</v>
      </c>
      <c r="IL202" s="618">
        <f t="shared" si="770"/>
        <v>40.704999999999998</v>
      </c>
      <c r="IM202" s="618"/>
      <c r="IN202" s="618">
        <f t="shared" si="771"/>
        <v>0</v>
      </c>
      <c r="IO202" s="618">
        <f t="shared" si="772"/>
        <v>40.704999999999998</v>
      </c>
      <c r="IP202" s="618"/>
      <c r="IQ202" s="618">
        <f t="shared" si="773"/>
        <v>0</v>
      </c>
      <c r="IR202" s="618">
        <f t="shared" si="774"/>
        <v>40.704999999999998</v>
      </c>
      <c r="IS202" s="645"/>
      <c r="IT202" s="639"/>
      <c r="IU202" s="639"/>
      <c r="IV202" s="639"/>
      <c r="IW202" s="639"/>
      <c r="IX202" s="639"/>
      <c r="IY202" s="639"/>
      <c r="IZ202" s="639"/>
      <c r="JA202" s="639"/>
      <c r="JB202" s="639"/>
      <c r="JC202" s="639"/>
      <c r="JD202" s="639"/>
      <c r="JE202" s="639"/>
      <c r="JF202" s="639"/>
      <c r="JG202" s="639"/>
      <c r="JH202" s="639"/>
      <c r="JI202" s="639"/>
      <c r="JJ202" s="639"/>
      <c r="JK202" s="639"/>
      <c r="JL202" s="639"/>
      <c r="JM202" s="639"/>
      <c r="JN202" s="639"/>
      <c r="JO202" s="639"/>
      <c r="JP202" s="639"/>
      <c r="JQ202" s="639"/>
      <c r="JR202" s="639"/>
      <c r="JS202" s="639"/>
      <c r="JT202" s="639"/>
      <c r="JU202" s="639"/>
      <c r="JV202" s="653"/>
    </row>
    <row r="203" spans="1:282" s="612" customFormat="1">
      <c r="A203" s="611"/>
      <c r="U203" s="613"/>
      <c r="V203" s="613"/>
      <c r="AC203" s="613"/>
      <c r="AD203" s="613"/>
      <c r="AL203" s="613"/>
      <c r="AM203" s="613"/>
      <c r="AT203" s="613"/>
      <c r="AU203" s="613"/>
      <c r="AX203" s="614"/>
      <c r="CH203" s="611"/>
      <c r="CI203" s="611"/>
      <c r="CO203" s="694" t="str">
        <f t="shared" si="777"/>
        <v>S250Q 2S</v>
      </c>
      <c r="CP203" s="645"/>
      <c r="CQ203" s="618"/>
      <c r="CR203" s="618"/>
      <c r="CS203" s="618"/>
      <c r="CT203" s="626"/>
      <c r="CU203" s="626"/>
      <c r="CV203" s="626"/>
      <c r="CW203" s="641"/>
      <c r="CX203" s="641"/>
      <c r="CY203" s="624"/>
      <c r="CZ203" s="624"/>
      <c r="DA203" s="624"/>
      <c r="DB203" s="624"/>
      <c r="DC203" s="639"/>
      <c r="DD203" s="639"/>
      <c r="DE203" s="639"/>
      <c r="DF203" s="639"/>
      <c r="DG203" s="639"/>
      <c r="DH203" s="639"/>
      <c r="DI203" s="639"/>
      <c r="DJ203" s="639"/>
      <c r="DK203" s="639"/>
      <c r="DL203" s="639"/>
      <c r="DM203" s="639"/>
      <c r="DN203" s="639"/>
      <c r="DO203" s="639"/>
      <c r="DP203" s="639"/>
      <c r="DQ203" s="639"/>
      <c r="DR203" s="639"/>
      <c r="DS203" s="639"/>
      <c r="DT203" s="639"/>
      <c r="DU203" s="639"/>
      <c r="DV203" s="639"/>
      <c r="DW203" s="639"/>
      <c r="DX203" s="639"/>
      <c r="DY203" s="639"/>
      <c r="DZ203" s="639"/>
      <c r="EA203" s="639"/>
      <c r="EB203" s="639"/>
      <c r="EC203" s="639"/>
      <c r="ED203" s="639"/>
      <c r="EE203" s="639"/>
      <c r="EF203" s="639"/>
      <c r="EG203" s="639"/>
      <c r="EH203" s="639"/>
      <c r="EI203" s="639"/>
      <c r="EJ203" s="639"/>
      <c r="EK203" s="639"/>
      <c r="EL203" s="639"/>
      <c r="EM203" s="639"/>
      <c r="EN203" s="639"/>
      <c r="EO203" s="639"/>
      <c r="EP203" s="639"/>
      <c r="EQ203" s="639"/>
      <c r="ER203" s="639"/>
      <c r="ES203" s="639"/>
      <c r="ET203" s="639"/>
      <c r="EU203" s="639"/>
      <c r="EV203" s="639"/>
      <c r="EW203" s="639"/>
      <c r="EX203" s="639"/>
      <c r="EY203" s="639"/>
      <c r="EZ203" s="639"/>
      <c r="FA203" s="639"/>
      <c r="FB203" s="639"/>
      <c r="FC203" s="639"/>
      <c r="FD203" s="639"/>
      <c r="FE203" s="639"/>
      <c r="FF203" s="639"/>
      <c r="FG203" s="639"/>
      <c r="FH203" s="639"/>
      <c r="FI203" s="639"/>
      <c r="FJ203" s="639"/>
      <c r="FK203" s="639"/>
      <c r="FL203" s="639"/>
      <c r="FM203" s="639"/>
      <c r="FN203" s="639"/>
      <c r="FO203" s="639"/>
      <c r="FP203" s="639"/>
      <c r="FQ203" s="639"/>
      <c r="FR203" s="639"/>
      <c r="FS203" s="639"/>
      <c r="FT203" s="639"/>
      <c r="FU203" s="639"/>
      <c r="FV203" s="639"/>
      <c r="FW203" s="639"/>
      <c r="FX203" s="639"/>
      <c r="FY203" s="639"/>
      <c r="FZ203" s="639"/>
      <c r="GA203" s="639"/>
      <c r="GB203" s="639"/>
      <c r="GC203" s="639"/>
      <c r="GD203" s="639"/>
      <c r="GE203" s="639"/>
      <c r="GF203" s="639"/>
      <c r="GG203" s="639"/>
      <c r="GH203" s="639"/>
      <c r="GI203" s="639"/>
      <c r="GJ203" s="639"/>
      <c r="GK203" s="639"/>
      <c r="GL203" s="639"/>
      <c r="GM203" s="639"/>
      <c r="GN203" s="639"/>
      <c r="GO203" s="639"/>
      <c r="GP203" s="639"/>
      <c r="GQ203" s="639"/>
      <c r="GR203" s="639"/>
      <c r="GS203" s="639"/>
      <c r="GT203" s="639"/>
      <c r="GU203" s="639"/>
      <c r="GV203" s="639"/>
      <c r="GW203" s="639"/>
      <c r="GX203" s="639"/>
      <c r="GY203" s="639"/>
      <c r="GZ203" s="639"/>
      <c r="HA203" s="639"/>
      <c r="HB203" s="639"/>
      <c r="HC203" s="639"/>
      <c r="HD203" s="639"/>
      <c r="HE203" s="639"/>
      <c r="HF203" s="645"/>
      <c r="HG203" s="645"/>
      <c r="HH203" s="645"/>
      <c r="HI203" s="645"/>
      <c r="HJ203" s="645"/>
      <c r="HK203" s="645"/>
      <c r="HL203" s="645"/>
      <c r="HM203" s="645"/>
      <c r="HN203" s="645"/>
      <c r="HO203" s="645"/>
      <c r="HP203" s="645"/>
      <c r="HQ203" s="645"/>
      <c r="HR203" s="645">
        <v>0.1</v>
      </c>
      <c r="HS203" s="645">
        <f t="shared" si="775"/>
        <v>671.42857142857144</v>
      </c>
      <c r="HT203" s="645">
        <f t="shared" si="776"/>
        <v>1</v>
      </c>
      <c r="HU203" s="618">
        <f t="shared" si="754"/>
        <v>2.5473490185167269</v>
      </c>
      <c r="HV203" s="618"/>
      <c r="HW203" s="618">
        <f t="shared" si="762"/>
        <v>32.382764393706246</v>
      </c>
      <c r="HX203" s="618">
        <f t="shared" si="755"/>
        <v>2.418731884381125</v>
      </c>
      <c r="HY203" s="618">
        <f t="shared" si="756"/>
        <v>0.1</v>
      </c>
      <c r="HZ203" s="618"/>
      <c r="IA203" s="618"/>
      <c r="IB203" s="618">
        <f t="shared" si="763"/>
        <v>25.000350341399081</v>
      </c>
      <c r="IC203" s="618">
        <f t="shared" si="764"/>
        <v>1E-3</v>
      </c>
      <c r="ID203" s="618"/>
      <c r="IE203" s="618">
        <f t="shared" si="765"/>
        <v>0</v>
      </c>
      <c r="IF203" s="618">
        <f t="shared" si="766"/>
        <v>40.704999999999998</v>
      </c>
      <c r="IG203" s="618"/>
      <c r="IH203" s="618">
        <f t="shared" si="767"/>
        <v>0</v>
      </c>
      <c r="II203" s="618">
        <f t="shared" si="768"/>
        <v>40.704999999999998</v>
      </c>
      <c r="IJ203" s="618"/>
      <c r="IK203" s="618">
        <f t="shared" si="769"/>
        <v>0</v>
      </c>
      <c r="IL203" s="618">
        <f t="shared" si="770"/>
        <v>40.704999999999998</v>
      </c>
      <c r="IM203" s="618"/>
      <c r="IN203" s="618">
        <f t="shared" si="771"/>
        <v>0</v>
      </c>
      <c r="IO203" s="618">
        <f t="shared" si="772"/>
        <v>40.704999999999998</v>
      </c>
      <c r="IP203" s="618"/>
      <c r="IQ203" s="618">
        <f t="shared" si="773"/>
        <v>0</v>
      </c>
      <c r="IR203" s="618">
        <f t="shared" si="774"/>
        <v>40.704999999999998</v>
      </c>
      <c r="IS203" s="645"/>
      <c r="IT203" s="639"/>
      <c r="IU203" s="639"/>
      <c r="IV203" s="639"/>
      <c r="IW203" s="639"/>
      <c r="IX203" s="639"/>
      <c r="IY203" s="639"/>
      <c r="IZ203" s="639"/>
      <c r="JA203" s="639"/>
      <c r="JB203" s="639"/>
      <c r="JC203" s="639"/>
      <c r="JD203" s="639"/>
      <c r="JE203" s="639"/>
      <c r="JF203" s="639"/>
      <c r="JG203" s="639"/>
      <c r="JH203" s="639"/>
      <c r="JI203" s="639"/>
      <c r="JJ203" s="639"/>
      <c r="JK203" s="639"/>
      <c r="JL203" s="639"/>
      <c r="JM203" s="639"/>
      <c r="JN203" s="639"/>
      <c r="JO203" s="639"/>
      <c r="JP203" s="639"/>
      <c r="JQ203" s="639"/>
      <c r="JR203" s="639"/>
      <c r="JS203" s="639"/>
      <c r="JT203" s="639"/>
      <c r="JU203" s="639"/>
      <c r="JV203" s="653"/>
    </row>
    <row r="204" spans="1:282" s="612" customFormat="1">
      <c r="A204" s="611"/>
      <c r="U204" s="613"/>
      <c r="V204" s="613"/>
      <c r="AC204" s="613"/>
      <c r="AD204" s="613"/>
      <c r="AL204" s="613"/>
      <c r="AM204" s="613"/>
      <c r="AT204" s="613"/>
      <c r="AU204" s="613"/>
      <c r="AX204" s="614"/>
      <c r="CH204" s="611"/>
      <c r="CI204" s="611"/>
      <c r="CO204" s="694" t="str">
        <f t="shared" si="777"/>
        <v>S250Q</v>
      </c>
      <c r="CP204" s="645"/>
      <c r="CQ204" s="618"/>
      <c r="CR204" s="618"/>
      <c r="CS204" s="618"/>
      <c r="CT204" s="626"/>
      <c r="CU204" s="626"/>
      <c r="CV204" s="626"/>
      <c r="CW204" s="641"/>
      <c r="CX204" s="641"/>
      <c r="CY204" s="624"/>
      <c r="CZ204" s="624"/>
      <c r="DA204" s="624"/>
      <c r="DB204" s="624"/>
      <c r="DC204" s="639"/>
      <c r="DD204" s="639"/>
      <c r="DE204" s="639"/>
      <c r="DF204" s="639"/>
      <c r="DG204" s="639"/>
      <c r="DH204" s="639"/>
      <c r="DI204" s="639"/>
      <c r="DJ204" s="639"/>
      <c r="DK204" s="639"/>
      <c r="DL204" s="639"/>
      <c r="DM204" s="639"/>
      <c r="DN204" s="639"/>
      <c r="DO204" s="639"/>
      <c r="DP204" s="639"/>
      <c r="DQ204" s="639"/>
      <c r="DR204" s="639"/>
      <c r="DS204" s="639"/>
      <c r="DT204" s="639"/>
      <c r="DU204" s="639"/>
      <c r="DV204" s="639"/>
      <c r="DW204" s="639"/>
      <c r="DX204" s="639"/>
      <c r="DY204" s="639"/>
      <c r="DZ204" s="639"/>
      <c r="EA204" s="639"/>
      <c r="EB204" s="639"/>
      <c r="EC204" s="639"/>
      <c r="ED204" s="639"/>
      <c r="EE204" s="639"/>
      <c r="EF204" s="639"/>
      <c r="EG204" s="639"/>
      <c r="EH204" s="639"/>
      <c r="EI204" s="639"/>
      <c r="EJ204" s="639"/>
      <c r="EK204" s="639"/>
      <c r="EL204" s="639"/>
      <c r="EM204" s="639"/>
      <c r="EN204" s="639"/>
      <c r="EO204" s="639"/>
      <c r="EP204" s="639"/>
      <c r="EQ204" s="639"/>
      <c r="ER204" s="639"/>
      <c r="ES204" s="639"/>
      <c r="ET204" s="639"/>
      <c r="EU204" s="639"/>
      <c r="EV204" s="639"/>
      <c r="EW204" s="639"/>
      <c r="EX204" s="639"/>
      <c r="EY204" s="639"/>
      <c r="EZ204" s="639"/>
      <c r="FA204" s="639"/>
      <c r="FB204" s="639"/>
      <c r="FC204" s="639"/>
      <c r="FD204" s="639"/>
      <c r="FE204" s="639"/>
      <c r="FF204" s="639"/>
      <c r="FG204" s="639"/>
      <c r="FH204" s="639"/>
      <c r="FI204" s="639"/>
      <c r="FJ204" s="639"/>
      <c r="FK204" s="639"/>
      <c r="FL204" s="639"/>
      <c r="FM204" s="639"/>
      <c r="FN204" s="639"/>
      <c r="FO204" s="639"/>
      <c r="FP204" s="639"/>
      <c r="FQ204" s="639"/>
      <c r="FR204" s="639"/>
      <c r="FS204" s="639"/>
      <c r="FT204" s="639"/>
      <c r="FU204" s="639"/>
      <c r="FV204" s="639"/>
      <c r="FW204" s="639"/>
      <c r="FX204" s="639"/>
      <c r="FY204" s="639"/>
      <c r="FZ204" s="639"/>
      <c r="GA204" s="639"/>
      <c r="GB204" s="639"/>
      <c r="GC204" s="639"/>
      <c r="GD204" s="639"/>
      <c r="GE204" s="639"/>
      <c r="GF204" s="639"/>
      <c r="GG204" s="639"/>
      <c r="GH204" s="639"/>
      <c r="GI204" s="639"/>
      <c r="GJ204" s="639"/>
      <c r="GK204" s="639"/>
      <c r="GL204" s="639"/>
      <c r="GM204" s="639"/>
      <c r="GN204" s="639"/>
      <c r="GO204" s="639"/>
      <c r="GP204" s="639"/>
      <c r="GQ204" s="639"/>
      <c r="GR204" s="639"/>
      <c r="GS204" s="639"/>
      <c r="GT204" s="639"/>
      <c r="GU204" s="639"/>
      <c r="GV204" s="639"/>
      <c r="GW204" s="639"/>
      <c r="GX204" s="639"/>
      <c r="GY204" s="639"/>
      <c r="GZ204" s="639"/>
      <c r="HA204" s="639"/>
      <c r="HB204" s="639"/>
      <c r="HC204" s="639"/>
      <c r="HD204" s="639"/>
      <c r="HE204" s="639"/>
      <c r="HF204" s="645"/>
      <c r="HG204" s="645"/>
      <c r="HH204" s="645"/>
      <c r="HI204" s="645"/>
      <c r="HJ204" s="645"/>
      <c r="HK204" s="645"/>
      <c r="HL204" s="645"/>
      <c r="HM204" s="645"/>
      <c r="HN204" s="645"/>
      <c r="HO204" s="645"/>
      <c r="HP204" s="645"/>
      <c r="HQ204" s="667"/>
      <c r="HR204" s="667">
        <v>0.10050000000000001</v>
      </c>
      <c r="HS204" s="667">
        <f t="shared" si="775"/>
        <v>674.78571428571433</v>
      </c>
      <c r="HT204" s="667">
        <f t="shared" si="776"/>
        <v>1</v>
      </c>
      <c r="HU204" s="618">
        <f t="shared" si="754"/>
        <v>2.5600880624903519</v>
      </c>
      <c r="HV204" s="618"/>
      <c r="HW204" s="618">
        <f t="shared" si="762"/>
        <v>32.364674951263702</v>
      </c>
      <c r="HX204" s="618">
        <f t="shared" si="755"/>
        <v>2.4301845237532422</v>
      </c>
      <c r="HY204" s="618">
        <f t="shared" si="756"/>
        <v>0.10050000000000001</v>
      </c>
      <c r="HZ204" s="618"/>
      <c r="IA204" s="618"/>
      <c r="IB204" s="618">
        <f t="shared" si="763"/>
        <v>25.000350341399081</v>
      </c>
      <c r="IC204" s="618">
        <f t="shared" si="764"/>
        <v>1E-3</v>
      </c>
      <c r="ID204" s="618"/>
      <c r="IE204" s="618">
        <f t="shared" si="765"/>
        <v>0</v>
      </c>
      <c r="IF204" s="618">
        <f t="shared" si="766"/>
        <v>40.704999999999998</v>
      </c>
      <c r="IG204" s="618"/>
      <c r="IH204" s="618">
        <f t="shared" si="767"/>
        <v>0</v>
      </c>
      <c r="II204" s="618">
        <f t="shared" si="768"/>
        <v>40.704999999999998</v>
      </c>
      <c r="IJ204" s="618"/>
      <c r="IK204" s="618">
        <f t="shared" si="769"/>
        <v>0</v>
      </c>
      <c r="IL204" s="618">
        <f t="shared" si="770"/>
        <v>40.704999999999998</v>
      </c>
      <c r="IM204" s="618"/>
      <c r="IN204" s="618">
        <f t="shared" si="771"/>
        <v>0</v>
      </c>
      <c r="IO204" s="618">
        <f t="shared" si="772"/>
        <v>40.704999999999998</v>
      </c>
      <c r="IP204" s="618"/>
      <c r="IQ204" s="618">
        <f t="shared" si="773"/>
        <v>0</v>
      </c>
      <c r="IR204" s="618">
        <f t="shared" si="774"/>
        <v>40.704999999999998</v>
      </c>
      <c r="IS204" s="667"/>
      <c r="IT204" s="639"/>
      <c r="IU204" s="639"/>
      <c r="IV204" s="639"/>
      <c r="IW204" s="639"/>
      <c r="IX204" s="639"/>
      <c r="IY204" s="639"/>
      <c r="IZ204" s="639"/>
      <c r="JA204" s="639"/>
      <c r="JB204" s="639"/>
      <c r="JC204" s="639"/>
      <c r="JD204" s="639"/>
      <c r="JE204" s="639"/>
      <c r="JF204" s="639"/>
      <c r="JG204" s="639"/>
      <c r="JH204" s="639"/>
      <c r="JI204" s="639"/>
      <c r="JJ204" s="639"/>
      <c r="JK204" s="639"/>
      <c r="JL204" s="639"/>
      <c r="JM204" s="639"/>
      <c r="JN204" s="639"/>
      <c r="JO204" s="639"/>
      <c r="JP204" s="639"/>
      <c r="JQ204" s="639"/>
      <c r="JR204" s="639"/>
      <c r="JS204" s="639"/>
      <c r="JT204" s="639"/>
      <c r="JU204" s="639"/>
      <c r="JV204" s="653"/>
    </row>
    <row r="205" spans="1:282" s="612" customFormat="1">
      <c r="A205" s="611"/>
      <c r="U205" s="613"/>
      <c r="V205" s="613"/>
      <c r="AC205" s="613"/>
      <c r="AD205" s="613"/>
      <c r="AL205" s="613"/>
      <c r="AM205" s="613"/>
      <c r="AT205" s="613"/>
      <c r="AU205" s="613"/>
      <c r="AX205" s="614"/>
      <c r="CH205" s="611"/>
      <c r="CI205" s="611"/>
      <c r="CO205" s="694" t="str">
        <f t="shared" si="777"/>
        <v>S320T 1S</v>
      </c>
      <c r="CP205" s="645"/>
      <c r="CQ205" s="618"/>
      <c r="CR205" s="618"/>
      <c r="CS205" s="618"/>
      <c r="CT205" s="626"/>
      <c r="CU205" s="626"/>
      <c r="CV205" s="626"/>
      <c r="CW205" s="641"/>
      <c r="CX205" s="641"/>
      <c r="CY205" s="624"/>
      <c r="CZ205" s="624"/>
      <c r="DA205" s="624"/>
      <c r="DB205" s="624"/>
      <c r="DC205" s="639"/>
      <c r="DD205" s="639"/>
      <c r="DE205" s="639"/>
      <c r="DF205" s="639"/>
      <c r="DG205" s="639"/>
      <c r="DH205" s="639"/>
      <c r="DI205" s="639"/>
      <c r="DJ205" s="639"/>
      <c r="DK205" s="639"/>
      <c r="DL205" s="639"/>
      <c r="DM205" s="639"/>
      <c r="DN205" s="639"/>
      <c r="DO205" s="639"/>
      <c r="DP205" s="639"/>
      <c r="DQ205" s="639"/>
      <c r="DR205" s="639"/>
      <c r="DS205" s="639"/>
      <c r="DT205" s="639"/>
      <c r="DU205" s="639"/>
      <c r="DV205" s="639"/>
      <c r="DW205" s="639"/>
      <c r="DX205" s="639"/>
      <c r="DY205" s="639"/>
      <c r="DZ205" s="639"/>
      <c r="EA205" s="639"/>
      <c r="EB205" s="639"/>
      <c r="EC205" s="639"/>
      <c r="ED205" s="639"/>
      <c r="EE205" s="639"/>
      <c r="EF205" s="639"/>
      <c r="EG205" s="639"/>
      <c r="EH205" s="639"/>
      <c r="EI205" s="639"/>
      <c r="EJ205" s="639"/>
      <c r="EK205" s="639"/>
      <c r="EL205" s="639"/>
      <c r="EM205" s="639"/>
      <c r="EN205" s="639"/>
      <c r="EO205" s="639"/>
      <c r="EP205" s="639"/>
      <c r="EQ205" s="639"/>
      <c r="ER205" s="639"/>
      <c r="ES205" s="639"/>
      <c r="ET205" s="639"/>
      <c r="EU205" s="639"/>
      <c r="EV205" s="639"/>
      <c r="EW205" s="639"/>
      <c r="EX205" s="639"/>
      <c r="EY205" s="639"/>
      <c r="EZ205" s="639"/>
      <c r="FA205" s="639"/>
      <c r="FB205" s="639"/>
      <c r="FC205" s="639"/>
      <c r="FD205" s="639"/>
      <c r="FE205" s="639"/>
      <c r="FF205" s="639"/>
      <c r="FG205" s="639"/>
      <c r="FH205" s="639"/>
      <c r="FI205" s="639"/>
      <c r="FJ205" s="639"/>
      <c r="FK205" s="639"/>
      <c r="FL205" s="639"/>
      <c r="FM205" s="639"/>
      <c r="FN205" s="639"/>
      <c r="FO205" s="639"/>
      <c r="FP205" s="639"/>
      <c r="FQ205" s="639"/>
      <c r="FR205" s="639"/>
      <c r="FS205" s="639"/>
      <c r="FT205" s="639"/>
      <c r="FU205" s="639"/>
      <c r="FV205" s="639"/>
      <c r="FW205" s="639"/>
      <c r="FX205" s="639"/>
      <c r="FY205" s="639"/>
      <c r="FZ205" s="639"/>
      <c r="GA205" s="639"/>
      <c r="GB205" s="639"/>
      <c r="GC205" s="639"/>
      <c r="GD205" s="639"/>
      <c r="GE205" s="639"/>
      <c r="GF205" s="639"/>
      <c r="GG205" s="639"/>
      <c r="GH205" s="639"/>
      <c r="GI205" s="639"/>
      <c r="GJ205" s="639"/>
      <c r="GK205" s="639"/>
      <c r="GL205" s="639"/>
      <c r="GM205" s="639"/>
      <c r="GN205" s="639"/>
      <c r="GO205" s="639"/>
      <c r="GP205" s="639"/>
      <c r="GQ205" s="639"/>
      <c r="GR205" s="639"/>
      <c r="GS205" s="639"/>
      <c r="GT205" s="639"/>
      <c r="GU205" s="639"/>
      <c r="GV205" s="639"/>
      <c r="GW205" s="639"/>
      <c r="GX205" s="639"/>
      <c r="GY205" s="639"/>
      <c r="GZ205" s="639"/>
      <c r="HA205" s="639"/>
      <c r="HB205" s="639"/>
      <c r="HC205" s="639"/>
      <c r="HD205" s="639"/>
      <c r="HE205" s="639"/>
      <c r="HF205" s="645"/>
      <c r="HG205" s="645"/>
      <c r="HH205" s="645"/>
      <c r="HI205" s="645"/>
      <c r="HJ205" s="645"/>
      <c r="HK205" s="645"/>
      <c r="HL205" s="645"/>
      <c r="HM205" s="645"/>
      <c r="HN205" s="645"/>
      <c r="HO205" s="645"/>
      <c r="HP205" s="645"/>
      <c r="HQ205" s="645"/>
      <c r="HR205" s="645">
        <v>0.10100000000000001</v>
      </c>
      <c r="HS205" s="645">
        <f t="shared" si="775"/>
        <v>678.14285714285722</v>
      </c>
      <c r="HT205" s="645">
        <f t="shared" si="776"/>
        <v>1</v>
      </c>
      <c r="HU205" s="618">
        <f t="shared" si="754"/>
        <v>2.5728271064639769</v>
      </c>
      <c r="HV205" s="618"/>
      <c r="HW205" s="618">
        <f t="shared" si="762"/>
        <v>32.34658550882115</v>
      </c>
      <c r="HX205" s="618">
        <f t="shared" si="755"/>
        <v>2.4416307619530615</v>
      </c>
      <c r="HY205" s="618">
        <f t="shared" si="756"/>
        <v>0.10100000000000001</v>
      </c>
      <c r="HZ205" s="618"/>
      <c r="IA205" s="618"/>
      <c r="IB205" s="618">
        <f t="shared" si="763"/>
        <v>25.000350341399081</v>
      </c>
      <c r="IC205" s="618">
        <f t="shared" si="764"/>
        <v>1E-3</v>
      </c>
      <c r="ID205" s="618"/>
      <c r="IE205" s="618">
        <f t="shared" si="765"/>
        <v>0</v>
      </c>
      <c r="IF205" s="618">
        <f t="shared" si="766"/>
        <v>40.704999999999998</v>
      </c>
      <c r="IG205" s="618"/>
      <c r="IH205" s="618">
        <f t="shared" si="767"/>
        <v>0</v>
      </c>
      <c r="II205" s="618">
        <f t="shared" si="768"/>
        <v>40.704999999999998</v>
      </c>
      <c r="IJ205" s="618"/>
      <c r="IK205" s="618">
        <f t="shared" si="769"/>
        <v>0</v>
      </c>
      <c r="IL205" s="618">
        <f t="shared" si="770"/>
        <v>40.704999999999998</v>
      </c>
      <c r="IM205" s="618"/>
      <c r="IN205" s="618">
        <f t="shared" si="771"/>
        <v>0</v>
      </c>
      <c r="IO205" s="618">
        <f t="shared" si="772"/>
        <v>40.704999999999998</v>
      </c>
      <c r="IP205" s="618"/>
      <c r="IQ205" s="618">
        <f t="shared" si="773"/>
        <v>0</v>
      </c>
      <c r="IR205" s="618">
        <f t="shared" si="774"/>
        <v>40.704999999999998</v>
      </c>
      <c r="IS205" s="645"/>
      <c r="IT205" s="639"/>
      <c r="IU205" s="639"/>
      <c r="IV205" s="639"/>
      <c r="IW205" s="639"/>
      <c r="IX205" s="639"/>
      <c r="IY205" s="639"/>
      <c r="IZ205" s="639"/>
      <c r="JA205" s="639"/>
      <c r="JB205" s="639"/>
      <c r="JC205" s="639"/>
      <c r="JD205" s="639"/>
      <c r="JE205" s="639"/>
      <c r="JF205" s="639"/>
      <c r="JG205" s="639"/>
      <c r="JH205" s="639"/>
      <c r="JI205" s="639"/>
      <c r="JJ205" s="639"/>
      <c r="JK205" s="639"/>
      <c r="JL205" s="639"/>
      <c r="JM205" s="639"/>
      <c r="JN205" s="639"/>
      <c r="JO205" s="639"/>
      <c r="JP205" s="639"/>
      <c r="JQ205" s="639"/>
      <c r="JR205" s="639"/>
      <c r="JS205" s="639"/>
      <c r="JT205" s="639"/>
      <c r="JU205" s="639"/>
      <c r="JV205" s="653"/>
    </row>
    <row r="206" spans="1:282" s="612" customFormat="1">
      <c r="A206" s="611"/>
      <c r="U206" s="613"/>
      <c r="V206" s="613"/>
      <c r="AC206" s="613"/>
      <c r="AD206" s="613"/>
      <c r="AL206" s="613"/>
      <c r="AM206" s="613"/>
      <c r="AT206" s="613"/>
      <c r="AU206" s="613"/>
      <c r="AX206" s="614"/>
      <c r="CH206" s="611"/>
      <c r="CI206" s="611"/>
      <c r="CO206" s="694" t="str">
        <f t="shared" si="777"/>
        <v>L320T</v>
      </c>
      <c r="CP206" s="645"/>
      <c r="CQ206" s="618"/>
      <c r="CR206" s="618"/>
      <c r="CS206" s="618"/>
      <c r="CT206" s="626"/>
      <c r="CU206" s="626"/>
      <c r="CV206" s="626"/>
      <c r="CW206" s="641"/>
      <c r="CX206" s="641"/>
      <c r="CY206" s="624"/>
      <c r="CZ206" s="624"/>
      <c r="DA206" s="624"/>
      <c r="DB206" s="624"/>
      <c r="DC206" s="639"/>
      <c r="DD206" s="639"/>
      <c r="DE206" s="639"/>
      <c r="DF206" s="639"/>
      <c r="DG206" s="639"/>
      <c r="DH206" s="639"/>
      <c r="DI206" s="639"/>
      <c r="DJ206" s="639"/>
      <c r="DK206" s="639"/>
      <c r="DL206" s="639"/>
      <c r="DM206" s="639"/>
      <c r="DN206" s="639"/>
      <c r="DO206" s="639"/>
      <c r="DP206" s="639"/>
      <c r="DQ206" s="639"/>
      <c r="DR206" s="639"/>
      <c r="DS206" s="639"/>
      <c r="DT206" s="639"/>
      <c r="DU206" s="639"/>
      <c r="DV206" s="639"/>
      <c r="DW206" s="639"/>
      <c r="DX206" s="639"/>
      <c r="DY206" s="639"/>
      <c r="DZ206" s="639"/>
      <c r="EA206" s="639"/>
      <c r="EB206" s="639"/>
      <c r="EC206" s="639"/>
      <c r="ED206" s="639"/>
      <c r="EE206" s="639"/>
      <c r="EF206" s="639"/>
      <c r="EG206" s="639"/>
      <c r="EH206" s="639"/>
      <c r="EI206" s="639"/>
      <c r="EJ206" s="639"/>
      <c r="EK206" s="639"/>
      <c r="EL206" s="639"/>
      <c r="EM206" s="639"/>
      <c r="EN206" s="639"/>
      <c r="EO206" s="639"/>
      <c r="EP206" s="639"/>
      <c r="EQ206" s="639"/>
      <c r="ER206" s="639"/>
      <c r="ES206" s="639"/>
      <c r="ET206" s="639"/>
      <c r="EU206" s="639"/>
      <c r="EV206" s="639"/>
      <c r="EW206" s="639"/>
      <c r="EX206" s="639"/>
      <c r="EY206" s="639"/>
      <c r="EZ206" s="639"/>
      <c r="FA206" s="639"/>
      <c r="FB206" s="639"/>
      <c r="FC206" s="639"/>
      <c r="FD206" s="639"/>
      <c r="FE206" s="639"/>
      <c r="FF206" s="639"/>
      <c r="FG206" s="639"/>
      <c r="FH206" s="639"/>
      <c r="FI206" s="639"/>
      <c r="FJ206" s="639"/>
      <c r="FK206" s="639"/>
      <c r="FL206" s="639"/>
      <c r="FM206" s="639"/>
      <c r="FN206" s="639"/>
      <c r="FO206" s="639"/>
      <c r="FP206" s="639"/>
      <c r="FQ206" s="639"/>
      <c r="FR206" s="639"/>
      <c r="FS206" s="639"/>
      <c r="FT206" s="639"/>
      <c r="FU206" s="639"/>
      <c r="FV206" s="639"/>
      <c r="FW206" s="639"/>
      <c r="FX206" s="639"/>
      <c r="FY206" s="639"/>
      <c r="FZ206" s="639"/>
      <c r="GA206" s="639"/>
      <c r="GB206" s="639"/>
      <c r="GC206" s="639"/>
      <c r="GD206" s="639"/>
      <c r="GE206" s="639"/>
      <c r="GF206" s="639"/>
      <c r="GG206" s="639"/>
      <c r="GH206" s="639"/>
      <c r="GI206" s="639"/>
      <c r="GJ206" s="639"/>
      <c r="GK206" s="639"/>
      <c r="GL206" s="639"/>
      <c r="GM206" s="639"/>
      <c r="GN206" s="639"/>
      <c r="GO206" s="639"/>
      <c r="GP206" s="639"/>
      <c r="GQ206" s="639"/>
      <c r="GR206" s="639"/>
      <c r="GS206" s="639"/>
      <c r="GT206" s="639"/>
      <c r="GU206" s="639"/>
      <c r="GV206" s="639"/>
      <c r="GW206" s="639"/>
      <c r="GX206" s="639"/>
      <c r="GY206" s="639"/>
      <c r="GZ206" s="639"/>
      <c r="HA206" s="639"/>
      <c r="HB206" s="639"/>
      <c r="HC206" s="639"/>
      <c r="HD206" s="639"/>
      <c r="HE206" s="639"/>
      <c r="HF206" s="645"/>
      <c r="HG206" s="645"/>
      <c r="HH206" s="645"/>
      <c r="HI206" s="645"/>
      <c r="HJ206" s="645"/>
      <c r="HK206" s="645"/>
      <c r="HL206" s="645"/>
      <c r="HM206" s="645"/>
      <c r="HN206" s="645"/>
      <c r="HO206" s="645"/>
      <c r="HP206" s="645"/>
      <c r="HQ206" s="645"/>
      <c r="HR206" s="645">
        <v>0.10150000000000001</v>
      </c>
      <c r="HS206" s="645">
        <f t="shared" si="775"/>
        <v>681.5</v>
      </c>
      <c r="HT206" s="645">
        <f t="shared" si="776"/>
        <v>1</v>
      </c>
      <c r="HU206" s="618">
        <f t="shared" si="754"/>
        <v>2.585566150437602</v>
      </c>
      <c r="HV206" s="618"/>
      <c r="HW206" s="618">
        <f t="shared" si="762"/>
        <v>32.328496066378605</v>
      </c>
      <c r="HX206" s="618">
        <f t="shared" si="755"/>
        <v>2.4530705989805823</v>
      </c>
      <c r="HY206" s="618">
        <f t="shared" si="756"/>
        <v>0.10150000000000001</v>
      </c>
      <c r="HZ206" s="618"/>
      <c r="IA206" s="618"/>
      <c r="IB206" s="618">
        <f t="shared" si="763"/>
        <v>25.000350341399081</v>
      </c>
      <c r="IC206" s="618">
        <f t="shared" si="764"/>
        <v>1E-3</v>
      </c>
      <c r="ID206" s="618"/>
      <c r="IE206" s="618">
        <f t="shared" si="765"/>
        <v>0</v>
      </c>
      <c r="IF206" s="618">
        <f t="shared" si="766"/>
        <v>40.704999999999998</v>
      </c>
      <c r="IG206" s="618"/>
      <c r="IH206" s="618">
        <f t="shared" si="767"/>
        <v>0</v>
      </c>
      <c r="II206" s="618">
        <f t="shared" si="768"/>
        <v>40.704999999999998</v>
      </c>
      <c r="IJ206" s="618"/>
      <c r="IK206" s="618">
        <f t="shared" si="769"/>
        <v>0</v>
      </c>
      <c r="IL206" s="618">
        <f t="shared" si="770"/>
        <v>40.704999999999998</v>
      </c>
      <c r="IM206" s="618"/>
      <c r="IN206" s="618">
        <f t="shared" si="771"/>
        <v>0</v>
      </c>
      <c r="IO206" s="618">
        <f t="shared" si="772"/>
        <v>40.704999999999998</v>
      </c>
      <c r="IP206" s="618"/>
      <c r="IQ206" s="618">
        <f t="shared" si="773"/>
        <v>0</v>
      </c>
      <c r="IR206" s="618">
        <f t="shared" si="774"/>
        <v>40.704999999999998</v>
      </c>
      <c r="IS206" s="645"/>
      <c r="IT206" s="639"/>
      <c r="IU206" s="639"/>
      <c r="IV206" s="639"/>
      <c r="IW206" s="639"/>
      <c r="IX206" s="639"/>
      <c r="IY206" s="639"/>
      <c r="IZ206" s="639"/>
      <c r="JA206" s="639"/>
      <c r="JB206" s="639"/>
      <c r="JC206" s="639"/>
      <c r="JD206" s="639"/>
      <c r="JE206" s="639"/>
      <c r="JF206" s="639"/>
      <c r="JG206" s="639"/>
      <c r="JH206" s="639"/>
      <c r="JI206" s="639"/>
      <c r="JJ206" s="639"/>
      <c r="JK206" s="639"/>
      <c r="JL206" s="639"/>
      <c r="JM206" s="639"/>
      <c r="JN206" s="639"/>
      <c r="JO206" s="639"/>
      <c r="JP206" s="639"/>
      <c r="JQ206" s="639"/>
      <c r="JR206" s="639"/>
      <c r="JS206" s="639"/>
      <c r="JT206" s="639"/>
      <c r="JU206" s="639"/>
      <c r="JV206" s="653"/>
    </row>
    <row r="207" spans="1:282" s="612" customFormat="1">
      <c r="A207" s="611"/>
      <c r="U207" s="613"/>
      <c r="V207" s="613"/>
      <c r="AC207" s="613"/>
      <c r="AD207" s="613"/>
      <c r="AL207" s="613"/>
      <c r="AM207" s="613"/>
      <c r="AT207" s="613"/>
      <c r="AU207" s="613"/>
      <c r="CH207" s="611"/>
      <c r="CI207" s="611"/>
      <c r="CO207" s="694" t="str">
        <f t="shared" si="777"/>
        <v>L320T-1S</v>
      </c>
      <c r="CP207" s="645"/>
      <c r="CQ207" s="618"/>
      <c r="CR207" s="618"/>
      <c r="CS207" s="618"/>
      <c r="CT207" s="626"/>
      <c r="CU207" s="626"/>
      <c r="CV207" s="626"/>
      <c r="CW207" s="641"/>
      <c r="CX207" s="641"/>
      <c r="CY207" s="624"/>
      <c r="CZ207" s="624"/>
      <c r="DA207" s="624"/>
      <c r="DB207" s="624"/>
      <c r="DC207" s="639"/>
      <c r="DD207" s="639"/>
      <c r="DE207" s="639"/>
      <c r="DF207" s="639"/>
      <c r="DG207" s="639"/>
      <c r="DH207" s="639"/>
      <c r="DI207" s="639"/>
      <c r="DJ207" s="639"/>
      <c r="DK207" s="639"/>
      <c r="DL207" s="639"/>
      <c r="DM207" s="639"/>
      <c r="DN207" s="639"/>
      <c r="DO207" s="639"/>
      <c r="DP207" s="639"/>
      <c r="DQ207" s="639"/>
      <c r="DR207" s="639"/>
      <c r="DS207" s="639"/>
      <c r="DT207" s="639"/>
      <c r="DU207" s="639"/>
      <c r="DV207" s="639"/>
      <c r="DW207" s="639"/>
      <c r="DX207" s="639"/>
      <c r="DY207" s="639"/>
      <c r="DZ207" s="639"/>
      <c r="EA207" s="639"/>
      <c r="EB207" s="639"/>
      <c r="EC207" s="639"/>
      <c r="ED207" s="639"/>
      <c r="EE207" s="639"/>
      <c r="EF207" s="639"/>
      <c r="EG207" s="639"/>
      <c r="EH207" s="639"/>
      <c r="EI207" s="639"/>
      <c r="EJ207" s="639"/>
      <c r="EK207" s="639"/>
      <c r="EL207" s="639"/>
      <c r="EM207" s="639"/>
      <c r="EN207" s="639"/>
      <c r="EO207" s="639"/>
      <c r="EP207" s="639"/>
      <c r="EQ207" s="639"/>
      <c r="ER207" s="639"/>
      <c r="ES207" s="639"/>
      <c r="ET207" s="639"/>
      <c r="EU207" s="639"/>
      <c r="EV207" s="639"/>
      <c r="EW207" s="639"/>
      <c r="EX207" s="639"/>
      <c r="EY207" s="639"/>
      <c r="EZ207" s="639"/>
      <c r="FA207" s="639"/>
      <c r="FB207" s="639"/>
      <c r="FC207" s="639"/>
      <c r="FD207" s="639"/>
      <c r="FE207" s="639"/>
      <c r="FF207" s="639"/>
      <c r="FG207" s="639"/>
      <c r="FH207" s="639"/>
      <c r="FI207" s="639"/>
      <c r="FJ207" s="639"/>
      <c r="FK207" s="639"/>
      <c r="FL207" s="639"/>
      <c r="FM207" s="639"/>
      <c r="FN207" s="639"/>
      <c r="FO207" s="639"/>
      <c r="FP207" s="639"/>
      <c r="FQ207" s="639"/>
      <c r="FR207" s="639"/>
      <c r="FS207" s="639"/>
      <c r="FT207" s="639"/>
      <c r="FU207" s="639"/>
      <c r="FV207" s="639"/>
      <c r="FW207" s="639"/>
      <c r="FX207" s="639"/>
      <c r="FY207" s="639"/>
      <c r="FZ207" s="639"/>
      <c r="GA207" s="639"/>
      <c r="GB207" s="639"/>
      <c r="GC207" s="639"/>
      <c r="GD207" s="639"/>
      <c r="GE207" s="639"/>
      <c r="GF207" s="639"/>
      <c r="GG207" s="639"/>
      <c r="GH207" s="639"/>
      <c r="GI207" s="639"/>
      <c r="GJ207" s="639"/>
      <c r="GK207" s="639"/>
      <c r="GL207" s="639"/>
      <c r="GM207" s="639"/>
      <c r="GN207" s="639"/>
      <c r="GO207" s="639"/>
      <c r="GP207" s="639"/>
      <c r="GQ207" s="639"/>
      <c r="GR207" s="639"/>
      <c r="GS207" s="639"/>
      <c r="GT207" s="639"/>
      <c r="GU207" s="639"/>
      <c r="GV207" s="639"/>
      <c r="GW207" s="639"/>
      <c r="GX207" s="639"/>
      <c r="GY207" s="639"/>
      <c r="GZ207" s="639"/>
      <c r="HA207" s="639"/>
      <c r="HB207" s="639"/>
      <c r="HC207" s="639"/>
      <c r="HD207" s="639"/>
      <c r="HE207" s="639"/>
      <c r="HF207" s="645"/>
      <c r="HG207" s="645"/>
      <c r="HH207" s="645"/>
      <c r="HI207" s="645"/>
      <c r="HJ207" s="645"/>
      <c r="HK207" s="645"/>
      <c r="HL207" s="645"/>
      <c r="HM207" s="645"/>
      <c r="HN207" s="645"/>
      <c r="HO207" s="645"/>
      <c r="HP207" s="645"/>
      <c r="HQ207" s="645"/>
      <c r="HR207" s="645">
        <v>0.10199999999999999</v>
      </c>
      <c r="HS207" s="645">
        <f t="shared" si="775"/>
        <v>684.85714285714278</v>
      </c>
      <c r="HT207" s="645">
        <f t="shared" si="776"/>
        <v>1</v>
      </c>
      <c r="HU207" s="618">
        <f t="shared" si="754"/>
        <v>2.5983051944112265</v>
      </c>
      <c r="HV207" s="618"/>
      <c r="HW207" s="618">
        <f t="shared" si="762"/>
        <v>32.310406623936061</v>
      </c>
      <c r="HX207" s="618">
        <f t="shared" si="755"/>
        <v>2.4645040348358047</v>
      </c>
      <c r="HY207" s="618">
        <f t="shared" si="756"/>
        <v>0.10199999999999999</v>
      </c>
      <c r="HZ207" s="618"/>
      <c r="IA207" s="618"/>
      <c r="IB207" s="618">
        <f t="shared" si="763"/>
        <v>25.000350341399081</v>
      </c>
      <c r="IC207" s="618">
        <f t="shared" si="764"/>
        <v>1E-3</v>
      </c>
      <c r="ID207" s="618"/>
      <c r="IE207" s="618">
        <f t="shared" si="765"/>
        <v>0</v>
      </c>
      <c r="IF207" s="618">
        <f t="shared" si="766"/>
        <v>40.704999999999998</v>
      </c>
      <c r="IG207" s="618"/>
      <c r="IH207" s="618">
        <f t="shared" si="767"/>
        <v>0</v>
      </c>
      <c r="II207" s="618">
        <f t="shared" si="768"/>
        <v>40.704999999999998</v>
      </c>
      <c r="IJ207" s="618"/>
      <c r="IK207" s="618">
        <f t="shared" si="769"/>
        <v>0</v>
      </c>
      <c r="IL207" s="618">
        <f t="shared" si="770"/>
        <v>40.704999999999998</v>
      </c>
      <c r="IM207" s="618"/>
      <c r="IN207" s="618">
        <f t="shared" si="771"/>
        <v>0</v>
      </c>
      <c r="IO207" s="618">
        <f t="shared" si="772"/>
        <v>40.704999999999998</v>
      </c>
      <c r="IP207" s="618"/>
      <c r="IQ207" s="618">
        <f t="shared" si="773"/>
        <v>0</v>
      </c>
      <c r="IR207" s="618">
        <f t="shared" si="774"/>
        <v>40.704999999999998</v>
      </c>
      <c r="IS207" s="645"/>
      <c r="IT207" s="639"/>
      <c r="IU207" s="639"/>
      <c r="IV207" s="639"/>
      <c r="IW207" s="639"/>
      <c r="IX207" s="639"/>
      <c r="IY207" s="639"/>
      <c r="IZ207" s="639"/>
      <c r="JA207" s="639"/>
      <c r="JB207" s="639"/>
      <c r="JC207" s="639"/>
      <c r="JD207" s="639"/>
      <c r="JE207" s="639"/>
      <c r="JF207" s="639"/>
      <c r="JG207" s="639"/>
      <c r="JH207" s="639"/>
      <c r="JI207" s="639"/>
      <c r="JJ207" s="639"/>
      <c r="JK207" s="639"/>
      <c r="JL207" s="639"/>
      <c r="JM207" s="639"/>
      <c r="JN207" s="639"/>
      <c r="JO207" s="639"/>
      <c r="JP207" s="639"/>
      <c r="JQ207" s="639"/>
      <c r="JR207" s="639"/>
      <c r="JS207" s="639"/>
      <c r="JT207" s="639"/>
      <c r="JU207" s="639"/>
      <c r="JV207" s="653"/>
    </row>
    <row r="208" spans="1:282" s="612" customFormat="1">
      <c r="A208" s="611"/>
      <c r="U208" s="613"/>
      <c r="V208" s="613"/>
      <c r="AC208" s="613"/>
      <c r="AD208" s="613"/>
      <c r="AL208" s="613"/>
      <c r="AM208" s="613"/>
      <c r="AT208" s="613"/>
      <c r="AU208" s="613"/>
      <c r="CH208" s="611"/>
      <c r="CI208" s="611"/>
      <c r="CO208" s="694" t="str">
        <f t="shared" si="777"/>
        <v>S320T</v>
      </c>
      <c r="CP208" s="645"/>
      <c r="CQ208" s="618"/>
      <c r="CR208" s="618"/>
      <c r="CS208" s="618"/>
      <c r="CT208" s="626"/>
      <c r="CU208" s="626"/>
      <c r="CV208" s="626"/>
      <c r="CW208" s="641"/>
      <c r="CX208" s="641"/>
      <c r="CY208" s="624"/>
      <c r="CZ208" s="624"/>
      <c r="DA208" s="624"/>
      <c r="DB208" s="624"/>
      <c r="DC208" s="639"/>
      <c r="DD208" s="639"/>
      <c r="DE208" s="639"/>
      <c r="DF208" s="639"/>
      <c r="DG208" s="639"/>
      <c r="DH208" s="639"/>
      <c r="DI208" s="639"/>
      <c r="DJ208" s="639"/>
      <c r="DK208" s="639"/>
      <c r="DL208" s="639"/>
      <c r="DM208" s="639"/>
      <c r="DN208" s="639"/>
      <c r="DO208" s="639"/>
      <c r="DP208" s="639"/>
      <c r="DQ208" s="639"/>
      <c r="DR208" s="639"/>
      <c r="DS208" s="639"/>
      <c r="DT208" s="639"/>
      <c r="DU208" s="639"/>
      <c r="DV208" s="639"/>
      <c r="DW208" s="639"/>
      <c r="DX208" s="639"/>
      <c r="DY208" s="639"/>
      <c r="DZ208" s="639"/>
      <c r="EA208" s="639"/>
      <c r="EB208" s="639"/>
      <c r="EC208" s="639"/>
      <c r="ED208" s="639"/>
      <c r="EE208" s="639"/>
      <c r="EF208" s="639"/>
      <c r="EG208" s="639"/>
      <c r="EH208" s="639"/>
      <c r="EI208" s="639"/>
      <c r="EJ208" s="639"/>
      <c r="EK208" s="639"/>
      <c r="EL208" s="639"/>
      <c r="EM208" s="639"/>
      <c r="EN208" s="639"/>
      <c r="EO208" s="639"/>
      <c r="EP208" s="639"/>
      <c r="EQ208" s="639"/>
      <c r="ER208" s="639"/>
      <c r="ES208" s="639"/>
      <c r="ET208" s="639"/>
      <c r="EU208" s="639"/>
      <c r="EV208" s="639"/>
      <c r="EW208" s="639"/>
      <c r="EX208" s="639"/>
      <c r="EY208" s="639"/>
      <c r="EZ208" s="639"/>
      <c r="FA208" s="639"/>
      <c r="FB208" s="639"/>
      <c r="FC208" s="639"/>
      <c r="FD208" s="639"/>
      <c r="FE208" s="639"/>
      <c r="FF208" s="639"/>
      <c r="FG208" s="639"/>
      <c r="FH208" s="639"/>
      <c r="FI208" s="639"/>
      <c r="FJ208" s="639"/>
      <c r="FK208" s="639"/>
      <c r="FL208" s="639"/>
      <c r="FM208" s="639"/>
      <c r="FN208" s="639"/>
      <c r="FO208" s="639"/>
      <c r="FP208" s="639"/>
      <c r="FQ208" s="639"/>
      <c r="FR208" s="639"/>
      <c r="FS208" s="639"/>
      <c r="FT208" s="639"/>
      <c r="FU208" s="639"/>
      <c r="FV208" s="639"/>
      <c r="FW208" s="639"/>
      <c r="FX208" s="639"/>
      <c r="FY208" s="639"/>
      <c r="FZ208" s="639"/>
      <c r="GA208" s="639"/>
      <c r="GB208" s="639"/>
      <c r="GC208" s="639"/>
      <c r="GD208" s="639"/>
      <c r="GE208" s="639"/>
      <c r="GF208" s="639"/>
      <c r="GG208" s="639"/>
      <c r="GH208" s="639"/>
      <c r="GI208" s="639"/>
      <c r="GJ208" s="639"/>
      <c r="GK208" s="639"/>
      <c r="GL208" s="639"/>
      <c r="GM208" s="639"/>
      <c r="GN208" s="639"/>
      <c r="GO208" s="639"/>
      <c r="GP208" s="639"/>
      <c r="GQ208" s="639"/>
      <c r="GR208" s="639"/>
      <c r="GS208" s="639"/>
      <c r="GT208" s="639"/>
      <c r="GU208" s="639"/>
      <c r="GV208" s="639"/>
      <c r="GW208" s="639"/>
      <c r="GX208" s="639"/>
      <c r="GY208" s="639"/>
      <c r="GZ208" s="639"/>
      <c r="HA208" s="639"/>
      <c r="HB208" s="639"/>
      <c r="HC208" s="639"/>
      <c r="HD208" s="639"/>
      <c r="HE208" s="639"/>
      <c r="HF208" s="645"/>
      <c r="HG208" s="645"/>
      <c r="HH208" s="645"/>
      <c r="HI208" s="645"/>
      <c r="HJ208" s="645"/>
      <c r="HK208" s="645"/>
      <c r="HL208" s="645"/>
      <c r="HM208" s="645"/>
      <c r="HN208" s="645"/>
      <c r="HO208" s="645"/>
      <c r="HP208" s="645"/>
      <c r="HQ208" s="645"/>
      <c r="HR208" s="645">
        <v>0.10249999999999999</v>
      </c>
      <c r="HS208" s="645">
        <f t="shared" si="775"/>
        <v>688.21428571428567</v>
      </c>
      <c r="HT208" s="645">
        <f t="shared" si="776"/>
        <v>1</v>
      </c>
      <c r="HU208" s="618">
        <f t="shared" si="754"/>
        <v>2.6110442383848516</v>
      </c>
      <c r="HV208" s="618"/>
      <c r="HW208" s="618">
        <f t="shared" si="762"/>
        <v>32.292317181493509</v>
      </c>
      <c r="HX208" s="618">
        <f t="shared" si="755"/>
        <v>2.4759310695187291</v>
      </c>
      <c r="HY208" s="618">
        <f t="shared" si="756"/>
        <v>0.10249999999999999</v>
      </c>
      <c r="HZ208" s="618"/>
      <c r="IA208" s="618"/>
      <c r="IB208" s="618">
        <f t="shared" si="763"/>
        <v>25.000350341399081</v>
      </c>
      <c r="IC208" s="618">
        <f t="shared" si="764"/>
        <v>1E-3</v>
      </c>
      <c r="ID208" s="618"/>
      <c r="IE208" s="618">
        <f t="shared" si="765"/>
        <v>0</v>
      </c>
      <c r="IF208" s="618">
        <f t="shared" si="766"/>
        <v>40.704999999999998</v>
      </c>
      <c r="IG208" s="618"/>
      <c r="IH208" s="618">
        <f t="shared" si="767"/>
        <v>0</v>
      </c>
      <c r="II208" s="618">
        <f t="shared" si="768"/>
        <v>40.704999999999998</v>
      </c>
      <c r="IJ208" s="618"/>
      <c r="IK208" s="618">
        <f t="shared" si="769"/>
        <v>0</v>
      </c>
      <c r="IL208" s="618">
        <f t="shared" si="770"/>
        <v>40.704999999999998</v>
      </c>
      <c r="IM208" s="618"/>
      <c r="IN208" s="618">
        <f t="shared" si="771"/>
        <v>0</v>
      </c>
      <c r="IO208" s="618">
        <f t="shared" si="772"/>
        <v>40.704999999999998</v>
      </c>
      <c r="IP208" s="618"/>
      <c r="IQ208" s="618">
        <f t="shared" si="773"/>
        <v>0</v>
      </c>
      <c r="IR208" s="618">
        <f t="shared" si="774"/>
        <v>40.704999999999998</v>
      </c>
      <c r="IS208" s="645"/>
      <c r="IT208" s="639"/>
      <c r="IU208" s="639"/>
      <c r="IV208" s="639"/>
      <c r="IW208" s="639"/>
      <c r="IX208" s="639"/>
      <c r="IY208" s="639"/>
      <c r="IZ208" s="639"/>
      <c r="JA208" s="639"/>
      <c r="JB208" s="639"/>
      <c r="JC208" s="639"/>
      <c r="JD208" s="639"/>
      <c r="JE208" s="639"/>
      <c r="JF208" s="639"/>
      <c r="JG208" s="639"/>
      <c r="JH208" s="639"/>
      <c r="JI208" s="639"/>
      <c r="JJ208" s="639"/>
      <c r="JK208" s="639"/>
      <c r="JL208" s="639"/>
      <c r="JM208" s="639"/>
      <c r="JN208" s="639"/>
      <c r="JO208" s="639"/>
      <c r="JP208" s="639"/>
      <c r="JQ208" s="639"/>
      <c r="JR208" s="639"/>
      <c r="JS208" s="639"/>
      <c r="JT208" s="639"/>
      <c r="JU208" s="639"/>
      <c r="JV208" s="653"/>
    </row>
    <row r="209" spans="1:282" s="612" customFormat="1">
      <c r="A209" s="611"/>
      <c r="U209" s="613"/>
      <c r="V209" s="613"/>
      <c r="AC209" s="613"/>
      <c r="AD209" s="613"/>
      <c r="AL209" s="613"/>
      <c r="AM209" s="613"/>
      <c r="AT209" s="613"/>
      <c r="AU209" s="613"/>
      <c r="CH209" s="611"/>
      <c r="CI209" s="611"/>
      <c r="CO209" s="694" t="str">
        <f t="shared" si="777"/>
        <v>L320H-HV</v>
      </c>
      <c r="CP209" s="645"/>
      <c r="CQ209" s="618"/>
      <c r="CR209" s="618"/>
      <c r="CS209" s="618"/>
      <c r="CT209" s="626"/>
      <c r="CU209" s="626"/>
      <c r="CV209" s="626"/>
      <c r="CW209" s="641"/>
      <c r="CX209" s="641"/>
      <c r="CY209" s="624"/>
      <c r="CZ209" s="624"/>
      <c r="DA209" s="624"/>
      <c r="DB209" s="624"/>
      <c r="DC209" s="639"/>
      <c r="DD209" s="639"/>
      <c r="DE209" s="639"/>
      <c r="DF209" s="639"/>
      <c r="DG209" s="639"/>
      <c r="DH209" s="639"/>
      <c r="DI209" s="639"/>
      <c r="DJ209" s="639"/>
      <c r="DK209" s="639"/>
      <c r="DL209" s="639"/>
      <c r="DM209" s="639"/>
      <c r="DN209" s="639"/>
      <c r="DO209" s="639"/>
      <c r="DP209" s="639"/>
      <c r="DQ209" s="639"/>
      <c r="DR209" s="639"/>
      <c r="DS209" s="639"/>
      <c r="DT209" s="639"/>
      <c r="DU209" s="639"/>
      <c r="DV209" s="639"/>
      <c r="DW209" s="639"/>
      <c r="DX209" s="639"/>
      <c r="DY209" s="639"/>
      <c r="DZ209" s="639"/>
      <c r="EA209" s="639"/>
      <c r="EB209" s="639"/>
      <c r="EC209" s="639"/>
      <c r="ED209" s="639"/>
      <c r="EE209" s="639"/>
      <c r="EF209" s="639"/>
      <c r="EG209" s="639"/>
      <c r="EH209" s="639"/>
      <c r="EI209" s="639"/>
      <c r="EJ209" s="639"/>
      <c r="EK209" s="639"/>
      <c r="EL209" s="639"/>
      <c r="EM209" s="639"/>
      <c r="EN209" s="639"/>
      <c r="EO209" s="639"/>
      <c r="EP209" s="639"/>
      <c r="EQ209" s="639"/>
      <c r="ER209" s="639"/>
      <c r="ES209" s="639"/>
      <c r="ET209" s="639"/>
      <c r="EU209" s="639"/>
      <c r="EV209" s="639"/>
      <c r="EW209" s="639"/>
      <c r="EX209" s="639"/>
      <c r="EY209" s="639"/>
      <c r="EZ209" s="639"/>
      <c r="FA209" s="639"/>
      <c r="FB209" s="639"/>
      <c r="FC209" s="639"/>
      <c r="FD209" s="639"/>
      <c r="FE209" s="639"/>
      <c r="FF209" s="639"/>
      <c r="FG209" s="639"/>
      <c r="FH209" s="639"/>
      <c r="FI209" s="639"/>
      <c r="FJ209" s="639"/>
      <c r="FK209" s="639"/>
      <c r="FL209" s="639"/>
      <c r="FM209" s="639"/>
      <c r="FN209" s="639"/>
      <c r="FO209" s="639"/>
      <c r="FP209" s="639"/>
      <c r="FQ209" s="639"/>
      <c r="FR209" s="639"/>
      <c r="FS209" s="639"/>
      <c r="FT209" s="639"/>
      <c r="FU209" s="639"/>
      <c r="FV209" s="639"/>
      <c r="FW209" s="639"/>
      <c r="FX209" s="639"/>
      <c r="FY209" s="639"/>
      <c r="FZ209" s="639"/>
      <c r="GA209" s="639"/>
      <c r="GB209" s="639"/>
      <c r="GC209" s="639"/>
      <c r="GD209" s="639"/>
      <c r="GE209" s="639"/>
      <c r="GF209" s="639"/>
      <c r="GG209" s="639"/>
      <c r="GH209" s="639"/>
      <c r="GI209" s="639"/>
      <c r="GJ209" s="639"/>
      <c r="GK209" s="639"/>
      <c r="GL209" s="639"/>
      <c r="GM209" s="639"/>
      <c r="GN209" s="639"/>
      <c r="GO209" s="639"/>
      <c r="GP209" s="639"/>
      <c r="GQ209" s="639"/>
      <c r="GR209" s="639"/>
      <c r="GS209" s="639"/>
      <c r="GT209" s="639"/>
      <c r="GU209" s="639"/>
      <c r="GV209" s="639"/>
      <c r="GW209" s="639"/>
      <c r="GX209" s="639"/>
      <c r="GY209" s="639"/>
      <c r="GZ209" s="639"/>
      <c r="HA209" s="639"/>
      <c r="HB209" s="639"/>
      <c r="HC209" s="639"/>
      <c r="HD209" s="639"/>
      <c r="HE209" s="639"/>
      <c r="HF209" s="645"/>
      <c r="HG209" s="645"/>
      <c r="HH209" s="645"/>
      <c r="HI209" s="645"/>
      <c r="HJ209" s="645"/>
      <c r="HK209" s="645"/>
      <c r="HL209" s="645"/>
      <c r="HM209" s="645"/>
      <c r="HN209" s="645"/>
      <c r="HO209" s="645"/>
      <c r="HP209" s="645"/>
      <c r="HQ209" s="645"/>
      <c r="HR209" s="645">
        <v>0.10299999999999999</v>
      </c>
      <c r="HS209" s="645">
        <f t="shared" si="775"/>
        <v>691.57142857142856</v>
      </c>
      <c r="HT209" s="645">
        <f t="shared" si="776"/>
        <v>1</v>
      </c>
      <c r="HU209" s="618">
        <f t="shared" si="754"/>
        <v>2.6237832823584766</v>
      </c>
      <c r="HV209" s="618"/>
      <c r="HW209" s="618">
        <f t="shared" si="762"/>
        <v>32.274227739050964</v>
      </c>
      <c r="HX209" s="618">
        <f t="shared" si="755"/>
        <v>2.4873517030293555</v>
      </c>
      <c r="HY209" s="618">
        <f t="shared" si="756"/>
        <v>0.10299999999999999</v>
      </c>
      <c r="HZ209" s="618"/>
      <c r="IA209" s="618"/>
      <c r="IB209" s="618">
        <f t="shared" si="763"/>
        <v>25.000350341399081</v>
      </c>
      <c r="IC209" s="618">
        <f t="shared" si="764"/>
        <v>1E-3</v>
      </c>
      <c r="ID209" s="618"/>
      <c r="IE209" s="618">
        <f t="shared" si="765"/>
        <v>0</v>
      </c>
      <c r="IF209" s="618">
        <f t="shared" si="766"/>
        <v>40.704999999999998</v>
      </c>
      <c r="IG209" s="618"/>
      <c r="IH209" s="618">
        <f t="shared" si="767"/>
        <v>0</v>
      </c>
      <c r="II209" s="618">
        <f t="shared" si="768"/>
        <v>40.704999999999998</v>
      </c>
      <c r="IJ209" s="618"/>
      <c r="IK209" s="618">
        <f t="shared" si="769"/>
        <v>0</v>
      </c>
      <c r="IL209" s="618">
        <f t="shared" si="770"/>
        <v>40.704999999999998</v>
      </c>
      <c r="IM209" s="618"/>
      <c r="IN209" s="618">
        <f t="shared" si="771"/>
        <v>0</v>
      </c>
      <c r="IO209" s="618">
        <f t="shared" si="772"/>
        <v>40.704999999999998</v>
      </c>
      <c r="IP209" s="618"/>
      <c r="IQ209" s="618">
        <f t="shared" si="773"/>
        <v>0</v>
      </c>
      <c r="IR209" s="618">
        <f t="shared" si="774"/>
        <v>40.704999999999998</v>
      </c>
      <c r="IS209" s="645"/>
      <c r="IT209" s="639"/>
      <c r="IU209" s="639"/>
      <c r="IV209" s="639"/>
      <c r="IW209" s="639"/>
      <c r="IX209" s="639"/>
      <c r="IY209" s="639"/>
      <c r="IZ209" s="639"/>
      <c r="JA209" s="639"/>
      <c r="JB209" s="639"/>
      <c r="JC209" s="639"/>
      <c r="JD209" s="639"/>
      <c r="JE209" s="639"/>
      <c r="JF209" s="639"/>
      <c r="JG209" s="639"/>
      <c r="JH209" s="639"/>
      <c r="JI209" s="639"/>
      <c r="JJ209" s="639"/>
      <c r="JK209" s="639"/>
      <c r="JL209" s="639"/>
      <c r="JM209" s="639"/>
      <c r="JN209" s="639"/>
      <c r="JO209" s="639"/>
      <c r="JP209" s="639"/>
      <c r="JQ209" s="639"/>
      <c r="JR209" s="639"/>
      <c r="JS209" s="639"/>
      <c r="JT209" s="639"/>
      <c r="JU209" s="639"/>
      <c r="JV209" s="653"/>
    </row>
    <row r="210" spans="1:282" s="612" customFormat="1">
      <c r="A210" s="611"/>
      <c r="U210" s="613"/>
      <c r="V210" s="613"/>
      <c r="AC210" s="613"/>
      <c r="AD210" s="613"/>
      <c r="AL210" s="613"/>
      <c r="AM210" s="613"/>
      <c r="AT210" s="613"/>
      <c r="AU210" s="613"/>
      <c r="CH210" s="611"/>
      <c r="CI210" s="611"/>
      <c r="CO210" s="694" t="str">
        <f t="shared" si="777"/>
        <v>S427D 1S</v>
      </c>
      <c r="CP210" s="645"/>
      <c r="CQ210" s="618"/>
      <c r="CR210" s="618"/>
      <c r="CS210" s="618"/>
      <c r="CT210" s="626"/>
      <c r="CU210" s="626"/>
      <c r="CV210" s="626"/>
      <c r="CW210" s="641"/>
      <c r="CX210" s="641"/>
      <c r="CY210" s="624"/>
      <c r="CZ210" s="624"/>
      <c r="DA210" s="624"/>
      <c r="DB210" s="624"/>
      <c r="DC210" s="639"/>
      <c r="DD210" s="639"/>
      <c r="DE210" s="639"/>
      <c r="DF210" s="639"/>
      <c r="DG210" s="639"/>
      <c r="DH210" s="639"/>
      <c r="DI210" s="639"/>
      <c r="DJ210" s="639"/>
      <c r="DK210" s="639"/>
      <c r="DL210" s="639"/>
      <c r="DM210" s="639"/>
      <c r="DN210" s="639"/>
      <c r="DO210" s="639"/>
      <c r="DP210" s="639"/>
      <c r="DQ210" s="639"/>
      <c r="DR210" s="639"/>
      <c r="DS210" s="639"/>
      <c r="DT210" s="639"/>
      <c r="DU210" s="639"/>
      <c r="DV210" s="639"/>
      <c r="DW210" s="639"/>
      <c r="DX210" s="639"/>
      <c r="DY210" s="639"/>
      <c r="DZ210" s="639"/>
      <c r="EA210" s="639"/>
      <c r="EB210" s="639"/>
      <c r="EC210" s="639"/>
      <c r="ED210" s="639"/>
      <c r="EE210" s="639"/>
      <c r="EF210" s="639"/>
      <c r="EG210" s="639"/>
      <c r="EH210" s="639"/>
      <c r="EI210" s="639"/>
      <c r="EJ210" s="639"/>
      <c r="EK210" s="639"/>
      <c r="EL210" s="639"/>
      <c r="EM210" s="639"/>
      <c r="EN210" s="639"/>
      <c r="EO210" s="639"/>
      <c r="EP210" s="639"/>
      <c r="EQ210" s="639"/>
      <c r="ER210" s="639"/>
      <c r="ES210" s="639"/>
      <c r="ET210" s="639"/>
      <c r="EU210" s="639"/>
      <c r="EV210" s="639"/>
      <c r="EW210" s="639"/>
      <c r="EX210" s="639"/>
      <c r="EY210" s="639"/>
      <c r="EZ210" s="639"/>
      <c r="FA210" s="639"/>
      <c r="FB210" s="639"/>
      <c r="FC210" s="639"/>
      <c r="FD210" s="639"/>
      <c r="FE210" s="639"/>
      <c r="FF210" s="639"/>
      <c r="FG210" s="639"/>
      <c r="FH210" s="639"/>
      <c r="FI210" s="639"/>
      <c r="FJ210" s="639"/>
      <c r="FK210" s="639"/>
      <c r="FL210" s="639"/>
      <c r="FM210" s="639"/>
      <c r="FN210" s="639"/>
      <c r="FO210" s="639"/>
      <c r="FP210" s="639"/>
      <c r="FQ210" s="639"/>
      <c r="FR210" s="639"/>
      <c r="FS210" s="639"/>
      <c r="FT210" s="639"/>
      <c r="FU210" s="639"/>
      <c r="FV210" s="639"/>
      <c r="FW210" s="639"/>
      <c r="FX210" s="639"/>
      <c r="FY210" s="639"/>
      <c r="FZ210" s="639"/>
      <c r="GA210" s="639"/>
      <c r="GB210" s="639"/>
      <c r="GC210" s="639"/>
      <c r="GD210" s="639"/>
      <c r="GE210" s="639"/>
      <c r="GF210" s="639"/>
      <c r="GG210" s="639"/>
      <c r="GH210" s="639"/>
      <c r="GI210" s="639"/>
      <c r="GJ210" s="639"/>
      <c r="GK210" s="639"/>
      <c r="GL210" s="639"/>
      <c r="GM210" s="639"/>
      <c r="GN210" s="639"/>
      <c r="GO210" s="639"/>
      <c r="GP210" s="639"/>
      <c r="GQ210" s="639"/>
      <c r="GR210" s="639"/>
      <c r="GS210" s="639"/>
      <c r="GT210" s="639"/>
      <c r="GU210" s="639"/>
      <c r="GV210" s="639"/>
      <c r="GW210" s="639"/>
      <c r="GX210" s="639"/>
      <c r="GY210" s="639"/>
      <c r="GZ210" s="639"/>
      <c r="HA210" s="639"/>
      <c r="HB210" s="639"/>
      <c r="HC210" s="639"/>
      <c r="HD210" s="639"/>
      <c r="HE210" s="639"/>
      <c r="HF210" s="645"/>
      <c r="HG210" s="645"/>
      <c r="HH210" s="645"/>
      <c r="HI210" s="645"/>
      <c r="HJ210" s="645"/>
      <c r="HK210" s="645"/>
      <c r="HL210" s="645"/>
      <c r="HM210" s="645"/>
      <c r="HN210" s="645"/>
      <c r="HO210" s="645"/>
      <c r="HP210" s="645"/>
      <c r="HQ210" s="645"/>
      <c r="HR210" s="645">
        <v>0.10349999999999999</v>
      </c>
      <c r="HS210" s="645">
        <f t="shared" si="775"/>
        <v>694.92857142857133</v>
      </c>
      <c r="HT210" s="645">
        <f t="shared" si="776"/>
        <v>1</v>
      </c>
      <c r="HU210" s="618">
        <f t="shared" si="754"/>
        <v>2.6365223263321016</v>
      </c>
      <c r="HV210" s="618"/>
      <c r="HW210" s="618">
        <f t="shared" si="762"/>
        <v>32.256138296608412</v>
      </c>
      <c r="HX210" s="618">
        <f t="shared" si="755"/>
        <v>2.4987659353676839</v>
      </c>
      <c r="HY210" s="618">
        <f t="shared" si="756"/>
        <v>0.10349999999999999</v>
      </c>
      <c r="HZ210" s="618"/>
      <c r="IA210" s="618"/>
      <c r="IB210" s="618">
        <f t="shared" si="763"/>
        <v>25.000350341399081</v>
      </c>
      <c r="IC210" s="618">
        <f t="shared" si="764"/>
        <v>1E-3</v>
      </c>
      <c r="ID210" s="618"/>
      <c r="IE210" s="618">
        <f t="shared" si="765"/>
        <v>0</v>
      </c>
      <c r="IF210" s="618">
        <f t="shared" si="766"/>
        <v>40.704999999999998</v>
      </c>
      <c r="IG210" s="618"/>
      <c r="IH210" s="618">
        <f t="shared" si="767"/>
        <v>0</v>
      </c>
      <c r="II210" s="618">
        <f t="shared" si="768"/>
        <v>40.704999999999998</v>
      </c>
      <c r="IJ210" s="618"/>
      <c r="IK210" s="618">
        <f t="shared" si="769"/>
        <v>0</v>
      </c>
      <c r="IL210" s="618">
        <f t="shared" si="770"/>
        <v>40.704999999999998</v>
      </c>
      <c r="IM210" s="618"/>
      <c r="IN210" s="618">
        <f t="shared" si="771"/>
        <v>0</v>
      </c>
      <c r="IO210" s="618">
        <f t="shared" si="772"/>
        <v>40.704999999999998</v>
      </c>
      <c r="IP210" s="618"/>
      <c r="IQ210" s="618">
        <f t="shared" si="773"/>
        <v>0</v>
      </c>
      <c r="IR210" s="618">
        <f t="shared" si="774"/>
        <v>40.704999999999998</v>
      </c>
      <c r="IS210" s="645"/>
      <c r="IT210" s="639"/>
      <c r="IU210" s="639"/>
      <c r="IV210" s="639"/>
      <c r="IW210" s="639"/>
      <c r="IX210" s="639"/>
      <c r="IY210" s="639"/>
      <c r="IZ210" s="639"/>
      <c r="JA210" s="639"/>
      <c r="JB210" s="639"/>
      <c r="JC210" s="639"/>
      <c r="JD210" s="639"/>
      <c r="JE210" s="639"/>
      <c r="JF210" s="639"/>
      <c r="JG210" s="639"/>
      <c r="JH210" s="639"/>
      <c r="JI210" s="639"/>
      <c r="JJ210" s="639"/>
      <c r="JK210" s="639"/>
      <c r="JL210" s="639"/>
      <c r="JM210" s="639"/>
      <c r="JN210" s="639"/>
      <c r="JO210" s="639"/>
      <c r="JP210" s="639"/>
      <c r="JQ210" s="639"/>
      <c r="JR210" s="639"/>
      <c r="JS210" s="639"/>
      <c r="JT210" s="639"/>
      <c r="JU210" s="639"/>
      <c r="JV210" s="653"/>
    </row>
    <row r="211" spans="1:282" s="612" customFormat="1">
      <c r="A211" s="611"/>
      <c r="U211" s="613"/>
      <c r="V211" s="613"/>
      <c r="AC211" s="613"/>
      <c r="AD211" s="613"/>
      <c r="AL211" s="613"/>
      <c r="AM211" s="613"/>
      <c r="AT211" s="613"/>
      <c r="AU211" s="613"/>
      <c r="CH211" s="611"/>
      <c r="CI211" s="611"/>
      <c r="CO211" s="694" t="str">
        <f t="shared" si="777"/>
        <v>S427D</v>
      </c>
      <c r="CP211" s="645"/>
      <c r="CQ211" s="618"/>
      <c r="CR211" s="618"/>
      <c r="CS211" s="618"/>
      <c r="CT211" s="626"/>
      <c r="CU211" s="626"/>
      <c r="CV211" s="626"/>
      <c r="CW211" s="641"/>
      <c r="CX211" s="641"/>
      <c r="CY211" s="624"/>
      <c r="CZ211" s="624"/>
      <c r="DA211" s="624"/>
      <c r="DB211" s="624"/>
      <c r="DC211" s="639"/>
      <c r="DD211" s="639"/>
      <c r="DE211" s="639"/>
      <c r="DF211" s="639"/>
      <c r="DG211" s="639"/>
      <c r="DH211" s="639"/>
      <c r="DI211" s="639"/>
      <c r="DJ211" s="639"/>
      <c r="DK211" s="639"/>
      <c r="DL211" s="639"/>
      <c r="DM211" s="639"/>
      <c r="DN211" s="639"/>
      <c r="DO211" s="639"/>
      <c r="DP211" s="639"/>
      <c r="DQ211" s="639"/>
      <c r="DR211" s="639"/>
      <c r="DS211" s="639"/>
      <c r="DT211" s="639"/>
      <c r="DU211" s="639"/>
      <c r="DV211" s="639"/>
      <c r="DW211" s="639"/>
      <c r="DX211" s="639"/>
      <c r="DY211" s="639"/>
      <c r="DZ211" s="639"/>
      <c r="EA211" s="639"/>
      <c r="EB211" s="639"/>
      <c r="EC211" s="639"/>
      <c r="ED211" s="639"/>
      <c r="EE211" s="639"/>
      <c r="EF211" s="639"/>
      <c r="EG211" s="639"/>
      <c r="EH211" s="639"/>
      <c r="EI211" s="639"/>
      <c r="EJ211" s="639"/>
      <c r="EK211" s="639"/>
      <c r="EL211" s="639"/>
      <c r="EM211" s="639"/>
      <c r="EN211" s="639"/>
      <c r="EO211" s="639"/>
      <c r="EP211" s="639"/>
      <c r="EQ211" s="639"/>
      <c r="ER211" s="639"/>
      <c r="ES211" s="639"/>
      <c r="ET211" s="639"/>
      <c r="EU211" s="639"/>
      <c r="EV211" s="639"/>
      <c r="EW211" s="639"/>
      <c r="EX211" s="639"/>
      <c r="EY211" s="639"/>
      <c r="EZ211" s="639"/>
      <c r="FA211" s="639"/>
      <c r="FB211" s="639"/>
      <c r="FC211" s="639"/>
      <c r="FD211" s="639"/>
      <c r="FE211" s="639"/>
      <c r="FF211" s="639"/>
      <c r="FG211" s="639"/>
      <c r="FH211" s="639"/>
      <c r="FI211" s="639"/>
      <c r="FJ211" s="639"/>
      <c r="FK211" s="639"/>
      <c r="FL211" s="639"/>
      <c r="FM211" s="639"/>
      <c r="FN211" s="639"/>
      <c r="FO211" s="639"/>
      <c r="FP211" s="639"/>
      <c r="FQ211" s="639"/>
      <c r="FR211" s="639"/>
      <c r="FS211" s="639"/>
      <c r="FT211" s="639"/>
      <c r="FU211" s="639"/>
      <c r="FV211" s="639"/>
      <c r="FW211" s="639"/>
      <c r="FX211" s="639"/>
      <c r="FY211" s="639"/>
      <c r="FZ211" s="639"/>
      <c r="GA211" s="639"/>
      <c r="GB211" s="639"/>
      <c r="GC211" s="639"/>
      <c r="GD211" s="639"/>
      <c r="GE211" s="639"/>
      <c r="GF211" s="639"/>
      <c r="GG211" s="639"/>
      <c r="GH211" s="639"/>
      <c r="GI211" s="639"/>
      <c r="GJ211" s="639"/>
      <c r="GK211" s="639"/>
      <c r="GL211" s="639"/>
      <c r="GM211" s="639"/>
      <c r="GN211" s="639"/>
      <c r="GO211" s="639"/>
      <c r="GP211" s="639"/>
      <c r="GQ211" s="639"/>
      <c r="GR211" s="639"/>
      <c r="GS211" s="639"/>
      <c r="GT211" s="639"/>
      <c r="GU211" s="639"/>
      <c r="GV211" s="639"/>
      <c r="GW211" s="639"/>
      <c r="GX211" s="639"/>
      <c r="GY211" s="639"/>
      <c r="GZ211" s="639"/>
      <c r="HA211" s="639"/>
      <c r="HB211" s="639"/>
      <c r="HC211" s="639"/>
      <c r="HD211" s="639"/>
      <c r="HE211" s="639"/>
      <c r="HF211" s="645"/>
      <c r="HG211" s="645"/>
      <c r="HH211" s="645"/>
      <c r="HI211" s="645"/>
      <c r="HJ211" s="645"/>
      <c r="HK211" s="645"/>
      <c r="HL211" s="645"/>
      <c r="HM211" s="645"/>
      <c r="HN211" s="645"/>
      <c r="HO211" s="645"/>
      <c r="HP211" s="645"/>
      <c r="HQ211" s="645"/>
      <c r="HR211" s="645">
        <v>0.104</v>
      </c>
      <c r="HS211" s="645">
        <f t="shared" si="775"/>
        <v>698.28571428571422</v>
      </c>
      <c r="HT211" s="645">
        <f t="shared" si="776"/>
        <v>1</v>
      </c>
      <c r="HU211" s="618">
        <f t="shared" ref="HU211:HU274" si="778">(((($AQ$45*HT211)*$AQ$34)/(Mc+ML)))*(HR211-HR210)+HU210</f>
        <v>2.6492613703057266</v>
      </c>
      <c r="HV211" s="618"/>
      <c r="HW211" s="618">
        <f t="shared" si="762"/>
        <v>32.238048854165868</v>
      </c>
      <c r="HX211" s="618">
        <f t="shared" ref="HX211:HX274" si="779">IF(HW211&lt;0,HX210,(((HW211/$AQ$44*HT211)*$AQ$34)/(Mc+ML))*(HR211-HR210)+HX210)</f>
        <v>2.5101737665337138</v>
      </c>
      <c r="HY211" s="618">
        <f t="shared" ref="HY211:HY274" si="780">HR211</f>
        <v>0.104</v>
      </c>
      <c r="HZ211" s="618"/>
      <c r="IA211" s="618"/>
      <c r="IB211" s="618">
        <f t="shared" si="763"/>
        <v>25.000350341399081</v>
      </c>
      <c r="IC211" s="618">
        <f t="shared" si="764"/>
        <v>1E-3</v>
      </c>
      <c r="ID211" s="618"/>
      <c r="IE211" s="618">
        <f t="shared" si="765"/>
        <v>0</v>
      </c>
      <c r="IF211" s="618">
        <f t="shared" si="766"/>
        <v>40.704999999999998</v>
      </c>
      <c r="IG211" s="618"/>
      <c r="IH211" s="618">
        <f t="shared" si="767"/>
        <v>0</v>
      </c>
      <c r="II211" s="618">
        <f t="shared" si="768"/>
        <v>40.704999999999998</v>
      </c>
      <c r="IJ211" s="618"/>
      <c r="IK211" s="618">
        <f t="shared" si="769"/>
        <v>0</v>
      </c>
      <c r="IL211" s="618">
        <f t="shared" si="770"/>
        <v>40.704999999999998</v>
      </c>
      <c r="IM211" s="618"/>
      <c r="IN211" s="618">
        <f t="shared" si="771"/>
        <v>0</v>
      </c>
      <c r="IO211" s="618">
        <f t="shared" si="772"/>
        <v>40.704999999999998</v>
      </c>
      <c r="IP211" s="618"/>
      <c r="IQ211" s="618">
        <f t="shared" si="773"/>
        <v>0</v>
      </c>
      <c r="IR211" s="618">
        <f t="shared" si="774"/>
        <v>40.704999999999998</v>
      </c>
      <c r="IS211" s="645"/>
      <c r="IT211" s="639"/>
      <c r="IU211" s="639"/>
      <c r="IV211" s="639"/>
      <c r="IW211" s="639"/>
      <c r="IX211" s="639"/>
      <c r="IY211" s="639"/>
      <c r="IZ211" s="639"/>
      <c r="JA211" s="639"/>
      <c r="JB211" s="639"/>
      <c r="JC211" s="639"/>
      <c r="JD211" s="639"/>
      <c r="JE211" s="639"/>
      <c r="JF211" s="639"/>
      <c r="JG211" s="639"/>
      <c r="JH211" s="639"/>
      <c r="JI211" s="639"/>
      <c r="JJ211" s="639"/>
      <c r="JK211" s="639"/>
      <c r="JL211" s="639"/>
      <c r="JM211" s="639"/>
      <c r="JN211" s="639"/>
      <c r="JO211" s="639"/>
      <c r="JP211" s="639"/>
      <c r="JQ211" s="639"/>
      <c r="JR211" s="639"/>
      <c r="JS211" s="639"/>
      <c r="JT211" s="639"/>
      <c r="JU211" s="639"/>
      <c r="JV211" s="653"/>
    </row>
    <row r="212" spans="1:282" s="612" customFormat="1">
      <c r="A212" s="611"/>
      <c r="U212" s="613"/>
      <c r="V212" s="613"/>
      <c r="AC212" s="613"/>
      <c r="AD212" s="613"/>
      <c r="AL212" s="613"/>
      <c r="AM212" s="613"/>
      <c r="AT212" s="613"/>
      <c r="AU212" s="613"/>
      <c r="CH212" s="611"/>
      <c r="CI212" s="611"/>
      <c r="CO212" s="694" t="str">
        <f t="shared" si="777"/>
        <v>S350D 1S</v>
      </c>
      <c r="CP212" s="645"/>
      <c r="CQ212" s="618"/>
      <c r="CR212" s="618"/>
      <c r="CS212" s="618"/>
      <c r="CT212" s="626"/>
      <c r="CU212" s="626"/>
      <c r="CV212" s="626"/>
      <c r="CW212" s="641"/>
      <c r="CX212" s="641"/>
      <c r="CY212" s="624"/>
      <c r="CZ212" s="624"/>
      <c r="DA212" s="624"/>
      <c r="DB212" s="624"/>
      <c r="DC212" s="639"/>
      <c r="DD212" s="639"/>
      <c r="DE212" s="639"/>
      <c r="DF212" s="639"/>
      <c r="DG212" s="639"/>
      <c r="DH212" s="639"/>
      <c r="DI212" s="639"/>
      <c r="DJ212" s="639"/>
      <c r="DK212" s="639"/>
      <c r="DL212" s="639"/>
      <c r="DM212" s="639"/>
      <c r="DN212" s="639"/>
      <c r="DO212" s="639"/>
      <c r="DP212" s="639"/>
      <c r="DQ212" s="639"/>
      <c r="DR212" s="639"/>
      <c r="DS212" s="639"/>
      <c r="DT212" s="639"/>
      <c r="DU212" s="639"/>
      <c r="DV212" s="639"/>
      <c r="DW212" s="639"/>
      <c r="DX212" s="639"/>
      <c r="DY212" s="639"/>
      <c r="DZ212" s="639"/>
      <c r="EA212" s="639"/>
      <c r="EB212" s="639"/>
      <c r="EC212" s="639"/>
      <c r="ED212" s="639"/>
      <c r="EE212" s="639"/>
      <c r="EF212" s="639"/>
      <c r="EG212" s="639"/>
      <c r="EH212" s="639"/>
      <c r="EI212" s="639"/>
      <c r="EJ212" s="639"/>
      <c r="EK212" s="639"/>
      <c r="EL212" s="639"/>
      <c r="EM212" s="639"/>
      <c r="EN212" s="639"/>
      <c r="EO212" s="639"/>
      <c r="EP212" s="639"/>
      <c r="EQ212" s="639"/>
      <c r="ER212" s="639"/>
      <c r="ES212" s="639"/>
      <c r="ET212" s="639"/>
      <c r="EU212" s="639"/>
      <c r="EV212" s="639"/>
      <c r="EW212" s="639"/>
      <c r="EX212" s="639"/>
      <c r="EY212" s="639"/>
      <c r="EZ212" s="639"/>
      <c r="FA212" s="639"/>
      <c r="FB212" s="639"/>
      <c r="FC212" s="639"/>
      <c r="FD212" s="639"/>
      <c r="FE212" s="639"/>
      <c r="FF212" s="639"/>
      <c r="FG212" s="639"/>
      <c r="FH212" s="639"/>
      <c r="FI212" s="639"/>
      <c r="FJ212" s="639"/>
      <c r="FK212" s="639"/>
      <c r="FL212" s="639"/>
      <c r="FM212" s="639"/>
      <c r="FN212" s="639"/>
      <c r="FO212" s="639"/>
      <c r="FP212" s="639"/>
      <c r="FQ212" s="639"/>
      <c r="FR212" s="639"/>
      <c r="FS212" s="639"/>
      <c r="FT212" s="639"/>
      <c r="FU212" s="639"/>
      <c r="FV212" s="639"/>
      <c r="FW212" s="639"/>
      <c r="FX212" s="639"/>
      <c r="FY212" s="639"/>
      <c r="FZ212" s="639"/>
      <c r="GA212" s="639"/>
      <c r="GB212" s="639"/>
      <c r="GC212" s="639"/>
      <c r="GD212" s="639"/>
      <c r="GE212" s="639"/>
      <c r="GF212" s="639"/>
      <c r="GG212" s="639"/>
      <c r="GH212" s="639"/>
      <c r="GI212" s="639"/>
      <c r="GJ212" s="639"/>
      <c r="GK212" s="639"/>
      <c r="GL212" s="639"/>
      <c r="GM212" s="639"/>
      <c r="GN212" s="639"/>
      <c r="GO212" s="639"/>
      <c r="GP212" s="639"/>
      <c r="GQ212" s="639"/>
      <c r="GR212" s="639"/>
      <c r="GS212" s="639"/>
      <c r="GT212" s="639"/>
      <c r="GU212" s="639"/>
      <c r="GV212" s="639"/>
      <c r="GW212" s="639"/>
      <c r="GX212" s="639"/>
      <c r="GY212" s="639"/>
      <c r="GZ212" s="639"/>
      <c r="HA212" s="639"/>
      <c r="HB212" s="639"/>
      <c r="HC212" s="639"/>
      <c r="HD212" s="639"/>
      <c r="HE212" s="639"/>
      <c r="HF212" s="645"/>
      <c r="HG212" s="645"/>
      <c r="HH212" s="645"/>
      <c r="HI212" s="645"/>
      <c r="HJ212" s="645"/>
      <c r="HK212" s="645"/>
      <c r="HL212" s="645"/>
      <c r="HM212" s="645"/>
      <c r="HN212" s="645"/>
      <c r="HO212" s="645"/>
      <c r="HP212" s="645"/>
      <c r="HQ212" s="645"/>
      <c r="HR212" s="645">
        <v>0.1045</v>
      </c>
      <c r="HS212" s="645">
        <f t="shared" si="775"/>
        <v>701.64285714285711</v>
      </c>
      <c r="HT212" s="645">
        <f t="shared" si="776"/>
        <v>1</v>
      </c>
      <c r="HU212" s="618">
        <f t="shared" si="778"/>
        <v>2.6620004142793516</v>
      </c>
      <c r="HV212" s="618"/>
      <c r="HW212" s="618">
        <f t="shared" si="762"/>
        <v>32.219959411723323</v>
      </c>
      <c r="HX212" s="618">
        <f t="shared" si="779"/>
        <v>2.5215751965274458</v>
      </c>
      <c r="HY212" s="618">
        <f t="shared" si="780"/>
        <v>0.1045</v>
      </c>
      <c r="HZ212" s="618"/>
      <c r="IA212" s="618"/>
      <c r="IB212" s="618">
        <f t="shared" si="763"/>
        <v>25.000350341399081</v>
      </c>
      <c r="IC212" s="618">
        <f t="shared" si="764"/>
        <v>1E-3</v>
      </c>
      <c r="ID212" s="618"/>
      <c r="IE212" s="618">
        <f t="shared" si="765"/>
        <v>0</v>
      </c>
      <c r="IF212" s="618">
        <f t="shared" si="766"/>
        <v>40.704999999999998</v>
      </c>
      <c r="IG212" s="618"/>
      <c r="IH212" s="618">
        <f t="shared" si="767"/>
        <v>0</v>
      </c>
      <c r="II212" s="618">
        <f t="shared" si="768"/>
        <v>40.704999999999998</v>
      </c>
      <c r="IJ212" s="618"/>
      <c r="IK212" s="618">
        <f t="shared" si="769"/>
        <v>0</v>
      </c>
      <c r="IL212" s="618">
        <f t="shared" si="770"/>
        <v>40.704999999999998</v>
      </c>
      <c r="IM212" s="618"/>
      <c r="IN212" s="618">
        <f t="shared" si="771"/>
        <v>0</v>
      </c>
      <c r="IO212" s="618">
        <f t="shared" si="772"/>
        <v>40.704999999999998</v>
      </c>
      <c r="IP212" s="618"/>
      <c r="IQ212" s="618">
        <f t="shared" si="773"/>
        <v>0</v>
      </c>
      <c r="IR212" s="618">
        <f t="shared" si="774"/>
        <v>40.704999999999998</v>
      </c>
      <c r="IS212" s="645"/>
      <c r="IT212" s="639"/>
      <c r="IU212" s="639"/>
      <c r="IV212" s="639"/>
      <c r="IW212" s="639"/>
      <c r="IX212" s="639"/>
      <c r="IY212" s="639"/>
      <c r="IZ212" s="639"/>
      <c r="JA212" s="639"/>
      <c r="JB212" s="639"/>
      <c r="JC212" s="639"/>
      <c r="JD212" s="639"/>
      <c r="JE212" s="639"/>
      <c r="JF212" s="639"/>
      <c r="JG212" s="639"/>
      <c r="JH212" s="639"/>
      <c r="JI212" s="639"/>
      <c r="JJ212" s="639"/>
      <c r="JK212" s="639"/>
      <c r="JL212" s="639"/>
      <c r="JM212" s="639"/>
      <c r="JN212" s="639"/>
      <c r="JO212" s="639"/>
      <c r="JP212" s="639"/>
      <c r="JQ212" s="639"/>
      <c r="JR212" s="639"/>
      <c r="JS212" s="639"/>
      <c r="JT212" s="639"/>
      <c r="JU212" s="639"/>
      <c r="JV212" s="653"/>
    </row>
    <row r="213" spans="1:282" s="612" customFormat="1">
      <c r="A213" s="611"/>
      <c r="U213" s="613"/>
      <c r="V213" s="613"/>
      <c r="AC213" s="613"/>
      <c r="AD213" s="613"/>
      <c r="AL213" s="613"/>
      <c r="AM213" s="613"/>
      <c r="AT213" s="613"/>
      <c r="AU213" s="613"/>
      <c r="CH213" s="611"/>
      <c r="CI213" s="611"/>
      <c r="CO213" s="694" t="str">
        <f t="shared" si="777"/>
        <v>S350D</v>
      </c>
      <c r="CP213" s="645"/>
      <c r="CQ213" s="618"/>
      <c r="CR213" s="618"/>
      <c r="CS213" s="618"/>
      <c r="CT213" s="626"/>
      <c r="CU213" s="626"/>
      <c r="CV213" s="626"/>
      <c r="CW213" s="641"/>
      <c r="CX213" s="641"/>
      <c r="CY213" s="624"/>
      <c r="CZ213" s="624"/>
      <c r="DA213" s="624"/>
      <c r="DB213" s="624"/>
      <c r="DC213" s="639"/>
      <c r="DD213" s="639"/>
      <c r="DE213" s="639"/>
      <c r="DF213" s="639"/>
      <c r="DG213" s="639"/>
      <c r="DH213" s="639"/>
      <c r="DI213" s="639"/>
      <c r="DJ213" s="639"/>
      <c r="DK213" s="639"/>
      <c r="DL213" s="639"/>
      <c r="DM213" s="639"/>
      <c r="DN213" s="639"/>
      <c r="DO213" s="639"/>
      <c r="DP213" s="639"/>
      <c r="DQ213" s="639"/>
      <c r="DR213" s="639"/>
      <c r="DS213" s="639"/>
      <c r="DT213" s="639"/>
      <c r="DU213" s="639"/>
      <c r="DV213" s="639"/>
      <c r="DW213" s="639"/>
      <c r="DX213" s="639"/>
      <c r="DY213" s="639"/>
      <c r="DZ213" s="639"/>
      <c r="EA213" s="639"/>
      <c r="EB213" s="639"/>
      <c r="EC213" s="639"/>
      <c r="ED213" s="639"/>
      <c r="EE213" s="639"/>
      <c r="EF213" s="639"/>
      <c r="EG213" s="639"/>
      <c r="EH213" s="639"/>
      <c r="EI213" s="639"/>
      <c r="EJ213" s="639"/>
      <c r="EK213" s="639"/>
      <c r="EL213" s="639"/>
      <c r="EM213" s="639"/>
      <c r="EN213" s="639"/>
      <c r="EO213" s="639"/>
      <c r="EP213" s="639"/>
      <c r="EQ213" s="639"/>
      <c r="ER213" s="639"/>
      <c r="ES213" s="639"/>
      <c r="ET213" s="639"/>
      <c r="EU213" s="639"/>
      <c r="EV213" s="639"/>
      <c r="EW213" s="639"/>
      <c r="EX213" s="639"/>
      <c r="EY213" s="639"/>
      <c r="EZ213" s="639"/>
      <c r="FA213" s="639"/>
      <c r="FB213" s="639"/>
      <c r="FC213" s="639"/>
      <c r="FD213" s="639"/>
      <c r="FE213" s="639"/>
      <c r="FF213" s="639"/>
      <c r="FG213" s="639"/>
      <c r="FH213" s="639"/>
      <c r="FI213" s="639"/>
      <c r="FJ213" s="639"/>
      <c r="FK213" s="639"/>
      <c r="FL213" s="639"/>
      <c r="FM213" s="639"/>
      <c r="FN213" s="639"/>
      <c r="FO213" s="639"/>
      <c r="FP213" s="639"/>
      <c r="FQ213" s="639"/>
      <c r="FR213" s="639"/>
      <c r="FS213" s="639"/>
      <c r="FT213" s="639"/>
      <c r="FU213" s="639"/>
      <c r="FV213" s="639"/>
      <c r="FW213" s="639"/>
      <c r="FX213" s="639"/>
      <c r="FY213" s="639"/>
      <c r="FZ213" s="639"/>
      <c r="GA213" s="639"/>
      <c r="GB213" s="639"/>
      <c r="GC213" s="639"/>
      <c r="GD213" s="639"/>
      <c r="GE213" s="639"/>
      <c r="GF213" s="639"/>
      <c r="GG213" s="639"/>
      <c r="GH213" s="639"/>
      <c r="GI213" s="639"/>
      <c r="GJ213" s="639"/>
      <c r="GK213" s="639"/>
      <c r="GL213" s="639"/>
      <c r="GM213" s="639"/>
      <c r="GN213" s="639"/>
      <c r="GO213" s="639"/>
      <c r="GP213" s="639"/>
      <c r="GQ213" s="639"/>
      <c r="GR213" s="639"/>
      <c r="GS213" s="639"/>
      <c r="GT213" s="639"/>
      <c r="GU213" s="639"/>
      <c r="GV213" s="639"/>
      <c r="GW213" s="639"/>
      <c r="GX213" s="639"/>
      <c r="GY213" s="639"/>
      <c r="GZ213" s="639"/>
      <c r="HA213" s="639"/>
      <c r="HB213" s="639"/>
      <c r="HC213" s="639"/>
      <c r="HD213" s="639"/>
      <c r="HE213" s="639"/>
      <c r="HF213" s="645"/>
      <c r="HG213" s="645"/>
      <c r="HH213" s="645"/>
      <c r="HI213" s="645"/>
      <c r="HJ213" s="645"/>
      <c r="HK213" s="645"/>
      <c r="HL213" s="645"/>
      <c r="HM213" s="645"/>
      <c r="HN213" s="645"/>
      <c r="HO213" s="645"/>
      <c r="HP213" s="645"/>
      <c r="HQ213" s="645"/>
      <c r="HR213" s="645">
        <v>0.105</v>
      </c>
      <c r="HS213" s="645">
        <f t="shared" si="775"/>
        <v>705</v>
      </c>
      <c r="HT213" s="645">
        <f t="shared" si="776"/>
        <v>1</v>
      </c>
      <c r="HU213" s="618">
        <f t="shared" si="778"/>
        <v>2.6747394582529767</v>
      </c>
      <c r="HV213" s="618"/>
      <c r="HW213" s="618">
        <f t="shared" si="762"/>
        <v>32.201869969280771</v>
      </c>
      <c r="HX213" s="618">
        <f t="shared" si="779"/>
        <v>2.5329702253488797</v>
      </c>
      <c r="HY213" s="618">
        <f t="shared" si="780"/>
        <v>0.105</v>
      </c>
      <c r="HZ213" s="618"/>
      <c r="IA213" s="618"/>
      <c r="IB213" s="618">
        <f t="shared" si="763"/>
        <v>25.000350341399081</v>
      </c>
      <c r="IC213" s="618">
        <f t="shared" si="764"/>
        <v>1E-3</v>
      </c>
      <c r="ID213" s="618"/>
      <c r="IE213" s="618">
        <f t="shared" si="765"/>
        <v>0</v>
      </c>
      <c r="IF213" s="618">
        <f t="shared" si="766"/>
        <v>40.704999999999998</v>
      </c>
      <c r="IG213" s="618"/>
      <c r="IH213" s="618">
        <f t="shared" si="767"/>
        <v>0</v>
      </c>
      <c r="II213" s="618">
        <f t="shared" si="768"/>
        <v>40.704999999999998</v>
      </c>
      <c r="IJ213" s="618"/>
      <c r="IK213" s="618">
        <f t="shared" si="769"/>
        <v>0</v>
      </c>
      <c r="IL213" s="618">
        <f t="shared" si="770"/>
        <v>40.704999999999998</v>
      </c>
      <c r="IM213" s="618"/>
      <c r="IN213" s="618">
        <f t="shared" si="771"/>
        <v>0</v>
      </c>
      <c r="IO213" s="618">
        <f t="shared" si="772"/>
        <v>40.704999999999998</v>
      </c>
      <c r="IP213" s="618"/>
      <c r="IQ213" s="618">
        <f t="shared" si="773"/>
        <v>0</v>
      </c>
      <c r="IR213" s="618">
        <f t="shared" si="774"/>
        <v>40.704999999999998</v>
      </c>
      <c r="IS213" s="645"/>
      <c r="IT213" s="639"/>
      <c r="IU213" s="639"/>
      <c r="IV213" s="639"/>
      <c r="IW213" s="639"/>
      <c r="IX213" s="639"/>
      <c r="IY213" s="639"/>
      <c r="IZ213" s="639"/>
      <c r="JA213" s="639"/>
      <c r="JB213" s="639"/>
      <c r="JC213" s="639"/>
      <c r="JD213" s="639"/>
      <c r="JE213" s="639"/>
      <c r="JF213" s="639"/>
      <c r="JG213" s="639"/>
      <c r="JH213" s="639"/>
      <c r="JI213" s="639"/>
      <c r="JJ213" s="639"/>
      <c r="JK213" s="639"/>
      <c r="JL213" s="639"/>
      <c r="JM213" s="639"/>
      <c r="JN213" s="639"/>
      <c r="JO213" s="639"/>
      <c r="JP213" s="639"/>
      <c r="JQ213" s="639"/>
      <c r="JR213" s="639"/>
      <c r="JS213" s="639"/>
      <c r="JT213" s="639"/>
      <c r="JU213" s="639"/>
      <c r="JV213" s="653"/>
    </row>
    <row r="214" spans="1:282" s="612" customFormat="1">
      <c r="A214" s="611"/>
      <c r="U214" s="613"/>
      <c r="V214" s="613"/>
      <c r="AC214" s="613"/>
      <c r="AD214" s="613"/>
      <c r="AL214" s="613"/>
      <c r="AM214" s="613"/>
      <c r="AT214" s="613"/>
      <c r="AU214" s="613"/>
      <c r="CH214" s="611"/>
      <c r="CI214" s="611"/>
      <c r="CO214" s="694" t="str">
        <f t="shared" si="777"/>
        <v>S320Q 1S</v>
      </c>
      <c r="CP214" s="645"/>
      <c r="CQ214" s="618"/>
      <c r="CR214" s="618"/>
      <c r="CS214" s="618"/>
      <c r="CT214" s="626"/>
      <c r="CU214" s="626"/>
      <c r="CV214" s="626"/>
      <c r="CW214" s="641"/>
      <c r="CX214" s="641"/>
      <c r="CY214" s="624"/>
      <c r="CZ214" s="624"/>
      <c r="DA214" s="624"/>
      <c r="DB214" s="624"/>
      <c r="DC214" s="639"/>
      <c r="DD214" s="639"/>
      <c r="DE214" s="639"/>
      <c r="DF214" s="639"/>
      <c r="DG214" s="639"/>
      <c r="DH214" s="639"/>
      <c r="DI214" s="639"/>
      <c r="DJ214" s="639"/>
      <c r="DK214" s="639"/>
      <c r="DL214" s="639"/>
      <c r="DM214" s="639"/>
      <c r="DN214" s="639"/>
      <c r="DO214" s="639"/>
      <c r="DP214" s="639"/>
      <c r="DQ214" s="639"/>
      <c r="DR214" s="639"/>
      <c r="DS214" s="639"/>
      <c r="DT214" s="639"/>
      <c r="DU214" s="639"/>
      <c r="DV214" s="639"/>
      <c r="DW214" s="639"/>
      <c r="DX214" s="639"/>
      <c r="DY214" s="639"/>
      <c r="DZ214" s="639"/>
      <c r="EA214" s="639"/>
      <c r="EB214" s="639"/>
      <c r="EC214" s="639"/>
      <c r="ED214" s="639"/>
      <c r="EE214" s="639"/>
      <c r="EF214" s="639"/>
      <c r="EG214" s="639"/>
      <c r="EH214" s="639"/>
      <c r="EI214" s="639"/>
      <c r="EJ214" s="639"/>
      <c r="EK214" s="639"/>
      <c r="EL214" s="639"/>
      <c r="EM214" s="639"/>
      <c r="EN214" s="639"/>
      <c r="EO214" s="639"/>
      <c r="EP214" s="639"/>
      <c r="EQ214" s="639"/>
      <c r="ER214" s="639"/>
      <c r="ES214" s="639"/>
      <c r="ET214" s="639"/>
      <c r="EU214" s="639"/>
      <c r="EV214" s="639"/>
      <c r="EW214" s="639"/>
      <c r="EX214" s="639"/>
      <c r="EY214" s="639"/>
      <c r="EZ214" s="639"/>
      <c r="FA214" s="639"/>
      <c r="FB214" s="639"/>
      <c r="FC214" s="639"/>
      <c r="FD214" s="639"/>
      <c r="FE214" s="639"/>
      <c r="FF214" s="639"/>
      <c r="FG214" s="639"/>
      <c r="FH214" s="639"/>
      <c r="FI214" s="639"/>
      <c r="FJ214" s="639"/>
      <c r="FK214" s="639"/>
      <c r="FL214" s="639"/>
      <c r="FM214" s="639"/>
      <c r="FN214" s="639"/>
      <c r="FO214" s="639"/>
      <c r="FP214" s="639"/>
      <c r="FQ214" s="639"/>
      <c r="FR214" s="639"/>
      <c r="FS214" s="639"/>
      <c r="FT214" s="639"/>
      <c r="FU214" s="639"/>
      <c r="FV214" s="639"/>
      <c r="FW214" s="639"/>
      <c r="FX214" s="639"/>
      <c r="FY214" s="639"/>
      <c r="FZ214" s="639"/>
      <c r="GA214" s="639"/>
      <c r="GB214" s="639"/>
      <c r="GC214" s="639"/>
      <c r="GD214" s="639"/>
      <c r="GE214" s="639"/>
      <c r="GF214" s="639"/>
      <c r="GG214" s="639"/>
      <c r="GH214" s="639"/>
      <c r="GI214" s="639"/>
      <c r="GJ214" s="639"/>
      <c r="GK214" s="639"/>
      <c r="GL214" s="639"/>
      <c r="GM214" s="639"/>
      <c r="GN214" s="639"/>
      <c r="GO214" s="639"/>
      <c r="GP214" s="639"/>
      <c r="GQ214" s="639"/>
      <c r="GR214" s="639"/>
      <c r="GS214" s="639"/>
      <c r="GT214" s="639"/>
      <c r="GU214" s="639"/>
      <c r="GV214" s="639"/>
      <c r="GW214" s="639"/>
      <c r="GX214" s="639"/>
      <c r="GY214" s="639"/>
      <c r="GZ214" s="639"/>
      <c r="HA214" s="639"/>
      <c r="HB214" s="639"/>
      <c r="HC214" s="639"/>
      <c r="HD214" s="639"/>
      <c r="HE214" s="639"/>
      <c r="HF214" s="645"/>
      <c r="HG214" s="645"/>
      <c r="HH214" s="645"/>
      <c r="HI214" s="645"/>
      <c r="HJ214" s="645"/>
      <c r="HK214" s="645"/>
      <c r="HL214" s="645"/>
      <c r="HM214" s="645"/>
      <c r="HN214" s="645"/>
      <c r="HO214" s="645"/>
      <c r="HP214" s="645"/>
      <c r="HQ214" s="645"/>
      <c r="HR214" s="645">
        <v>0.1055</v>
      </c>
      <c r="HS214" s="645">
        <f t="shared" si="775"/>
        <v>708.35714285714278</v>
      </c>
      <c r="HT214" s="645">
        <f t="shared" si="776"/>
        <v>1</v>
      </c>
      <c r="HU214" s="618">
        <f t="shared" si="778"/>
        <v>2.6874785022266017</v>
      </c>
      <c r="HV214" s="618"/>
      <c r="HW214" s="618">
        <f t="shared" si="762"/>
        <v>32.183780526838227</v>
      </c>
      <c r="HX214" s="618">
        <f t="shared" si="779"/>
        <v>2.5443588529980152</v>
      </c>
      <c r="HY214" s="618">
        <f t="shared" si="780"/>
        <v>0.1055</v>
      </c>
      <c r="HZ214" s="618"/>
      <c r="IA214" s="618"/>
      <c r="IB214" s="618">
        <f t="shared" si="763"/>
        <v>25.000350341399081</v>
      </c>
      <c r="IC214" s="618">
        <f t="shared" si="764"/>
        <v>1E-3</v>
      </c>
      <c r="ID214" s="618"/>
      <c r="IE214" s="618">
        <f t="shared" si="765"/>
        <v>0</v>
      </c>
      <c r="IF214" s="618">
        <f t="shared" si="766"/>
        <v>40.704999999999998</v>
      </c>
      <c r="IG214" s="618"/>
      <c r="IH214" s="618">
        <f t="shared" si="767"/>
        <v>0</v>
      </c>
      <c r="II214" s="618">
        <f t="shared" si="768"/>
        <v>40.704999999999998</v>
      </c>
      <c r="IJ214" s="618"/>
      <c r="IK214" s="618">
        <f t="shared" si="769"/>
        <v>0</v>
      </c>
      <c r="IL214" s="618">
        <f t="shared" si="770"/>
        <v>40.704999999999998</v>
      </c>
      <c r="IM214" s="618"/>
      <c r="IN214" s="618">
        <f t="shared" si="771"/>
        <v>0</v>
      </c>
      <c r="IO214" s="618">
        <f t="shared" si="772"/>
        <v>40.704999999999998</v>
      </c>
      <c r="IP214" s="618"/>
      <c r="IQ214" s="618">
        <f t="shared" si="773"/>
        <v>0</v>
      </c>
      <c r="IR214" s="618">
        <f t="shared" si="774"/>
        <v>40.704999999999998</v>
      </c>
      <c r="IS214" s="645"/>
      <c r="IT214" s="639"/>
      <c r="IU214" s="639"/>
      <c r="IV214" s="639"/>
      <c r="IW214" s="639"/>
      <c r="IX214" s="639"/>
      <c r="IY214" s="639"/>
      <c r="IZ214" s="639"/>
      <c r="JA214" s="639"/>
      <c r="JB214" s="639"/>
      <c r="JC214" s="639"/>
      <c r="JD214" s="639"/>
      <c r="JE214" s="639"/>
      <c r="JF214" s="639"/>
      <c r="JG214" s="639"/>
      <c r="JH214" s="639"/>
      <c r="JI214" s="639"/>
      <c r="JJ214" s="639"/>
      <c r="JK214" s="639"/>
      <c r="JL214" s="639"/>
      <c r="JM214" s="639"/>
      <c r="JN214" s="639"/>
      <c r="JO214" s="639"/>
      <c r="JP214" s="639"/>
      <c r="JQ214" s="639"/>
      <c r="JR214" s="639"/>
      <c r="JS214" s="639"/>
      <c r="JT214" s="639"/>
      <c r="JU214" s="639"/>
      <c r="JV214" s="653"/>
    </row>
    <row r="215" spans="1:282" s="612" customFormat="1">
      <c r="A215" s="611"/>
      <c r="U215" s="613"/>
      <c r="V215" s="613"/>
      <c r="AC215" s="613"/>
      <c r="AD215" s="613"/>
      <c r="AL215" s="613"/>
      <c r="AM215" s="613"/>
      <c r="AT215" s="613"/>
      <c r="AU215" s="613"/>
      <c r="CH215" s="611"/>
      <c r="CI215" s="611"/>
      <c r="CO215" s="694" t="str">
        <f t="shared" si="777"/>
        <v>S320Q 2S</v>
      </c>
      <c r="CP215" s="645"/>
      <c r="CQ215" s="618"/>
      <c r="CR215" s="618"/>
      <c r="CS215" s="618"/>
      <c r="CT215" s="626"/>
      <c r="CU215" s="626"/>
      <c r="CV215" s="626"/>
      <c r="CW215" s="641"/>
      <c r="CX215" s="641"/>
      <c r="CY215" s="624"/>
      <c r="CZ215" s="624"/>
      <c r="DA215" s="624"/>
      <c r="DB215" s="624"/>
      <c r="DC215" s="639"/>
      <c r="DD215" s="639"/>
      <c r="DE215" s="639"/>
      <c r="DF215" s="639"/>
      <c r="DG215" s="639"/>
      <c r="DH215" s="639"/>
      <c r="DI215" s="639"/>
      <c r="DJ215" s="639"/>
      <c r="DK215" s="639"/>
      <c r="DL215" s="639"/>
      <c r="DM215" s="639"/>
      <c r="DN215" s="639"/>
      <c r="DO215" s="639"/>
      <c r="DP215" s="639"/>
      <c r="DQ215" s="639"/>
      <c r="DR215" s="639"/>
      <c r="DS215" s="639"/>
      <c r="DT215" s="639"/>
      <c r="DU215" s="639"/>
      <c r="DV215" s="639"/>
      <c r="DW215" s="639"/>
      <c r="DX215" s="639"/>
      <c r="DY215" s="639"/>
      <c r="DZ215" s="639"/>
      <c r="EA215" s="639"/>
      <c r="EB215" s="639"/>
      <c r="EC215" s="639"/>
      <c r="ED215" s="639"/>
      <c r="EE215" s="639"/>
      <c r="EF215" s="639"/>
      <c r="EG215" s="639"/>
      <c r="EH215" s="639"/>
      <c r="EI215" s="639"/>
      <c r="EJ215" s="639"/>
      <c r="EK215" s="639"/>
      <c r="EL215" s="639"/>
      <c r="EM215" s="639"/>
      <c r="EN215" s="639"/>
      <c r="EO215" s="639"/>
      <c r="EP215" s="639"/>
      <c r="EQ215" s="639"/>
      <c r="ER215" s="639"/>
      <c r="ES215" s="639"/>
      <c r="ET215" s="639"/>
      <c r="EU215" s="639"/>
      <c r="EV215" s="639"/>
      <c r="EW215" s="639"/>
      <c r="EX215" s="639"/>
      <c r="EY215" s="639"/>
      <c r="EZ215" s="639"/>
      <c r="FA215" s="639"/>
      <c r="FB215" s="639"/>
      <c r="FC215" s="639"/>
      <c r="FD215" s="639"/>
      <c r="FE215" s="639"/>
      <c r="FF215" s="639"/>
      <c r="FG215" s="639"/>
      <c r="FH215" s="639"/>
      <c r="FI215" s="639"/>
      <c r="FJ215" s="639"/>
      <c r="FK215" s="639"/>
      <c r="FL215" s="639"/>
      <c r="FM215" s="639"/>
      <c r="FN215" s="639"/>
      <c r="FO215" s="639"/>
      <c r="FP215" s="639"/>
      <c r="FQ215" s="639"/>
      <c r="FR215" s="639"/>
      <c r="FS215" s="639"/>
      <c r="FT215" s="639"/>
      <c r="FU215" s="639"/>
      <c r="FV215" s="639"/>
      <c r="FW215" s="639"/>
      <c r="FX215" s="639"/>
      <c r="FY215" s="639"/>
      <c r="FZ215" s="639"/>
      <c r="GA215" s="639"/>
      <c r="GB215" s="639"/>
      <c r="GC215" s="639"/>
      <c r="GD215" s="639"/>
      <c r="GE215" s="639"/>
      <c r="GF215" s="639"/>
      <c r="GG215" s="639"/>
      <c r="GH215" s="639"/>
      <c r="GI215" s="639"/>
      <c r="GJ215" s="639"/>
      <c r="GK215" s="639"/>
      <c r="GL215" s="639"/>
      <c r="GM215" s="639"/>
      <c r="GN215" s="639"/>
      <c r="GO215" s="639"/>
      <c r="GP215" s="639"/>
      <c r="GQ215" s="639"/>
      <c r="GR215" s="639"/>
      <c r="GS215" s="639"/>
      <c r="GT215" s="639"/>
      <c r="GU215" s="639"/>
      <c r="GV215" s="639"/>
      <c r="GW215" s="639"/>
      <c r="GX215" s="639"/>
      <c r="GY215" s="639"/>
      <c r="GZ215" s="639"/>
      <c r="HA215" s="639"/>
      <c r="HB215" s="639"/>
      <c r="HC215" s="639"/>
      <c r="HD215" s="639"/>
      <c r="HE215" s="639"/>
      <c r="HF215" s="645"/>
      <c r="HG215" s="645"/>
      <c r="HH215" s="645"/>
      <c r="HI215" s="645"/>
      <c r="HJ215" s="645"/>
      <c r="HK215" s="645"/>
      <c r="HL215" s="645"/>
      <c r="HM215" s="645"/>
      <c r="HN215" s="645"/>
      <c r="HO215" s="645"/>
      <c r="HP215" s="645"/>
      <c r="HQ215" s="645"/>
      <c r="HR215" s="645">
        <v>0.106</v>
      </c>
      <c r="HS215" s="645">
        <f t="shared" si="775"/>
        <v>711.71428571428567</v>
      </c>
      <c r="HT215" s="645">
        <f t="shared" si="776"/>
        <v>1</v>
      </c>
      <c r="HU215" s="618">
        <f t="shared" si="778"/>
        <v>2.7002175462002267</v>
      </c>
      <c r="HV215" s="618"/>
      <c r="HW215" s="618">
        <f t="shared" si="762"/>
        <v>32.165691084395675</v>
      </c>
      <c r="HX215" s="618">
        <f t="shared" si="779"/>
        <v>2.5557410794748527</v>
      </c>
      <c r="HY215" s="618">
        <f t="shared" si="780"/>
        <v>0.106</v>
      </c>
      <c r="HZ215" s="618"/>
      <c r="IA215" s="618"/>
      <c r="IB215" s="618">
        <f t="shared" si="763"/>
        <v>25.000350341399081</v>
      </c>
      <c r="IC215" s="618">
        <f t="shared" si="764"/>
        <v>1E-3</v>
      </c>
      <c r="ID215" s="618"/>
      <c r="IE215" s="618">
        <f t="shared" si="765"/>
        <v>0</v>
      </c>
      <c r="IF215" s="618">
        <f t="shared" si="766"/>
        <v>40.704999999999998</v>
      </c>
      <c r="IG215" s="618"/>
      <c r="IH215" s="618">
        <f t="shared" si="767"/>
        <v>0</v>
      </c>
      <c r="II215" s="618">
        <f t="shared" si="768"/>
        <v>40.704999999999998</v>
      </c>
      <c r="IJ215" s="618"/>
      <c r="IK215" s="618">
        <f t="shared" si="769"/>
        <v>0</v>
      </c>
      <c r="IL215" s="618">
        <f t="shared" si="770"/>
        <v>40.704999999999998</v>
      </c>
      <c r="IM215" s="618"/>
      <c r="IN215" s="618">
        <f t="shared" si="771"/>
        <v>0</v>
      </c>
      <c r="IO215" s="618">
        <f t="shared" si="772"/>
        <v>40.704999999999998</v>
      </c>
      <c r="IP215" s="618"/>
      <c r="IQ215" s="618">
        <f t="shared" si="773"/>
        <v>0</v>
      </c>
      <c r="IR215" s="618">
        <f t="shared" si="774"/>
        <v>40.704999999999998</v>
      </c>
      <c r="IS215" s="645"/>
      <c r="IT215" s="639"/>
      <c r="IU215" s="639"/>
      <c r="IV215" s="639"/>
      <c r="IW215" s="639"/>
      <c r="IX215" s="639"/>
      <c r="IY215" s="639"/>
      <c r="IZ215" s="639"/>
      <c r="JA215" s="639"/>
      <c r="JB215" s="639"/>
      <c r="JC215" s="639"/>
      <c r="JD215" s="639"/>
      <c r="JE215" s="639"/>
      <c r="JF215" s="639"/>
      <c r="JG215" s="639"/>
      <c r="JH215" s="639"/>
      <c r="JI215" s="639"/>
      <c r="JJ215" s="639"/>
      <c r="JK215" s="639"/>
      <c r="JL215" s="639"/>
      <c r="JM215" s="639"/>
      <c r="JN215" s="639"/>
      <c r="JO215" s="639"/>
      <c r="JP215" s="639"/>
      <c r="JQ215" s="639"/>
      <c r="JR215" s="639"/>
      <c r="JS215" s="639"/>
      <c r="JT215" s="639"/>
      <c r="JU215" s="639"/>
      <c r="JV215" s="653"/>
    </row>
    <row r="216" spans="1:282" s="612" customFormat="1">
      <c r="A216" s="611"/>
      <c r="U216" s="613"/>
      <c r="V216" s="613"/>
      <c r="AC216" s="613"/>
      <c r="AD216" s="613"/>
      <c r="AL216" s="613"/>
      <c r="AM216" s="613"/>
      <c r="AT216" s="613"/>
      <c r="AU216" s="613"/>
      <c r="CH216" s="611"/>
      <c r="CI216" s="611"/>
      <c r="CO216" s="694" t="str">
        <f t="shared" si="777"/>
        <v>L320Q</v>
      </c>
      <c r="CP216" s="645"/>
      <c r="CQ216" s="618"/>
      <c r="CR216" s="618"/>
      <c r="CS216" s="618"/>
      <c r="CT216" s="626"/>
      <c r="CU216" s="626"/>
      <c r="CV216" s="626"/>
      <c r="CW216" s="641"/>
      <c r="CX216" s="641"/>
      <c r="CY216" s="624"/>
      <c r="CZ216" s="624"/>
      <c r="DA216" s="624"/>
      <c r="DB216" s="624"/>
      <c r="DC216" s="639"/>
      <c r="DD216" s="639"/>
      <c r="DE216" s="639"/>
      <c r="DF216" s="639"/>
      <c r="DG216" s="639"/>
      <c r="DH216" s="639"/>
      <c r="DI216" s="639"/>
      <c r="DJ216" s="639"/>
      <c r="DK216" s="639"/>
      <c r="DL216" s="639"/>
      <c r="DM216" s="639"/>
      <c r="DN216" s="639"/>
      <c r="DO216" s="639"/>
      <c r="DP216" s="639"/>
      <c r="DQ216" s="639"/>
      <c r="DR216" s="639"/>
      <c r="DS216" s="639"/>
      <c r="DT216" s="639"/>
      <c r="DU216" s="639"/>
      <c r="DV216" s="639"/>
      <c r="DW216" s="639"/>
      <c r="DX216" s="639"/>
      <c r="DY216" s="639"/>
      <c r="DZ216" s="639"/>
      <c r="EA216" s="639"/>
      <c r="EB216" s="639"/>
      <c r="EC216" s="639"/>
      <c r="ED216" s="639"/>
      <c r="EE216" s="639"/>
      <c r="EF216" s="639"/>
      <c r="EG216" s="639"/>
      <c r="EH216" s="639"/>
      <c r="EI216" s="639"/>
      <c r="EJ216" s="639"/>
      <c r="EK216" s="639"/>
      <c r="EL216" s="639"/>
      <c r="EM216" s="639"/>
      <c r="EN216" s="639"/>
      <c r="EO216" s="639"/>
      <c r="EP216" s="639"/>
      <c r="EQ216" s="639"/>
      <c r="ER216" s="639"/>
      <c r="ES216" s="639"/>
      <c r="ET216" s="639"/>
      <c r="EU216" s="639"/>
      <c r="EV216" s="639"/>
      <c r="EW216" s="639"/>
      <c r="EX216" s="639"/>
      <c r="EY216" s="639"/>
      <c r="EZ216" s="639"/>
      <c r="FA216" s="639"/>
      <c r="FB216" s="639"/>
      <c r="FC216" s="639"/>
      <c r="FD216" s="639"/>
      <c r="FE216" s="639"/>
      <c r="FF216" s="639"/>
      <c r="FG216" s="639"/>
      <c r="FH216" s="639"/>
      <c r="FI216" s="639"/>
      <c r="FJ216" s="639"/>
      <c r="FK216" s="639"/>
      <c r="FL216" s="639"/>
      <c r="FM216" s="639"/>
      <c r="FN216" s="639"/>
      <c r="FO216" s="639"/>
      <c r="FP216" s="639"/>
      <c r="FQ216" s="639"/>
      <c r="FR216" s="639"/>
      <c r="FS216" s="639"/>
      <c r="FT216" s="639"/>
      <c r="FU216" s="639"/>
      <c r="FV216" s="639"/>
      <c r="FW216" s="639"/>
      <c r="FX216" s="639"/>
      <c r="FY216" s="639"/>
      <c r="FZ216" s="639"/>
      <c r="GA216" s="639"/>
      <c r="GB216" s="639"/>
      <c r="GC216" s="639"/>
      <c r="GD216" s="639"/>
      <c r="GE216" s="639"/>
      <c r="GF216" s="639"/>
      <c r="GG216" s="639"/>
      <c r="GH216" s="639"/>
      <c r="GI216" s="639"/>
      <c r="GJ216" s="639"/>
      <c r="GK216" s="639"/>
      <c r="GL216" s="639"/>
      <c r="GM216" s="639"/>
      <c r="GN216" s="639"/>
      <c r="GO216" s="639"/>
      <c r="GP216" s="639"/>
      <c r="GQ216" s="639"/>
      <c r="GR216" s="639"/>
      <c r="GS216" s="639"/>
      <c r="GT216" s="639"/>
      <c r="GU216" s="639"/>
      <c r="GV216" s="639"/>
      <c r="GW216" s="639"/>
      <c r="GX216" s="639"/>
      <c r="GY216" s="639"/>
      <c r="GZ216" s="639"/>
      <c r="HA216" s="639"/>
      <c r="HB216" s="639"/>
      <c r="HC216" s="639"/>
      <c r="HD216" s="639"/>
      <c r="HE216" s="639"/>
      <c r="HF216" s="645"/>
      <c r="HG216" s="645"/>
      <c r="HH216" s="645"/>
      <c r="HI216" s="645"/>
      <c r="HJ216" s="645"/>
      <c r="HK216" s="645"/>
      <c r="HL216" s="645"/>
      <c r="HM216" s="645"/>
      <c r="HN216" s="645"/>
      <c r="HO216" s="645"/>
      <c r="HP216" s="645"/>
      <c r="HQ216" s="645"/>
      <c r="HR216" s="645">
        <v>0.1065</v>
      </c>
      <c r="HS216" s="645">
        <f t="shared" si="775"/>
        <v>715.07142857142856</v>
      </c>
      <c r="HT216" s="645">
        <f t="shared" si="776"/>
        <v>1</v>
      </c>
      <c r="HU216" s="618">
        <f t="shared" si="778"/>
        <v>2.7129565901738517</v>
      </c>
      <c r="HV216" s="618"/>
      <c r="HW216" s="618">
        <f t="shared" si="762"/>
        <v>32.147601641953131</v>
      </c>
      <c r="HX216" s="618">
        <f t="shared" si="779"/>
        <v>2.5671169047793918</v>
      </c>
      <c r="HY216" s="618">
        <f t="shared" si="780"/>
        <v>0.1065</v>
      </c>
      <c r="HZ216" s="618"/>
      <c r="IA216" s="618"/>
      <c r="IB216" s="618">
        <f t="shared" si="763"/>
        <v>25.000350341399081</v>
      </c>
      <c r="IC216" s="618">
        <f t="shared" si="764"/>
        <v>1E-3</v>
      </c>
      <c r="ID216" s="618"/>
      <c r="IE216" s="618">
        <f t="shared" si="765"/>
        <v>0</v>
      </c>
      <c r="IF216" s="618">
        <f t="shared" si="766"/>
        <v>40.704999999999998</v>
      </c>
      <c r="IG216" s="618"/>
      <c r="IH216" s="618">
        <f t="shared" si="767"/>
        <v>0</v>
      </c>
      <c r="II216" s="618">
        <f t="shared" si="768"/>
        <v>40.704999999999998</v>
      </c>
      <c r="IJ216" s="618"/>
      <c r="IK216" s="618">
        <f t="shared" si="769"/>
        <v>0</v>
      </c>
      <c r="IL216" s="618">
        <f t="shared" si="770"/>
        <v>40.704999999999998</v>
      </c>
      <c r="IM216" s="618"/>
      <c r="IN216" s="618">
        <f t="shared" si="771"/>
        <v>0</v>
      </c>
      <c r="IO216" s="618">
        <f t="shared" si="772"/>
        <v>40.704999999999998</v>
      </c>
      <c r="IP216" s="618"/>
      <c r="IQ216" s="618">
        <f t="shared" si="773"/>
        <v>0</v>
      </c>
      <c r="IR216" s="618">
        <f t="shared" si="774"/>
        <v>40.704999999999998</v>
      </c>
      <c r="IS216" s="645"/>
      <c r="IT216" s="639"/>
      <c r="IU216" s="639"/>
      <c r="IV216" s="639"/>
      <c r="IW216" s="639"/>
      <c r="IX216" s="639"/>
      <c r="IY216" s="639"/>
      <c r="IZ216" s="639"/>
      <c r="JA216" s="639"/>
      <c r="JB216" s="639"/>
      <c r="JC216" s="639"/>
      <c r="JD216" s="639"/>
      <c r="JE216" s="639"/>
      <c r="JF216" s="639"/>
      <c r="JG216" s="639"/>
      <c r="JH216" s="639"/>
      <c r="JI216" s="639"/>
      <c r="JJ216" s="639"/>
      <c r="JK216" s="639"/>
      <c r="JL216" s="639"/>
      <c r="JM216" s="639"/>
      <c r="JN216" s="639"/>
      <c r="JO216" s="639"/>
      <c r="JP216" s="639"/>
      <c r="JQ216" s="639"/>
      <c r="JR216" s="639"/>
      <c r="JS216" s="639"/>
      <c r="JT216" s="639"/>
      <c r="JU216" s="639"/>
      <c r="JV216" s="653"/>
    </row>
    <row r="217" spans="1:282" s="612" customFormat="1">
      <c r="A217" s="611"/>
      <c r="U217" s="613"/>
      <c r="V217" s="613"/>
      <c r="AC217" s="613"/>
      <c r="AD217" s="613"/>
      <c r="AL217" s="613"/>
      <c r="AM217" s="613"/>
      <c r="AT217" s="613"/>
      <c r="AU217" s="613"/>
      <c r="CH217" s="611"/>
      <c r="CI217" s="611"/>
      <c r="CO217" s="694" t="str">
        <f t="shared" si="777"/>
        <v>L320Q-1S</v>
      </c>
      <c r="CP217" s="645"/>
      <c r="CQ217" s="618"/>
      <c r="CR217" s="618"/>
      <c r="CS217" s="618"/>
      <c r="CT217" s="626"/>
      <c r="CU217" s="626"/>
      <c r="CV217" s="626"/>
      <c r="CW217" s="641"/>
      <c r="CX217" s="641"/>
      <c r="CY217" s="624"/>
      <c r="CZ217" s="624"/>
      <c r="DA217" s="624"/>
      <c r="DB217" s="624"/>
      <c r="DC217" s="639"/>
      <c r="DD217" s="639"/>
      <c r="DE217" s="639"/>
      <c r="DF217" s="639"/>
      <c r="DG217" s="639"/>
      <c r="DH217" s="639"/>
      <c r="DI217" s="639"/>
      <c r="DJ217" s="639"/>
      <c r="DK217" s="639"/>
      <c r="DL217" s="639"/>
      <c r="DM217" s="639"/>
      <c r="DN217" s="639"/>
      <c r="DO217" s="639"/>
      <c r="DP217" s="639"/>
      <c r="DQ217" s="639"/>
      <c r="DR217" s="639"/>
      <c r="DS217" s="639"/>
      <c r="DT217" s="639"/>
      <c r="DU217" s="639"/>
      <c r="DV217" s="639"/>
      <c r="DW217" s="639"/>
      <c r="DX217" s="639"/>
      <c r="DY217" s="639"/>
      <c r="DZ217" s="639"/>
      <c r="EA217" s="639"/>
      <c r="EB217" s="639"/>
      <c r="EC217" s="639"/>
      <c r="ED217" s="639"/>
      <c r="EE217" s="639"/>
      <c r="EF217" s="639"/>
      <c r="EG217" s="639"/>
      <c r="EH217" s="639"/>
      <c r="EI217" s="639"/>
      <c r="EJ217" s="639"/>
      <c r="EK217" s="639"/>
      <c r="EL217" s="639"/>
      <c r="EM217" s="639"/>
      <c r="EN217" s="639"/>
      <c r="EO217" s="639"/>
      <c r="EP217" s="639"/>
      <c r="EQ217" s="639"/>
      <c r="ER217" s="639"/>
      <c r="ES217" s="639"/>
      <c r="ET217" s="639"/>
      <c r="EU217" s="639"/>
      <c r="EV217" s="639"/>
      <c r="EW217" s="639"/>
      <c r="EX217" s="639"/>
      <c r="EY217" s="639"/>
      <c r="EZ217" s="639"/>
      <c r="FA217" s="639"/>
      <c r="FB217" s="639"/>
      <c r="FC217" s="639"/>
      <c r="FD217" s="639"/>
      <c r="FE217" s="639"/>
      <c r="FF217" s="639"/>
      <c r="FG217" s="639"/>
      <c r="FH217" s="639"/>
      <c r="FI217" s="639"/>
      <c r="FJ217" s="639"/>
      <c r="FK217" s="639"/>
      <c r="FL217" s="639"/>
      <c r="FM217" s="639"/>
      <c r="FN217" s="639"/>
      <c r="FO217" s="639"/>
      <c r="FP217" s="639"/>
      <c r="FQ217" s="639"/>
      <c r="FR217" s="639"/>
      <c r="FS217" s="639"/>
      <c r="FT217" s="639"/>
      <c r="FU217" s="639"/>
      <c r="FV217" s="639"/>
      <c r="FW217" s="639"/>
      <c r="FX217" s="639"/>
      <c r="FY217" s="639"/>
      <c r="FZ217" s="639"/>
      <c r="GA217" s="639"/>
      <c r="GB217" s="639"/>
      <c r="GC217" s="639"/>
      <c r="GD217" s="639"/>
      <c r="GE217" s="639"/>
      <c r="GF217" s="639"/>
      <c r="GG217" s="639"/>
      <c r="GH217" s="639"/>
      <c r="GI217" s="639"/>
      <c r="GJ217" s="639"/>
      <c r="GK217" s="639"/>
      <c r="GL217" s="639"/>
      <c r="GM217" s="639"/>
      <c r="GN217" s="639"/>
      <c r="GO217" s="639"/>
      <c r="GP217" s="639"/>
      <c r="GQ217" s="639"/>
      <c r="GR217" s="639"/>
      <c r="GS217" s="639"/>
      <c r="GT217" s="639"/>
      <c r="GU217" s="639"/>
      <c r="GV217" s="639"/>
      <c r="GW217" s="639"/>
      <c r="GX217" s="639"/>
      <c r="GY217" s="639"/>
      <c r="GZ217" s="639"/>
      <c r="HA217" s="639"/>
      <c r="HB217" s="639"/>
      <c r="HC217" s="639"/>
      <c r="HD217" s="639"/>
      <c r="HE217" s="639"/>
      <c r="HF217" s="645"/>
      <c r="HG217" s="645"/>
      <c r="HH217" s="645"/>
      <c r="HI217" s="645"/>
      <c r="HJ217" s="645"/>
      <c r="HK217" s="645"/>
      <c r="HL217" s="645"/>
      <c r="HM217" s="645"/>
      <c r="HN217" s="645"/>
      <c r="HO217" s="645"/>
      <c r="HP217" s="645"/>
      <c r="HQ217" s="645"/>
      <c r="HR217" s="645">
        <v>0.107</v>
      </c>
      <c r="HS217" s="645">
        <f t="shared" si="775"/>
        <v>718.42857142857144</v>
      </c>
      <c r="HT217" s="645">
        <f t="shared" si="776"/>
        <v>1</v>
      </c>
      <c r="HU217" s="618">
        <f t="shared" si="778"/>
        <v>2.7256956341474767</v>
      </c>
      <c r="HV217" s="618"/>
      <c r="HW217" s="618">
        <f t="shared" si="762"/>
        <v>32.129512199510586</v>
      </c>
      <c r="HX217" s="618">
        <f t="shared" si="779"/>
        <v>2.5784863289116329</v>
      </c>
      <c r="HY217" s="618">
        <f t="shared" si="780"/>
        <v>0.107</v>
      </c>
      <c r="HZ217" s="618"/>
      <c r="IA217" s="618"/>
      <c r="IB217" s="618">
        <f t="shared" si="763"/>
        <v>25.000350341399081</v>
      </c>
      <c r="IC217" s="618">
        <f t="shared" si="764"/>
        <v>1E-3</v>
      </c>
      <c r="ID217" s="618"/>
      <c r="IE217" s="618">
        <f t="shared" si="765"/>
        <v>0</v>
      </c>
      <c r="IF217" s="618">
        <f t="shared" si="766"/>
        <v>40.704999999999998</v>
      </c>
      <c r="IG217" s="618"/>
      <c r="IH217" s="618">
        <f t="shared" si="767"/>
        <v>0</v>
      </c>
      <c r="II217" s="618">
        <f t="shared" si="768"/>
        <v>40.704999999999998</v>
      </c>
      <c r="IJ217" s="618"/>
      <c r="IK217" s="618">
        <f t="shared" si="769"/>
        <v>0</v>
      </c>
      <c r="IL217" s="618">
        <f t="shared" si="770"/>
        <v>40.704999999999998</v>
      </c>
      <c r="IM217" s="618"/>
      <c r="IN217" s="618">
        <f t="shared" si="771"/>
        <v>0</v>
      </c>
      <c r="IO217" s="618">
        <f t="shared" si="772"/>
        <v>40.704999999999998</v>
      </c>
      <c r="IP217" s="618"/>
      <c r="IQ217" s="618">
        <f t="shared" si="773"/>
        <v>0</v>
      </c>
      <c r="IR217" s="618">
        <f t="shared" si="774"/>
        <v>40.704999999999998</v>
      </c>
      <c r="IS217" s="645"/>
      <c r="IT217" s="639"/>
      <c r="IU217" s="639"/>
      <c r="IV217" s="639"/>
      <c r="IW217" s="639"/>
      <c r="IX217" s="639"/>
      <c r="IY217" s="639"/>
      <c r="IZ217" s="639"/>
      <c r="JA217" s="639"/>
      <c r="JB217" s="639"/>
      <c r="JC217" s="639"/>
      <c r="JD217" s="639"/>
      <c r="JE217" s="639"/>
      <c r="JF217" s="639"/>
      <c r="JG217" s="639"/>
      <c r="JH217" s="639"/>
      <c r="JI217" s="639"/>
      <c r="JJ217" s="639"/>
      <c r="JK217" s="639"/>
      <c r="JL217" s="639"/>
      <c r="JM217" s="639"/>
      <c r="JN217" s="639"/>
      <c r="JO217" s="639"/>
      <c r="JP217" s="639"/>
      <c r="JQ217" s="639"/>
      <c r="JR217" s="639"/>
      <c r="JS217" s="639"/>
      <c r="JT217" s="639"/>
      <c r="JU217" s="639"/>
      <c r="JV217" s="653"/>
    </row>
    <row r="218" spans="1:282" s="612" customFormat="1">
      <c r="A218" s="611"/>
      <c r="U218" s="613"/>
      <c r="V218" s="613"/>
      <c r="AC218" s="613"/>
      <c r="AD218" s="613"/>
      <c r="AL218" s="613"/>
      <c r="AM218" s="613"/>
      <c r="AT218" s="613"/>
      <c r="AU218" s="613"/>
      <c r="CH218" s="611"/>
      <c r="CI218" s="611"/>
      <c r="CO218" s="694" t="str">
        <f t="shared" si="777"/>
        <v>L320Q-2S</v>
      </c>
      <c r="CP218" s="645"/>
      <c r="CQ218" s="618"/>
      <c r="CR218" s="618"/>
      <c r="CS218" s="618"/>
      <c r="CT218" s="626"/>
      <c r="CU218" s="626"/>
      <c r="CV218" s="626"/>
      <c r="CW218" s="641"/>
      <c r="CX218" s="641"/>
      <c r="CY218" s="624"/>
      <c r="CZ218" s="624"/>
      <c r="DA218" s="624"/>
      <c r="DB218" s="624"/>
      <c r="DC218" s="639"/>
      <c r="DD218" s="639"/>
      <c r="DE218" s="639"/>
      <c r="DF218" s="639"/>
      <c r="DG218" s="639"/>
      <c r="DH218" s="639"/>
      <c r="DI218" s="639"/>
      <c r="DJ218" s="639"/>
      <c r="DK218" s="639"/>
      <c r="DL218" s="639"/>
      <c r="DM218" s="639"/>
      <c r="DN218" s="639"/>
      <c r="DO218" s="639"/>
      <c r="DP218" s="639"/>
      <c r="DQ218" s="639"/>
      <c r="DR218" s="639"/>
      <c r="DS218" s="639"/>
      <c r="DT218" s="639"/>
      <c r="DU218" s="639"/>
      <c r="DV218" s="639"/>
      <c r="DW218" s="639"/>
      <c r="DX218" s="639"/>
      <c r="DY218" s="639"/>
      <c r="DZ218" s="639"/>
      <c r="EA218" s="639"/>
      <c r="EB218" s="639"/>
      <c r="EC218" s="639"/>
      <c r="ED218" s="639"/>
      <c r="EE218" s="639"/>
      <c r="EF218" s="639"/>
      <c r="EG218" s="639"/>
      <c r="EH218" s="639"/>
      <c r="EI218" s="639"/>
      <c r="EJ218" s="639"/>
      <c r="EK218" s="639"/>
      <c r="EL218" s="639"/>
      <c r="EM218" s="639"/>
      <c r="EN218" s="639"/>
      <c r="EO218" s="639"/>
      <c r="EP218" s="639"/>
      <c r="EQ218" s="639"/>
      <c r="ER218" s="639"/>
      <c r="ES218" s="639"/>
      <c r="ET218" s="639"/>
      <c r="EU218" s="639"/>
      <c r="EV218" s="639"/>
      <c r="EW218" s="639"/>
      <c r="EX218" s="639"/>
      <c r="EY218" s="639"/>
      <c r="EZ218" s="639"/>
      <c r="FA218" s="639"/>
      <c r="FB218" s="639"/>
      <c r="FC218" s="639"/>
      <c r="FD218" s="639"/>
      <c r="FE218" s="639"/>
      <c r="FF218" s="639"/>
      <c r="FG218" s="639"/>
      <c r="FH218" s="639"/>
      <c r="FI218" s="639"/>
      <c r="FJ218" s="639"/>
      <c r="FK218" s="639"/>
      <c r="FL218" s="639"/>
      <c r="FM218" s="639"/>
      <c r="FN218" s="639"/>
      <c r="FO218" s="639"/>
      <c r="FP218" s="639"/>
      <c r="FQ218" s="639"/>
      <c r="FR218" s="639"/>
      <c r="FS218" s="639"/>
      <c r="FT218" s="639"/>
      <c r="FU218" s="639"/>
      <c r="FV218" s="639"/>
      <c r="FW218" s="639"/>
      <c r="FX218" s="639"/>
      <c r="FY218" s="639"/>
      <c r="FZ218" s="639"/>
      <c r="GA218" s="639"/>
      <c r="GB218" s="639"/>
      <c r="GC218" s="639"/>
      <c r="GD218" s="639"/>
      <c r="GE218" s="639"/>
      <c r="GF218" s="639"/>
      <c r="GG218" s="639"/>
      <c r="GH218" s="639"/>
      <c r="GI218" s="639"/>
      <c r="GJ218" s="639"/>
      <c r="GK218" s="639"/>
      <c r="GL218" s="639"/>
      <c r="GM218" s="639"/>
      <c r="GN218" s="639"/>
      <c r="GO218" s="639"/>
      <c r="GP218" s="639"/>
      <c r="GQ218" s="639"/>
      <c r="GR218" s="639"/>
      <c r="GS218" s="639"/>
      <c r="GT218" s="639"/>
      <c r="GU218" s="639"/>
      <c r="GV218" s="639"/>
      <c r="GW218" s="639"/>
      <c r="GX218" s="639"/>
      <c r="GY218" s="639"/>
      <c r="GZ218" s="639"/>
      <c r="HA218" s="639"/>
      <c r="HB218" s="639"/>
      <c r="HC218" s="639"/>
      <c r="HD218" s="639"/>
      <c r="HE218" s="639"/>
      <c r="HF218" s="645"/>
      <c r="HG218" s="645"/>
      <c r="HH218" s="645"/>
      <c r="HI218" s="645"/>
      <c r="HJ218" s="645"/>
      <c r="HK218" s="645"/>
      <c r="HL218" s="645"/>
      <c r="HM218" s="645"/>
      <c r="HN218" s="645"/>
      <c r="HO218" s="645"/>
      <c r="HP218" s="645"/>
      <c r="HQ218" s="645"/>
      <c r="HR218" s="645">
        <v>0.1075</v>
      </c>
      <c r="HS218" s="645">
        <f t="shared" si="775"/>
        <v>721.78571428571422</v>
      </c>
      <c r="HT218" s="645">
        <f t="shared" si="776"/>
        <v>1</v>
      </c>
      <c r="HU218" s="618">
        <f t="shared" si="778"/>
        <v>2.7384346781211018</v>
      </c>
      <c r="HV218" s="618"/>
      <c r="HW218" s="618">
        <f t="shared" si="762"/>
        <v>32.111422757068034</v>
      </c>
      <c r="HX218" s="618">
        <f t="shared" si="779"/>
        <v>2.5898493518715759</v>
      </c>
      <c r="HY218" s="618">
        <f t="shared" si="780"/>
        <v>0.1075</v>
      </c>
      <c r="HZ218" s="618"/>
      <c r="IA218" s="618"/>
      <c r="IB218" s="618">
        <f t="shared" si="763"/>
        <v>25.000350341399081</v>
      </c>
      <c r="IC218" s="618">
        <f t="shared" si="764"/>
        <v>1E-3</v>
      </c>
      <c r="ID218" s="618"/>
      <c r="IE218" s="618">
        <f t="shared" si="765"/>
        <v>0</v>
      </c>
      <c r="IF218" s="618">
        <f t="shared" si="766"/>
        <v>40.704999999999998</v>
      </c>
      <c r="IG218" s="618"/>
      <c r="IH218" s="618">
        <f t="shared" si="767"/>
        <v>0</v>
      </c>
      <c r="II218" s="618">
        <f t="shared" si="768"/>
        <v>40.704999999999998</v>
      </c>
      <c r="IJ218" s="618"/>
      <c r="IK218" s="618">
        <f t="shared" si="769"/>
        <v>0</v>
      </c>
      <c r="IL218" s="618">
        <f t="shared" si="770"/>
        <v>40.704999999999998</v>
      </c>
      <c r="IM218" s="618"/>
      <c r="IN218" s="618">
        <f t="shared" si="771"/>
        <v>0</v>
      </c>
      <c r="IO218" s="618">
        <f t="shared" si="772"/>
        <v>40.704999999999998</v>
      </c>
      <c r="IP218" s="618"/>
      <c r="IQ218" s="618">
        <f t="shared" si="773"/>
        <v>0</v>
      </c>
      <c r="IR218" s="618">
        <f t="shared" si="774"/>
        <v>40.704999999999998</v>
      </c>
      <c r="IS218" s="645"/>
      <c r="IT218" s="639"/>
      <c r="IU218" s="639"/>
      <c r="IV218" s="639"/>
      <c r="IW218" s="639"/>
      <c r="IX218" s="639"/>
      <c r="IY218" s="639"/>
      <c r="IZ218" s="639"/>
      <c r="JA218" s="639"/>
      <c r="JB218" s="639"/>
      <c r="JC218" s="639"/>
      <c r="JD218" s="639"/>
      <c r="JE218" s="639"/>
      <c r="JF218" s="639"/>
      <c r="JG218" s="639"/>
      <c r="JH218" s="639"/>
      <c r="JI218" s="639"/>
      <c r="JJ218" s="639"/>
      <c r="JK218" s="639"/>
      <c r="JL218" s="639"/>
      <c r="JM218" s="639"/>
      <c r="JN218" s="639"/>
      <c r="JO218" s="639"/>
      <c r="JP218" s="639"/>
      <c r="JQ218" s="639"/>
      <c r="JR218" s="639"/>
      <c r="JS218" s="639"/>
      <c r="JT218" s="639"/>
      <c r="JU218" s="639"/>
      <c r="JV218" s="653"/>
    </row>
    <row r="219" spans="1:282" s="612" customFormat="1">
      <c r="A219" s="611"/>
      <c r="U219" s="613"/>
      <c r="V219" s="613"/>
      <c r="AC219" s="613"/>
      <c r="AD219" s="613"/>
      <c r="AL219" s="613"/>
      <c r="AM219" s="613"/>
      <c r="AT219" s="613"/>
      <c r="AU219" s="613"/>
      <c r="CH219" s="611"/>
      <c r="CI219" s="611"/>
      <c r="CO219" s="694" t="str">
        <f t="shared" si="777"/>
        <v>L427D</v>
      </c>
      <c r="CP219" s="645"/>
      <c r="CQ219" s="618"/>
      <c r="CR219" s="618"/>
      <c r="CS219" s="618"/>
      <c r="CT219" s="626"/>
      <c r="CU219" s="626"/>
      <c r="CV219" s="626"/>
      <c r="CW219" s="641"/>
      <c r="CX219" s="641"/>
      <c r="CY219" s="624"/>
      <c r="CZ219" s="624"/>
      <c r="DA219" s="624"/>
      <c r="DB219" s="624"/>
      <c r="DC219" s="639"/>
      <c r="DD219" s="639"/>
      <c r="DE219" s="639"/>
      <c r="DF219" s="639"/>
      <c r="DG219" s="639"/>
      <c r="DH219" s="639"/>
      <c r="DI219" s="639"/>
      <c r="DJ219" s="639"/>
      <c r="DK219" s="639"/>
      <c r="DL219" s="639"/>
      <c r="DM219" s="639"/>
      <c r="DN219" s="639"/>
      <c r="DO219" s="639"/>
      <c r="DP219" s="639"/>
      <c r="DQ219" s="639"/>
      <c r="DR219" s="639"/>
      <c r="DS219" s="639"/>
      <c r="DT219" s="639"/>
      <c r="DU219" s="639"/>
      <c r="DV219" s="639"/>
      <c r="DW219" s="639"/>
      <c r="DX219" s="639"/>
      <c r="DY219" s="639"/>
      <c r="DZ219" s="639"/>
      <c r="EA219" s="639"/>
      <c r="EB219" s="639"/>
      <c r="EC219" s="639"/>
      <c r="ED219" s="639"/>
      <c r="EE219" s="639"/>
      <c r="EF219" s="639"/>
      <c r="EG219" s="639"/>
      <c r="EH219" s="639"/>
      <c r="EI219" s="639"/>
      <c r="EJ219" s="639"/>
      <c r="EK219" s="639"/>
      <c r="EL219" s="639"/>
      <c r="EM219" s="639"/>
      <c r="EN219" s="639"/>
      <c r="EO219" s="639"/>
      <c r="EP219" s="639"/>
      <c r="EQ219" s="639"/>
      <c r="ER219" s="639"/>
      <c r="ES219" s="639"/>
      <c r="ET219" s="639"/>
      <c r="EU219" s="639"/>
      <c r="EV219" s="639"/>
      <c r="EW219" s="639"/>
      <c r="EX219" s="639"/>
      <c r="EY219" s="639"/>
      <c r="EZ219" s="639"/>
      <c r="FA219" s="639"/>
      <c r="FB219" s="639"/>
      <c r="FC219" s="639"/>
      <c r="FD219" s="639"/>
      <c r="FE219" s="639"/>
      <c r="FF219" s="639"/>
      <c r="FG219" s="639"/>
      <c r="FH219" s="639"/>
      <c r="FI219" s="639"/>
      <c r="FJ219" s="639"/>
      <c r="FK219" s="639"/>
      <c r="FL219" s="639"/>
      <c r="FM219" s="639"/>
      <c r="FN219" s="639"/>
      <c r="FO219" s="639"/>
      <c r="FP219" s="639"/>
      <c r="FQ219" s="639"/>
      <c r="FR219" s="639"/>
      <c r="FS219" s="639"/>
      <c r="FT219" s="639"/>
      <c r="FU219" s="639"/>
      <c r="FV219" s="639"/>
      <c r="FW219" s="639"/>
      <c r="FX219" s="639"/>
      <c r="FY219" s="639"/>
      <c r="FZ219" s="639"/>
      <c r="GA219" s="639"/>
      <c r="GB219" s="639"/>
      <c r="GC219" s="639"/>
      <c r="GD219" s="639"/>
      <c r="GE219" s="639"/>
      <c r="GF219" s="639"/>
      <c r="GG219" s="639"/>
      <c r="GH219" s="639"/>
      <c r="GI219" s="639"/>
      <c r="GJ219" s="639"/>
      <c r="GK219" s="639"/>
      <c r="GL219" s="639"/>
      <c r="GM219" s="639"/>
      <c r="GN219" s="639"/>
      <c r="GO219" s="639"/>
      <c r="GP219" s="639"/>
      <c r="GQ219" s="639"/>
      <c r="GR219" s="639"/>
      <c r="GS219" s="639"/>
      <c r="GT219" s="639"/>
      <c r="GU219" s="639"/>
      <c r="GV219" s="639"/>
      <c r="GW219" s="639"/>
      <c r="GX219" s="639"/>
      <c r="GY219" s="639"/>
      <c r="GZ219" s="639"/>
      <c r="HA219" s="639"/>
      <c r="HB219" s="639"/>
      <c r="HC219" s="639"/>
      <c r="HD219" s="639"/>
      <c r="HE219" s="639"/>
      <c r="HF219" s="645"/>
      <c r="HG219" s="645"/>
      <c r="HH219" s="645"/>
      <c r="HI219" s="645"/>
      <c r="HJ219" s="645"/>
      <c r="HK219" s="645"/>
      <c r="HL219" s="645"/>
      <c r="HM219" s="645"/>
      <c r="HN219" s="645"/>
      <c r="HO219" s="645"/>
      <c r="HP219" s="645"/>
      <c r="HQ219" s="645"/>
      <c r="HR219" s="645">
        <v>0.108</v>
      </c>
      <c r="HS219" s="645">
        <f t="shared" si="775"/>
        <v>725.14285714285711</v>
      </c>
      <c r="HT219" s="645">
        <f t="shared" si="776"/>
        <v>1</v>
      </c>
      <c r="HU219" s="618">
        <f t="shared" si="778"/>
        <v>2.7511737220947268</v>
      </c>
      <c r="HV219" s="618"/>
      <c r="HW219" s="618">
        <f t="shared" si="762"/>
        <v>32.09333331462549</v>
      </c>
      <c r="HX219" s="618">
        <f t="shared" si="779"/>
        <v>2.6012059736592206</v>
      </c>
      <c r="HY219" s="618">
        <f t="shared" si="780"/>
        <v>0.108</v>
      </c>
      <c r="HZ219" s="618"/>
      <c r="IA219" s="618"/>
      <c r="IB219" s="618">
        <f t="shared" si="763"/>
        <v>25.000350341399081</v>
      </c>
      <c r="IC219" s="618">
        <f t="shared" si="764"/>
        <v>1E-3</v>
      </c>
      <c r="ID219" s="618"/>
      <c r="IE219" s="618">
        <f t="shared" si="765"/>
        <v>0</v>
      </c>
      <c r="IF219" s="618">
        <f t="shared" si="766"/>
        <v>40.704999999999998</v>
      </c>
      <c r="IG219" s="618"/>
      <c r="IH219" s="618">
        <f t="shared" si="767"/>
        <v>0</v>
      </c>
      <c r="II219" s="618">
        <f t="shared" si="768"/>
        <v>40.704999999999998</v>
      </c>
      <c r="IJ219" s="618"/>
      <c r="IK219" s="618">
        <f t="shared" si="769"/>
        <v>0</v>
      </c>
      <c r="IL219" s="618">
        <f t="shared" si="770"/>
        <v>40.704999999999998</v>
      </c>
      <c r="IM219" s="618"/>
      <c r="IN219" s="618">
        <f t="shared" si="771"/>
        <v>0</v>
      </c>
      <c r="IO219" s="618">
        <f t="shared" si="772"/>
        <v>40.704999999999998</v>
      </c>
      <c r="IP219" s="618"/>
      <c r="IQ219" s="618">
        <f t="shared" si="773"/>
        <v>0</v>
      </c>
      <c r="IR219" s="618">
        <f t="shared" si="774"/>
        <v>40.704999999999998</v>
      </c>
      <c r="IS219" s="645"/>
      <c r="IT219" s="639"/>
      <c r="IU219" s="639"/>
      <c r="IV219" s="639"/>
      <c r="IW219" s="639"/>
      <c r="IX219" s="639"/>
      <c r="IY219" s="639"/>
      <c r="IZ219" s="639"/>
      <c r="JA219" s="639"/>
      <c r="JB219" s="639"/>
      <c r="JC219" s="639"/>
      <c r="JD219" s="639"/>
      <c r="JE219" s="639"/>
      <c r="JF219" s="639"/>
      <c r="JG219" s="639"/>
      <c r="JH219" s="639"/>
      <c r="JI219" s="639"/>
      <c r="JJ219" s="639"/>
      <c r="JK219" s="639"/>
      <c r="JL219" s="639"/>
      <c r="JM219" s="639"/>
      <c r="JN219" s="639"/>
      <c r="JO219" s="639"/>
      <c r="JP219" s="639"/>
      <c r="JQ219" s="639"/>
      <c r="JR219" s="639"/>
      <c r="JS219" s="639"/>
      <c r="JT219" s="639"/>
      <c r="JU219" s="639"/>
      <c r="JV219" s="653"/>
    </row>
    <row r="220" spans="1:282" s="612" customFormat="1">
      <c r="A220" s="611"/>
      <c r="U220" s="613"/>
      <c r="V220" s="613"/>
      <c r="AC220" s="613"/>
      <c r="AD220" s="613"/>
      <c r="AL220" s="613"/>
      <c r="AM220" s="613"/>
      <c r="AT220" s="613"/>
      <c r="AU220" s="613"/>
      <c r="CH220" s="611"/>
      <c r="CI220" s="611"/>
      <c r="CO220" s="694" t="str">
        <f t="shared" si="777"/>
        <v>S320Q</v>
      </c>
      <c r="CP220" s="645"/>
      <c r="CQ220" s="618"/>
      <c r="CR220" s="618"/>
      <c r="CS220" s="618"/>
      <c r="CT220" s="626"/>
      <c r="CU220" s="626"/>
      <c r="CV220" s="626"/>
      <c r="CW220" s="641"/>
      <c r="CX220" s="641"/>
      <c r="CY220" s="624"/>
      <c r="CZ220" s="624"/>
      <c r="DA220" s="624"/>
      <c r="DB220" s="624"/>
      <c r="DC220" s="639"/>
      <c r="DD220" s="639"/>
      <c r="DE220" s="639"/>
      <c r="DF220" s="639"/>
      <c r="DG220" s="639"/>
      <c r="DH220" s="639"/>
      <c r="DI220" s="639"/>
      <c r="DJ220" s="639"/>
      <c r="DK220" s="639"/>
      <c r="DL220" s="639"/>
      <c r="DM220" s="639"/>
      <c r="DN220" s="639"/>
      <c r="DO220" s="639"/>
      <c r="DP220" s="639"/>
      <c r="DQ220" s="639"/>
      <c r="DR220" s="639"/>
      <c r="DS220" s="639"/>
      <c r="DT220" s="639"/>
      <c r="DU220" s="639"/>
      <c r="DV220" s="639"/>
      <c r="DW220" s="639"/>
      <c r="DX220" s="639"/>
      <c r="DY220" s="639"/>
      <c r="DZ220" s="639"/>
      <c r="EA220" s="639"/>
      <c r="EB220" s="639"/>
      <c r="EC220" s="639"/>
      <c r="ED220" s="639"/>
      <c r="EE220" s="639"/>
      <c r="EF220" s="639"/>
      <c r="EG220" s="639"/>
      <c r="EH220" s="639"/>
      <c r="EI220" s="639"/>
      <c r="EJ220" s="639"/>
      <c r="EK220" s="639"/>
      <c r="EL220" s="639"/>
      <c r="EM220" s="639"/>
      <c r="EN220" s="639"/>
      <c r="EO220" s="639"/>
      <c r="EP220" s="639"/>
      <c r="EQ220" s="639"/>
      <c r="ER220" s="639"/>
      <c r="ES220" s="639"/>
      <c r="ET220" s="639"/>
      <c r="EU220" s="639"/>
      <c r="EV220" s="639"/>
      <c r="EW220" s="639"/>
      <c r="EX220" s="639"/>
      <c r="EY220" s="639"/>
      <c r="EZ220" s="639"/>
      <c r="FA220" s="639"/>
      <c r="FB220" s="639"/>
      <c r="FC220" s="639"/>
      <c r="FD220" s="639"/>
      <c r="FE220" s="639"/>
      <c r="FF220" s="639"/>
      <c r="FG220" s="639"/>
      <c r="FH220" s="639"/>
      <c r="FI220" s="639"/>
      <c r="FJ220" s="639"/>
      <c r="FK220" s="639"/>
      <c r="FL220" s="639"/>
      <c r="FM220" s="639"/>
      <c r="FN220" s="639"/>
      <c r="FO220" s="639"/>
      <c r="FP220" s="639"/>
      <c r="FQ220" s="639"/>
      <c r="FR220" s="639"/>
      <c r="FS220" s="639"/>
      <c r="FT220" s="639"/>
      <c r="FU220" s="639"/>
      <c r="FV220" s="639"/>
      <c r="FW220" s="639"/>
      <c r="FX220" s="639"/>
      <c r="FY220" s="639"/>
      <c r="FZ220" s="639"/>
      <c r="GA220" s="639"/>
      <c r="GB220" s="639"/>
      <c r="GC220" s="639"/>
      <c r="GD220" s="639"/>
      <c r="GE220" s="639"/>
      <c r="GF220" s="639"/>
      <c r="GG220" s="639"/>
      <c r="GH220" s="639"/>
      <c r="GI220" s="639"/>
      <c r="GJ220" s="639"/>
      <c r="GK220" s="639"/>
      <c r="GL220" s="639"/>
      <c r="GM220" s="639"/>
      <c r="GN220" s="639"/>
      <c r="GO220" s="639"/>
      <c r="GP220" s="639"/>
      <c r="GQ220" s="639"/>
      <c r="GR220" s="639"/>
      <c r="GS220" s="639"/>
      <c r="GT220" s="639"/>
      <c r="GU220" s="639"/>
      <c r="GV220" s="639"/>
      <c r="GW220" s="639"/>
      <c r="GX220" s="639"/>
      <c r="GY220" s="639"/>
      <c r="GZ220" s="639"/>
      <c r="HA220" s="639"/>
      <c r="HB220" s="639"/>
      <c r="HC220" s="639"/>
      <c r="HD220" s="639"/>
      <c r="HE220" s="639"/>
      <c r="HF220" s="645"/>
      <c r="HG220" s="645"/>
      <c r="HH220" s="645"/>
      <c r="HI220" s="645"/>
      <c r="HJ220" s="645"/>
      <c r="HK220" s="645"/>
      <c r="HL220" s="645"/>
      <c r="HM220" s="645"/>
      <c r="HN220" s="645"/>
      <c r="HO220" s="645"/>
      <c r="HP220" s="645"/>
      <c r="HQ220" s="645"/>
      <c r="HR220" s="645">
        <v>0.1085</v>
      </c>
      <c r="HS220" s="645">
        <f t="shared" si="775"/>
        <v>728.5</v>
      </c>
      <c r="HT220" s="645">
        <f t="shared" si="776"/>
        <v>1</v>
      </c>
      <c r="HU220" s="618">
        <f t="shared" si="778"/>
        <v>2.7639127660683518</v>
      </c>
      <c r="HV220" s="618"/>
      <c r="HW220" s="618">
        <f t="shared" si="762"/>
        <v>32.075243872182938</v>
      </c>
      <c r="HX220" s="618">
        <f t="shared" si="779"/>
        <v>2.6125561942745672</v>
      </c>
      <c r="HY220" s="618">
        <f t="shared" si="780"/>
        <v>0.1085</v>
      </c>
      <c r="HZ220" s="618"/>
      <c r="IA220" s="618"/>
      <c r="IB220" s="618">
        <f t="shared" si="763"/>
        <v>25.000350341399081</v>
      </c>
      <c r="IC220" s="618">
        <f t="shared" si="764"/>
        <v>1E-3</v>
      </c>
      <c r="ID220" s="618"/>
      <c r="IE220" s="618">
        <f t="shared" si="765"/>
        <v>0</v>
      </c>
      <c r="IF220" s="618">
        <f t="shared" si="766"/>
        <v>40.704999999999998</v>
      </c>
      <c r="IG220" s="618"/>
      <c r="IH220" s="618">
        <f t="shared" si="767"/>
        <v>0</v>
      </c>
      <c r="II220" s="618">
        <f t="shared" si="768"/>
        <v>40.704999999999998</v>
      </c>
      <c r="IJ220" s="618"/>
      <c r="IK220" s="618">
        <f t="shared" si="769"/>
        <v>0</v>
      </c>
      <c r="IL220" s="618">
        <f t="shared" si="770"/>
        <v>40.704999999999998</v>
      </c>
      <c r="IM220" s="618"/>
      <c r="IN220" s="618">
        <f t="shared" si="771"/>
        <v>0</v>
      </c>
      <c r="IO220" s="618">
        <f t="shared" si="772"/>
        <v>40.704999999999998</v>
      </c>
      <c r="IP220" s="618"/>
      <c r="IQ220" s="618">
        <f t="shared" si="773"/>
        <v>0</v>
      </c>
      <c r="IR220" s="618">
        <f t="shared" si="774"/>
        <v>40.704999999999998</v>
      </c>
      <c r="IS220" s="645"/>
      <c r="IT220" s="639"/>
      <c r="IU220" s="639"/>
      <c r="IV220" s="639"/>
      <c r="IW220" s="639"/>
      <c r="IX220" s="639"/>
      <c r="IY220" s="639"/>
      <c r="IZ220" s="639"/>
      <c r="JA220" s="639"/>
      <c r="JB220" s="639"/>
      <c r="JC220" s="639"/>
      <c r="JD220" s="639"/>
      <c r="JE220" s="639"/>
      <c r="JF220" s="639"/>
      <c r="JG220" s="639"/>
      <c r="JH220" s="639"/>
      <c r="JI220" s="639"/>
      <c r="JJ220" s="639"/>
      <c r="JK220" s="639"/>
      <c r="JL220" s="639"/>
      <c r="JM220" s="639"/>
      <c r="JN220" s="639"/>
      <c r="JO220" s="639"/>
      <c r="JP220" s="639"/>
      <c r="JQ220" s="639"/>
      <c r="JR220" s="639"/>
      <c r="JS220" s="639"/>
      <c r="JT220" s="639"/>
      <c r="JU220" s="639"/>
      <c r="JV220" s="653"/>
    </row>
    <row r="221" spans="1:282" s="612" customFormat="1">
      <c r="A221" s="611"/>
      <c r="U221" s="613"/>
      <c r="V221" s="613"/>
      <c r="AC221" s="613"/>
      <c r="AD221" s="613"/>
      <c r="AL221" s="613"/>
      <c r="AM221" s="613"/>
      <c r="AT221" s="613"/>
      <c r="AU221" s="613"/>
      <c r="CH221" s="611"/>
      <c r="CI221" s="611"/>
      <c r="CO221" s="694" t="str">
        <f t="shared" si="777"/>
        <v>S435D 1S</v>
      </c>
      <c r="CP221" s="645"/>
      <c r="CQ221" s="618"/>
      <c r="CR221" s="618"/>
      <c r="CS221" s="618"/>
      <c r="CT221" s="626"/>
      <c r="CU221" s="626"/>
      <c r="CV221" s="626"/>
      <c r="CW221" s="641"/>
      <c r="CX221" s="641"/>
      <c r="CY221" s="624"/>
      <c r="CZ221" s="624"/>
      <c r="DA221" s="624"/>
      <c r="DB221" s="624"/>
      <c r="DC221" s="639"/>
      <c r="DD221" s="639"/>
      <c r="DE221" s="639"/>
      <c r="DF221" s="639"/>
      <c r="DG221" s="639"/>
      <c r="DH221" s="639"/>
      <c r="DI221" s="639"/>
      <c r="DJ221" s="639"/>
      <c r="DK221" s="639"/>
      <c r="DL221" s="639"/>
      <c r="DM221" s="639"/>
      <c r="DN221" s="639"/>
      <c r="DO221" s="639"/>
      <c r="DP221" s="639"/>
      <c r="DQ221" s="639"/>
      <c r="DR221" s="639"/>
      <c r="DS221" s="639"/>
      <c r="DT221" s="639"/>
      <c r="DU221" s="639"/>
      <c r="DV221" s="639"/>
      <c r="DW221" s="639"/>
      <c r="DX221" s="639"/>
      <c r="DY221" s="639"/>
      <c r="DZ221" s="639"/>
      <c r="EA221" s="639"/>
      <c r="EB221" s="639"/>
      <c r="EC221" s="639"/>
      <c r="ED221" s="639"/>
      <c r="EE221" s="639"/>
      <c r="EF221" s="639"/>
      <c r="EG221" s="639"/>
      <c r="EH221" s="639"/>
      <c r="EI221" s="639"/>
      <c r="EJ221" s="639"/>
      <c r="EK221" s="639"/>
      <c r="EL221" s="639"/>
      <c r="EM221" s="639"/>
      <c r="EN221" s="639"/>
      <c r="EO221" s="639"/>
      <c r="EP221" s="639"/>
      <c r="EQ221" s="639"/>
      <c r="ER221" s="639"/>
      <c r="ES221" s="639"/>
      <c r="ET221" s="639"/>
      <c r="EU221" s="639"/>
      <c r="EV221" s="639"/>
      <c r="EW221" s="639"/>
      <c r="EX221" s="639"/>
      <c r="EY221" s="639"/>
      <c r="EZ221" s="639"/>
      <c r="FA221" s="639"/>
      <c r="FB221" s="639"/>
      <c r="FC221" s="639"/>
      <c r="FD221" s="639"/>
      <c r="FE221" s="639"/>
      <c r="FF221" s="639"/>
      <c r="FG221" s="639"/>
      <c r="FH221" s="639"/>
      <c r="FI221" s="639"/>
      <c r="FJ221" s="639"/>
      <c r="FK221" s="639"/>
      <c r="FL221" s="639"/>
      <c r="FM221" s="639"/>
      <c r="FN221" s="639"/>
      <c r="FO221" s="639"/>
      <c r="FP221" s="639"/>
      <c r="FQ221" s="639"/>
      <c r="FR221" s="639"/>
      <c r="FS221" s="639"/>
      <c r="FT221" s="639"/>
      <c r="FU221" s="639"/>
      <c r="FV221" s="639"/>
      <c r="FW221" s="639"/>
      <c r="FX221" s="639"/>
      <c r="FY221" s="639"/>
      <c r="FZ221" s="639"/>
      <c r="GA221" s="639"/>
      <c r="GB221" s="639"/>
      <c r="GC221" s="639"/>
      <c r="GD221" s="639"/>
      <c r="GE221" s="639"/>
      <c r="GF221" s="639"/>
      <c r="GG221" s="639"/>
      <c r="GH221" s="639"/>
      <c r="GI221" s="639"/>
      <c r="GJ221" s="639"/>
      <c r="GK221" s="639"/>
      <c r="GL221" s="639"/>
      <c r="GM221" s="639"/>
      <c r="GN221" s="639"/>
      <c r="GO221" s="639"/>
      <c r="GP221" s="639"/>
      <c r="GQ221" s="639"/>
      <c r="GR221" s="639"/>
      <c r="GS221" s="639"/>
      <c r="GT221" s="639"/>
      <c r="GU221" s="639"/>
      <c r="GV221" s="639"/>
      <c r="GW221" s="639"/>
      <c r="GX221" s="639"/>
      <c r="GY221" s="639"/>
      <c r="GZ221" s="639"/>
      <c r="HA221" s="639"/>
      <c r="HB221" s="639"/>
      <c r="HC221" s="639"/>
      <c r="HD221" s="639"/>
      <c r="HE221" s="639"/>
      <c r="HF221" s="645"/>
      <c r="HG221" s="645"/>
      <c r="HH221" s="645"/>
      <c r="HI221" s="645"/>
      <c r="HJ221" s="645"/>
      <c r="HK221" s="645"/>
      <c r="HL221" s="645"/>
      <c r="HM221" s="645"/>
      <c r="HN221" s="645"/>
      <c r="HO221" s="645"/>
      <c r="HP221" s="645"/>
      <c r="HQ221" s="645"/>
      <c r="HR221" s="645">
        <v>0.109</v>
      </c>
      <c r="HS221" s="645">
        <f t="shared" si="775"/>
        <v>731.85714285714289</v>
      </c>
      <c r="HT221" s="645">
        <f t="shared" si="776"/>
        <v>1</v>
      </c>
      <c r="HU221" s="618">
        <f t="shared" si="778"/>
        <v>2.7766518100419768</v>
      </c>
      <c r="HV221" s="618"/>
      <c r="HW221" s="618">
        <f t="shared" si="762"/>
        <v>32.057154429740393</v>
      </c>
      <c r="HX221" s="618">
        <f t="shared" si="779"/>
        <v>2.6239000137176158</v>
      </c>
      <c r="HY221" s="618">
        <f t="shared" si="780"/>
        <v>0.109</v>
      </c>
      <c r="HZ221" s="618"/>
      <c r="IA221" s="618"/>
      <c r="IB221" s="618">
        <f t="shared" si="763"/>
        <v>25.000350341399081</v>
      </c>
      <c r="IC221" s="618">
        <f t="shared" si="764"/>
        <v>1E-3</v>
      </c>
      <c r="ID221" s="618"/>
      <c r="IE221" s="618">
        <f t="shared" si="765"/>
        <v>0</v>
      </c>
      <c r="IF221" s="618">
        <f t="shared" si="766"/>
        <v>40.704999999999998</v>
      </c>
      <c r="IG221" s="618"/>
      <c r="IH221" s="618">
        <f t="shared" si="767"/>
        <v>0</v>
      </c>
      <c r="II221" s="618">
        <f t="shared" si="768"/>
        <v>40.704999999999998</v>
      </c>
      <c r="IJ221" s="618"/>
      <c r="IK221" s="618">
        <f t="shared" si="769"/>
        <v>0</v>
      </c>
      <c r="IL221" s="618">
        <f t="shared" si="770"/>
        <v>40.704999999999998</v>
      </c>
      <c r="IM221" s="618"/>
      <c r="IN221" s="618">
        <f t="shared" si="771"/>
        <v>0</v>
      </c>
      <c r="IO221" s="618">
        <f t="shared" si="772"/>
        <v>40.704999999999998</v>
      </c>
      <c r="IP221" s="618"/>
      <c r="IQ221" s="618">
        <f t="shared" si="773"/>
        <v>0</v>
      </c>
      <c r="IR221" s="618">
        <f t="shared" si="774"/>
        <v>40.704999999999998</v>
      </c>
      <c r="IS221" s="645"/>
      <c r="IT221" s="639"/>
      <c r="IU221" s="639"/>
      <c r="IV221" s="639"/>
      <c r="IW221" s="639"/>
      <c r="IX221" s="639"/>
      <c r="IY221" s="639"/>
      <c r="IZ221" s="639"/>
      <c r="JA221" s="639"/>
      <c r="JB221" s="639"/>
      <c r="JC221" s="639"/>
      <c r="JD221" s="639"/>
      <c r="JE221" s="639"/>
      <c r="JF221" s="639"/>
      <c r="JG221" s="639"/>
      <c r="JH221" s="639"/>
      <c r="JI221" s="639"/>
      <c r="JJ221" s="639"/>
      <c r="JK221" s="639"/>
      <c r="JL221" s="639"/>
      <c r="JM221" s="639"/>
      <c r="JN221" s="639"/>
      <c r="JO221" s="639"/>
      <c r="JP221" s="639"/>
      <c r="JQ221" s="639"/>
      <c r="JR221" s="639"/>
      <c r="JS221" s="639"/>
      <c r="JT221" s="639"/>
      <c r="JU221" s="639"/>
      <c r="JV221" s="653"/>
    </row>
    <row r="222" spans="1:282" s="612" customFormat="1">
      <c r="A222" s="611"/>
      <c r="U222" s="613"/>
      <c r="V222" s="613"/>
      <c r="AC222" s="613"/>
      <c r="AD222" s="613"/>
      <c r="AL222" s="613"/>
      <c r="AM222" s="613"/>
      <c r="AT222" s="613"/>
      <c r="AU222" s="613"/>
      <c r="CH222" s="611"/>
      <c r="CI222" s="611"/>
      <c r="CO222" s="694" t="str">
        <f t="shared" si="777"/>
        <v>S435D</v>
      </c>
      <c r="CP222" s="645"/>
      <c r="CQ222" s="618"/>
      <c r="CR222" s="618"/>
      <c r="CS222" s="618"/>
      <c r="CT222" s="626"/>
      <c r="CU222" s="626"/>
      <c r="CV222" s="626"/>
      <c r="CW222" s="641"/>
      <c r="CX222" s="641"/>
      <c r="CY222" s="624"/>
      <c r="CZ222" s="624"/>
      <c r="DA222" s="624"/>
      <c r="DB222" s="624"/>
      <c r="DC222" s="639"/>
      <c r="DD222" s="639"/>
      <c r="DE222" s="639"/>
      <c r="DF222" s="639"/>
      <c r="DG222" s="639"/>
      <c r="DH222" s="639"/>
      <c r="DI222" s="639"/>
      <c r="DJ222" s="639"/>
      <c r="DK222" s="639"/>
      <c r="DL222" s="639"/>
      <c r="DM222" s="639"/>
      <c r="DN222" s="639"/>
      <c r="DO222" s="639"/>
      <c r="DP222" s="639"/>
      <c r="DQ222" s="639"/>
      <c r="DR222" s="639"/>
      <c r="DS222" s="639"/>
      <c r="DT222" s="639"/>
      <c r="DU222" s="639"/>
      <c r="DV222" s="639"/>
      <c r="DW222" s="639"/>
      <c r="DX222" s="639"/>
      <c r="DY222" s="639"/>
      <c r="DZ222" s="639"/>
      <c r="EA222" s="639"/>
      <c r="EB222" s="639"/>
      <c r="EC222" s="639"/>
      <c r="ED222" s="639"/>
      <c r="EE222" s="639"/>
      <c r="EF222" s="639"/>
      <c r="EG222" s="639"/>
      <c r="EH222" s="639"/>
      <c r="EI222" s="639"/>
      <c r="EJ222" s="639"/>
      <c r="EK222" s="639"/>
      <c r="EL222" s="639"/>
      <c r="EM222" s="639"/>
      <c r="EN222" s="639"/>
      <c r="EO222" s="639"/>
      <c r="EP222" s="639"/>
      <c r="EQ222" s="639"/>
      <c r="ER222" s="639"/>
      <c r="ES222" s="639"/>
      <c r="ET222" s="639"/>
      <c r="EU222" s="639"/>
      <c r="EV222" s="639"/>
      <c r="EW222" s="639"/>
      <c r="EX222" s="639"/>
      <c r="EY222" s="639"/>
      <c r="EZ222" s="639"/>
      <c r="FA222" s="639"/>
      <c r="FB222" s="639"/>
      <c r="FC222" s="639"/>
      <c r="FD222" s="639"/>
      <c r="FE222" s="639"/>
      <c r="FF222" s="639"/>
      <c r="FG222" s="639"/>
      <c r="FH222" s="639"/>
      <c r="FI222" s="639"/>
      <c r="FJ222" s="639"/>
      <c r="FK222" s="639"/>
      <c r="FL222" s="639"/>
      <c r="FM222" s="639"/>
      <c r="FN222" s="639"/>
      <c r="FO222" s="639"/>
      <c r="FP222" s="639"/>
      <c r="FQ222" s="639"/>
      <c r="FR222" s="639"/>
      <c r="FS222" s="639"/>
      <c r="FT222" s="639"/>
      <c r="FU222" s="639"/>
      <c r="FV222" s="639"/>
      <c r="FW222" s="639"/>
      <c r="FX222" s="639"/>
      <c r="FY222" s="639"/>
      <c r="FZ222" s="639"/>
      <c r="GA222" s="639"/>
      <c r="GB222" s="639"/>
      <c r="GC222" s="639"/>
      <c r="GD222" s="639"/>
      <c r="GE222" s="639"/>
      <c r="GF222" s="639"/>
      <c r="GG222" s="639"/>
      <c r="GH222" s="639"/>
      <c r="GI222" s="639"/>
      <c r="GJ222" s="639"/>
      <c r="GK222" s="639"/>
      <c r="GL222" s="639"/>
      <c r="GM222" s="639"/>
      <c r="GN222" s="639"/>
      <c r="GO222" s="639"/>
      <c r="GP222" s="639"/>
      <c r="GQ222" s="639"/>
      <c r="GR222" s="639"/>
      <c r="GS222" s="639"/>
      <c r="GT222" s="639"/>
      <c r="GU222" s="639"/>
      <c r="GV222" s="639"/>
      <c r="GW222" s="639"/>
      <c r="GX222" s="639"/>
      <c r="GY222" s="639"/>
      <c r="GZ222" s="639"/>
      <c r="HA222" s="639"/>
      <c r="HB222" s="639"/>
      <c r="HC222" s="639"/>
      <c r="HD222" s="639"/>
      <c r="HE222" s="639"/>
      <c r="HF222" s="645"/>
      <c r="HG222" s="645"/>
      <c r="HH222" s="645"/>
      <c r="HI222" s="645"/>
      <c r="HJ222" s="645"/>
      <c r="HK222" s="645"/>
      <c r="HL222" s="645"/>
      <c r="HM222" s="645"/>
      <c r="HN222" s="645"/>
      <c r="HO222" s="645"/>
      <c r="HP222" s="645"/>
      <c r="HQ222" s="645"/>
      <c r="HR222" s="645">
        <v>0.1095</v>
      </c>
      <c r="HS222" s="645">
        <f t="shared" si="775"/>
        <v>735.21428571428567</v>
      </c>
      <c r="HT222" s="645">
        <f t="shared" si="776"/>
        <v>1</v>
      </c>
      <c r="HU222" s="618">
        <f t="shared" si="778"/>
        <v>2.7893908540156018</v>
      </c>
      <c r="HV222" s="618"/>
      <c r="HW222" s="618">
        <f t="shared" si="762"/>
        <v>32.039064987297849</v>
      </c>
      <c r="HX222" s="618">
        <f t="shared" si="779"/>
        <v>2.635237431988366</v>
      </c>
      <c r="HY222" s="618">
        <f t="shared" si="780"/>
        <v>0.1095</v>
      </c>
      <c r="HZ222" s="618"/>
      <c r="IA222" s="618"/>
      <c r="IB222" s="618">
        <f t="shared" si="763"/>
        <v>25.000350341399081</v>
      </c>
      <c r="IC222" s="618">
        <f t="shared" si="764"/>
        <v>1E-3</v>
      </c>
      <c r="ID222" s="618"/>
      <c r="IE222" s="618">
        <f t="shared" si="765"/>
        <v>0</v>
      </c>
      <c r="IF222" s="618">
        <f t="shared" si="766"/>
        <v>40.704999999999998</v>
      </c>
      <c r="IG222" s="618"/>
      <c r="IH222" s="618">
        <f t="shared" si="767"/>
        <v>0</v>
      </c>
      <c r="II222" s="618">
        <f t="shared" si="768"/>
        <v>40.704999999999998</v>
      </c>
      <c r="IJ222" s="618"/>
      <c r="IK222" s="618">
        <f t="shared" si="769"/>
        <v>0</v>
      </c>
      <c r="IL222" s="618">
        <f t="shared" si="770"/>
        <v>40.704999999999998</v>
      </c>
      <c r="IM222" s="618"/>
      <c r="IN222" s="618">
        <f t="shared" si="771"/>
        <v>0</v>
      </c>
      <c r="IO222" s="618">
        <f t="shared" si="772"/>
        <v>40.704999999999998</v>
      </c>
      <c r="IP222" s="618"/>
      <c r="IQ222" s="618">
        <f t="shared" si="773"/>
        <v>0</v>
      </c>
      <c r="IR222" s="618">
        <f t="shared" si="774"/>
        <v>40.704999999999998</v>
      </c>
      <c r="IS222" s="645"/>
      <c r="IT222" s="639"/>
      <c r="IU222" s="639"/>
      <c r="IV222" s="639"/>
      <c r="IW222" s="639"/>
      <c r="IX222" s="639"/>
      <c r="IY222" s="639"/>
      <c r="IZ222" s="639"/>
      <c r="JA222" s="639"/>
      <c r="JB222" s="639"/>
      <c r="JC222" s="639"/>
      <c r="JD222" s="639"/>
      <c r="JE222" s="639"/>
      <c r="JF222" s="639"/>
      <c r="JG222" s="639"/>
      <c r="JH222" s="639"/>
      <c r="JI222" s="639"/>
      <c r="JJ222" s="639"/>
      <c r="JK222" s="639"/>
      <c r="JL222" s="639"/>
      <c r="JM222" s="639"/>
      <c r="JN222" s="639"/>
      <c r="JO222" s="639"/>
      <c r="JP222" s="639"/>
      <c r="JQ222" s="639"/>
      <c r="JR222" s="639"/>
      <c r="JS222" s="639"/>
      <c r="JT222" s="639"/>
      <c r="JU222" s="639"/>
      <c r="JV222" s="653"/>
    </row>
    <row r="223" spans="1:282" s="612" customFormat="1">
      <c r="A223" s="611"/>
      <c r="U223" s="613"/>
      <c r="V223" s="613"/>
      <c r="AC223" s="613"/>
      <c r="AD223" s="613"/>
      <c r="AL223" s="613"/>
      <c r="AM223" s="613"/>
      <c r="AT223" s="613"/>
      <c r="AU223" s="613"/>
      <c r="CH223" s="611"/>
      <c r="CI223" s="611"/>
      <c r="CO223" s="694" t="str">
        <f t="shared" si="777"/>
        <v>L320Q-HV</v>
      </c>
      <c r="CP223" s="645"/>
      <c r="CQ223" s="618"/>
      <c r="CR223" s="618"/>
      <c r="CS223" s="618"/>
      <c r="CT223" s="626"/>
      <c r="CU223" s="626"/>
      <c r="CV223" s="626"/>
      <c r="CW223" s="641"/>
      <c r="CX223" s="641"/>
      <c r="CY223" s="624"/>
      <c r="CZ223" s="624"/>
      <c r="DA223" s="624"/>
      <c r="DB223" s="624"/>
      <c r="DC223" s="639"/>
      <c r="DD223" s="639"/>
      <c r="DE223" s="639"/>
      <c r="DF223" s="639"/>
      <c r="DG223" s="639"/>
      <c r="DH223" s="639"/>
      <c r="DI223" s="639"/>
      <c r="DJ223" s="639"/>
      <c r="DK223" s="639"/>
      <c r="DL223" s="639"/>
      <c r="DM223" s="639"/>
      <c r="DN223" s="639"/>
      <c r="DO223" s="639"/>
      <c r="DP223" s="639"/>
      <c r="DQ223" s="639"/>
      <c r="DR223" s="639"/>
      <c r="DS223" s="639"/>
      <c r="DT223" s="639"/>
      <c r="DU223" s="639"/>
      <c r="DV223" s="639"/>
      <c r="DW223" s="639"/>
      <c r="DX223" s="639"/>
      <c r="DY223" s="639"/>
      <c r="DZ223" s="639"/>
      <c r="EA223" s="639"/>
      <c r="EB223" s="639"/>
      <c r="EC223" s="639"/>
      <c r="ED223" s="639"/>
      <c r="EE223" s="639"/>
      <c r="EF223" s="639"/>
      <c r="EG223" s="639"/>
      <c r="EH223" s="639"/>
      <c r="EI223" s="639"/>
      <c r="EJ223" s="639"/>
      <c r="EK223" s="639"/>
      <c r="EL223" s="639"/>
      <c r="EM223" s="639"/>
      <c r="EN223" s="639"/>
      <c r="EO223" s="639"/>
      <c r="EP223" s="639"/>
      <c r="EQ223" s="639"/>
      <c r="ER223" s="639"/>
      <c r="ES223" s="639"/>
      <c r="ET223" s="639"/>
      <c r="EU223" s="639"/>
      <c r="EV223" s="639"/>
      <c r="EW223" s="639"/>
      <c r="EX223" s="639"/>
      <c r="EY223" s="639"/>
      <c r="EZ223" s="639"/>
      <c r="FA223" s="639"/>
      <c r="FB223" s="639"/>
      <c r="FC223" s="639"/>
      <c r="FD223" s="639"/>
      <c r="FE223" s="639"/>
      <c r="FF223" s="639"/>
      <c r="FG223" s="639"/>
      <c r="FH223" s="639"/>
      <c r="FI223" s="639"/>
      <c r="FJ223" s="639"/>
      <c r="FK223" s="639"/>
      <c r="FL223" s="639"/>
      <c r="FM223" s="639"/>
      <c r="FN223" s="639"/>
      <c r="FO223" s="639"/>
      <c r="FP223" s="639"/>
      <c r="FQ223" s="639"/>
      <c r="FR223" s="639"/>
      <c r="FS223" s="639"/>
      <c r="FT223" s="639"/>
      <c r="FU223" s="639"/>
      <c r="FV223" s="639"/>
      <c r="FW223" s="639"/>
      <c r="FX223" s="639"/>
      <c r="FY223" s="639"/>
      <c r="FZ223" s="639"/>
      <c r="GA223" s="639"/>
      <c r="GB223" s="639"/>
      <c r="GC223" s="639"/>
      <c r="GD223" s="639"/>
      <c r="GE223" s="639"/>
      <c r="GF223" s="639"/>
      <c r="GG223" s="639"/>
      <c r="GH223" s="639"/>
      <c r="GI223" s="639"/>
      <c r="GJ223" s="639"/>
      <c r="GK223" s="639"/>
      <c r="GL223" s="639"/>
      <c r="GM223" s="639"/>
      <c r="GN223" s="639"/>
      <c r="GO223" s="639"/>
      <c r="GP223" s="639"/>
      <c r="GQ223" s="639"/>
      <c r="GR223" s="639"/>
      <c r="GS223" s="639"/>
      <c r="GT223" s="639"/>
      <c r="GU223" s="639"/>
      <c r="GV223" s="639"/>
      <c r="GW223" s="639"/>
      <c r="GX223" s="639"/>
      <c r="GY223" s="639"/>
      <c r="GZ223" s="639"/>
      <c r="HA223" s="639"/>
      <c r="HB223" s="639"/>
      <c r="HC223" s="639"/>
      <c r="HD223" s="639"/>
      <c r="HE223" s="639"/>
      <c r="HF223" s="645"/>
      <c r="HG223" s="645"/>
      <c r="HH223" s="645"/>
      <c r="HI223" s="645"/>
      <c r="HJ223" s="645"/>
      <c r="HK223" s="645"/>
      <c r="HL223" s="645"/>
      <c r="HM223" s="645"/>
      <c r="HN223" s="645"/>
      <c r="HO223" s="645"/>
      <c r="HP223" s="645"/>
      <c r="HQ223" s="645"/>
      <c r="HR223" s="645">
        <v>0.11</v>
      </c>
      <c r="HS223" s="645">
        <f t="shared" si="775"/>
        <v>738.57142857142856</v>
      </c>
      <c r="HT223" s="645">
        <f t="shared" si="776"/>
        <v>1</v>
      </c>
      <c r="HU223" s="618">
        <f t="shared" si="778"/>
        <v>2.8021298979892268</v>
      </c>
      <c r="HV223" s="618"/>
      <c r="HW223" s="618">
        <f t="shared" si="762"/>
        <v>32.020975544855297</v>
      </c>
      <c r="HX223" s="618">
        <f t="shared" si="779"/>
        <v>2.6465684490868182</v>
      </c>
      <c r="HY223" s="618">
        <f t="shared" si="780"/>
        <v>0.11</v>
      </c>
      <c r="HZ223" s="618"/>
      <c r="IA223" s="618"/>
      <c r="IB223" s="618">
        <f t="shared" si="763"/>
        <v>25.000350341399081</v>
      </c>
      <c r="IC223" s="618">
        <f t="shared" si="764"/>
        <v>1E-3</v>
      </c>
      <c r="ID223" s="618"/>
      <c r="IE223" s="618">
        <f t="shared" si="765"/>
        <v>0</v>
      </c>
      <c r="IF223" s="618">
        <f t="shared" si="766"/>
        <v>40.704999999999998</v>
      </c>
      <c r="IG223" s="618"/>
      <c r="IH223" s="618">
        <f t="shared" si="767"/>
        <v>0</v>
      </c>
      <c r="II223" s="618">
        <f t="shared" si="768"/>
        <v>40.704999999999998</v>
      </c>
      <c r="IJ223" s="618"/>
      <c r="IK223" s="618">
        <f t="shared" si="769"/>
        <v>0</v>
      </c>
      <c r="IL223" s="618">
        <f t="shared" si="770"/>
        <v>40.704999999999998</v>
      </c>
      <c r="IM223" s="618"/>
      <c r="IN223" s="618">
        <f t="shared" si="771"/>
        <v>0</v>
      </c>
      <c r="IO223" s="618">
        <f t="shared" si="772"/>
        <v>40.704999999999998</v>
      </c>
      <c r="IP223" s="618"/>
      <c r="IQ223" s="618">
        <f t="shared" si="773"/>
        <v>0</v>
      </c>
      <c r="IR223" s="618">
        <f t="shared" si="774"/>
        <v>40.704999999999998</v>
      </c>
      <c r="IS223" s="645"/>
      <c r="IT223" s="639"/>
      <c r="IU223" s="639"/>
      <c r="IV223" s="639"/>
      <c r="IW223" s="639"/>
      <c r="IX223" s="639"/>
      <c r="IY223" s="639"/>
      <c r="IZ223" s="639"/>
      <c r="JA223" s="639"/>
      <c r="JB223" s="639"/>
      <c r="JC223" s="639"/>
      <c r="JD223" s="639"/>
      <c r="JE223" s="639"/>
      <c r="JF223" s="639"/>
      <c r="JG223" s="639"/>
      <c r="JH223" s="639"/>
      <c r="JI223" s="639"/>
      <c r="JJ223" s="639"/>
      <c r="JK223" s="639"/>
      <c r="JL223" s="639"/>
      <c r="JM223" s="639"/>
      <c r="JN223" s="639"/>
      <c r="JO223" s="639"/>
      <c r="JP223" s="639"/>
      <c r="JQ223" s="639"/>
      <c r="JR223" s="639"/>
      <c r="JS223" s="639"/>
      <c r="JT223" s="639"/>
      <c r="JU223" s="639"/>
      <c r="JV223" s="653"/>
    </row>
    <row r="224" spans="1:282" s="612" customFormat="1">
      <c r="A224" s="611"/>
      <c r="U224" s="613"/>
      <c r="V224" s="613"/>
      <c r="AC224" s="613"/>
      <c r="AD224" s="613"/>
      <c r="AL224" s="613"/>
      <c r="AM224" s="613"/>
      <c r="AT224" s="613"/>
      <c r="AU224" s="613"/>
      <c r="CH224" s="611"/>
      <c r="CI224" s="611"/>
      <c r="CO224" s="694" t="str">
        <f t="shared" si="777"/>
        <v>S250X</v>
      </c>
      <c r="CP224" s="645"/>
      <c r="CQ224" s="618"/>
      <c r="CR224" s="618"/>
      <c r="CS224" s="618"/>
      <c r="CT224" s="626"/>
      <c r="CU224" s="626"/>
      <c r="CV224" s="626"/>
      <c r="CW224" s="641"/>
      <c r="CX224" s="641"/>
      <c r="CY224" s="624"/>
      <c r="CZ224" s="624"/>
      <c r="DA224" s="624"/>
      <c r="DB224" s="624"/>
      <c r="DC224" s="639"/>
      <c r="DD224" s="639"/>
      <c r="DE224" s="639"/>
      <c r="DF224" s="639"/>
      <c r="DG224" s="639"/>
      <c r="DH224" s="639"/>
      <c r="DI224" s="639"/>
      <c r="DJ224" s="639"/>
      <c r="DK224" s="639"/>
      <c r="DL224" s="639"/>
      <c r="DM224" s="639"/>
      <c r="DN224" s="639"/>
      <c r="DO224" s="639"/>
      <c r="DP224" s="639"/>
      <c r="DQ224" s="639"/>
      <c r="DR224" s="639"/>
      <c r="DS224" s="639"/>
      <c r="DT224" s="639"/>
      <c r="DU224" s="639"/>
      <c r="DV224" s="639"/>
      <c r="DW224" s="639"/>
      <c r="DX224" s="639"/>
      <c r="DY224" s="639"/>
      <c r="DZ224" s="639"/>
      <c r="EA224" s="639"/>
      <c r="EB224" s="639"/>
      <c r="EC224" s="639"/>
      <c r="ED224" s="639"/>
      <c r="EE224" s="639"/>
      <c r="EF224" s="639"/>
      <c r="EG224" s="639"/>
      <c r="EH224" s="639"/>
      <c r="EI224" s="639"/>
      <c r="EJ224" s="639"/>
      <c r="EK224" s="639"/>
      <c r="EL224" s="639"/>
      <c r="EM224" s="639"/>
      <c r="EN224" s="639"/>
      <c r="EO224" s="639"/>
      <c r="EP224" s="639"/>
      <c r="EQ224" s="639"/>
      <c r="ER224" s="639"/>
      <c r="ES224" s="639"/>
      <c r="ET224" s="639"/>
      <c r="EU224" s="639"/>
      <c r="EV224" s="639"/>
      <c r="EW224" s="639"/>
      <c r="EX224" s="639"/>
      <c r="EY224" s="639"/>
      <c r="EZ224" s="639"/>
      <c r="FA224" s="639"/>
      <c r="FB224" s="639"/>
      <c r="FC224" s="639"/>
      <c r="FD224" s="639"/>
      <c r="FE224" s="639"/>
      <c r="FF224" s="639"/>
      <c r="FG224" s="639"/>
      <c r="FH224" s="639"/>
      <c r="FI224" s="639"/>
      <c r="FJ224" s="639"/>
      <c r="FK224" s="639"/>
      <c r="FL224" s="639"/>
      <c r="FM224" s="639"/>
      <c r="FN224" s="639"/>
      <c r="FO224" s="639"/>
      <c r="FP224" s="639"/>
      <c r="FQ224" s="639"/>
      <c r="FR224" s="639"/>
      <c r="FS224" s="639"/>
      <c r="FT224" s="639"/>
      <c r="FU224" s="639"/>
      <c r="FV224" s="639"/>
      <c r="FW224" s="639"/>
      <c r="FX224" s="639"/>
      <c r="FY224" s="639"/>
      <c r="FZ224" s="639"/>
      <c r="GA224" s="639"/>
      <c r="GB224" s="639"/>
      <c r="GC224" s="639"/>
      <c r="GD224" s="639"/>
      <c r="GE224" s="639"/>
      <c r="GF224" s="639"/>
      <c r="GG224" s="639"/>
      <c r="GH224" s="639"/>
      <c r="GI224" s="639"/>
      <c r="GJ224" s="639"/>
      <c r="GK224" s="639"/>
      <c r="GL224" s="639"/>
      <c r="GM224" s="639"/>
      <c r="GN224" s="639"/>
      <c r="GO224" s="639"/>
      <c r="GP224" s="639"/>
      <c r="GQ224" s="639"/>
      <c r="GR224" s="639"/>
      <c r="GS224" s="639"/>
      <c r="GT224" s="639"/>
      <c r="GU224" s="639"/>
      <c r="GV224" s="639"/>
      <c r="GW224" s="639"/>
      <c r="GX224" s="639"/>
      <c r="GY224" s="639"/>
      <c r="GZ224" s="639"/>
      <c r="HA224" s="639"/>
      <c r="HB224" s="639"/>
      <c r="HC224" s="639"/>
      <c r="HD224" s="639"/>
      <c r="HE224" s="639"/>
      <c r="HF224" s="645"/>
      <c r="HG224" s="645"/>
      <c r="HH224" s="645"/>
      <c r="HI224" s="645"/>
      <c r="HJ224" s="645"/>
      <c r="HK224" s="645"/>
      <c r="HL224" s="645"/>
      <c r="HM224" s="645"/>
      <c r="HN224" s="645"/>
      <c r="HO224" s="645"/>
      <c r="HP224" s="645"/>
      <c r="HQ224" s="645"/>
      <c r="HR224" s="645">
        <v>0.1105</v>
      </c>
      <c r="HS224" s="645">
        <f t="shared" si="775"/>
        <v>741.92857142857144</v>
      </c>
      <c r="HT224" s="645">
        <f t="shared" si="776"/>
        <v>1</v>
      </c>
      <c r="HU224" s="618">
        <f t="shared" si="778"/>
        <v>2.8148689419628519</v>
      </c>
      <c r="HV224" s="618"/>
      <c r="HW224" s="618">
        <f t="shared" si="762"/>
        <v>32.002886102412752</v>
      </c>
      <c r="HX224" s="618">
        <f t="shared" si="779"/>
        <v>2.657893065012972</v>
      </c>
      <c r="HY224" s="618">
        <f t="shared" si="780"/>
        <v>0.1105</v>
      </c>
      <c r="HZ224" s="618"/>
      <c r="IA224" s="618"/>
      <c r="IB224" s="618">
        <f t="shared" si="763"/>
        <v>25.000350341399081</v>
      </c>
      <c r="IC224" s="618">
        <f t="shared" si="764"/>
        <v>1E-3</v>
      </c>
      <c r="ID224" s="618"/>
      <c r="IE224" s="618">
        <f t="shared" si="765"/>
        <v>0</v>
      </c>
      <c r="IF224" s="618">
        <f t="shared" si="766"/>
        <v>40.704999999999998</v>
      </c>
      <c r="IG224" s="618"/>
      <c r="IH224" s="618">
        <f t="shared" si="767"/>
        <v>0</v>
      </c>
      <c r="II224" s="618">
        <f t="shared" si="768"/>
        <v>40.704999999999998</v>
      </c>
      <c r="IJ224" s="618"/>
      <c r="IK224" s="618">
        <f t="shared" si="769"/>
        <v>0</v>
      </c>
      <c r="IL224" s="618">
        <f t="shared" si="770"/>
        <v>40.704999999999998</v>
      </c>
      <c r="IM224" s="618"/>
      <c r="IN224" s="618">
        <f t="shared" si="771"/>
        <v>0</v>
      </c>
      <c r="IO224" s="618">
        <f t="shared" si="772"/>
        <v>40.704999999999998</v>
      </c>
      <c r="IP224" s="618"/>
      <c r="IQ224" s="618">
        <f t="shared" si="773"/>
        <v>0</v>
      </c>
      <c r="IR224" s="618">
        <f t="shared" si="774"/>
        <v>40.704999999999998</v>
      </c>
      <c r="IS224" s="645"/>
      <c r="IT224" s="639"/>
      <c r="IU224" s="639"/>
      <c r="IV224" s="639"/>
      <c r="IW224" s="639"/>
      <c r="IX224" s="639"/>
      <c r="IY224" s="639"/>
      <c r="IZ224" s="639"/>
      <c r="JA224" s="639"/>
      <c r="JB224" s="639"/>
      <c r="JC224" s="639"/>
      <c r="JD224" s="639"/>
      <c r="JE224" s="639"/>
      <c r="JF224" s="639"/>
      <c r="JG224" s="639"/>
      <c r="JH224" s="639"/>
      <c r="JI224" s="639"/>
      <c r="JJ224" s="639"/>
      <c r="JK224" s="639"/>
      <c r="JL224" s="639"/>
      <c r="JM224" s="639"/>
      <c r="JN224" s="639"/>
      <c r="JO224" s="639"/>
      <c r="JP224" s="639"/>
      <c r="JQ224" s="639"/>
      <c r="JR224" s="639"/>
      <c r="JS224" s="639"/>
      <c r="JT224" s="639"/>
      <c r="JU224" s="639"/>
      <c r="JV224" s="653"/>
    </row>
    <row r="225" spans="1:282" s="612" customFormat="1">
      <c r="A225" s="611"/>
      <c r="U225" s="613"/>
      <c r="V225" s="613"/>
      <c r="AC225" s="613"/>
      <c r="AD225" s="613"/>
      <c r="AL225" s="613"/>
      <c r="AM225" s="613"/>
      <c r="AT225" s="613"/>
      <c r="AU225" s="613"/>
      <c r="CH225" s="611"/>
      <c r="CI225" s="611"/>
      <c r="CO225" s="694" t="str">
        <f t="shared" si="777"/>
        <v>S350T</v>
      </c>
      <c r="CP225" s="645"/>
      <c r="CQ225" s="618"/>
      <c r="CR225" s="618"/>
      <c r="CS225" s="618"/>
      <c r="CT225" s="626"/>
      <c r="CU225" s="626"/>
      <c r="CV225" s="626"/>
      <c r="CW225" s="641"/>
      <c r="CX225" s="641"/>
      <c r="CY225" s="624"/>
      <c r="CZ225" s="624"/>
      <c r="DA225" s="624"/>
      <c r="DB225" s="624"/>
      <c r="DC225" s="639"/>
      <c r="DD225" s="639"/>
      <c r="DE225" s="639"/>
      <c r="DF225" s="639"/>
      <c r="DG225" s="639"/>
      <c r="DH225" s="639"/>
      <c r="DI225" s="639"/>
      <c r="DJ225" s="639"/>
      <c r="DK225" s="639"/>
      <c r="DL225" s="639"/>
      <c r="DM225" s="639"/>
      <c r="DN225" s="639"/>
      <c r="DO225" s="639"/>
      <c r="DP225" s="639"/>
      <c r="DQ225" s="639"/>
      <c r="DR225" s="639"/>
      <c r="DS225" s="639"/>
      <c r="DT225" s="639"/>
      <c r="DU225" s="639"/>
      <c r="DV225" s="639"/>
      <c r="DW225" s="639"/>
      <c r="DX225" s="639"/>
      <c r="DY225" s="639"/>
      <c r="DZ225" s="639"/>
      <c r="EA225" s="639"/>
      <c r="EB225" s="639"/>
      <c r="EC225" s="639"/>
      <c r="ED225" s="639"/>
      <c r="EE225" s="639"/>
      <c r="EF225" s="639"/>
      <c r="EG225" s="639"/>
      <c r="EH225" s="639"/>
      <c r="EI225" s="639"/>
      <c r="EJ225" s="639"/>
      <c r="EK225" s="639"/>
      <c r="EL225" s="639"/>
      <c r="EM225" s="639"/>
      <c r="EN225" s="639"/>
      <c r="EO225" s="639"/>
      <c r="EP225" s="639"/>
      <c r="EQ225" s="639"/>
      <c r="ER225" s="639"/>
      <c r="ES225" s="639"/>
      <c r="ET225" s="639"/>
      <c r="EU225" s="639"/>
      <c r="EV225" s="639"/>
      <c r="EW225" s="639"/>
      <c r="EX225" s="639"/>
      <c r="EY225" s="639"/>
      <c r="EZ225" s="639"/>
      <c r="FA225" s="639"/>
      <c r="FB225" s="639"/>
      <c r="FC225" s="639"/>
      <c r="FD225" s="639"/>
      <c r="FE225" s="639"/>
      <c r="FF225" s="639"/>
      <c r="FG225" s="639"/>
      <c r="FH225" s="639"/>
      <c r="FI225" s="639"/>
      <c r="FJ225" s="639"/>
      <c r="FK225" s="639"/>
      <c r="FL225" s="639"/>
      <c r="FM225" s="639"/>
      <c r="FN225" s="639"/>
      <c r="FO225" s="639"/>
      <c r="FP225" s="639"/>
      <c r="FQ225" s="639"/>
      <c r="FR225" s="639"/>
      <c r="FS225" s="639"/>
      <c r="FT225" s="639"/>
      <c r="FU225" s="639"/>
      <c r="FV225" s="639"/>
      <c r="FW225" s="639"/>
      <c r="FX225" s="639"/>
      <c r="FY225" s="639"/>
      <c r="FZ225" s="639"/>
      <c r="GA225" s="639"/>
      <c r="GB225" s="639"/>
      <c r="GC225" s="639"/>
      <c r="GD225" s="639"/>
      <c r="GE225" s="639"/>
      <c r="GF225" s="639"/>
      <c r="GG225" s="639"/>
      <c r="GH225" s="639"/>
      <c r="GI225" s="639"/>
      <c r="GJ225" s="639"/>
      <c r="GK225" s="639"/>
      <c r="GL225" s="639"/>
      <c r="GM225" s="639"/>
      <c r="GN225" s="639"/>
      <c r="GO225" s="639"/>
      <c r="GP225" s="639"/>
      <c r="GQ225" s="639"/>
      <c r="GR225" s="639"/>
      <c r="GS225" s="639"/>
      <c r="GT225" s="639"/>
      <c r="GU225" s="639"/>
      <c r="GV225" s="639"/>
      <c r="GW225" s="639"/>
      <c r="GX225" s="639"/>
      <c r="GY225" s="639"/>
      <c r="GZ225" s="639"/>
      <c r="HA225" s="639"/>
      <c r="HB225" s="639"/>
      <c r="HC225" s="639"/>
      <c r="HD225" s="639"/>
      <c r="HE225" s="639"/>
      <c r="HF225" s="645"/>
      <c r="HG225" s="645"/>
      <c r="HH225" s="645"/>
      <c r="HI225" s="645"/>
      <c r="HJ225" s="645"/>
      <c r="HK225" s="645"/>
      <c r="HL225" s="645"/>
      <c r="HM225" s="645"/>
      <c r="HN225" s="645"/>
      <c r="HO225" s="645"/>
      <c r="HP225" s="645"/>
      <c r="HQ225" s="645"/>
      <c r="HR225" s="645">
        <v>0.111</v>
      </c>
      <c r="HS225" s="645">
        <f t="shared" si="775"/>
        <v>745.28571428571433</v>
      </c>
      <c r="HT225" s="645">
        <f t="shared" si="776"/>
        <v>1</v>
      </c>
      <c r="HU225" s="618">
        <f t="shared" si="778"/>
        <v>2.8276079859364769</v>
      </c>
      <c r="HV225" s="618"/>
      <c r="HW225" s="618">
        <f t="shared" si="762"/>
        <v>31.984796659970204</v>
      </c>
      <c r="HX225" s="618">
        <f t="shared" si="779"/>
        <v>2.6692112797668277</v>
      </c>
      <c r="HY225" s="618">
        <f t="shared" si="780"/>
        <v>0.111</v>
      </c>
      <c r="HZ225" s="618"/>
      <c r="IA225" s="618"/>
      <c r="IB225" s="618">
        <f t="shared" si="763"/>
        <v>25.000350341399081</v>
      </c>
      <c r="IC225" s="618">
        <f t="shared" si="764"/>
        <v>1E-3</v>
      </c>
      <c r="ID225" s="618"/>
      <c r="IE225" s="618">
        <f t="shared" si="765"/>
        <v>0</v>
      </c>
      <c r="IF225" s="618">
        <f t="shared" si="766"/>
        <v>40.704999999999998</v>
      </c>
      <c r="IG225" s="618"/>
      <c r="IH225" s="618">
        <f t="shared" si="767"/>
        <v>0</v>
      </c>
      <c r="II225" s="618">
        <f t="shared" si="768"/>
        <v>40.704999999999998</v>
      </c>
      <c r="IJ225" s="618"/>
      <c r="IK225" s="618">
        <f t="shared" si="769"/>
        <v>0</v>
      </c>
      <c r="IL225" s="618">
        <f t="shared" si="770"/>
        <v>40.704999999999998</v>
      </c>
      <c r="IM225" s="618"/>
      <c r="IN225" s="618">
        <f t="shared" si="771"/>
        <v>0</v>
      </c>
      <c r="IO225" s="618">
        <f t="shared" si="772"/>
        <v>40.704999999999998</v>
      </c>
      <c r="IP225" s="618"/>
      <c r="IQ225" s="618">
        <f t="shared" si="773"/>
        <v>0</v>
      </c>
      <c r="IR225" s="618">
        <f t="shared" si="774"/>
        <v>40.704999999999998</v>
      </c>
      <c r="IS225" s="645"/>
      <c r="IT225" s="639"/>
      <c r="IU225" s="639"/>
      <c r="IV225" s="639"/>
      <c r="IW225" s="639"/>
      <c r="IX225" s="639"/>
      <c r="IY225" s="639"/>
      <c r="IZ225" s="639"/>
      <c r="JA225" s="639"/>
      <c r="JB225" s="639"/>
      <c r="JC225" s="639"/>
      <c r="JD225" s="639"/>
      <c r="JE225" s="639"/>
      <c r="JF225" s="639"/>
      <c r="JG225" s="639"/>
      <c r="JH225" s="639"/>
      <c r="JI225" s="639"/>
      <c r="JJ225" s="639"/>
      <c r="JK225" s="639"/>
      <c r="JL225" s="639"/>
      <c r="JM225" s="639"/>
      <c r="JN225" s="639"/>
      <c r="JO225" s="639"/>
      <c r="JP225" s="639"/>
      <c r="JQ225" s="639"/>
      <c r="JR225" s="639"/>
      <c r="JS225" s="639"/>
      <c r="JT225" s="639"/>
      <c r="JU225" s="639"/>
      <c r="JV225" s="653"/>
    </row>
    <row r="226" spans="1:282" s="612" customFormat="1">
      <c r="A226" s="611"/>
      <c r="U226" s="613"/>
      <c r="V226" s="613"/>
      <c r="AC226" s="613"/>
      <c r="AD226" s="613"/>
      <c r="AL226" s="613"/>
      <c r="AM226" s="613"/>
      <c r="AT226" s="613"/>
      <c r="AU226" s="613"/>
      <c r="CH226" s="611"/>
      <c r="CI226" s="611"/>
      <c r="CO226" s="694" t="str">
        <f t="shared" si="777"/>
        <v>S350T 1S</v>
      </c>
      <c r="CP226" s="645"/>
      <c r="CQ226" s="618"/>
      <c r="CR226" s="618"/>
      <c r="CS226" s="618"/>
      <c r="CT226" s="626"/>
      <c r="CU226" s="626"/>
      <c r="CV226" s="626"/>
      <c r="CW226" s="641"/>
      <c r="CX226" s="641"/>
      <c r="CY226" s="624"/>
      <c r="CZ226" s="624"/>
      <c r="DA226" s="624"/>
      <c r="DB226" s="624"/>
      <c r="DC226" s="639"/>
      <c r="DD226" s="639"/>
      <c r="DE226" s="639"/>
      <c r="DF226" s="639"/>
      <c r="DG226" s="639"/>
      <c r="DH226" s="639"/>
      <c r="DI226" s="639"/>
      <c r="DJ226" s="639"/>
      <c r="DK226" s="639"/>
      <c r="DL226" s="639"/>
      <c r="DM226" s="639"/>
      <c r="DN226" s="639"/>
      <c r="DO226" s="639"/>
      <c r="DP226" s="639"/>
      <c r="DQ226" s="639"/>
      <c r="DR226" s="639"/>
      <c r="DS226" s="639"/>
      <c r="DT226" s="639"/>
      <c r="DU226" s="639"/>
      <c r="DV226" s="639"/>
      <c r="DW226" s="639"/>
      <c r="DX226" s="639"/>
      <c r="DY226" s="639"/>
      <c r="DZ226" s="639"/>
      <c r="EA226" s="639"/>
      <c r="EB226" s="639"/>
      <c r="EC226" s="639"/>
      <c r="ED226" s="639"/>
      <c r="EE226" s="639"/>
      <c r="EF226" s="639"/>
      <c r="EG226" s="639"/>
      <c r="EH226" s="639"/>
      <c r="EI226" s="639"/>
      <c r="EJ226" s="639"/>
      <c r="EK226" s="639"/>
      <c r="EL226" s="639"/>
      <c r="EM226" s="639"/>
      <c r="EN226" s="639"/>
      <c r="EO226" s="639"/>
      <c r="EP226" s="639"/>
      <c r="EQ226" s="639"/>
      <c r="ER226" s="639"/>
      <c r="ES226" s="639"/>
      <c r="ET226" s="639"/>
      <c r="EU226" s="639"/>
      <c r="EV226" s="639"/>
      <c r="EW226" s="639"/>
      <c r="EX226" s="639"/>
      <c r="EY226" s="639"/>
      <c r="EZ226" s="639"/>
      <c r="FA226" s="639"/>
      <c r="FB226" s="639"/>
      <c r="FC226" s="639"/>
      <c r="FD226" s="639"/>
      <c r="FE226" s="639"/>
      <c r="FF226" s="639"/>
      <c r="FG226" s="639"/>
      <c r="FH226" s="639"/>
      <c r="FI226" s="639"/>
      <c r="FJ226" s="639"/>
      <c r="FK226" s="639"/>
      <c r="FL226" s="639"/>
      <c r="FM226" s="639"/>
      <c r="FN226" s="639"/>
      <c r="FO226" s="639"/>
      <c r="FP226" s="639"/>
      <c r="FQ226" s="639"/>
      <c r="FR226" s="639"/>
      <c r="FS226" s="639"/>
      <c r="FT226" s="639"/>
      <c r="FU226" s="639"/>
      <c r="FV226" s="639"/>
      <c r="FW226" s="639"/>
      <c r="FX226" s="639"/>
      <c r="FY226" s="639"/>
      <c r="FZ226" s="639"/>
      <c r="GA226" s="639"/>
      <c r="GB226" s="639"/>
      <c r="GC226" s="639"/>
      <c r="GD226" s="639"/>
      <c r="GE226" s="639"/>
      <c r="GF226" s="639"/>
      <c r="GG226" s="639"/>
      <c r="GH226" s="639"/>
      <c r="GI226" s="639"/>
      <c r="GJ226" s="639"/>
      <c r="GK226" s="639"/>
      <c r="GL226" s="639"/>
      <c r="GM226" s="639"/>
      <c r="GN226" s="639"/>
      <c r="GO226" s="639"/>
      <c r="GP226" s="639"/>
      <c r="GQ226" s="639"/>
      <c r="GR226" s="639"/>
      <c r="GS226" s="639"/>
      <c r="GT226" s="639"/>
      <c r="GU226" s="639"/>
      <c r="GV226" s="639"/>
      <c r="GW226" s="639"/>
      <c r="GX226" s="639"/>
      <c r="GY226" s="639"/>
      <c r="GZ226" s="639"/>
      <c r="HA226" s="639"/>
      <c r="HB226" s="639"/>
      <c r="HC226" s="639"/>
      <c r="HD226" s="639"/>
      <c r="HE226" s="639"/>
      <c r="HF226" s="645"/>
      <c r="HG226" s="645"/>
      <c r="HH226" s="645"/>
      <c r="HI226" s="645"/>
      <c r="HJ226" s="645"/>
      <c r="HK226" s="645"/>
      <c r="HL226" s="645"/>
      <c r="HM226" s="645"/>
      <c r="HN226" s="645"/>
      <c r="HO226" s="645"/>
      <c r="HP226" s="645"/>
      <c r="HQ226" s="645"/>
      <c r="HR226" s="645">
        <v>0.1115</v>
      </c>
      <c r="HS226" s="645">
        <f t="shared" si="775"/>
        <v>748.64285714285711</v>
      </c>
      <c r="HT226" s="645">
        <f t="shared" si="776"/>
        <v>1</v>
      </c>
      <c r="HU226" s="618">
        <f t="shared" si="778"/>
        <v>2.8403470299101019</v>
      </c>
      <c r="HV226" s="618"/>
      <c r="HW226" s="618">
        <f t="shared" si="762"/>
        <v>31.966707217527656</v>
      </c>
      <c r="HX226" s="618">
        <f t="shared" si="779"/>
        <v>2.6805230933483855</v>
      </c>
      <c r="HY226" s="618">
        <f t="shared" si="780"/>
        <v>0.1115</v>
      </c>
      <c r="HZ226" s="618"/>
      <c r="IA226" s="618"/>
      <c r="IB226" s="618">
        <f t="shared" si="763"/>
        <v>25.000350341399081</v>
      </c>
      <c r="IC226" s="618">
        <f t="shared" si="764"/>
        <v>1E-3</v>
      </c>
      <c r="ID226" s="618"/>
      <c r="IE226" s="618">
        <f t="shared" si="765"/>
        <v>0</v>
      </c>
      <c r="IF226" s="618">
        <f t="shared" si="766"/>
        <v>40.704999999999998</v>
      </c>
      <c r="IG226" s="618"/>
      <c r="IH226" s="618">
        <f t="shared" si="767"/>
        <v>0</v>
      </c>
      <c r="II226" s="618">
        <f t="shared" si="768"/>
        <v>40.704999999999998</v>
      </c>
      <c r="IJ226" s="618"/>
      <c r="IK226" s="618">
        <f t="shared" si="769"/>
        <v>0</v>
      </c>
      <c r="IL226" s="618">
        <f t="shared" si="770"/>
        <v>40.704999999999998</v>
      </c>
      <c r="IM226" s="618"/>
      <c r="IN226" s="618">
        <f t="shared" si="771"/>
        <v>0</v>
      </c>
      <c r="IO226" s="618">
        <f t="shared" si="772"/>
        <v>40.704999999999998</v>
      </c>
      <c r="IP226" s="618"/>
      <c r="IQ226" s="618">
        <f t="shared" si="773"/>
        <v>0</v>
      </c>
      <c r="IR226" s="618">
        <f t="shared" si="774"/>
        <v>40.704999999999998</v>
      </c>
      <c r="IS226" s="645"/>
      <c r="IT226" s="639"/>
      <c r="IU226" s="639"/>
      <c r="IV226" s="639"/>
      <c r="IW226" s="639"/>
      <c r="IX226" s="639"/>
      <c r="IY226" s="639"/>
      <c r="IZ226" s="639"/>
      <c r="JA226" s="639"/>
      <c r="JB226" s="639"/>
      <c r="JC226" s="639"/>
      <c r="JD226" s="639"/>
      <c r="JE226" s="639"/>
      <c r="JF226" s="639"/>
      <c r="JG226" s="639"/>
      <c r="JH226" s="639"/>
      <c r="JI226" s="639"/>
      <c r="JJ226" s="639"/>
      <c r="JK226" s="639"/>
      <c r="JL226" s="639"/>
      <c r="JM226" s="639"/>
      <c r="JN226" s="639"/>
      <c r="JO226" s="639"/>
      <c r="JP226" s="639"/>
      <c r="JQ226" s="639"/>
      <c r="JR226" s="639"/>
      <c r="JS226" s="639"/>
      <c r="JT226" s="639"/>
      <c r="JU226" s="639"/>
      <c r="JV226" s="653"/>
    </row>
    <row r="227" spans="1:282" s="612" customFormat="1">
      <c r="A227" s="611"/>
      <c r="U227" s="613"/>
      <c r="V227" s="613"/>
      <c r="AC227" s="613"/>
      <c r="AD227" s="613"/>
      <c r="AL227" s="613"/>
      <c r="AM227" s="613"/>
      <c r="AT227" s="613"/>
      <c r="AU227" s="613"/>
      <c r="CH227" s="611"/>
      <c r="CI227" s="611"/>
      <c r="CO227" s="694" t="str">
        <f t="shared" si="777"/>
        <v>S427T</v>
      </c>
      <c r="CP227" s="645"/>
      <c r="CQ227" s="618"/>
      <c r="CR227" s="618"/>
      <c r="CS227" s="618"/>
      <c r="CT227" s="626"/>
      <c r="CU227" s="626"/>
      <c r="CV227" s="626"/>
      <c r="CW227" s="641"/>
      <c r="CX227" s="641"/>
      <c r="CY227" s="624"/>
      <c r="CZ227" s="624"/>
      <c r="DA227" s="624"/>
      <c r="DB227" s="624"/>
      <c r="DC227" s="639"/>
      <c r="DD227" s="639"/>
      <c r="DE227" s="639"/>
      <c r="DF227" s="639"/>
      <c r="DG227" s="639"/>
      <c r="DH227" s="639"/>
      <c r="DI227" s="639"/>
      <c r="DJ227" s="639"/>
      <c r="DK227" s="639"/>
      <c r="DL227" s="639"/>
      <c r="DM227" s="639"/>
      <c r="DN227" s="639"/>
      <c r="DO227" s="639"/>
      <c r="DP227" s="639"/>
      <c r="DQ227" s="639"/>
      <c r="DR227" s="639"/>
      <c r="DS227" s="639"/>
      <c r="DT227" s="639"/>
      <c r="DU227" s="639"/>
      <c r="DV227" s="639"/>
      <c r="DW227" s="639"/>
      <c r="DX227" s="639"/>
      <c r="DY227" s="639"/>
      <c r="DZ227" s="639"/>
      <c r="EA227" s="639"/>
      <c r="EB227" s="639"/>
      <c r="EC227" s="639"/>
      <c r="ED227" s="639"/>
      <c r="EE227" s="639"/>
      <c r="EF227" s="639"/>
      <c r="EG227" s="639"/>
      <c r="EH227" s="639"/>
      <c r="EI227" s="639"/>
      <c r="EJ227" s="639"/>
      <c r="EK227" s="639"/>
      <c r="EL227" s="639"/>
      <c r="EM227" s="639"/>
      <c r="EN227" s="639"/>
      <c r="EO227" s="639"/>
      <c r="EP227" s="639"/>
      <c r="EQ227" s="639"/>
      <c r="ER227" s="639"/>
      <c r="ES227" s="639"/>
      <c r="ET227" s="639"/>
      <c r="EU227" s="639"/>
      <c r="EV227" s="639"/>
      <c r="EW227" s="639"/>
      <c r="EX227" s="639"/>
      <c r="EY227" s="639"/>
      <c r="EZ227" s="639"/>
      <c r="FA227" s="639"/>
      <c r="FB227" s="639"/>
      <c r="FC227" s="639"/>
      <c r="FD227" s="639"/>
      <c r="FE227" s="639"/>
      <c r="FF227" s="639"/>
      <c r="FG227" s="639"/>
      <c r="FH227" s="639"/>
      <c r="FI227" s="639"/>
      <c r="FJ227" s="639"/>
      <c r="FK227" s="639"/>
      <c r="FL227" s="639"/>
      <c r="FM227" s="639"/>
      <c r="FN227" s="639"/>
      <c r="FO227" s="639"/>
      <c r="FP227" s="639"/>
      <c r="FQ227" s="639"/>
      <c r="FR227" s="639"/>
      <c r="FS227" s="639"/>
      <c r="FT227" s="639"/>
      <c r="FU227" s="639"/>
      <c r="FV227" s="639"/>
      <c r="FW227" s="639"/>
      <c r="FX227" s="639"/>
      <c r="FY227" s="639"/>
      <c r="FZ227" s="639"/>
      <c r="GA227" s="639"/>
      <c r="GB227" s="639"/>
      <c r="GC227" s="639"/>
      <c r="GD227" s="639"/>
      <c r="GE227" s="639"/>
      <c r="GF227" s="639"/>
      <c r="GG227" s="639"/>
      <c r="GH227" s="639"/>
      <c r="GI227" s="639"/>
      <c r="GJ227" s="639"/>
      <c r="GK227" s="639"/>
      <c r="GL227" s="639"/>
      <c r="GM227" s="639"/>
      <c r="GN227" s="639"/>
      <c r="GO227" s="639"/>
      <c r="GP227" s="639"/>
      <c r="GQ227" s="639"/>
      <c r="GR227" s="639"/>
      <c r="GS227" s="639"/>
      <c r="GT227" s="639"/>
      <c r="GU227" s="639"/>
      <c r="GV227" s="639"/>
      <c r="GW227" s="639"/>
      <c r="GX227" s="639"/>
      <c r="GY227" s="639"/>
      <c r="GZ227" s="639"/>
      <c r="HA227" s="639"/>
      <c r="HB227" s="639"/>
      <c r="HC227" s="639"/>
      <c r="HD227" s="639"/>
      <c r="HE227" s="639"/>
      <c r="HF227" s="645"/>
      <c r="HG227" s="645"/>
      <c r="HH227" s="645"/>
      <c r="HI227" s="645"/>
      <c r="HJ227" s="645"/>
      <c r="HK227" s="645"/>
      <c r="HL227" s="645"/>
      <c r="HM227" s="645"/>
      <c r="HN227" s="645"/>
      <c r="HO227" s="645"/>
      <c r="HP227" s="645"/>
      <c r="HQ227" s="645"/>
      <c r="HR227" s="645">
        <v>0.112</v>
      </c>
      <c r="HS227" s="645">
        <f t="shared" si="775"/>
        <v>752</v>
      </c>
      <c r="HT227" s="645">
        <f t="shared" si="776"/>
        <v>1</v>
      </c>
      <c r="HU227" s="618">
        <f t="shared" si="778"/>
        <v>2.8530860738837269</v>
      </c>
      <c r="HV227" s="618"/>
      <c r="HW227" s="618">
        <f t="shared" si="762"/>
        <v>31.948617775085108</v>
      </c>
      <c r="HX227" s="618">
        <f t="shared" si="779"/>
        <v>2.6918285057576448</v>
      </c>
      <c r="HY227" s="618">
        <f t="shared" si="780"/>
        <v>0.112</v>
      </c>
      <c r="HZ227" s="618"/>
      <c r="IA227" s="618"/>
      <c r="IB227" s="618">
        <f t="shared" si="763"/>
        <v>25.000350341399081</v>
      </c>
      <c r="IC227" s="618">
        <f t="shared" si="764"/>
        <v>1E-3</v>
      </c>
      <c r="ID227" s="618"/>
      <c r="IE227" s="618">
        <f t="shared" si="765"/>
        <v>0</v>
      </c>
      <c r="IF227" s="618">
        <f t="shared" si="766"/>
        <v>40.704999999999998</v>
      </c>
      <c r="IG227" s="618"/>
      <c r="IH227" s="618">
        <f t="shared" si="767"/>
        <v>0</v>
      </c>
      <c r="II227" s="618">
        <f t="shared" si="768"/>
        <v>40.704999999999998</v>
      </c>
      <c r="IJ227" s="618"/>
      <c r="IK227" s="618">
        <f t="shared" si="769"/>
        <v>0</v>
      </c>
      <c r="IL227" s="618">
        <f t="shared" si="770"/>
        <v>40.704999999999998</v>
      </c>
      <c r="IM227" s="618"/>
      <c r="IN227" s="618">
        <f t="shared" si="771"/>
        <v>0</v>
      </c>
      <c r="IO227" s="618">
        <f t="shared" si="772"/>
        <v>40.704999999999998</v>
      </c>
      <c r="IP227" s="618"/>
      <c r="IQ227" s="618">
        <f t="shared" si="773"/>
        <v>0</v>
      </c>
      <c r="IR227" s="618">
        <f t="shared" si="774"/>
        <v>40.704999999999998</v>
      </c>
      <c r="IS227" s="645"/>
      <c r="IT227" s="639"/>
      <c r="IU227" s="639"/>
      <c r="IV227" s="639"/>
      <c r="IW227" s="639"/>
      <c r="IX227" s="639"/>
      <c r="IY227" s="639"/>
      <c r="IZ227" s="639"/>
      <c r="JA227" s="639"/>
      <c r="JB227" s="639"/>
      <c r="JC227" s="639"/>
      <c r="JD227" s="639"/>
      <c r="JE227" s="639"/>
      <c r="JF227" s="639"/>
      <c r="JG227" s="639"/>
      <c r="JH227" s="639"/>
      <c r="JI227" s="639"/>
      <c r="JJ227" s="639"/>
      <c r="JK227" s="639"/>
      <c r="JL227" s="639"/>
      <c r="JM227" s="639"/>
      <c r="JN227" s="639"/>
      <c r="JO227" s="639"/>
      <c r="JP227" s="639"/>
      <c r="JQ227" s="639"/>
      <c r="JR227" s="639"/>
      <c r="JS227" s="639"/>
      <c r="JT227" s="639"/>
      <c r="JU227" s="639"/>
      <c r="JV227" s="653"/>
    </row>
    <row r="228" spans="1:282" s="612" customFormat="1">
      <c r="A228" s="611"/>
      <c r="U228" s="613"/>
      <c r="V228" s="613"/>
      <c r="AC228" s="613"/>
      <c r="AD228" s="613"/>
      <c r="AL228" s="613"/>
      <c r="AM228" s="613"/>
      <c r="AT228" s="613"/>
      <c r="AU228" s="613"/>
      <c r="CH228" s="611"/>
      <c r="CI228" s="611"/>
      <c r="CO228" s="694" t="str">
        <f t="shared" si="777"/>
        <v>S427T 1S</v>
      </c>
      <c r="CP228" s="645"/>
      <c r="CQ228" s="618"/>
      <c r="CR228" s="618"/>
      <c r="CS228" s="618"/>
      <c r="CT228" s="626"/>
      <c r="CU228" s="626"/>
      <c r="CV228" s="626"/>
      <c r="CW228" s="641"/>
      <c r="CX228" s="641"/>
      <c r="CY228" s="624"/>
      <c r="CZ228" s="624"/>
      <c r="DA228" s="624"/>
      <c r="DB228" s="624"/>
      <c r="DC228" s="639"/>
      <c r="DD228" s="639"/>
      <c r="DE228" s="639"/>
      <c r="DF228" s="639"/>
      <c r="DG228" s="639"/>
      <c r="DH228" s="639"/>
      <c r="DI228" s="639"/>
      <c r="DJ228" s="639"/>
      <c r="DK228" s="639"/>
      <c r="DL228" s="639"/>
      <c r="DM228" s="639"/>
      <c r="DN228" s="639"/>
      <c r="DO228" s="639"/>
      <c r="DP228" s="639"/>
      <c r="DQ228" s="639"/>
      <c r="DR228" s="639"/>
      <c r="DS228" s="639"/>
      <c r="DT228" s="639"/>
      <c r="DU228" s="639"/>
      <c r="DV228" s="639"/>
      <c r="DW228" s="639"/>
      <c r="DX228" s="639"/>
      <c r="DY228" s="639"/>
      <c r="DZ228" s="639"/>
      <c r="EA228" s="639"/>
      <c r="EB228" s="639"/>
      <c r="EC228" s="639"/>
      <c r="ED228" s="639"/>
      <c r="EE228" s="639"/>
      <c r="EF228" s="639"/>
      <c r="EG228" s="639"/>
      <c r="EH228" s="639"/>
      <c r="EI228" s="639"/>
      <c r="EJ228" s="639"/>
      <c r="EK228" s="639"/>
      <c r="EL228" s="639"/>
      <c r="EM228" s="639"/>
      <c r="EN228" s="639"/>
      <c r="EO228" s="639"/>
      <c r="EP228" s="639"/>
      <c r="EQ228" s="639"/>
      <c r="ER228" s="639"/>
      <c r="ES228" s="639"/>
      <c r="ET228" s="639"/>
      <c r="EU228" s="639"/>
      <c r="EV228" s="639"/>
      <c r="EW228" s="639"/>
      <c r="EX228" s="639"/>
      <c r="EY228" s="639"/>
      <c r="EZ228" s="639"/>
      <c r="FA228" s="639"/>
      <c r="FB228" s="639"/>
      <c r="FC228" s="639"/>
      <c r="FD228" s="639"/>
      <c r="FE228" s="639"/>
      <c r="FF228" s="639"/>
      <c r="FG228" s="639"/>
      <c r="FH228" s="639"/>
      <c r="FI228" s="639"/>
      <c r="FJ228" s="639"/>
      <c r="FK228" s="639"/>
      <c r="FL228" s="639"/>
      <c r="FM228" s="639"/>
      <c r="FN228" s="639"/>
      <c r="FO228" s="639"/>
      <c r="FP228" s="639"/>
      <c r="FQ228" s="639"/>
      <c r="FR228" s="639"/>
      <c r="FS228" s="639"/>
      <c r="FT228" s="639"/>
      <c r="FU228" s="639"/>
      <c r="FV228" s="639"/>
      <c r="FW228" s="639"/>
      <c r="FX228" s="639"/>
      <c r="FY228" s="639"/>
      <c r="FZ228" s="639"/>
      <c r="GA228" s="639"/>
      <c r="GB228" s="639"/>
      <c r="GC228" s="639"/>
      <c r="GD228" s="639"/>
      <c r="GE228" s="639"/>
      <c r="GF228" s="639"/>
      <c r="GG228" s="639"/>
      <c r="GH228" s="639"/>
      <c r="GI228" s="639"/>
      <c r="GJ228" s="639"/>
      <c r="GK228" s="639"/>
      <c r="GL228" s="639"/>
      <c r="GM228" s="639"/>
      <c r="GN228" s="639"/>
      <c r="GO228" s="639"/>
      <c r="GP228" s="639"/>
      <c r="GQ228" s="639"/>
      <c r="GR228" s="639"/>
      <c r="GS228" s="639"/>
      <c r="GT228" s="639"/>
      <c r="GU228" s="639"/>
      <c r="GV228" s="639"/>
      <c r="GW228" s="639"/>
      <c r="GX228" s="639"/>
      <c r="GY228" s="639"/>
      <c r="GZ228" s="639"/>
      <c r="HA228" s="639"/>
      <c r="HB228" s="639"/>
      <c r="HC228" s="639"/>
      <c r="HD228" s="639"/>
      <c r="HE228" s="639"/>
      <c r="HF228" s="645"/>
      <c r="HG228" s="645"/>
      <c r="HH228" s="645"/>
      <c r="HI228" s="645"/>
      <c r="HJ228" s="645"/>
      <c r="HK228" s="645"/>
      <c r="HL228" s="645"/>
      <c r="HM228" s="645"/>
      <c r="HN228" s="645"/>
      <c r="HO228" s="645"/>
      <c r="HP228" s="645"/>
      <c r="HQ228" s="645"/>
      <c r="HR228" s="645">
        <v>0.1125</v>
      </c>
      <c r="HS228" s="645">
        <f t="shared" si="775"/>
        <v>755.35714285714289</v>
      </c>
      <c r="HT228" s="645">
        <f t="shared" si="776"/>
        <v>1</v>
      </c>
      <c r="HU228" s="618">
        <f t="shared" si="778"/>
        <v>2.8658251178573519</v>
      </c>
      <c r="HV228" s="618"/>
      <c r="HW228" s="618">
        <f t="shared" si="762"/>
        <v>31.93052833264256</v>
      </c>
      <c r="HX228" s="618">
        <f t="shared" si="779"/>
        <v>2.7031275169946061</v>
      </c>
      <c r="HY228" s="618">
        <f t="shared" si="780"/>
        <v>0.1125</v>
      </c>
      <c r="HZ228" s="618"/>
      <c r="IA228" s="618"/>
      <c r="IB228" s="618">
        <f t="shared" si="763"/>
        <v>25.000350341399081</v>
      </c>
      <c r="IC228" s="618">
        <f t="shared" si="764"/>
        <v>1E-3</v>
      </c>
      <c r="ID228" s="618"/>
      <c r="IE228" s="618">
        <f t="shared" si="765"/>
        <v>0</v>
      </c>
      <c r="IF228" s="618">
        <f t="shared" si="766"/>
        <v>40.704999999999998</v>
      </c>
      <c r="IG228" s="618"/>
      <c r="IH228" s="618">
        <f t="shared" si="767"/>
        <v>0</v>
      </c>
      <c r="II228" s="618">
        <f t="shared" si="768"/>
        <v>40.704999999999998</v>
      </c>
      <c r="IJ228" s="618"/>
      <c r="IK228" s="618">
        <f t="shared" si="769"/>
        <v>0</v>
      </c>
      <c r="IL228" s="618">
        <f t="shared" si="770"/>
        <v>40.704999999999998</v>
      </c>
      <c r="IM228" s="618"/>
      <c r="IN228" s="618">
        <f t="shared" si="771"/>
        <v>0</v>
      </c>
      <c r="IO228" s="618">
        <f t="shared" si="772"/>
        <v>40.704999999999998</v>
      </c>
      <c r="IP228" s="618"/>
      <c r="IQ228" s="618">
        <f t="shared" si="773"/>
        <v>0</v>
      </c>
      <c r="IR228" s="618">
        <f t="shared" si="774"/>
        <v>40.704999999999998</v>
      </c>
      <c r="IS228" s="645"/>
      <c r="IT228" s="639"/>
      <c r="IU228" s="639"/>
      <c r="IV228" s="639"/>
      <c r="IW228" s="639"/>
      <c r="IX228" s="639"/>
      <c r="IY228" s="639"/>
      <c r="IZ228" s="639"/>
      <c r="JA228" s="639"/>
      <c r="JB228" s="639"/>
      <c r="JC228" s="639"/>
      <c r="JD228" s="639"/>
      <c r="JE228" s="639"/>
      <c r="JF228" s="639"/>
      <c r="JG228" s="639"/>
      <c r="JH228" s="639"/>
      <c r="JI228" s="639"/>
      <c r="JJ228" s="639"/>
      <c r="JK228" s="639"/>
      <c r="JL228" s="639"/>
      <c r="JM228" s="639"/>
      <c r="JN228" s="639"/>
      <c r="JO228" s="639"/>
      <c r="JP228" s="639"/>
      <c r="JQ228" s="639"/>
      <c r="JR228" s="639"/>
      <c r="JS228" s="639"/>
      <c r="JT228" s="639"/>
      <c r="JU228" s="639"/>
      <c r="JV228" s="653"/>
    </row>
    <row r="229" spans="1:282" s="612" customFormat="1">
      <c r="A229" s="611"/>
      <c r="U229" s="613"/>
      <c r="V229" s="613"/>
      <c r="AC229" s="613"/>
      <c r="AD229" s="613"/>
      <c r="AL229" s="613"/>
      <c r="AM229" s="613"/>
      <c r="AT229" s="613"/>
      <c r="AU229" s="613"/>
      <c r="CH229" s="611"/>
      <c r="CI229" s="611"/>
      <c r="CO229" s="694" t="str">
        <f t="shared" si="777"/>
        <v>L320H</v>
      </c>
      <c r="CP229" s="645"/>
      <c r="CQ229" s="618"/>
      <c r="CR229" s="618"/>
      <c r="CS229" s="618"/>
      <c r="CT229" s="626"/>
      <c r="CU229" s="626"/>
      <c r="CV229" s="626"/>
      <c r="CW229" s="641"/>
      <c r="CX229" s="641"/>
      <c r="CY229" s="624"/>
      <c r="CZ229" s="624"/>
      <c r="DA229" s="624"/>
      <c r="DB229" s="624"/>
      <c r="DC229" s="639"/>
      <c r="DD229" s="639"/>
      <c r="DE229" s="639"/>
      <c r="DF229" s="639"/>
      <c r="DG229" s="639"/>
      <c r="DH229" s="639"/>
      <c r="DI229" s="639"/>
      <c r="DJ229" s="639"/>
      <c r="DK229" s="639"/>
      <c r="DL229" s="639"/>
      <c r="DM229" s="639"/>
      <c r="DN229" s="639"/>
      <c r="DO229" s="639"/>
      <c r="DP229" s="639"/>
      <c r="DQ229" s="639"/>
      <c r="DR229" s="639"/>
      <c r="DS229" s="639"/>
      <c r="DT229" s="639"/>
      <c r="DU229" s="639"/>
      <c r="DV229" s="639"/>
      <c r="DW229" s="639"/>
      <c r="DX229" s="639"/>
      <c r="DY229" s="639"/>
      <c r="DZ229" s="639"/>
      <c r="EA229" s="639"/>
      <c r="EB229" s="639"/>
      <c r="EC229" s="639"/>
      <c r="ED229" s="639"/>
      <c r="EE229" s="639"/>
      <c r="EF229" s="639"/>
      <c r="EG229" s="639"/>
      <c r="EH229" s="639"/>
      <c r="EI229" s="639"/>
      <c r="EJ229" s="639"/>
      <c r="EK229" s="639"/>
      <c r="EL229" s="639"/>
      <c r="EM229" s="639"/>
      <c r="EN229" s="639"/>
      <c r="EO229" s="639"/>
      <c r="EP229" s="639"/>
      <c r="EQ229" s="639"/>
      <c r="ER229" s="639"/>
      <c r="ES229" s="639"/>
      <c r="ET229" s="639"/>
      <c r="EU229" s="639"/>
      <c r="EV229" s="639"/>
      <c r="EW229" s="639"/>
      <c r="EX229" s="639"/>
      <c r="EY229" s="639"/>
      <c r="EZ229" s="639"/>
      <c r="FA229" s="639"/>
      <c r="FB229" s="639"/>
      <c r="FC229" s="639"/>
      <c r="FD229" s="639"/>
      <c r="FE229" s="639"/>
      <c r="FF229" s="639"/>
      <c r="FG229" s="639"/>
      <c r="FH229" s="639"/>
      <c r="FI229" s="639"/>
      <c r="FJ229" s="639"/>
      <c r="FK229" s="639"/>
      <c r="FL229" s="639"/>
      <c r="FM229" s="639"/>
      <c r="FN229" s="639"/>
      <c r="FO229" s="639"/>
      <c r="FP229" s="639"/>
      <c r="FQ229" s="639"/>
      <c r="FR229" s="639"/>
      <c r="FS229" s="639"/>
      <c r="FT229" s="639"/>
      <c r="FU229" s="639"/>
      <c r="FV229" s="639"/>
      <c r="FW229" s="639"/>
      <c r="FX229" s="639"/>
      <c r="FY229" s="639"/>
      <c r="FZ229" s="639"/>
      <c r="GA229" s="639"/>
      <c r="GB229" s="639"/>
      <c r="GC229" s="639"/>
      <c r="GD229" s="639"/>
      <c r="GE229" s="639"/>
      <c r="GF229" s="639"/>
      <c r="GG229" s="639"/>
      <c r="GH229" s="639"/>
      <c r="GI229" s="639"/>
      <c r="GJ229" s="639"/>
      <c r="GK229" s="639"/>
      <c r="GL229" s="639"/>
      <c r="GM229" s="639"/>
      <c r="GN229" s="639"/>
      <c r="GO229" s="639"/>
      <c r="GP229" s="639"/>
      <c r="GQ229" s="639"/>
      <c r="GR229" s="639"/>
      <c r="GS229" s="639"/>
      <c r="GT229" s="639"/>
      <c r="GU229" s="639"/>
      <c r="GV229" s="639"/>
      <c r="GW229" s="639"/>
      <c r="GX229" s="639"/>
      <c r="GY229" s="639"/>
      <c r="GZ229" s="639"/>
      <c r="HA229" s="639"/>
      <c r="HB229" s="639"/>
      <c r="HC229" s="639"/>
      <c r="HD229" s="639"/>
      <c r="HE229" s="639"/>
      <c r="HF229" s="645"/>
      <c r="HG229" s="645"/>
      <c r="HH229" s="645"/>
      <c r="HI229" s="645"/>
      <c r="HJ229" s="645"/>
      <c r="HK229" s="645"/>
      <c r="HL229" s="645"/>
      <c r="HM229" s="645"/>
      <c r="HN229" s="645"/>
      <c r="HO229" s="645"/>
      <c r="HP229" s="645"/>
      <c r="HQ229" s="645"/>
      <c r="HR229" s="645">
        <v>0.113</v>
      </c>
      <c r="HS229" s="645">
        <f t="shared" si="775"/>
        <v>758.71428571428578</v>
      </c>
      <c r="HT229" s="645">
        <f t="shared" si="776"/>
        <v>1</v>
      </c>
      <c r="HU229" s="618">
        <f t="shared" si="778"/>
        <v>2.878564161830977</v>
      </c>
      <c r="HV229" s="618"/>
      <c r="HW229" s="618">
        <f t="shared" si="762"/>
        <v>31.912438890200015</v>
      </c>
      <c r="HX229" s="618">
        <f t="shared" si="779"/>
        <v>2.7144201270592694</v>
      </c>
      <c r="HY229" s="618">
        <f t="shared" si="780"/>
        <v>0.113</v>
      </c>
      <c r="HZ229" s="618"/>
      <c r="IA229" s="618"/>
      <c r="IB229" s="618">
        <f t="shared" si="763"/>
        <v>25.000350341399081</v>
      </c>
      <c r="IC229" s="618">
        <f t="shared" si="764"/>
        <v>1E-3</v>
      </c>
      <c r="ID229" s="618"/>
      <c r="IE229" s="618">
        <f t="shared" si="765"/>
        <v>0</v>
      </c>
      <c r="IF229" s="618">
        <f t="shared" si="766"/>
        <v>40.704999999999998</v>
      </c>
      <c r="IG229" s="618"/>
      <c r="IH229" s="618">
        <f t="shared" si="767"/>
        <v>0</v>
      </c>
      <c r="II229" s="618">
        <f t="shared" si="768"/>
        <v>40.704999999999998</v>
      </c>
      <c r="IJ229" s="618"/>
      <c r="IK229" s="618">
        <f t="shared" si="769"/>
        <v>0</v>
      </c>
      <c r="IL229" s="618">
        <f t="shared" si="770"/>
        <v>40.704999999999998</v>
      </c>
      <c r="IM229" s="618"/>
      <c r="IN229" s="618">
        <f t="shared" si="771"/>
        <v>0</v>
      </c>
      <c r="IO229" s="618">
        <f t="shared" si="772"/>
        <v>40.704999999999998</v>
      </c>
      <c r="IP229" s="618"/>
      <c r="IQ229" s="618">
        <f t="shared" si="773"/>
        <v>0</v>
      </c>
      <c r="IR229" s="618">
        <f t="shared" si="774"/>
        <v>40.704999999999998</v>
      </c>
      <c r="IS229" s="645"/>
      <c r="IT229" s="639"/>
      <c r="IU229" s="639"/>
      <c r="IV229" s="639"/>
      <c r="IW229" s="639"/>
      <c r="IX229" s="639"/>
      <c r="IY229" s="639"/>
      <c r="IZ229" s="639"/>
      <c r="JA229" s="639"/>
      <c r="JB229" s="639"/>
      <c r="JC229" s="639"/>
      <c r="JD229" s="639"/>
      <c r="JE229" s="639"/>
      <c r="JF229" s="639"/>
      <c r="JG229" s="639"/>
      <c r="JH229" s="639"/>
      <c r="JI229" s="639"/>
      <c r="JJ229" s="639"/>
      <c r="JK229" s="639"/>
      <c r="JL229" s="639"/>
      <c r="JM229" s="639"/>
      <c r="JN229" s="639"/>
      <c r="JO229" s="639"/>
      <c r="JP229" s="639"/>
      <c r="JQ229" s="639"/>
      <c r="JR229" s="639"/>
      <c r="JS229" s="639"/>
      <c r="JT229" s="639"/>
      <c r="JU229" s="639"/>
      <c r="JV229" s="653"/>
    </row>
    <row r="230" spans="1:282" s="612" customFormat="1">
      <c r="A230" s="611"/>
      <c r="U230" s="613"/>
      <c r="V230" s="613"/>
      <c r="AC230" s="613"/>
      <c r="AD230" s="613"/>
      <c r="AL230" s="613"/>
      <c r="AM230" s="613"/>
      <c r="AT230" s="613"/>
      <c r="AU230" s="613"/>
      <c r="CH230" s="611"/>
      <c r="CI230" s="611"/>
      <c r="CO230" s="694" t="str">
        <f t="shared" si="777"/>
        <v>L427T</v>
      </c>
      <c r="CP230" s="645"/>
      <c r="CQ230" s="618"/>
      <c r="CR230" s="618"/>
      <c r="CS230" s="618"/>
      <c r="CT230" s="626"/>
      <c r="CU230" s="626"/>
      <c r="CV230" s="626"/>
      <c r="CW230" s="641"/>
      <c r="CX230" s="641"/>
      <c r="CY230" s="624"/>
      <c r="CZ230" s="624"/>
      <c r="DA230" s="624"/>
      <c r="DB230" s="624"/>
      <c r="DC230" s="639"/>
      <c r="DD230" s="639"/>
      <c r="DE230" s="639"/>
      <c r="DF230" s="639"/>
      <c r="DG230" s="639"/>
      <c r="DH230" s="639"/>
      <c r="DI230" s="639"/>
      <c r="DJ230" s="639"/>
      <c r="DK230" s="639"/>
      <c r="DL230" s="639"/>
      <c r="DM230" s="639"/>
      <c r="DN230" s="639"/>
      <c r="DO230" s="639"/>
      <c r="DP230" s="639"/>
      <c r="DQ230" s="639"/>
      <c r="DR230" s="639"/>
      <c r="DS230" s="639"/>
      <c r="DT230" s="639"/>
      <c r="DU230" s="639"/>
      <c r="DV230" s="639"/>
      <c r="DW230" s="639"/>
      <c r="DX230" s="639"/>
      <c r="DY230" s="639"/>
      <c r="DZ230" s="639"/>
      <c r="EA230" s="639"/>
      <c r="EB230" s="639"/>
      <c r="EC230" s="639"/>
      <c r="ED230" s="639"/>
      <c r="EE230" s="639"/>
      <c r="EF230" s="639"/>
      <c r="EG230" s="639"/>
      <c r="EH230" s="639"/>
      <c r="EI230" s="639"/>
      <c r="EJ230" s="639"/>
      <c r="EK230" s="639"/>
      <c r="EL230" s="639"/>
      <c r="EM230" s="639"/>
      <c r="EN230" s="639"/>
      <c r="EO230" s="639"/>
      <c r="EP230" s="639"/>
      <c r="EQ230" s="639"/>
      <c r="ER230" s="639"/>
      <c r="ES230" s="639"/>
      <c r="ET230" s="639"/>
      <c r="EU230" s="639"/>
      <c r="EV230" s="639"/>
      <c r="EW230" s="639"/>
      <c r="EX230" s="639"/>
      <c r="EY230" s="639"/>
      <c r="EZ230" s="639"/>
      <c r="FA230" s="639"/>
      <c r="FB230" s="639"/>
      <c r="FC230" s="639"/>
      <c r="FD230" s="639"/>
      <c r="FE230" s="639"/>
      <c r="FF230" s="639"/>
      <c r="FG230" s="639"/>
      <c r="FH230" s="639"/>
      <c r="FI230" s="639"/>
      <c r="FJ230" s="639"/>
      <c r="FK230" s="639"/>
      <c r="FL230" s="639"/>
      <c r="FM230" s="639"/>
      <c r="FN230" s="639"/>
      <c r="FO230" s="639"/>
      <c r="FP230" s="639"/>
      <c r="FQ230" s="639"/>
      <c r="FR230" s="639"/>
      <c r="FS230" s="639"/>
      <c r="FT230" s="639"/>
      <c r="FU230" s="639"/>
      <c r="FV230" s="639"/>
      <c r="FW230" s="639"/>
      <c r="FX230" s="639"/>
      <c r="FY230" s="639"/>
      <c r="FZ230" s="639"/>
      <c r="GA230" s="639"/>
      <c r="GB230" s="639"/>
      <c r="GC230" s="639"/>
      <c r="GD230" s="639"/>
      <c r="GE230" s="639"/>
      <c r="GF230" s="639"/>
      <c r="GG230" s="639"/>
      <c r="GH230" s="639"/>
      <c r="GI230" s="639"/>
      <c r="GJ230" s="639"/>
      <c r="GK230" s="639"/>
      <c r="GL230" s="639"/>
      <c r="GM230" s="639"/>
      <c r="GN230" s="639"/>
      <c r="GO230" s="639"/>
      <c r="GP230" s="639"/>
      <c r="GQ230" s="639"/>
      <c r="GR230" s="639"/>
      <c r="GS230" s="639"/>
      <c r="GT230" s="639"/>
      <c r="GU230" s="639"/>
      <c r="GV230" s="639"/>
      <c r="GW230" s="639"/>
      <c r="GX230" s="639"/>
      <c r="GY230" s="639"/>
      <c r="GZ230" s="639"/>
      <c r="HA230" s="639"/>
      <c r="HB230" s="639"/>
      <c r="HC230" s="639"/>
      <c r="HD230" s="639"/>
      <c r="HE230" s="639"/>
      <c r="HF230" s="645"/>
      <c r="HG230" s="645"/>
      <c r="HH230" s="645"/>
      <c r="HI230" s="645"/>
      <c r="HJ230" s="645"/>
      <c r="HK230" s="645"/>
      <c r="HL230" s="645"/>
      <c r="HM230" s="645"/>
      <c r="HN230" s="645"/>
      <c r="HO230" s="645"/>
      <c r="HP230" s="645"/>
      <c r="HQ230" s="645"/>
      <c r="HR230" s="645">
        <v>0.1135</v>
      </c>
      <c r="HS230" s="645">
        <f t="shared" si="775"/>
        <v>762.07142857142856</v>
      </c>
      <c r="HT230" s="645">
        <f t="shared" si="776"/>
        <v>1</v>
      </c>
      <c r="HU230" s="618">
        <f t="shared" si="778"/>
        <v>2.891303205804602</v>
      </c>
      <c r="HV230" s="618"/>
      <c r="HW230" s="618">
        <f t="shared" si="762"/>
        <v>31.894349447757467</v>
      </c>
      <c r="HX230" s="618">
        <f t="shared" si="779"/>
        <v>2.7257063359516343</v>
      </c>
      <c r="HY230" s="618">
        <f t="shared" si="780"/>
        <v>0.1135</v>
      </c>
      <c r="HZ230" s="618"/>
      <c r="IA230" s="618"/>
      <c r="IB230" s="618">
        <f t="shared" si="763"/>
        <v>25.000350341399081</v>
      </c>
      <c r="IC230" s="618">
        <f t="shared" si="764"/>
        <v>1E-3</v>
      </c>
      <c r="ID230" s="618"/>
      <c r="IE230" s="618">
        <f t="shared" si="765"/>
        <v>0</v>
      </c>
      <c r="IF230" s="618">
        <f t="shared" si="766"/>
        <v>40.704999999999998</v>
      </c>
      <c r="IG230" s="618"/>
      <c r="IH230" s="618">
        <f t="shared" si="767"/>
        <v>0</v>
      </c>
      <c r="II230" s="618">
        <f t="shared" si="768"/>
        <v>40.704999999999998</v>
      </c>
      <c r="IJ230" s="618"/>
      <c r="IK230" s="618">
        <f t="shared" si="769"/>
        <v>0</v>
      </c>
      <c r="IL230" s="618">
        <f t="shared" si="770"/>
        <v>40.704999999999998</v>
      </c>
      <c r="IM230" s="618"/>
      <c r="IN230" s="618">
        <f t="shared" si="771"/>
        <v>0</v>
      </c>
      <c r="IO230" s="618">
        <f t="shared" si="772"/>
        <v>40.704999999999998</v>
      </c>
      <c r="IP230" s="618"/>
      <c r="IQ230" s="618">
        <f t="shared" si="773"/>
        <v>0</v>
      </c>
      <c r="IR230" s="618">
        <f t="shared" si="774"/>
        <v>40.704999999999998</v>
      </c>
      <c r="IS230" s="645"/>
      <c r="IT230" s="639"/>
      <c r="IU230" s="639"/>
      <c r="IV230" s="639"/>
      <c r="IW230" s="639"/>
      <c r="IX230" s="639"/>
      <c r="IY230" s="639"/>
      <c r="IZ230" s="639"/>
      <c r="JA230" s="639"/>
      <c r="JB230" s="639"/>
      <c r="JC230" s="639"/>
      <c r="JD230" s="639"/>
      <c r="JE230" s="639"/>
      <c r="JF230" s="639"/>
      <c r="JG230" s="639"/>
      <c r="JH230" s="639"/>
      <c r="JI230" s="639"/>
      <c r="JJ230" s="639"/>
      <c r="JK230" s="639"/>
      <c r="JL230" s="639"/>
      <c r="JM230" s="639"/>
      <c r="JN230" s="639"/>
      <c r="JO230" s="639"/>
      <c r="JP230" s="639"/>
      <c r="JQ230" s="639"/>
      <c r="JR230" s="639"/>
      <c r="JS230" s="639"/>
      <c r="JT230" s="639"/>
      <c r="JU230" s="639"/>
      <c r="JV230" s="653"/>
    </row>
    <row r="231" spans="1:282" s="612" customFormat="1">
      <c r="A231" s="611"/>
      <c r="U231" s="613"/>
      <c r="V231" s="613"/>
      <c r="AC231" s="613"/>
      <c r="AD231" s="613"/>
      <c r="AL231" s="613"/>
      <c r="AM231" s="613"/>
      <c r="AT231" s="613"/>
      <c r="AU231" s="613"/>
      <c r="CH231" s="611"/>
      <c r="CI231" s="611"/>
      <c r="CO231" s="694" t="str">
        <f t="shared" si="777"/>
        <v>S435T 1S</v>
      </c>
      <c r="CP231" s="645"/>
      <c r="CQ231" s="618"/>
      <c r="CR231" s="618"/>
      <c r="CS231" s="618"/>
      <c r="CT231" s="626"/>
      <c r="CU231" s="626"/>
      <c r="CV231" s="626"/>
      <c r="CW231" s="641"/>
      <c r="CX231" s="641"/>
      <c r="CY231" s="624"/>
      <c r="CZ231" s="624"/>
      <c r="DA231" s="624"/>
      <c r="DB231" s="624"/>
      <c r="DC231" s="639"/>
      <c r="DD231" s="639"/>
      <c r="DE231" s="639"/>
      <c r="DF231" s="639"/>
      <c r="DG231" s="639"/>
      <c r="DH231" s="639"/>
      <c r="DI231" s="639"/>
      <c r="DJ231" s="639"/>
      <c r="DK231" s="639"/>
      <c r="DL231" s="639"/>
      <c r="DM231" s="639"/>
      <c r="DN231" s="639"/>
      <c r="DO231" s="639"/>
      <c r="DP231" s="639"/>
      <c r="DQ231" s="639"/>
      <c r="DR231" s="639"/>
      <c r="DS231" s="639"/>
      <c r="DT231" s="639"/>
      <c r="DU231" s="639"/>
      <c r="DV231" s="639"/>
      <c r="DW231" s="639"/>
      <c r="DX231" s="639"/>
      <c r="DY231" s="639"/>
      <c r="DZ231" s="639"/>
      <c r="EA231" s="639"/>
      <c r="EB231" s="639"/>
      <c r="EC231" s="639"/>
      <c r="ED231" s="639"/>
      <c r="EE231" s="639"/>
      <c r="EF231" s="639"/>
      <c r="EG231" s="639"/>
      <c r="EH231" s="639"/>
      <c r="EI231" s="639"/>
      <c r="EJ231" s="639"/>
      <c r="EK231" s="639"/>
      <c r="EL231" s="639"/>
      <c r="EM231" s="639"/>
      <c r="EN231" s="639"/>
      <c r="EO231" s="639"/>
      <c r="EP231" s="639"/>
      <c r="EQ231" s="639"/>
      <c r="ER231" s="639"/>
      <c r="ES231" s="639"/>
      <c r="ET231" s="639"/>
      <c r="EU231" s="639"/>
      <c r="EV231" s="639"/>
      <c r="EW231" s="639"/>
      <c r="EX231" s="639"/>
      <c r="EY231" s="639"/>
      <c r="EZ231" s="639"/>
      <c r="FA231" s="639"/>
      <c r="FB231" s="639"/>
      <c r="FC231" s="639"/>
      <c r="FD231" s="639"/>
      <c r="FE231" s="639"/>
      <c r="FF231" s="639"/>
      <c r="FG231" s="639"/>
      <c r="FH231" s="639"/>
      <c r="FI231" s="639"/>
      <c r="FJ231" s="639"/>
      <c r="FK231" s="639"/>
      <c r="FL231" s="639"/>
      <c r="FM231" s="639"/>
      <c r="FN231" s="639"/>
      <c r="FO231" s="639"/>
      <c r="FP231" s="639"/>
      <c r="FQ231" s="639"/>
      <c r="FR231" s="639"/>
      <c r="FS231" s="639"/>
      <c r="FT231" s="639"/>
      <c r="FU231" s="639"/>
      <c r="FV231" s="639"/>
      <c r="FW231" s="639"/>
      <c r="FX231" s="639"/>
      <c r="FY231" s="639"/>
      <c r="FZ231" s="639"/>
      <c r="GA231" s="639"/>
      <c r="GB231" s="639"/>
      <c r="GC231" s="639"/>
      <c r="GD231" s="639"/>
      <c r="GE231" s="639"/>
      <c r="GF231" s="639"/>
      <c r="GG231" s="639"/>
      <c r="GH231" s="639"/>
      <c r="GI231" s="639"/>
      <c r="GJ231" s="639"/>
      <c r="GK231" s="639"/>
      <c r="GL231" s="639"/>
      <c r="GM231" s="639"/>
      <c r="GN231" s="639"/>
      <c r="GO231" s="639"/>
      <c r="GP231" s="639"/>
      <c r="GQ231" s="639"/>
      <c r="GR231" s="639"/>
      <c r="GS231" s="639"/>
      <c r="GT231" s="639"/>
      <c r="GU231" s="639"/>
      <c r="GV231" s="639"/>
      <c r="GW231" s="639"/>
      <c r="GX231" s="639"/>
      <c r="GY231" s="639"/>
      <c r="GZ231" s="639"/>
      <c r="HA231" s="639"/>
      <c r="HB231" s="639"/>
      <c r="HC231" s="639"/>
      <c r="HD231" s="639"/>
      <c r="HE231" s="639"/>
      <c r="HF231" s="645"/>
      <c r="HG231" s="645"/>
      <c r="HH231" s="645"/>
      <c r="HI231" s="645"/>
      <c r="HJ231" s="645"/>
      <c r="HK231" s="645"/>
      <c r="HL231" s="645"/>
      <c r="HM231" s="645"/>
      <c r="HN231" s="645"/>
      <c r="HO231" s="645"/>
      <c r="HP231" s="645"/>
      <c r="HQ231" s="645"/>
      <c r="HR231" s="645">
        <v>0.114</v>
      </c>
      <c r="HS231" s="645">
        <f t="shared" si="775"/>
        <v>765.42857142857144</v>
      </c>
      <c r="HT231" s="645">
        <f t="shared" si="776"/>
        <v>1</v>
      </c>
      <c r="HU231" s="618">
        <f t="shared" si="778"/>
        <v>2.904042249778227</v>
      </c>
      <c r="HV231" s="618"/>
      <c r="HW231" s="618">
        <f t="shared" si="762"/>
        <v>31.876260005314919</v>
      </c>
      <c r="HX231" s="618">
        <f t="shared" si="779"/>
        <v>2.7369861436717011</v>
      </c>
      <c r="HY231" s="618">
        <f t="shared" si="780"/>
        <v>0.114</v>
      </c>
      <c r="HZ231" s="618"/>
      <c r="IA231" s="618"/>
      <c r="IB231" s="618">
        <f t="shared" si="763"/>
        <v>25.000350341399081</v>
      </c>
      <c r="IC231" s="618">
        <f t="shared" si="764"/>
        <v>1E-3</v>
      </c>
      <c r="ID231" s="618"/>
      <c r="IE231" s="618">
        <f t="shared" si="765"/>
        <v>0</v>
      </c>
      <c r="IF231" s="618">
        <f t="shared" si="766"/>
        <v>40.704999999999998</v>
      </c>
      <c r="IG231" s="618"/>
      <c r="IH231" s="618">
        <f t="shared" si="767"/>
        <v>0</v>
      </c>
      <c r="II231" s="618">
        <f t="shared" si="768"/>
        <v>40.704999999999998</v>
      </c>
      <c r="IJ231" s="618"/>
      <c r="IK231" s="618">
        <f t="shared" si="769"/>
        <v>0</v>
      </c>
      <c r="IL231" s="618">
        <f t="shared" si="770"/>
        <v>40.704999999999998</v>
      </c>
      <c r="IM231" s="618"/>
      <c r="IN231" s="618">
        <f t="shared" si="771"/>
        <v>0</v>
      </c>
      <c r="IO231" s="618">
        <f t="shared" si="772"/>
        <v>40.704999999999998</v>
      </c>
      <c r="IP231" s="618"/>
      <c r="IQ231" s="618">
        <f t="shared" si="773"/>
        <v>0</v>
      </c>
      <c r="IR231" s="618">
        <f t="shared" si="774"/>
        <v>40.704999999999998</v>
      </c>
      <c r="IS231" s="645"/>
      <c r="IT231" s="639"/>
      <c r="IU231" s="639"/>
      <c r="IV231" s="639"/>
      <c r="IW231" s="639"/>
      <c r="IX231" s="639"/>
      <c r="IY231" s="639"/>
      <c r="IZ231" s="639"/>
      <c r="JA231" s="639"/>
      <c r="JB231" s="639"/>
      <c r="JC231" s="639"/>
      <c r="JD231" s="639"/>
      <c r="JE231" s="639"/>
      <c r="JF231" s="639"/>
      <c r="JG231" s="639"/>
      <c r="JH231" s="639"/>
      <c r="JI231" s="639"/>
      <c r="JJ231" s="639"/>
      <c r="JK231" s="639"/>
      <c r="JL231" s="639"/>
      <c r="JM231" s="639"/>
      <c r="JN231" s="639"/>
      <c r="JO231" s="639"/>
      <c r="JP231" s="639"/>
      <c r="JQ231" s="639"/>
      <c r="JR231" s="639"/>
      <c r="JS231" s="639"/>
      <c r="JT231" s="639"/>
      <c r="JU231" s="639"/>
      <c r="JV231" s="653"/>
    </row>
    <row r="232" spans="1:282" s="612" customFormat="1">
      <c r="A232" s="611"/>
      <c r="U232" s="613"/>
      <c r="V232" s="613"/>
      <c r="AC232" s="613"/>
      <c r="AD232" s="613"/>
      <c r="AL232" s="613"/>
      <c r="AM232" s="613"/>
      <c r="AT232" s="613"/>
      <c r="AU232" s="613"/>
      <c r="CH232" s="611"/>
      <c r="CI232" s="611"/>
      <c r="CO232" s="694" t="str">
        <f t="shared" si="777"/>
        <v>S435T</v>
      </c>
      <c r="CP232" s="645"/>
      <c r="CQ232" s="618"/>
      <c r="CR232" s="618"/>
      <c r="CS232" s="618"/>
      <c r="CT232" s="626"/>
      <c r="CU232" s="626"/>
      <c r="CV232" s="626"/>
      <c r="CW232" s="641"/>
      <c r="CX232" s="641"/>
      <c r="CY232" s="624"/>
      <c r="CZ232" s="624"/>
      <c r="DA232" s="624"/>
      <c r="DB232" s="624"/>
      <c r="DC232" s="639"/>
      <c r="DD232" s="639"/>
      <c r="DE232" s="639"/>
      <c r="DF232" s="639"/>
      <c r="DG232" s="639"/>
      <c r="DH232" s="639"/>
      <c r="DI232" s="639"/>
      <c r="DJ232" s="639"/>
      <c r="DK232" s="639"/>
      <c r="DL232" s="639"/>
      <c r="DM232" s="639"/>
      <c r="DN232" s="639"/>
      <c r="DO232" s="639"/>
      <c r="DP232" s="639"/>
      <c r="DQ232" s="639"/>
      <c r="DR232" s="639"/>
      <c r="DS232" s="639"/>
      <c r="DT232" s="639"/>
      <c r="DU232" s="639"/>
      <c r="DV232" s="639"/>
      <c r="DW232" s="639"/>
      <c r="DX232" s="639"/>
      <c r="DY232" s="639"/>
      <c r="DZ232" s="639"/>
      <c r="EA232" s="639"/>
      <c r="EB232" s="639"/>
      <c r="EC232" s="639"/>
      <c r="ED232" s="639"/>
      <c r="EE232" s="639"/>
      <c r="EF232" s="639"/>
      <c r="EG232" s="639"/>
      <c r="EH232" s="639"/>
      <c r="EI232" s="639"/>
      <c r="EJ232" s="639"/>
      <c r="EK232" s="639"/>
      <c r="EL232" s="639"/>
      <c r="EM232" s="639"/>
      <c r="EN232" s="639"/>
      <c r="EO232" s="639"/>
      <c r="EP232" s="639"/>
      <c r="EQ232" s="639"/>
      <c r="ER232" s="639"/>
      <c r="ES232" s="639"/>
      <c r="ET232" s="639"/>
      <c r="EU232" s="639"/>
      <c r="EV232" s="639"/>
      <c r="EW232" s="639"/>
      <c r="EX232" s="639"/>
      <c r="EY232" s="639"/>
      <c r="EZ232" s="639"/>
      <c r="FA232" s="639"/>
      <c r="FB232" s="639"/>
      <c r="FC232" s="639"/>
      <c r="FD232" s="639"/>
      <c r="FE232" s="639"/>
      <c r="FF232" s="639"/>
      <c r="FG232" s="639"/>
      <c r="FH232" s="639"/>
      <c r="FI232" s="639"/>
      <c r="FJ232" s="639"/>
      <c r="FK232" s="639"/>
      <c r="FL232" s="639"/>
      <c r="FM232" s="639"/>
      <c r="FN232" s="639"/>
      <c r="FO232" s="639"/>
      <c r="FP232" s="639"/>
      <c r="FQ232" s="639"/>
      <c r="FR232" s="639"/>
      <c r="FS232" s="639"/>
      <c r="FT232" s="639"/>
      <c r="FU232" s="639"/>
      <c r="FV232" s="639"/>
      <c r="FW232" s="639"/>
      <c r="FX232" s="639"/>
      <c r="FY232" s="639"/>
      <c r="FZ232" s="639"/>
      <c r="GA232" s="639"/>
      <c r="GB232" s="639"/>
      <c r="GC232" s="639"/>
      <c r="GD232" s="639"/>
      <c r="GE232" s="639"/>
      <c r="GF232" s="639"/>
      <c r="GG232" s="639"/>
      <c r="GH232" s="639"/>
      <c r="GI232" s="639"/>
      <c r="GJ232" s="639"/>
      <c r="GK232" s="639"/>
      <c r="GL232" s="639"/>
      <c r="GM232" s="639"/>
      <c r="GN232" s="639"/>
      <c r="GO232" s="639"/>
      <c r="GP232" s="639"/>
      <c r="GQ232" s="639"/>
      <c r="GR232" s="639"/>
      <c r="GS232" s="639"/>
      <c r="GT232" s="639"/>
      <c r="GU232" s="639"/>
      <c r="GV232" s="639"/>
      <c r="GW232" s="639"/>
      <c r="GX232" s="639"/>
      <c r="GY232" s="639"/>
      <c r="GZ232" s="639"/>
      <c r="HA232" s="639"/>
      <c r="HB232" s="639"/>
      <c r="HC232" s="639"/>
      <c r="HD232" s="639"/>
      <c r="HE232" s="639"/>
      <c r="HF232" s="645"/>
      <c r="HG232" s="645"/>
      <c r="HH232" s="645"/>
      <c r="HI232" s="645"/>
      <c r="HJ232" s="645"/>
      <c r="HK232" s="645"/>
      <c r="HL232" s="645"/>
      <c r="HM232" s="645"/>
      <c r="HN232" s="645"/>
      <c r="HO232" s="645"/>
      <c r="HP232" s="645"/>
      <c r="HQ232" s="645"/>
      <c r="HR232" s="645">
        <v>0.1145</v>
      </c>
      <c r="HS232" s="645">
        <f t="shared" si="775"/>
        <v>768.78571428571433</v>
      </c>
      <c r="HT232" s="645">
        <f t="shared" si="776"/>
        <v>1</v>
      </c>
      <c r="HU232" s="618">
        <f t="shared" si="778"/>
        <v>2.916781293751852</v>
      </c>
      <c r="HV232" s="618"/>
      <c r="HW232" s="618">
        <f t="shared" si="762"/>
        <v>31.85817056287237</v>
      </c>
      <c r="HX232" s="618">
        <f t="shared" si="779"/>
        <v>2.7482595502194695</v>
      </c>
      <c r="HY232" s="618">
        <f t="shared" si="780"/>
        <v>0.1145</v>
      </c>
      <c r="HZ232" s="618"/>
      <c r="IA232" s="618"/>
      <c r="IB232" s="618">
        <f t="shared" si="763"/>
        <v>25.000350341399081</v>
      </c>
      <c r="IC232" s="618">
        <f t="shared" si="764"/>
        <v>1E-3</v>
      </c>
      <c r="ID232" s="618"/>
      <c r="IE232" s="618">
        <f t="shared" si="765"/>
        <v>0</v>
      </c>
      <c r="IF232" s="618">
        <f t="shared" si="766"/>
        <v>40.704999999999998</v>
      </c>
      <c r="IG232" s="618"/>
      <c r="IH232" s="618">
        <f t="shared" si="767"/>
        <v>0</v>
      </c>
      <c r="II232" s="618">
        <f t="shared" si="768"/>
        <v>40.704999999999998</v>
      </c>
      <c r="IJ232" s="618"/>
      <c r="IK232" s="618">
        <f t="shared" si="769"/>
        <v>0</v>
      </c>
      <c r="IL232" s="618">
        <f t="shared" si="770"/>
        <v>40.704999999999998</v>
      </c>
      <c r="IM232" s="618"/>
      <c r="IN232" s="618">
        <f t="shared" si="771"/>
        <v>0</v>
      </c>
      <c r="IO232" s="618">
        <f t="shared" si="772"/>
        <v>40.704999999999998</v>
      </c>
      <c r="IP232" s="618"/>
      <c r="IQ232" s="618">
        <f t="shared" si="773"/>
        <v>0</v>
      </c>
      <c r="IR232" s="618">
        <f t="shared" si="774"/>
        <v>40.704999999999998</v>
      </c>
      <c r="IS232" s="645"/>
      <c r="IT232" s="639"/>
      <c r="IU232" s="639"/>
      <c r="IV232" s="639"/>
      <c r="IW232" s="639"/>
      <c r="IX232" s="639"/>
      <c r="IY232" s="639"/>
      <c r="IZ232" s="639"/>
      <c r="JA232" s="639"/>
      <c r="JB232" s="639"/>
      <c r="JC232" s="639"/>
      <c r="JD232" s="639"/>
      <c r="JE232" s="639"/>
      <c r="JF232" s="639"/>
      <c r="JG232" s="639"/>
      <c r="JH232" s="639"/>
      <c r="JI232" s="639"/>
      <c r="JJ232" s="639"/>
      <c r="JK232" s="639"/>
      <c r="JL232" s="639"/>
      <c r="JM232" s="639"/>
      <c r="JN232" s="639"/>
      <c r="JO232" s="639"/>
      <c r="JP232" s="639"/>
      <c r="JQ232" s="639"/>
      <c r="JR232" s="639"/>
      <c r="JS232" s="639"/>
      <c r="JT232" s="639"/>
      <c r="JU232" s="639"/>
      <c r="JV232" s="653"/>
    </row>
    <row r="233" spans="1:282" s="612" customFormat="1">
      <c r="A233" s="611"/>
      <c r="U233" s="613"/>
      <c r="V233" s="613"/>
      <c r="AC233" s="613"/>
      <c r="AD233" s="613"/>
      <c r="AL233" s="613"/>
      <c r="AM233" s="613"/>
      <c r="AT233" s="613"/>
      <c r="AU233" s="613"/>
      <c r="CH233" s="611"/>
      <c r="CI233" s="611"/>
      <c r="CO233" s="694" t="str">
        <f t="shared" si="777"/>
        <v>S350Q 1S</v>
      </c>
      <c r="CP233" s="645"/>
      <c r="CQ233" s="618"/>
      <c r="CR233" s="618"/>
      <c r="CS233" s="618"/>
      <c r="CT233" s="626"/>
      <c r="CU233" s="626"/>
      <c r="CV233" s="626"/>
      <c r="CW233" s="641"/>
      <c r="CX233" s="641"/>
      <c r="CY233" s="624"/>
      <c r="CZ233" s="624"/>
      <c r="DA233" s="624"/>
      <c r="DB233" s="624"/>
      <c r="DC233" s="639"/>
      <c r="DD233" s="639"/>
      <c r="DE233" s="639"/>
      <c r="DF233" s="639"/>
      <c r="DG233" s="639"/>
      <c r="DH233" s="639"/>
      <c r="DI233" s="639"/>
      <c r="DJ233" s="639"/>
      <c r="DK233" s="639"/>
      <c r="DL233" s="639"/>
      <c r="DM233" s="639"/>
      <c r="DN233" s="639"/>
      <c r="DO233" s="639"/>
      <c r="DP233" s="639"/>
      <c r="DQ233" s="639"/>
      <c r="DR233" s="639"/>
      <c r="DS233" s="639"/>
      <c r="DT233" s="639"/>
      <c r="DU233" s="639"/>
      <c r="DV233" s="639"/>
      <c r="DW233" s="639"/>
      <c r="DX233" s="639"/>
      <c r="DY233" s="639"/>
      <c r="DZ233" s="639"/>
      <c r="EA233" s="639"/>
      <c r="EB233" s="639"/>
      <c r="EC233" s="639"/>
      <c r="ED233" s="639"/>
      <c r="EE233" s="639"/>
      <c r="EF233" s="639"/>
      <c r="EG233" s="639"/>
      <c r="EH233" s="639"/>
      <c r="EI233" s="639"/>
      <c r="EJ233" s="639"/>
      <c r="EK233" s="639"/>
      <c r="EL233" s="639"/>
      <c r="EM233" s="639"/>
      <c r="EN233" s="639"/>
      <c r="EO233" s="639"/>
      <c r="EP233" s="639"/>
      <c r="EQ233" s="639"/>
      <c r="ER233" s="639"/>
      <c r="ES233" s="639"/>
      <c r="ET233" s="639"/>
      <c r="EU233" s="639"/>
      <c r="EV233" s="639"/>
      <c r="EW233" s="639"/>
      <c r="EX233" s="639"/>
      <c r="EY233" s="639"/>
      <c r="EZ233" s="639"/>
      <c r="FA233" s="639"/>
      <c r="FB233" s="639"/>
      <c r="FC233" s="639"/>
      <c r="FD233" s="639"/>
      <c r="FE233" s="639"/>
      <c r="FF233" s="639"/>
      <c r="FG233" s="639"/>
      <c r="FH233" s="639"/>
      <c r="FI233" s="639"/>
      <c r="FJ233" s="639"/>
      <c r="FK233" s="639"/>
      <c r="FL233" s="639"/>
      <c r="FM233" s="639"/>
      <c r="FN233" s="639"/>
      <c r="FO233" s="639"/>
      <c r="FP233" s="639"/>
      <c r="FQ233" s="639"/>
      <c r="FR233" s="639"/>
      <c r="FS233" s="639"/>
      <c r="FT233" s="639"/>
      <c r="FU233" s="639"/>
      <c r="FV233" s="639"/>
      <c r="FW233" s="639"/>
      <c r="FX233" s="639"/>
      <c r="FY233" s="639"/>
      <c r="FZ233" s="639"/>
      <c r="GA233" s="639"/>
      <c r="GB233" s="639"/>
      <c r="GC233" s="639"/>
      <c r="GD233" s="639"/>
      <c r="GE233" s="639"/>
      <c r="GF233" s="639"/>
      <c r="GG233" s="639"/>
      <c r="GH233" s="639"/>
      <c r="GI233" s="639"/>
      <c r="GJ233" s="639"/>
      <c r="GK233" s="639"/>
      <c r="GL233" s="639"/>
      <c r="GM233" s="639"/>
      <c r="GN233" s="639"/>
      <c r="GO233" s="639"/>
      <c r="GP233" s="639"/>
      <c r="GQ233" s="639"/>
      <c r="GR233" s="639"/>
      <c r="GS233" s="639"/>
      <c r="GT233" s="639"/>
      <c r="GU233" s="639"/>
      <c r="GV233" s="639"/>
      <c r="GW233" s="639"/>
      <c r="GX233" s="639"/>
      <c r="GY233" s="639"/>
      <c r="GZ233" s="639"/>
      <c r="HA233" s="639"/>
      <c r="HB233" s="639"/>
      <c r="HC233" s="639"/>
      <c r="HD233" s="639"/>
      <c r="HE233" s="639"/>
      <c r="HF233" s="645"/>
      <c r="HG233" s="645"/>
      <c r="HH233" s="645"/>
      <c r="HI233" s="645"/>
      <c r="HJ233" s="645"/>
      <c r="HK233" s="645"/>
      <c r="HL233" s="645"/>
      <c r="HM233" s="645"/>
      <c r="HN233" s="645"/>
      <c r="HO233" s="645"/>
      <c r="HP233" s="645"/>
      <c r="HQ233" s="645"/>
      <c r="HR233" s="645">
        <v>0.115</v>
      </c>
      <c r="HS233" s="645">
        <f t="shared" si="775"/>
        <v>772.14285714285722</v>
      </c>
      <c r="HT233" s="645">
        <f t="shared" si="776"/>
        <v>1</v>
      </c>
      <c r="HU233" s="618">
        <f t="shared" si="778"/>
        <v>2.929520337725477</v>
      </c>
      <c r="HV233" s="618"/>
      <c r="HW233" s="618">
        <f t="shared" si="762"/>
        <v>31.840081120429822</v>
      </c>
      <c r="HX233" s="618">
        <f t="shared" si="779"/>
        <v>2.75952655559494</v>
      </c>
      <c r="HY233" s="618">
        <f t="shared" si="780"/>
        <v>0.115</v>
      </c>
      <c r="HZ233" s="618"/>
      <c r="IA233" s="618"/>
      <c r="IB233" s="618">
        <f t="shared" si="763"/>
        <v>25.000350341399081</v>
      </c>
      <c r="IC233" s="618">
        <f t="shared" si="764"/>
        <v>1E-3</v>
      </c>
      <c r="ID233" s="618"/>
      <c r="IE233" s="618">
        <f t="shared" si="765"/>
        <v>0</v>
      </c>
      <c r="IF233" s="618">
        <f t="shared" si="766"/>
        <v>40.704999999999998</v>
      </c>
      <c r="IG233" s="618"/>
      <c r="IH233" s="618">
        <f t="shared" si="767"/>
        <v>0</v>
      </c>
      <c r="II233" s="618">
        <f t="shared" si="768"/>
        <v>40.704999999999998</v>
      </c>
      <c r="IJ233" s="618"/>
      <c r="IK233" s="618">
        <f t="shared" si="769"/>
        <v>0</v>
      </c>
      <c r="IL233" s="618">
        <f t="shared" si="770"/>
        <v>40.704999999999998</v>
      </c>
      <c r="IM233" s="618"/>
      <c r="IN233" s="618">
        <f t="shared" si="771"/>
        <v>0</v>
      </c>
      <c r="IO233" s="618">
        <f t="shared" si="772"/>
        <v>40.704999999999998</v>
      </c>
      <c r="IP233" s="618"/>
      <c r="IQ233" s="618">
        <f t="shared" si="773"/>
        <v>0</v>
      </c>
      <c r="IR233" s="618">
        <f t="shared" si="774"/>
        <v>40.704999999999998</v>
      </c>
      <c r="IS233" s="645"/>
      <c r="IT233" s="639"/>
      <c r="IU233" s="639"/>
      <c r="IV233" s="639"/>
      <c r="IW233" s="639"/>
      <c r="IX233" s="639"/>
      <c r="IY233" s="639"/>
      <c r="IZ233" s="639"/>
      <c r="JA233" s="639"/>
      <c r="JB233" s="639"/>
      <c r="JC233" s="639"/>
      <c r="JD233" s="639"/>
      <c r="JE233" s="639"/>
      <c r="JF233" s="639"/>
      <c r="JG233" s="639"/>
      <c r="JH233" s="639"/>
      <c r="JI233" s="639"/>
      <c r="JJ233" s="639"/>
      <c r="JK233" s="639"/>
      <c r="JL233" s="639"/>
      <c r="JM233" s="639"/>
      <c r="JN233" s="639"/>
      <c r="JO233" s="639"/>
      <c r="JP233" s="639"/>
      <c r="JQ233" s="639"/>
      <c r="JR233" s="639"/>
      <c r="JS233" s="639"/>
      <c r="JT233" s="639"/>
      <c r="JU233" s="639"/>
      <c r="JV233" s="653"/>
    </row>
    <row r="234" spans="1:282" s="612" customFormat="1">
      <c r="A234" s="611"/>
      <c r="U234" s="613"/>
      <c r="V234" s="613"/>
      <c r="AC234" s="613"/>
      <c r="AD234" s="613"/>
      <c r="AL234" s="613"/>
      <c r="AM234" s="613"/>
      <c r="AT234" s="613"/>
      <c r="AU234" s="613"/>
      <c r="CH234" s="611"/>
      <c r="CI234" s="611"/>
      <c r="CO234" s="694" t="str">
        <f t="shared" si="777"/>
        <v>S350Q 4S</v>
      </c>
      <c r="CP234" s="645"/>
      <c r="CQ234" s="618"/>
      <c r="CR234" s="618"/>
      <c r="CS234" s="618"/>
      <c r="CT234" s="626"/>
      <c r="CU234" s="626"/>
      <c r="CV234" s="626"/>
      <c r="CW234" s="641"/>
      <c r="CX234" s="641"/>
      <c r="CY234" s="624"/>
      <c r="CZ234" s="624"/>
      <c r="DA234" s="624"/>
      <c r="DB234" s="624"/>
      <c r="DC234" s="639"/>
      <c r="DD234" s="639"/>
      <c r="DE234" s="639"/>
      <c r="DF234" s="639"/>
      <c r="DG234" s="639"/>
      <c r="DH234" s="639"/>
      <c r="DI234" s="639"/>
      <c r="DJ234" s="639"/>
      <c r="DK234" s="639"/>
      <c r="DL234" s="639"/>
      <c r="DM234" s="639"/>
      <c r="DN234" s="639"/>
      <c r="DO234" s="639"/>
      <c r="DP234" s="639"/>
      <c r="DQ234" s="639"/>
      <c r="DR234" s="639"/>
      <c r="DS234" s="639"/>
      <c r="DT234" s="639"/>
      <c r="DU234" s="639"/>
      <c r="DV234" s="639"/>
      <c r="DW234" s="639"/>
      <c r="DX234" s="639"/>
      <c r="DY234" s="639"/>
      <c r="DZ234" s="639"/>
      <c r="EA234" s="639"/>
      <c r="EB234" s="639"/>
      <c r="EC234" s="639"/>
      <c r="ED234" s="639"/>
      <c r="EE234" s="639"/>
      <c r="EF234" s="639"/>
      <c r="EG234" s="639"/>
      <c r="EH234" s="639"/>
      <c r="EI234" s="639"/>
      <c r="EJ234" s="639"/>
      <c r="EK234" s="639"/>
      <c r="EL234" s="639"/>
      <c r="EM234" s="639"/>
      <c r="EN234" s="639"/>
      <c r="EO234" s="639"/>
      <c r="EP234" s="639"/>
      <c r="EQ234" s="639"/>
      <c r="ER234" s="639"/>
      <c r="ES234" s="639"/>
      <c r="ET234" s="639"/>
      <c r="EU234" s="639"/>
      <c r="EV234" s="639"/>
      <c r="EW234" s="639"/>
      <c r="EX234" s="639"/>
      <c r="EY234" s="639"/>
      <c r="EZ234" s="639"/>
      <c r="FA234" s="639"/>
      <c r="FB234" s="639"/>
      <c r="FC234" s="639"/>
      <c r="FD234" s="639"/>
      <c r="FE234" s="639"/>
      <c r="FF234" s="639"/>
      <c r="FG234" s="639"/>
      <c r="FH234" s="639"/>
      <c r="FI234" s="639"/>
      <c r="FJ234" s="639"/>
      <c r="FK234" s="639"/>
      <c r="FL234" s="639"/>
      <c r="FM234" s="639"/>
      <c r="FN234" s="639"/>
      <c r="FO234" s="639"/>
      <c r="FP234" s="639"/>
      <c r="FQ234" s="639"/>
      <c r="FR234" s="639"/>
      <c r="FS234" s="639"/>
      <c r="FT234" s="639"/>
      <c r="FU234" s="639"/>
      <c r="FV234" s="639"/>
      <c r="FW234" s="639"/>
      <c r="FX234" s="639"/>
      <c r="FY234" s="639"/>
      <c r="FZ234" s="639"/>
      <c r="GA234" s="639"/>
      <c r="GB234" s="639"/>
      <c r="GC234" s="639"/>
      <c r="GD234" s="639"/>
      <c r="GE234" s="639"/>
      <c r="GF234" s="639"/>
      <c r="GG234" s="639"/>
      <c r="GH234" s="639"/>
      <c r="GI234" s="639"/>
      <c r="GJ234" s="639"/>
      <c r="GK234" s="639"/>
      <c r="GL234" s="639"/>
      <c r="GM234" s="639"/>
      <c r="GN234" s="639"/>
      <c r="GO234" s="639"/>
      <c r="GP234" s="639"/>
      <c r="GQ234" s="639"/>
      <c r="GR234" s="639"/>
      <c r="GS234" s="639"/>
      <c r="GT234" s="639"/>
      <c r="GU234" s="639"/>
      <c r="GV234" s="639"/>
      <c r="GW234" s="639"/>
      <c r="GX234" s="639"/>
      <c r="GY234" s="639"/>
      <c r="GZ234" s="639"/>
      <c r="HA234" s="639"/>
      <c r="HB234" s="639"/>
      <c r="HC234" s="639"/>
      <c r="HD234" s="639"/>
      <c r="HE234" s="639"/>
      <c r="HF234" s="645"/>
      <c r="HG234" s="645"/>
      <c r="HH234" s="645"/>
      <c r="HI234" s="645"/>
      <c r="HJ234" s="645"/>
      <c r="HK234" s="645"/>
      <c r="HL234" s="645"/>
      <c r="HM234" s="645"/>
      <c r="HN234" s="645"/>
      <c r="HO234" s="645"/>
      <c r="HP234" s="645"/>
      <c r="HQ234" s="645"/>
      <c r="HR234" s="645">
        <v>0.11550000000000001</v>
      </c>
      <c r="HS234" s="645">
        <f t="shared" si="775"/>
        <v>775.5</v>
      </c>
      <c r="HT234" s="645">
        <f t="shared" si="776"/>
        <v>1</v>
      </c>
      <c r="HU234" s="618">
        <f t="shared" si="778"/>
        <v>2.9422593816991021</v>
      </c>
      <c r="HV234" s="618"/>
      <c r="HW234" s="618">
        <f t="shared" si="762"/>
        <v>31.821991677987274</v>
      </c>
      <c r="HX234" s="618">
        <f t="shared" si="779"/>
        <v>2.7707871597981124</v>
      </c>
      <c r="HY234" s="618">
        <f t="shared" si="780"/>
        <v>0.11550000000000001</v>
      </c>
      <c r="HZ234" s="618"/>
      <c r="IA234" s="618"/>
      <c r="IB234" s="618">
        <f t="shared" si="763"/>
        <v>25.000350341399081</v>
      </c>
      <c r="IC234" s="618">
        <f t="shared" si="764"/>
        <v>1E-3</v>
      </c>
      <c r="ID234" s="618"/>
      <c r="IE234" s="618">
        <f t="shared" si="765"/>
        <v>0</v>
      </c>
      <c r="IF234" s="618">
        <f t="shared" si="766"/>
        <v>40.704999999999998</v>
      </c>
      <c r="IG234" s="618"/>
      <c r="IH234" s="618">
        <f t="shared" si="767"/>
        <v>0</v>
      </c>
      <c r="II234" s="618">
        <f t="shared" si="768"/>
        <v>40.704999999999998</v>
      </c>
      <c r="IJ234" s="618"/>
      <c r="IK234" s="618">
        <f t="shared" si="769"/>
        <v>0</v>
      </c>
      <c r="IL234" s="618">
        <f t="shared" si="770"/>
        <v>40.704999999999998</v>
      </c>
      <c r="IM234" s="618"/>
      <c r="IN234" s="618">
        <f t="shared" si="771"/>
        <v>0</v>
      </c>
      <c r="IO234" s="618">
        <f t="shared" si="772"/>
        <v>40.704999999999998</v>
      </c>
      <c r="IP234" s="618"/>
      <c r="IQ234" s="618">
        <f t="shared" si="773"/>
        <v>0</v>
      </c>
      <c r="IR234" s="618">
        <f t="shared" si="774"/>
        <v>40.704999999999998</v>
      </c>
      <c r="IS234" s="645"/>
      <c r="IT234" s="639"/>
      <c r="IU234" s="639"/>
      <c r="IV234" s="639"/>
      <c r="IW234" s="639"/>
      <c r="IX234" s="639"/>
      <c r="IY234" s="639"/>
      <c r="IZ234" s="639"/>
      <c r="JA234" s="639"/>
      <c r="JB234" s="639"/>
      <c r="JC234" s="639"/>
      <c r="JD234" s="639"/>
      <c r="JE234" s="639"/>
      <c r="JF234" s="639"/>
      <c r="JG234" s="639"/>
      <c r="JH234" s="639"/>
      <c r="JI234" s="639"/>
      <c r="JJ234" s="639"/>
      <c r="JK234" s="639"/>
      <c r="JL234" s="639"/>
      <c r="JM234" s="639"/>
      <c r="JN234" s="639"/>
      <c r="JO234" s="639"/>
      <c r="JP234" s="639"/>
      <c r="JQ234" s="639"/>
      <c r="JR234" s="639"/>
      <c r="JS234" s="639"/>
      <c r="JT234" s="639"/>
      <c r="JU234" s="639"/>
      <c r="JV234" s="653"/>
    </row>
    <row r="235" spans="1:282" s="612" customFormat="1">
      <c r="A235" s="611"/>
      <c r="U235" s="613"/>
      <c r="V235" s="613"/>
      <c r="AC235" s="613"/>
      <c r="AD235" s="613"/>
      <c r="AL235" s="613"/>
      <c r="AM235" s="613"/>
      <c r="AT235" s="613"/>
      <c r="AU235" s="613"/>
      <c r="CH235" s="611"/>
      <c r="CI235" s="611"/>
      <c r="CO235" s="694" t="str">
        <f t="shared" si="777"/>
        <v>S350Q</v>
      </c>
      <c r="CP235" s="645"/>
      <c r="CQ235" s="618"/>
      <c r="CR235" s="618"/>
      <c r="CS235" s="618"/>
      <c r="CT235" s="626"/>
      <c r="CU235" s="626"/>
      <c r="CV235" s="626"/>
      <c r="CW235" s="641"/>
      <c r="CX235" s="641"/>
      <c r="CY235" s="624"/>
      <c r="CZ235" s="624"/>
      <c r="DA235" s="624"/>
      <c r="DB235" s="624"/>
      <c r="DC235" s="639"/>
      <c r="DD235" s="639"/>
      <c r="DE235" s="639"/>
      <c r="DF235" s="639"/>
      <c r="DG235" s="639"/>
      <c r="DH235" s="639"/>
      <c r="DI235" s="639"/>
      <c r="DJ235" s="639"/>
      <c r="DK235" s="639"/>
      <c r="DL235" s="639"/>
      <c r="DM235" s="639"/>
      <c r="DN235" s="639"/>
      <c r="DO235" s="639"/>
      <c r="DP235" s="639"/>
      <c r="DQ235" s="639"/>
      <c r="DR235" s="639"/>
      <c r="DS235" s="639"/>
      <c r="DT235" s="639"/>
      <c r="DU235" s="639"/>
      <c r="DV235" s="639"/>
      <c r="DW235" s="639"/>
      <c r="DX235" s="639"/>
      <c r="DY235" s="639"/>
      <c r="DZ235" s="639"/>
      <c r="EA235" s="639"/>
      <c r="EB235" s="639"/>
      <c r="EC235" s="639"/>
      <c r="ED235" s="639"/>
      <c r="EE235" s="639"/>
      <c r="EF235" s="639"/>
      <c r="EG235" s="639"/>
      <c r="EH235" s="639"/>
      <c r="EI235" s="639"/>
      <c r="EJ235" s="639"/>
      <c r="EK235" s="639"/>
      <c r="EL235" s="639"/>
      <c r="EM235" s="639"/>
      <c r="EN235" s="639"/>
      <c r="EO235" s="639"/>
      <c r="EP235" s="639"/>
      <c r="EQ235" s="639"/>
      <c r="ER235" s="639"/>
      <c r="ES235" s="639"/>
      <c r="ET235" s="639"/>
      <c r="EU235" s="639"/>
      <c r="EV235" s="639"/>
      <c r="EW235" s="639"/>
      <c r="EX235" s="639"/>
      <c r="EY235" s="639"/>
      <c r="EZ235" s="639"/>
      <c r="FA235" s="639"/>
      <c r="FB235" s="639"/>
      <c r="FC235" s="639"/>
      <c r="FD235" s="639"/>
      <c r="FE235" s="639"/>
      <c r="FF235" s="639"/>
      <c r="FG235" s="639"/>
      <c r="FH235" s="639"/>
      <c r="FI235" s="639"/>
      <c r="FJ235" s="639"/>
      <c r="FK235" s="639"/>
      <c r="FL235" s="639"/>
      <c r="FM235" s="639"/>
      <c r="FN235" s="639"/>
      <c r="FO235" s="639"/>
      <c r="FP235" s="639"/>
      <c r="FQ235" s="639"/>
      <c r="FR235" s="639"/>
      <c r="FS235" s="639"/>
      <c r="FT235" s="639"/>
      <c r="FU235" s="639"/>
      <c r="FV235" s="639"/>
      <c r="FW235" s="639"/>
      <c r="FX235" s="639"/>
      <c r="FY235" s="639"/>
      <c r="FZ235" s="639"/>
      <c r="GA235" s="639"/>
      <c r="GB235" s="639"/>
      <c r="GC235" s="639"/>
      <c r="GD235" s="639"/>
      <c r="GE235" s="639"/>
      <c r="GF235" s="639"/>
      <c r="GG235" s="639"/>
      <c r="GH235" s="639"/>
      <c r="GI235" s="639"/>
      <c r="GJ235" s="639"/>
      <c r="GK235" s="639"/>
      <c r="GL235" s="639"/>
      <c r="GM235" s="639"/>
      <c r="GN235" s="639"/>
      <c r="GO235" s="639"/>
      <c r="GP235" s="639"/>
      <c r="GQ235" s="639"/>
      <c r="GR235" s="639"/>
      <c r="GS235" s="639"/>
      <c r="GT235" s="639"/>
      <c r="GU235" s="639"/>
      <c r="GV235" s="639"/>
      <c r="GW235" s="639"/>
      <c r="GX235" s="639"/>
      <c r="GY235" s="639"/>
      <c r="GZ235" s="639"/>
      <c r="HA235" s="639"/>
      <c r="HB235" s="639"/>
      <c r="HC235" s="639"/>
      <c r="HD235" s="639"/>
      <c r="HE235" s="639"/>
      <c r="HF235" s="645"/>
      <c r="HG235" s="645"/>
      <c r="HH235" s="645"/>
      <c r="HI235" s="645"/>
      <c r="HJ235" s="645"/>
      <c r="HK235" s="645"/>
      <c r="HL235" s="645"/>
      <c r="HM235" s="645"/>
      <c r="HN235" s="645"/>
      <c r="HO235" s="645"/>
      <c r="HP235" s="645"/>
      <c r="HQ235" s="645"/>
      <c r="HR235" s="645">
        <v>0.11600000000000001</v>
      </c>
      <c r="HS235" s="645">
        <f t="shared" si="775"/>
        <v>778.85714285714289</v>
      </c>
      <c r="HT235" s="645">
        <f t="shared" si="776"/>
        <v>1</v>
      </c>
      <c r="HU235" s="618">
        <f t="shared" si="778"/>
        <v>2.9549984256727271</v>
      </c>
      <c r="HV235" s="618"/>
      <c r="HW235" s="618">
        <f t="shared" si="762"/>
        <v>31.803902235544726</v>
      </c>
      <c r="HX235" s="618">
        <f t="shared" si="779"/>
        <v>2.7820413628289864</v>
      </c>
      <c r="HY235" s="618">
        <f t="shared" si="780"/>
        <v>0.11600000000000001</v>
      </c>
      <c r="HZ235" s="618"/>
      <c r="IA235" s="618"/>
      <c r="IB235" s="618">
        <f t="shared" si="763"/>
        <v>25.000350341399081</v>
      </c>
      <c r="IC235" s="618">
        <f t="shared" si="764"/>
        <v>1E-3</v>
      </c>
      <c r="ID235" s="618"/>
      <c r="IE235" s="618">
        <f t="shared" si="765"/>
        <v>0</v>
      </c>
      <c r="IF235" s="618">
        <f t="shared" si="766"/>
        <v>40.704999999999998</v>
      </c>
      <c r="IG235" s="618"/>
      <c r="IH235" s="618">
        <f t="shared" si="767"/>
        <v>0</v>
      </c>
      <c r="II235" s="618">
        <f t="shared" si="768"/>
        <v>40.704999999999998</v>
      </c>
      <c r="IJ235" s="618"/>
      <c r="IK235" s="618">
        <f t="shared" si="769"/>
        <v>0</v>
      </c>
      <c r="IL235" s="618">
        <f t="shared" si="770"/>
        <v>40.704999999999998</v>
      </c>
      <c r="IM235" s="618"/>
      <c r="IN235" s="618">
        <f t="shared" si="771"/>
        <v>0</v>
      </c>
      <c r="IO235" s="618">
        <f t="shared" si="772"/>
        <v>40.704999999999998</v>
      </c>
      <c r="IP235" s="618"/>
      <c r="IQ235" s="618">
        <f t="shared" si="773"/>
        <v>0</v>
      </c>
      <c r="IR235" s="618">
        <f t="shared" si="774"/>
        <v>40.704999999999998</v>
      </c>
      <c r="IS235" s="645"/>
      <c r="IT235" s="639"/>
      <c r="IU235" s="639"/>
      <c r="IV235" s="639"/>
      <c r="IW235" s="639"/>
      <c r="IX235" s="639"/>
      <c r="IY235" s="639"/>
      <c r="IZ235" s="639"/>
      <c r="JA235" s="639"/>
      <c r="JB235" s="639"/>
      <c r="JC235" s="639"/>
      <c r="JD235" s="639"/>
      <c r="JE235" s="639"/>
      <c r="JF235" s="639"/>
      <c r="JG235" s="639"/>
      <c r="JH235" s="639"/>
      <c r="JI235" s="639"/>
      <c r="JJ235" s="639"/>
      <c r="JK235" s="639"/>
      <c r="JL235" s="639"/>
      <c r="JM235" s="639"/>
      <c r="JN235" s="639"/>
      <c r="JO235" s="639"/>
      <c r="JP235" s="639"/>
      <c r="JQ235" s="639"/>
      <c r="JR235" s="639"/>
      <c r="JS235" s="639"/>
      <c r="JT235" s="639"/>
      <c r="JU235" s="639"/>
      <c r="JV235" s="653"/>
    </row>
    <row r="236" spans="1:282" s="612" customFormat="1">
      <c r="A236" s="611"/>
      <c r="U236" s="613"/>
      <c r="V236" s="613"/>
      <c r="AC236" s="613"/>
      <c r="AD236" s="613"/>
      <c r="AL236" s="613"/>
      <c r="AM236" s="613"/>
      <c r="AT236" s="613"/>
      <c r="AU236" s="613"/>
      <c r="CH236" s="611"/>
      <c r="CI236" s="611"/>
      <c r="CO236" s="694" t="str">
        <f t="shared" si="777"/>
        <v>S427Q 1S</v>
      </c>
      <c r="CP236" s="645"/>
      <c r="CQ236" s="618"/>
      <c r="CR236" s="618"/>
      <c r="CS236" s="618"/>
      <c r="CT236" s="626"/>
      <c r="CU236" s="626"/>
      <c r="CV236" s="626"/>
      <c r="CW236" s="641"/>
      <c r="CX236" s="641"/>
      <c r="CY236" s="624"/>
      <c r="CZ236" s="624"/>
      <c r="DA236" s="624"/>
      <c r="DB236" s="624"/>
      <c r="DC236" s="639"/>
      <c r="DD236" s="639"/>
      <c r="DE236" s="639"/>
      <c r="DF236" s="639"/>
      <c r="DG236" s="639"/>
      <c r="DH236" s="639"/>
      <c r="DI236" s="639"/>
      <c r="DJ236" s="639"/>
      <c r="DK236" s="639"/>
      <c r="DL236" s="639"/>
      <c r="DM236" s="639"/>
      <c r="DN236" s="639"/>
      <c r="DO236" s="639"/>
      <c r="DP236" s="639"/>
      <c r="DQ236" s="639"/>
      <c r="DR236" s="639"/>
      <c r="DS236" s="639"/>
      <c r="DT236" s="639"/>
      <c r="DU236" s="639"/>
      <c r="DV236" s="639"/>
      <c r="DW236" s="639"/>
      <c r="DX236" s="639"/>
      <c r="DY236" s="639"/>
      <c r="DZ236" s="639"/>
      <c r="EA236" s="639"/>
      <c r="EB236" s="639"/>
      <c r="EC236" s="639"/>
      <c r="ED236" s="639"/>
      <c r="EE236" s="639"/>
      <c r="EF236" s="639"/>
      <c r="EG236" s="639"/>
      <c r="EH236" s="639"/>
      <c r="EI236" s="639"/>
      <c r="EJ236" s="639"/>
      <c r="EK236" s="639"/>
      <c r="EL236" s="639"/>
      <c r="EM236" s="639"/>
      <c r="EN236" s="639"/>
      <c r="EO236" s="639"/>
      <c r="EP236" s="639"/>
      <c r="EQ236" s="639"/>
      <c r="ER236" s="639"/>
      <c r="ES236" s="639"/>
      <c r="ET236" s="639"/>
      <c r="EU236" s="639"/>
      <c r="EV236" s="639"/>
      <c r="EW236" s="639"/>
      <c r="EX236" s="639"/>
      <c r="EY236" s="639"/>
      <c r="EZ236" s="639"/>
      <c r="FA236" s="639"/>
      <c r="FB236" s="639"/>
      <c r="FC236" s="639"/>
      <c r="FD236" s="639"/>
      <c r="FE236" s="639"/>
      <c r="FF236" s="639"/>
      <c r="FG236" s="639"/>
      <c r="FH236" s="639"/>
      <c r="FI236" s="639"/>
      <c r="FJ236" s="639"/>
      <c r="FK236" s="639"/>
      <c r="FL236" s="639"/>
      <c r="FM236" s="639"/>
      <c r="FN236" s="639"/>
      <c r="FO236" s="639"/>
      <c r="FP236" s="639"/>
      <c r="FQ236" s="639"/>
      <c r="FR236" s="639"/>
      <c r="FS236" s="639"/>
      <c r="FT236" s="639"/>
      <c r="FU236" s="639"/>
      <c r="FV236" s="639"/>
      <c r="FW236" s="639"/>
      <c r="FX236" s="639"/>
      <c r="FY236" s="639"/>
      <c r="FZ236" s="639"/>
      <c r="GA236" s="639"/>
      <c r="GB236" s="639"/>
      <c r="GC236" s="639"/>
      <c r="GD236" s="639"/>
      <c r="GE236" s="639"/>
      <c r="GF236" s="639"/>
      <c r="GG236" s="639"/>
      <c r="GH236" s="639"/>
      <c r="GI236" s="639"/>
      <c r="GJ236" s="639"/>
      <c r="GK236" s="639"/>
      <c r="GL236" s="639"/>
      <c r="GM236" s="639"/>
      <c r="GN236" s="639"/>
      <c r="GO236" s="639"/>
      <c r="GP236" s="639"/>
      <c r="GQ236" s="639"/>
      <c r="GR236" s="639"/>
      <c r="GS236" s="639"/>
      <c r="GT236" s="639"/>
      <c r="GU236" s="639"/>
      <c r="GV236" s="639"/>
      <c r="GW236" s="639"/>
      <c r="GX236" s="639"/>
      <c r="GY236" s="639"/>
      <c r="GZ236" s="639"/>
      <c r="HA236" s="639"/>
      <c r="HB236" s="639"/>
      <c r="HC236" s="639"/>
      <c r="HD236" s="639"/>
      <c r="HE236" s="639"/>
      <c r="HF236" s="645"/>
      <c r="HG236" s="645"/>
      <c r="HH236" s="645"/>
      <c r="HI236" s="645"/>
      <c r="HJ236" s="645"/>
      <c r="HK236" s="645"/>
      <c r="HL236" s="645"/>
      <c r="HM236" s="645"/>
      <c r="HN236" s="645"/>
      <c r="HO236" s="645"/>
      <c r="HP236" s="645"/>
      <c r="HQ236" s="645"/>
      <c r="HR236" s="645">
        <v>0.11650000000000001</v>
      </c>
      <c r="HS236" s="645">
        <f t="shared" si="775"/>
        <v>782.21428571428578</v>
      </c>
      <c r="HT236" s="645">
        <f t="shared" si="776"/>
        <v>1</v>
      </c>
      <c r="HU236" s="618">
        <f t="shared" si="778"/>
        <v>2.9677374696463521</v>
      </c>
      <c r="HV236" s="618"/>
      <c r="HW236" s="618">
        <f t="shared" si="762"/>
        <v>31.785812793102181</v>
      </c>
      <c r="HX236" s="618">
        <f t="shared" si="779"/>
        <v>2.7932891646875624</v>
      </c>
      <c r="HY236" s="618">
        <f t="shared" si="780"/>
        <v>0.11650000000000001</v>
      </c>
      <c r="HZ236" s="618"/>
      <c r="IA236" s="618"/>
      <c r="IB236" s="618">
        <f t="shared" si="763"/>
        <v>25.000350341399081</v>
      </c>
      <c r="IC236" s="618">
        <f t="shared" si="764"/>
        <v>1E-3</v>
      </c>
      <c r="ID236" s="618"/>
      <c r="IE236" s="618">
        <f t="shared" si="765"/>
        <v>0</v>
      </c>
      <c r="IF236" s="618">
        <f t="shared" si="766"/>
        <v>40.704999999999998</v>
      </c>
      <c r="IG236" s="618"/>
      <c r="IH236" s="618">
        <f t="shared" si="767"/>
        <v>0</v>
      </c>
      <c r="II236" s="618">
        <f t="shared" si="768"/>
        <v>40.704999999999998</v>
      </c>
      <c r="IJ236" s="618"/>
      <c r="IK236" s="618">
        <f t="shared" si="769"/>
        <v>0</v>
      </c>
      <c r="IL236" s="618">
        <f t="shared" si="770"/>
        <v>40.704999999999998</v>
      </c>
      <c r="IM236" s="618"/>
      <c r="IN236" s="618">
        <f t="shared" si="771"/>
        <v>0</v>
      </c>
      <c r="IO236" s="618">
        <f t="shared" si="772"/>
        <v>40.704999999999998</v>
      </c>
      <c r="IP236" s="618"/>
      <c r="IQ236" s="618">
        <f t="shared" si="773"/>
        <v>0</v>
      </c>
      <c r="IR236" s="618">
        <f t="shared" si="774"/>
        <v>40.704999999999998</v>
      </c>
      <c r="IS236" s="645"/>
      <c r="IT236" s="639"/>
      <c r="IU236" s="639"/>
      <c r="IV236" s="639"/>
      <c r="IW236" s="639"/>
      <c r="IX236" s="639"/>
      <c r="IY236" s="639"/>
      <c r="IZ236" s="639"/>
      <c r="JA236" s="639"/>
      <c r="JB236" s="639"/>
      <c r="JC236" s="639"/>
      <c r="JD236" s="639"/>
      <c r="JE236" s="639"/>
      <c r="JF236" s="639"/>
      <c r="JG236" s="639"/>
      <c r="JH236" s="639"/>
      <c r="JI236" s="639"/>
      <c r="JJ236" s="639"/>
      <c r="JK236" s="639"/>
      <c r="JL236" s="639"/>
      <c r="JM236" s="639"/>
      <c r="JN236" s="639"/>
      <c r="JO236" s="639"/>
      <c r="JP236" s="639"/>
      <c r="JQ236" s="639"/>
      <c r="JR236" s="639"/>
      <c r="JS236" s="639"/>
      <c r="JT236" s="639"/>
      <c r="JU236" s="639"/>
      <c r="JV236" s="653"/>
    </row>
    <row r="237" spans="1:282" s="612" customFormat="1">
      <c r="A237" s="611"/>
      <c r="U237" s="613"/>
      <c r="V237" s="613"/>
      <c r="AC237" s="613"/>
      <c r="AD237" s="613"/>
      <c r="AL237" s="613"/>
      <c r="AM237" s="613"/>
      <c r="AT237" s="613"/>
      <c r="AU237" s="613"/>
      <c r="CH237" s="611"/>
      <c r="CI237" s="611"/>
      <c r="CO237" s="694" t="str">
        <f t="shared" si="777"/>
        <v>S427Q 2S</v>
      </c>
      <c r="CP237" s="645"/>
      <c r="CQ237" s="618"/>
      <c r="CR237" s="618"/>
      <c r="CS237" s="618"/>
      <c r="CT237" s="626"/>
      <c r="CU237" s="626"/>
      <c r="CV237" s="626"/>
      <c r="CW237" s="641"/>
      <c r="CX237" s="641"/>
      <c r="CY237" s="624"/>
      <c r="CZ237" s="624"/>
      <c r="DA237" s="624"/>
      <c r="DB237" s="624"/>
      <c r="DC237" s="639"/>
      <c r="DD237" s="639"/>
      <c r="DE237" s="639"/>
      <c r="DF237" s="639"/>
      <c r="DG237" s="639"/>
      <c r="DH237" s="639"/>
      <c r="DI237" s="639"/>
      <c r="DJ237" s="639"/>
      <c r="DK237" s="639"/>
      <c r="DL237" s="639"/>
      <c r="DM237" s="639"/>
      <c r="DN237" s="639"/>
      <c r="DO237" s="639"/>
      <c r="DP237" s="639"/>
      <c r="DQ237" s="639"/>
      <c r="DR237" s="639"/>
      <c r="DS237" s="639"/>
      <c r="DT237" s="639"/>
      <c r="DU237" s="639"/>
      <c r="DV237" s="639"/>
      <c r="DW237" s="639"/>
      <c r="DX237" s="639"/>
      <c r="DY237" s="639"/>
      <c r="DZ237" s="639"/>
      <c r="EA237" s="639"/>
      <c r="EB237" s="639"/>
      <c r="EC237" s="639"/>
      <c r="ED237" s="639"/>
      <c r="EE237" s="639"/>
      <c r="EF237" s="639"/>
      <c r="EG237" s="639"/>
      <c r="EH237" s="639"/>
      <c r="EI237" s="639"/>
      <c r="EJ237" s="639"/>
      <c r="EK237" s="639"/>
      <c r="EL237" s="639"/>
      <c r="EM237" s="639"/>
      <c r="EN237" s="639"/>
      <c r="EO237" s="639"/>
      <c r="EP237" s="639"/>
      <c r="EQ237" s="639"/>
      <c r="ER237" s="639"/>
      <c r="ES237" s="639"/>
      <c r="ET237" s="639"/>
      <c r="EU237" s="639"/>
      <c r="EV237" s="639"/>
      <c r="EW237" s="639"/>
      <c r="EX237" s="639"/>
      <c r="EY237" s="639"/>
      <c r="EZ237" s="639"/>
      <c r="FA237" s="639"/>
      <c r="FB237" s="639"/>
      <c r="FC237" s="639"/>
      <c r="FD237" s="639"/>
      <c r="FE237" s="639"/>
      <c r="FF237" s="639"/>
      <c r="FG237" s="639"/>
      <c r="FH237" s="639"/>
      <c r="FI237" s="639"/>
      <c r="FJ237" s="639"/>
      <c r="FK237" s="639"/>
      <c r="FL237" s="639"/>
      <c r="FM237" s="639"/>
      <c r="FN237" s="639"/>
      <c r="FO237" s="639"/>
      <c r="FP237" s="639"/>
      <c r="FQ237" s="639"/>
      <c r="FR237" s="639"/>
      <c r="FS237" s="639"/>
      <c r="FT237" s="639"/>
      <c r="FU237" s="639"/>
      <c r="FV237" s="639"/>
      <c r="FW237" s="639"/>
      <c r="FX237" s="639"/>
      <c r="FY237" s="639"/>
      <c r="FZ237" s="639"/>
      <c r="GA237" s="639"/>
      <c r="GB237" s="639"/>
      <c r="GC237" s="639"/>
      <c r="GD237" s="639"/>
      <c r="GE237" s="639"/>
      <c r="GF237" s="639"/>
      <c r="GG237" s="639"/>
      <c r="GH237" s="639"/>
      <c r="GI237" s="639"/>
      <c r="GJ237" s="639"/>
      <c r="GK237" s="639"/>
      <c r="GL237" s="639"/>
      <c r="GM237" s="639"/>
      <c r="GN237" s="639"/>
      <c r="GO237" s="639"/>
      <c r="GP237" s="639"/>
      <c r="GQ237" s="639"/>
      <c r="GR237" s="639"/>
      <c r="GS237" s="639"/>
      <c r="GT237" s="639"/>
      <c r="GU237" s="639"/>
      <c r="GV237" s="639"/>
      <c r="GW237" s="639"/>
      <c r="GX237" s="639"/>
      <c r="GY237" s="639"/>
      <c r="GZ237" s="639"/>
      <c r="HA237" s="639"/>
      <c r="HB237" s="639"/>
      <c r="HC237" s="639"/>
      <c r="HD237" s="639"/>
      <c r="HE237" s="639"/>
      <c r="HF237" s="645"/>
      <c r="HG237" s="645"/>
      <c r="HH237" s="645"/>
      <c r="HI237" s="645"/>
      <c r="HJ237" s="645"/>
      <c r="HK237" s="645"/>
      <c r="HL237" s="645"/>
      <c r="HM237" s="645"/>
      <c r="HN237" s="645"/>
      <c r="HO237" s="645"/>
      <c r="HP237" s="645"/>
      <c r="HQ237" s="645"/>
      <c r="HR237" s="645">
        <v>0.11700000000000001</v>
      </c>
      <c r="HS237" s="645">
        <f t="shared" si="775"/>
        <v>785.57142857142856</v>
      </c>
      <c r="HT237" s="645">
        <f t="shared" si="776"/>
        <v>1</v>
      </c>
      <c r="HU237" s="618">
        <f t="shared" si="778"/>
        <v>2.9804765136199771</v>
      </c>
      <c r="HV237" s="618"/>
      <c r="HW237" s="618">
        <f t="shared" si="762"/>
        <v>31.767723350659633</v>
      </c>
      <c r="HX237" s="618">
        <f t="shared" si="779"/>
        <v>2.8045305653738404</v>
      </c>
      <c r="HY237" s="618">
        <f t="shared" si="780"/>
        <v>0.11700000000000001</v>
      </c>
      <c r="HZ237" s="618"/>
      <c r="IA237" s="618"/>
      <c r="IB237" s="618">
        <f t="shared" si="763"/>
        <v>25.000350341399081</v>
      </c>
      <c r="IC237" s="618">
        <f t="shared" si="764"/>
        <v>1E-3</v>
      </c>
      <c r="ID237" s="618"/>
      <c r="IE237" s="618">
        <f t="shared" si="765"/>
        <v>0</v>
      </c>
      <c r="IF237" s="618">
        <f t="shared" si="766"/>
        <v>40.704999999999998</v>
      </c>
      <c r="IG237" s="618"/>
      <c r="IH237" s="618">
        <f t="shared" si="767"/>
        <v>0</v>
      </c>
      <c r="II237" s="618">
        <f t="shared" si="768"/>
        <v>40.704999999999998</v>
      </c>
      <c r="IJ237" s="618"/>
      <c r="IK237" s="618">
        <f t="shared" si="769"/>
        <v>0</v>
      </c>
      <c r="IL237" s="618">
        <f t="shared" si="770"/>
        <v>40.704999999999998</v>
      </c>
      <c r="IM237" s="618"/>
      <c r="IN237" s="618">
        <f t="shared" si="771"/>
        <v>0</v>
      </c>
      <c r="IO237" s="618">
        <f t="shared" si="772"/>
        <v>40.704999999999998</v>
      </c>
      <c r="IP237" s="618"/>
      <c r="IQ237" s="618">
        <f t="shared" si="773"/>
        <v>0</v>
      </c>
      <c r="IR237" s="618">
        <f t="shared" si="774"/>
        <v>40.704999999999998</v>
      </c>
      <c r="IS237" s="645"/>
      <c r="IT237" s="639"/>
      <c r="IU237" s="639"/>
      <c r="IV237" s="639"/>
      <c r="IW237" s="639"/>
      <c r="IX237" s="639"/>
      <c r="IY237" s="639"/>
      <c r="IZ237" s="639"/>
      <c r="JA237" s="639"/>
      <c r="JB237" s="639"/>
      <c r="JC237" s="639"/>
      <c r="JD237" s="639"/>
      <c r="JE237" s="639"/>
      <c r="JF237" s="639"/>
      <c r="JG237" s="639"/>
      <c r="JH237" s="639"/>
      <c r="JI237" s="639"/>
      <c r="JJ237" s="639"/>
      <c r="JK237" s="639"/>
      <c r="JL237" s="639"/>
      <c r="JM237" s="639"/>
      <c r="JN237" s="639"/>
      <c r="JO237" s="639"/>
      <c r="JP237" s="639"/>
      <c r="JQ237" s="639"/>
      <c r="JR237" s="639"/>
      <c r="JS237" s="639"/>
      <c r="JT237" s="639"/>
      <c r="JU237" s="639"/>
      <c r="JV237" s="653"/>
    </row>
    <row r="238" spans="1:282" s="612" customFormat="1">
      <c r="A238" s="611"/>
      <c r="U238" s="613"/>
      <c r="V238" s="613"/>
      <c r="AC238" s="613"/>
      <c r="AD238" s="613"/>
      <c r="AL238" s="613"/>
      <c r="AM238" s="613"/>
      <c r="AT238" s="613"/>
      <c r="AU238" s="613"/>
      <c r="CH238" s="611"/>
      <c r="CI238" s="611"/>
      <c r="CO238" s="694" t="str">
        <f t="shared" si="777"/>
        <v>S427Q</v>
      </c>
      <c r="CP238" s="645"/>
      <c r="CQ238" s="618"/>
      <c r="CR238" s="618"/>
      <c r="CS238" s="618"/>
      <c r="CT238" s="626"/>
      <c r="CU238" s="626"/>
      <c r="CV238" s="626"/>
      <c r="CW238" s="641"/>
      <c r="CX238" s="641"/>
      <c r="CY238" s="624"/>
      <c r="CZ238" s="624"/>
      <c r="DA238" s="624"/>
      <c r="DB238" s="624"/>
      <c r="DC238" s="639"/>
      <c r="DD238" s="639"/>
      <c r="DE238" s="639"/>
      <c r="DF238" s="639"/>
      <c r="DG238" s="639"/>
      <c r="DH238" s="639"/>
      <c r="DI238" s="639"/>
      <c r="DJ238" s="639"/>
      <c r="DK238" s="639"/>
      <c r="DL238" s="639"/>
      <c r="DM238" s="639"/>
      <c r="DN238" s="639"/>
      <c r="DO238" s="639"/>
      <c r="DP238" s="639"/>
      <c r="DQ238" s="639"/>
      <c r="DR238" s="639"/>
      <c r="DS238" s="639"/>
      <c r="DT238" s="639"/>
      <c r="DU238" s="639"/>
      <c r="DV238" s="639"/>
      <c r="DW238" s="639"/>
      <c r="DX238" s="639"/>
      <c r="DY238" s="639"/>
      <c r="DZ238" s="639"/>
      <c r="EA238" s="639"/>
      <c r="EB238" s="639"/>
      <c r="EC238" s="639"/>
      <c r="ED238" s="639"/>
      <c r="EE238" s="639"/>
      <c r="EF238" s="639"/>
      <c r="EG238" s="639"/>
      <c r="EH238" s="639"/>
      <c r="EI238" s="639"/>
      <c r="EJ238" s="639"/>
      <c r="EK238" s="639"/>
      <c r="EL238" s="639"/>
      <c r="EM238" s="639"/>
      <c r="EN238" s="639"/>
      <c r="EO238" s="639"/>
      <c r="EP238" s="639"/>
      <c r="EQ238" s="639"/>
      <c r="ER238" s="639"/>
      <c r="ES238" s="639"/>
      <c r="ET238" s="639"/>
      <c r="EU238" s="639"/>
      <c r="EV238" s="639"/>
      <c r="EW238" s="639"/>
      <c r="EX238" s="639"/>
      <c r="EY238" s="639"/>
      <c r="EZ238" s="639"/>
      <c r="FA238" s="639"/>
      <c r="FB238" s="639"/>
      <c r="FC238" s="639"/>
      <c r="FD238" s="639"/>
      <c r="FE238" s="639"/>
      <c r="FF238" s="639"/>
      <c r="FG238" s="639"/>
      <c r="FH238" s="639"/>
      <c r="FI238" s="639"/>
      <c r="FJ238" s="639"/>
      <c r="FK238" s="639"/>
      <c r="FL238" s="639"/>
      <c r="FM238" s="639"/>
      <c r="FN238" s="639"/>
      <c r="FO238" s="639"/>
      <c r="FP238" s="639"/>
      <c r="FQ238" s="639"/>
      <c r="FR238" s="639"/>
      <c r="FS238" s="639"/>
      <c r="FT238" s="639"/>
      <c r="FU238" s="639"/>
      <c r="FV238" s="639"/>
      <c r="FW238" s="639"/>
      <c r="FX238" s="639"/>
      <c r="FY238" s="639"/>
      <c r="FZ238" s="639"/>
      <c r="GA238" s="639"/>
      <c r="GB238" s="639"/>
      <c r="GC238" s="639"/>
      <c r="GD238" s="639"/>
      <c r="GE238" s="639"/>
      <c r="GF238" s="639"/>
      <c r="GG238" s="639"/>
      <c r="GH238" s="639"/>
      <c r="GI238" s="639"/>
      <c r="GJ238" s="639"/>
      <c r="GK238" s="639"/>
      <c r="GL238" s="639"/>
      <c r="GM238" s="639"/>
      <c r="GN238" s="639"/>
      <c r="GO238" s="639"/>
      <c r="GP238" s="639"/>
      <c r="GQ238" s="639"/>
      <c r="GR238" s="639"/>
      <c r="GS238" s="639"/>
      <c r="GT238" s="639"/>
      <c r="GU238" s="639"/>
      <c r="GV238" s="639"/>
      <c r="GW238" s="639"/>
      <c r="GX238" s="639"/>
      <c r="GY238" s="639"/>
      <c r="GZ238" s="639"/>
      <c r="HA238" s="639"/>
      <c r="HB238" s="639"/>
      <c r="HC238" s="639"/>
      <c r="HD238" s="639"/>
      <c r="HE238" s="639"/>
      <c r="HF238" s="645"/>
      <c r="HG238" s="645"/>
      <c r="HH238" s="645"/>
      <c r="HI238" s="645"/>
      <c r="HJ238" s="645"/>
      <c r="HK238" s="645"/>
      <c r="HL238" s="645"/>
      <c r="HM238" s="645"/>
      <c r="HN238" s="645"/>
      <c r="HO238" s="645"/>
      <c r="HP238" s="645"/>
      <c r="HQ238" s="645"/>
      <c r="HR238" s="645">
        <v>0.11749999999999999</v>
      </c>
      <c r="HS238" s="645">
        <f t="shared" si="775"/>
        <v>788.92857142857133</v>
      </c>
      <c r="HT238" s="645">
        <f t="shared" si="776"/>
        <v>1</v>
      </c>
      <c r="HU238" s="618">
        <f t="shared" si="778"/>
        <v>2.9932155575936017</v>
      </c>
      <c r="HV238" s="618"/>
      <c r="HW238" s="618">
        <f t="shared" si="762"/>
        <v>31.749633908217085</v>
      </c>
      <c r="HX238" s="618">
        <f t="shared" si="779"/>
        <v>2.8157655648878195</v>
      </c>
      <c r="HY238" s="618">
        <f t="shared" si="780"/>
        <v>0.11749999999999999</v>
      </c>
      <c r="HZ238" s="618"/>
      <c r="IA238" s="618"/>
      <c r="IB238" s="618">
        <f t="shared" si="763"/>
        <v>25.000350341399081</v>
      </c>
      <c r="IC238" s="618">
        <f t="shared" si="764"/>
        <v>1E-3</v>
      </c>
      <c r="ID238" s="618"/>
      <c r="IE238" s="618">
        <f t="shared" si="765"/>
        <v>0</v>
      </c>
      <c r="IF238" s="618">
        <f t="shared" si="766"/>
        <v>40.704999999999998</v>
      </c>
      <c r="IG238" s="618"/>
      <c r="IH238" s="618">
        <f t="shared" si="767"/>
        <v>0</v>
      </c>
      <c r="II238" s="618">
        <f t="shared" si="768"/>
        <v>40.704999999999998</v>
      </c>
      <c r="IJ238" s="618"/>
      <c r="IK238" s="618">
        <f t="shared" si="769"/>
        <v>0</v>
      </c>
      <c r="IL238" s="618">
        <f t="shared" si="770"/>
        <v>40.704999999999998</v>
      </c>
      <c r="IM238" s="618"/>
      <c r="IN238" s="618">
        <f t="shared" si="771"/>
        <v>0</v>
      </c>
      <c r="IO238" s="618">
        <f t="shared" si="772"/>
        <v>40.704999999999998</v>
      </c>
      <c r="IP238" s="618"/>
      <c r="IQ238" s="618">
        <f t="shared" si="773"/>
        <v>0</v>
      </c>
      <c r="IR238" s="618">
        <f t="shared" si="774"/>
        <v>40.704999999999998</v>
      </c>
      <c r="IS238" s="645"/>
      <c r="IT238" s="639"/>
      <c r="IU238" s="639"/>
      <c r="IV238" s="639"/>
      <c r="IW238" s="639"/>
      <c r="IX238" s="639"/>
      <c r="IY238" s="639"/>
      <c r="IZ238" s="639"/>
      <c r="JA238" s="639"/>
      <c r="JB238" s="639"/>
      <c r="JC238" s="639"/>
      <c r="JD238" s="639"/>
      <c r="JE238" s="639"/>
      <c r="JF238" s="639"/>
      <c r="JG238" s="639"/>
      <c r="JH238" s="639"/>
      <c r="JI238" s="639"/>
      <c r="JJ238" s="639"/>
      <c r="JK238" s="639"/>
      <c r="JL238" s="639"/>
      <c r="JM238" s="639"/>
      <c r="JN238" s="639"/>
      <c r="JO238" s="639"/>
      <c r="JP238" s="639"/>
      <c r="JQ238" s="639"/>
      <c r="JR238" s="639"/>
      <c r="JS238" s="639"/>
      <c r="JT238" s="639"/>
      <c r="JU238" s="639"/>
      <c r="JV238" s="653"/>
    </row>
    <row r="239" spans="1:282" s="612" customFormat="1">
      <c r="A239" s="611"/>
      <c r="U239" s="613"/>
      <c r="V239" s="613"/>
      <c r="AC239" s="613"/>
      <c r="AD239" s="613"/>
      <c r="AL239" s="613"/>
      <c r="AM239" s="613"/>
      <c r="AT239" s="613"/>
      <c r="AU239" s="613"/>
      <c r="CH239" s="611"/>
      <c r="CI239" s="611"/>
      <c r="CO239" s="694" t="str">
        <f t="shared" si="777"/>
        <v>L427Q</v>
      </c>
      <c r="CP239" s="645"/>
      <c r="CQ239" s="618"/>
      <c r="CR239" s="618"/>
      <c r="CS239" s="618"/>
      <c r="CT239" s="626"/>
      <c r="CU239" s="626"/>
      <c r="CV239" s="626"/>
      <c r="CW239" s="641"/>
      <c r="CX239" s="641"/>
      <c r="CY239" s="624"/>
      <c r="CZ239" s="624"/>
      <c r="DA239" s="624"/>
      <c r="DB239" s="624"/>
      <c r="DC239" s="639"/>
      <c r="DD239" s="639"/>
      <c r="DE239" s="639"/>
      <c r="DF239" s="639"/>
      <c r="DG239" s="639"/>
      <c r="DH239" s="639"/>
      <c r="DI239" s="639"/>
      <c r="DJ239" s="639"/>
      <c r="DK239" s="639"/>
      <c r="DL239" s="639"/>
      <c r="DM239" s="639"/>
      <c r="DN239" s="639"/>
      <c r="DO239" s="639"/>
      <c r="DP239" s="639"/>
      <c r="DQ239" s="639"/>
      <c r="DR239" s="639"/>
      <c r="DS239" s="639"/>
      <c r="DT239" s="639"/>
      <c r="DU239" s="639"/>
      <c r="DV239" s="639"/>
      <c r="DW239" s="639"/>
      <c r="DX239" s="639"/>
      <c r="DY239" s="639"/>
      <c r="DZ239" s="639"/>
      <c r="EA239" s="639"/>
      <c r="EB239" s="639"/>
      <c r="EC239" s="639"/>
      <c r="ED239" s="639"/>
      <c r="EE239" s="639"/>
      <c r="EF239" s="639"/>
      <c r="EG239" s="639"/>
      <c r="EH239" s="639"/>
      <c r="EI239" s="639"/>
      <c r="EJ239" s="639"/>
      <c r="EK239" s="639"/>
      <c r="EL239" s="639"/>
      <c r="EM239" s="639"/>
      <c r="EN239" s="639"/>
      <c r="EO239" s="639"/>
      <c r="EP239" s="639"/>
      <c r="EQ239" s="639"/>
      <c r="ER239" s="639"/>
      <c r="ES239" s="639"/>
      <c r="ET239" s="639"/>
      <c r="EU239" s="639"/>
      <c r="EV239" s="639"/>
      <c r="EW239" s="639"/>
      <c r="EX239" s="639"/>
      <c r="EY239" s="639"/>
      <c r="EZ239" s="639"/>
      <c r="FA239" s="639"/>
      <c r="FB239" s="639"/>
      <c r="FC239" s="639"/>
      <c r="FD239" s="639"/>
      <c r="FE239" s="639"/>
      <c r="FF239" s="639"/>
      <c r="FG239" s="639"/>
      <c r="FH239" s="639"/>
      <c r="FI239" s="639"/>
      <c r="FJ239" s="639"/>
      <c r="FK239" s="639"/>
      <c r="FL239" s="639"/>
      <c r="FM239" s="639"/>
      <c r="FN239" s="639"/>
      <c r="FO239" s="639"/>
      <c r="FP239" s="639"/>
      <c r="FQ239" s="639"/>
      <c r="FR239" s="639"/>
      <c r="FS239" s="639"/>
      <c r="FT239" s="639"/>
      <c r="FU239" s="639"/>
      <c r="FV239" s="639"/>
      <c r="FW239" s="639"/>
      <c r="FX239" s="639"/>
      <c r="FY239" s="639"/>
      <c r="FZ239" s="639"/>
      <c r="GA239" s="639"/>
      <c r="GB239" s="639"/>
      <c r="GC239" s="639"/>
      <c r="GD239" s="639"/>
      <c r="GE239" s="639"/>
      <c r="GF239" s="639"/>
      <c r="GG239" s="639"/>
      <c r="GH239" s="639"/>
      <c r="GI239" s="639"/>
      <c r="GJ239" s="639"/>
      <c r="GK239" s="639"/>
      <c r="GL239" s="639"/>
      <c r="GM239" s="639"/>
      <c r="GN239" s="639"/>
      <c r="GO239" s="639"/>
      <c r="GP239" s="639"/>
      <c r="GQ239" s="639"/>
      <c r="GR239" s="639"/>
      <c r="GS239" s="639"/>
      <c r="GT239" s="639"/>
      <c r="GU239" s="639"/>
      <c r="GV239" s="639"/>
      <c r="GW239" s="639"/>
      <c r="GX239" s="639"/>
      <c r="GY239" s="639"/>
      <c r="GZ239" s="639"/>
      <c r="HA239" s="639"/>
      <c r="HB239" s="639"/>
      <c r="HC239" s="639"/>
      <c r="HD239" s="639"/>
      <c r="HE239" s="639"/>
      <c r="HF239" s="645"/>
      <c r="HG239" s="645"/>
      <c r="HH239" s="645"/>
      <c r="HI239" s="645"/>
      <c r="HJ239" s="645"/>
      <c r="HK239" s="645"/>
      <c r="HL239" s="645"/>
      <c r="HM239" s="645"/>
      <c r="HN239" s="645"/>
      <c r="HO239" s="645"/>
      <c r="HP239" s="645"/>
      <c r="HQ239" s="645"/>
      <c r="HR239" s="645">
        <v>0.11799999999999999</v>
      </c>
      <c r="HS239" s="645">
        <f t="shared" si="775"/>
        <v>792.28571428571422</v>
      </c>
      <c r="HT239" s="645">
        <f t="shared" si="776"/>
        <v>1</v>
      </c>
      <c r="HU239" s="618">
        <f t="shared" si="778"/>
        <v>3.0059546015672267</v>
      </c>
      <c r="HV239" s="618"/>
      <c r="HW239" s="618">
        <f t="shared" si="762"/>
        <v>31.73154446577454</v>
      </c>
      <c r="HX239" s="618">
        <f t="shared" si="779"/>
        <v>2.826994163229501</v>
      </c>
      <c r="HY239" s="618">
        <f t="shared" si="780"/>
        <v>0.11799999999999999</v>
      </c>
      <c r="HZ239" s="618"/>
      <c r="IA239" s="618"/>
      <c r="IB239" s="618">
        <f t="shared" si="763"/>
        <v>25.000350341399081</v>
      </c>
      <c r="IC239" s="618">
        <f t="shared" si="764"/>
        <v>1E-3</v>
      </c>
      <c r="ID239" s="618"/>
      <c r="IE239" s="618">
        <f t="shared" si="765"/>
        <v>0</v>
      </c>
      <c r="IF239" s="618">
        <f t="shared" si="766"/>
        <v>40.704999999999998</v>
      </c>
      <c r="IG239" s="618"/>
      <c r="IH239" s="618">
        <f t="shared" si="767"/>
        <v>0</v>
      </c>
      <c r="II239" s="618">
        <f t="shared" si="768"/>
        <v>40.704999999999998</v>
      </c>
      <c r="IJ239" s="618"/>
      <c r="IK239" s="618">
        <f t="shared" si="769"/>
        <v>0</v>
      </c>
      <c r="IL239" s="618">
        <f t="shared" si="770"/>
        <v>40.704999999999998</v>
      </c>
      <c r="IM239" s="618"/>
      <c r="IN239" s="618">
        <f t="shared" si="771"/>
        <v>0</v>
      </c>
      <c r="IO239" s="618">
        <f t="shared" si="772"/>
        <v>40.704999999999998</v>
      </c>
      <c r="IP239" s="618"/>
      <c r="IQ239" s="618">
        <f t="shared" si="773"/>
        <v>0</v>
      </c>
      <c r="IR239" s="618">
        <f t="shared" si="774"/>
        <v>40.704999999999998</v>
      </c>
      <c r="IS239" s="645"/>
      <c r="IT239" s="639"/>
      <c r="IU239" s="639"/>
      <c r="IV239" s="639"/>
      <c r="IW239" s="639"/>
      <c r="IX239" s="639"/>
      <c r="IY239" s="639"/>
      <c r="IZ239" s="639"/>
      <c r="JA239" s="639"/>
      <c r="JB239" s="639"/>
      <c r="JC239" s="639"/>
      <c r="JD239" s="639"/>
      <c r="JE239" s="639"/>
      <c r="JF239" s="639"/>
      <c r="JG239" s="639"/>
      <c r="JH239" s="639"/>
      <c r="JI239" s="639"/>
      <c r="JJ239" s="639"/>
      <c r="JK239" s="639"/>
      <c r="JL239" s="639"/>
      <c r="JM239" s="639"/>
      <c r="JN239" s="639"/>
      <c r="JO239" s="639"/>
      <c r="JP239" s="639"/>
      <c r="JQ239" s="639"/>
      <c r="JR239" s="639"/>
      <c r="JS239" s="639"/>
      <c r="JT239" s="639"/>
      <c r="JU239" s="639"/>
      <c r="JV239" s="653"/>
    </row>
    <row r="240" spans="1:282" s="612" customFormat="1">
      <c r="A240" s="611"/>
      <c r="U240" s="613"/>
      <c r="V240" s="613"/>
      <c r="AC240" s="613"/>
      <c r="AD240" s="613"/>
      <c r="AL240" s="613"/>
      <c r="AM240" s="613"/>
      <c r="AT240" s="613"/>
      <c r="AU240" s="613"/>
      <c r="CH240" s="611"/>
      <c r="CI240" s="611"/>
      <c r="CO240" s="694" t="str">
        <f t="shared" si="777"/>
        <v>S435Q 1S</v>
      </c>
      <c r="CP240" s="645"/>
      <c r="CQ240" s="618"/>
      <c r="CR240" s="618"/>
      <c r="CS240" s="618"/>
      <c r="CT240" s="626"/>
      <c r="CU240" s="626"/>
      <c r="CV240" s="626"/>
      <c r="CW240" s="641"/>
      <c r="CX240" s="641"/>
      <c r="CY240" s="624"/>
      <c r="CZ240" s="624"/>
      <c r="DA240" s="624"/>
      <c r="DB240" s="624"/>
      <c r="DC240" s="639"/>
      <c r="DD240" s="639"/>
      <c r="DE240" s="639"/>
      <c r="DF240" s="639"/>
      <c r="DG240" s="639"/>
      <c r="DH240" s="639"/>
      <c r="DI240" s="639"/>
      <c r="DJ240" s="639"/>
      <c r="DK240" s="639"/>
      <c r="DL240" s="639"/>
      <c r="DM240" s="639"/>
      <c r="DN240" s="639"/>
      <c r="DO240" s="639"/>
      <c r="DP240" s="639"/>
      <c r="DQ240" s="639"/>
      <c r="DR240" s="639"/>
      <c r="DS240" s="639"/>
      <c r="DT240" s="639"/>
      <c r="DU240" s="639"/>
      <c r="DV240" s="639"/>
      <c r="DW240" s="639"/>
      <c r="DX240" s="639"/>
      <c r="DY240" s="639"/>
      <c r="DZ240" s="639"/>
      <c r="EA240" s="639"/>
      <c r="EB240" s="639"/>
      <c r="EC240" s="639"/>
      <c r="ED240" s="639"/>
      <c r="EE240" s="639"/>
      <c r="EF240" s="639"/>
      <c r="EG240" s="639"/>
      <c r="EH240" s="639"/>
      <c r="EI240" s="639"/>
      <c r="EJ240" s="639"/>
      <c r="EK240" s="639"/>
      <c r="EL240" s="639"/>
      <c r="EM240" s="639"/>
      <c r="EN240" s="639"/>
      <c r="EO240" s="639"/>
      <c r="EP240" s="639"/>
      <c r="EQ240" s="639"/>
      <c r="ER240" s="639"/>
      <c r="ES240" s="639"/>
      <c r="ET240" s="639"/>
      <c r="EU240" s="639"/>
      <c r="EV240" s="639"/>
      <c r="EW240" s="639"/>
      <c r="EX240" s="639"/>
      <c r="EY240" s="639"/>
      <c r="EZ240" s="639"/>
      <c r="FA240" s="639"/>
      <c r="FB240" s="639"/>
      <c r="FC240" s="639"/>
      <c r="FD240" s="639"/>
      <c r="FE240" s="639"/>
      <c r="FF240" s="639"/>
      <c r="FG240" s="639"/>
      <c r="FH240" s="639"/>
      <c r="FI240" s="639"/>
      <c r="FJ240" s="639"/>
      <c r="FK240" s="639"/>
      <c r="FL240" s="639"/>
      <c r="FM240" s="639"/>
      <c r="FN240" s="639"/>
      <c r="FO240" s="639"/>
      <c r="FP240" s="639"/>
      <c r="FQ240" s="639"/>
      <c r="FR240" s="639"/>
      <c r="FS240" s="639"/>
      <c r="FT240" s="639"/>
      <c r="FU240" s="639"/>
      <c r="FV240" s="639"/>
      <c r="FW240" s="639"/>
      <c r="FX240" s="639"/>
      <c r="FY240" s="639"/>
      <c r="FZ240" s="639"/>
      <c r="GA240" s="639"/>
      <c r="GB240" s="639"/>
      <c r="GC240" s="639"/>
      <c r="GD240" s="639"/>
      <c r="GE240" s="639"/>
      <c r="GF240" s="639"/>
      <c r="GG240" s="639"/>
      <c r="GH240" s="639"/>
      <c r="GI240" s="639"/>
      <c r="GJ240" s="639"/>
      <c r="GK240" s="639"/>
      <c r="GL240" s="639"/>
      <c r="GM240" s="639"/>
      <c r="GN240" s="639"/>
      <c r="GO240" s="639"/>
      <c r="GP240" s="639"/>
      <c r="GQ240" s="639"/>
      <c r="GR240" s="639"/>
      <c r="GS240" s="639"/>
      <c r="GT240" s="639"/>
      <c r="GU240" s="639"/>
      <c r="GV240" s="639"/>
      <c r="GW240" s="639"/>
      <c r="GX240" s="639"/>
      <c r="GY240" s="639"/>
      <c r="GZ240" s="639"/>
      <c r="HA240" s="639"/>
      <c r="HB240" s="639"/>
      <c r="HC240" s="639"/>
      <c r="HD240" s="639"/>
      <c r="HE240" s="639"/>
      <c r="HF240" s="645"/>
      <c r="HG240" s="645"/>
      <c r="HH240" s="645"/>
      <c r="HI240" s="645"/>
      <c r="HJ240" s="645"/>
      <c r="HK240" s="645"/>
      <c r="HL240" s="645"/>
      <c r="HM240" s="645"/>
      <c r="HN240" s="645"/>
      <c r="HO240" s="645"/>
      <c r="HP240" s="645"/>
      <c r="HQ240" s="645"/>
      <c r="HR240" s="645">
        <v>0.11849999999999999</v>
      </c>
      <c r="HS240" s="645">
        <f t="shared" si="775"/>
        <v>795.64285714285711</v>
      </c>
      <c r="HT240" s="645">
        <f t="shared" si="776"/>
        <v>1</v>
      </c>
      <c r="HU240" s="618">
        <f t="shared" si="778"/>
        <v>3.0186936455408517</v>
      </c>
      <c r="HV240" s="618"/>
      <c r="HW240" s="618">
        <f t="shared" si="762"/>
        <v>31.713455023331992</v>
      </c>
      <c r="HX240" s="618">
        <f t="shared" si="779"/>
        <v>2.8382163603988841</v>
      </c>
      <c r="HY240" s="618">
        <f t="shared" si="780"/>
        <v>0.11849999999999999</v>
      </c>
      <c r="HZ240" s="618"/>
      <c r="IA240" s="618"/>
      <c r="IB240" s="618">
        <f t="shared" si="763"/>
        <v>25.000350341399081</v>
      </c>
      <c r="IC240" s="618">
        <f t="shared" si="764"/>
        <v>1E-3</v>
      </c>
      <c r="ID240" s="618"/>
      <c r="IE240" s="618">
        <f t="shared" si="765"/>
        <v>0</v>
      </c>
      <c r="IF240" s="618">
        <f t="shared" si="766"/>
        <v>40.704999999999998</v>
      </c>
      <c r="IG240" s="618"/>
      <c r="IH240" s="618">
        <f t="shared" si="767"/>
        <v>0</v>
      </c>
      <c r="II240" s="618">
        <f t="shared" si="768"/>
        <v>40.704999999999998</v>
      </c>
      <c r="IJ240" s="618"/>
      <c r="IK240" s="618">
        <f t="shared" si="769"/>
        <v>0</v>
      </c>
      <c r="IL240" s="618">
        <f t="shared" si="770"/>
        <v>40.704999999999998</v>
      </c>
      <c r="IM240" s="618"/>
      <c r="IN240" s="618">
        <f t="shared" si="771"/>
        <v>0</v>
      </c>
      <c r="IO240" s="618">
        <f t="shared" si="772"/>
        <v>40.704999999999998</v>
      </c>
      <c r="IP240" s="618"/>
      <c r="IQ240" s="618">
        <f t="shared" si="773"/>
        <v>0</v>
      </c>
      <c r="IR240" s="618">
        <f t="shared" si="774"/>
        <v>40.704999999999998</v>
      </c>
      <c r="IS240" s="645"/>
      <c r="IT240" s="639"/>
      <c r="IU240" s="639"/>
      <c r="IV240" s="639"/>
      <c r="IW240" s="639"/>
      <c r="IX240" s="639"/>
      <c r="IY240" s="639"/>
      <c r="IZ240" s="639"/>
      <c r="JA240" s="639"/>
      <c r="JB240" s="639"/>
      <c r="JC240" s="639"/>
      <c r="JD240" s="639"/>
      <c r="JE240" s="639"/>
      <c r="JF240" s="639"/>
      <c r="JG240" s="639"/>
      <c r="JH240" s="639"/>
      <c r="JI240" s="639"/>
      <c r="JJ240" s="639"/>
      <c r="JK240" s="639"/>
      <c r="JL240" s="639"/>
      <c r="JM240" s="639"/>
      <c r="JN240" s="639"/>
      <c r="JO240" s="639"/>
      <c r="JP240" s="639"/>
      <c r="JQ240" s="639"/>
      <c r="JR240" s="639"/>
      <c r="JS240" s="639"/>
      <c r="JT240" s="639"/>
      <c r="JU240" s="639"/>
      <c r="JV240" s="653"/>
    </row>
    <row r="241" spans="1:282" s="612" customFormat="1">
      <c r="A241" s="611"/>
      <c r="U241" s="613"/>
      <c r="V241" s="613"/>
      <c r="AC241" s="613"/>
      <c r="AD241" s="613"/>
      <c r="AL241" s="613"/>
      <c r="AM241" s="613"/>
      <c r="AT241" s="613"/>
      <c r="AU241" s="613"/>
      <c r="CH241" s="611"/>
      <c r="CI241" s="611"/>
      <c r="CO241" s="694" t="str">
        <f t="shared" si="777"/>
        <v>S435Q 2S</v>
      </c>
      <c r="CP241" s="645"/>
      <c r="CQ241" s="618"/>
      <c r="CR241" s="618"/>
      <c r="CS241" s="618"/>
      <c r="CT241" s="626"/>
      <c r="CU241" s="626"/>
      <c r="CV241" s="626"/>
      <c r="CW241" s="641"/>
      <c r="CX241" s="641"/>
      <c r="CY241" s="624"/>
      <c r="CZ241" s="624"/>
      <c r="DA241" s="624"/>
      <c r="DB241" s="624"/>
      <c r="DC241" s="639"/>
      <c r="DD241" s="639"/>
      <c r="DE241" s="639"/>
      <c r="DF241" s="639"/>
      <c r="DG241" s="639"/>
      <c r="DH241" s="639"/>
      <c r="DI241" s="639"/>
      <c r="DJ241" s="639"/>
      <c r="DK241" s="639"/>
      <c r="DL241" s="639"/>
      <c r="DM241" s="639"/>
      <c r="DN241" s="639"/>
      <c r="DO241" s="639"/>
      <c r="DP241" s="639"/>
      <c r="DQ241" s="639"/>
      <c r="DR241" s="639"/>
      <c r="DS241" s="639"/>
      <c r="DT241" s="639"/>
      <c r="DU241" s="639"/>
      <c r="DV241" s="639"/>
      <c r="DW241" s="639"/>
      <c r="DX241" s="639"/>
      <c r="DY241" s="639"/>
      <c r="DZ241" s="639"/>
      <c r="EA241" s="639"/>
      <c r="EB241" s="639"/>
      <c r="EC241" s="639"/>
      <c r="ED241" s="639"/>
      <c r="EE241" s="639"/>
      <c r="EF241" s="639"/>
      <c r="EG241" s="639"/>
      <c r="EH241" s="639"/>
      <c r="EI241" s="639"/>
      <c r="EJ241" s="639"/>
      <c r="EK241" s="639"/>
      <c r="EL241" s="639"/>
      <c r="EM241" s="639"/>
      <c r="EN241" s="639"/>
      <c r="EO241" s="639"/>
      <c r="EP241" s="639"/>
      <c r="EQ241" s="639"/>
      <c r="ER241" s="639"/>
      <c r="ES241" s="639"/>
      <c r="ET241" s="639"/>
      <c r="EU241" s="639"/>
      <c r="EV241" s="639"/>
      <c r="EW241" s="639"/>
      <c r="EX241" s="639"/>
      <c r="EY241" s="639"/>
      <c r="EZ241" s="639"/>
      <c r="FA241" s="639"/>
      <c r="FB241" s="639"/>
      <c r="FC241" s="639"/>
      <c r="FD241" s="639"/>
      <c r="FE241" s="639"/>
      <c r="FF241" s="639"/>
      <c r="FG241" s="639"/>
      <c r="FH241" s="639"/>
      <c r="FI241" s="639"/>
      <c r="FJ241" s="639"/>
      <c r="FK241" s="639"/>
      <c r="FL241" s="639"/>
      <c r="FM241" s="639"/>
      <c r="FN241" s="639"/>
      <c r="FO241" s="639"/>
      <c r="FP241" s="639"/>
      <c r="FQ241" s="639"/>
      <c r="FR241" s="639"/>
      <c r="FS241" s="639"/>
      <c r="FT241" s="639"/>
      <c r="FU241" s="639"/>
      <c r="FV241" s="639"/>
      <c r="FW241" s="639"/>
      <c r="FX241" s="639"/>
      <c r="FY241" s="639"/>
      <c r="FZ241" s="639"/>
      <c r="GA241" s="639"/>
      <c r="GB241" s="639"/>
      <c r="GC241" s="639"/>
      <c r="GD241" s="639"/>
      <c r="GE241" s="639"/>
      <c r="GF241" s="639"/>
      <c r="GG241" s="639"/>
      <c r="GH241" s="639"/>
      <c r="GI241" s="639"/>
      <c r="GJ241" s="639"/>
      <c r="GK241" s="639"/>
      <c r="GL241" s="639"/>
      <c r="GM241" s="639"/>
      <c r="GN241" s="639"/>
      <c r="GO241" s="639"/>
      <c r="GP241" s="639"/>
      <c r="GQ241" s="639"/>
      <c r="GR241" s="639"/>
      <c r="GS241" s="639"/>
      <c r="GT241" s="639"/>
      <c r="GU241" s="639"/>
      <c r="GV241" s="639"/>
      <c r="GW241" s="639"/>
      <c r="GX241" s="639"/>
      <c r="GY241" s="639"/>
      <c r="GZ241" s="639"/>
      <c r="HA241" s="639"/>
      <c r="HB241" s="639"/>
      <c r="HC241" s="639"/>
      <c r="HD241" s="639"/>
      <c r="HE241" s="639"/>
      <c r="HF241" s="645"/>
      <c r="HG241" s="645"/>
      <c r="HH241" s="645"/>
      <c r="HI241" s="645"/>
      <c r="HJ241" s="645"/>
      <c r="HK241" s="645"/>
      <c r="HL241" s="645"/>
      <c r="HM241" s="645"/>
      <c r="HN241" s="645"/>
      <c r="HO241" s="645"/>
      <c r="HP241" s="645"/>
      <c r="HQ241" s="645"/>
      <c r="HR241" s="645">
        <v>0.11899999999999999</v>
      </c>
      <c r="HS241" s="645">
        <f t="shared" si="775"/>
        <v>799</v>
      </c>
      <c r="HT241" s="645">
        <f t="shared" si="776"/>
        <v>1</v>
      </c>
      <c r="HU241" s="618">
        <f t="shared" si="778"/>
        <v>3.0314326895144768</v>
      </c>
      <c r="HV241" s="618"/>
      <c r="HW241" s="618">
        <f t="shared" si="762"/>
        <v>31.695365580889444</v>
      </c>
      <c r="HX241" s="618">
        <f t="shared" si="779"/>
        <v>2.8494321563959693</v>
      </c>
      <c r="HY241" s="618">
        <f t="shared" si="780"/>
        <v>0.11899999999999999</v>
      </c>
      <c r="HZ241" s="618"/>
      <c r="IA241" s="618"/>
      <c r="IB241" s="618">
        <f t="shared" si="763"/>
        <v>25.000350341399081</v>
      </c>
      <c r="IC241" s="618">
        <f t="shared" si="764"/>
        <v>1E-3</v>
      </c>
      <c r="ID241" s="618"/>
      <c r="IE241" s="618">
        <f t="shared" si="765"/>
        <v>0</v>
      </c>
      <c r="IF241" s="618">
        <f t="shared" si="766"/>
        <v>40.704999999999998</v>
      </c>
      <c r="IG241" s="618"/>
      <c r="IH241" s="618">
        <f t="shared" si="767"/>
        <v>0</v>
      </c>
      <c r="II241" s="618">
        <f t="shared" si="768"/>
        <v>40.704999999999998</v>
      </c>
      <c r="IJ241" s="618"/>
      <c r="IK241" s="618">
        <f t="shared" si="769"/>
        <v>0</v>
      </c>
      <c r="IL241" s="618">
        <f t="shared" si="770"/>
        <v>40.704999999999998</v>
      </c>
      <c r="IM241" s="618"/>
      <c r="IN241" s="618">
        <f t="shared" si="771"/>
        <v>0</v>
      </c>
      <c r="IO241" s="618">
        <f t="shared" si="772"/>
        <v>40.704999999999998</v>
      </c>
      <c r="IP241" s="618"/>
      <c r="IQ241" s="618">
        <f t="shared" si="773"/>
        <v>0</v>
      </c>
      <c r="IR241" s="618">
        <f t="shared" si="774"/>
        <v>40.704999999999998</v>
      </c>
      <c r="IS241" s="645"/>
      <c r="IT241" s="639"/>
      <c r="IU241" s="639"/>
      <c r="IV241" s="639"/>
      <c r="IW241" s="639"/>
      <c r="IX241" s="639"/>
      <c r="IY241" s="639"/>
      <c r="IZ241" s="639"/>
      <c r="JA241" s="639"/>
      <c r="JB241" s="639"/>
      <c r="JC241" s="639"/>
      <c r="JD241" s="639"/>
      <c r="JE241" s="639"/>
      <c r="JF241" s="639"/>
      <c r="JG241" s="639"/>
      <c r="JH241" s="639"/>
      <c r="JI241" s="639"/>
      <c r="JJ241" s="639"/>
      <c r="JK241" s="639"/>
      <c r="JL241" s="639"/>
      <c r="JM241" s="639"/>
      <c r="JN241" s="639"/>
      <c r="JO241" s="639"/>
      <c r="JP241" s="639"/>
      <c r="JQ241" s="639"/>
      <c r="JR241" s="639"/>
      <c r="JS241" s="639"/>
      <c r="JT241" s="639"/>
      <c r="JU241" s="639"/>
      <c r="JV241" s="653"/>
    </row>
    <row r="242" spans="1:282" s="612" customFormat="1">
      <c r="A242" s="611"/>
      <c r="U242" s="613"/>
      <c r="V242" s="613"/>
      <c r="AC242" s="613"/>
      <c r="AD242" s="613"/>
      <c r="AL242" s="613"/>
      <c r="AM242" s="613"/>
      <c r="AT242" s="613"/>
      <c r="AU242" s="613"/>
      <c r="CH242" s="611"/>
      <c r="CI242" s="611"/>
      <c r="CO242" s="694" t="str">
        <f t="shared" si="777"/>
        <v>S435Q</v>
      </c>
      <c r="CP242" s="645"/>
      <c r="CQ242" s="618"/>
      <c r="CR242" s="618"/>
      <c r="CS242" s="618"/>
      <c r="CT242" s="626"/>
      <c r="CU242" s="626"/>
      <c r="CV242" s="626"/>
      <c r="CW242" s="641"/>
      <c r="CX242" s="641"/>
      <c r="CY242" s="624"/>
      <c r="CZ242" s="624"/>
      <c r="DA242" s="624"/>
      <c r="DB242" s="624"/>
      <c r="DC242" s="639"/>
      <c r="DD242" s="639"/>
      <c r="DE242" s="639"/>
      <c r="DF242" s="639"/>
      <c r="DG242" s="639"/>
      <c r="DH242" s="639"/>
      <c r="DI242" s="639"/>
      <c r="DJ242" s="639"/>
      <c r="DK242" s="639"/>
      <c r="DL242" s="639"/>
      <c r="DM242" s="639"/>
      <c r="DN242" s="639"/>
      <c r="DO242" s="639"/>
      <c r="DP242" s="639"/>
      <c r="DQ242" s="639"/>
      <c r="DR242" s="639"/>
      <c r="DS242" s="639"/>
      <c r="DT242" s="639"/>
      <c r="DU242" s="639"/>
      <c r="DV242" s="639"/>
      <c r="DW242" s="639"/>
      <c r="DX242" s="639"/>
      <c r="DY242" s="639"/>
      <c r="DZ242" s="639"/>
      <c r="EA242" s="639"/>
      <c r="EB242" s="639"/>
      <c r="EC242" s="639"/>
      <c r="ED242" s="639"/>
      <c r="EE242" s="639"/>
      <c r="EF242" s="639"/>
      <c r="EG242" s="639"/>
      <c r="EH242" s="639"/>
      <c r="EI242" s="639"/>
      <c r="EJ242" s="639"/>
      <c r="EK242" s="639"/>
      <c r="EL242" s="639"/>
      <c r="EM242" s="639"/>
      <c r="EN242" s="639"/>
      <c r="EO242" s="639"/>
      <c r="EP242" s="639"/>
      <c r="EQ242" s="639"/>
      <c r="ER242" s="639"/>
      <c r="ES242" s="639"/>
      <c r="ET242" s="639"/>
      <c r="EU242" s="639"/>
      <c r="EV242" s="639"/>
      <c r="EW242" s="639"/>
      <c r="EX242" s="639"/>
      <c r="EY242" s="639"/>
      <c r="EZ242" s="639"/>
      <c r="FA242" s="639"/>
      <c r="FB242" s="639"/>
      <c r="FC242" s="639"/>
      <c r="FD242" s="639"/>
      <c r="FE242" s="639"/>
      <c r="FF242" s="639"/>
      <c r="FG242" s="639"/>
      <c r="FH242" s="639"/>
      <c r="FI242" s="639"/>
      <c r="FJ242" s="639"/>
      <c r="FK242" s="639"/>
      <c r="FL242" s="639"/>
      <c r="FM242" s="639"/>
      <c r="FN242" s="639"/>
      <c r="FO242" s="639"/>
      <c r="FP242" s="639"/>
      <c r="FQ242" s="639"/>
      <c r="FR242" s="639"/>
      <c r="FS242" s="639"/>
      <c r="FT242" s="639"/>
      <c r="FU242" s="639"/>
      <c r="FV242" s="639"/>
      <c r="FW242" s="639"/>
      <c r="FX242" s="639"/>
      <c r="FY242" s="639"/>
      <c r="FZ242" s="639"/>
      <c r="GA242" s="639"/>
      <c r="GB242" s="639"/>
      <c r="GC242" s="639"/>
      <c r="GD242" s="639"/>
      <c r="GE242" s="639"/>
      <c r="GF242" s="639"/>
      <c r="GG242" s="639"/>
      <c r="GH242" s="639"/>
      <c r="GI242" s="639"/>
      <c r="GJ242" s="639"/>
      <c r="GK242" s="639"/>
      <c r="GL242" s="639"/>
      <c r="GM242" s="639"/>
      <c r="GN242" s="639"/>
      <c r="GO242" s="639"/>
      <c r="GP242" s="639"/>
      <c r="GQ242" s="639"/>
      <c r="GR242" s="639"/>
      <c r="GS242" s="639"/>
      <c r="GT242" s="639"/>
      <c r="GU242" s="639"/>
      <c r="GV242" s="639"/>
      <c r="GW242" s="639"/>
      <c r="GX242" s="639"/>
      <c r="GY242" s="639"/>
      <c r="GZ242" s="639"/>
      <c r="HA242" s="639"/>
      <c r="HB242" s="639"/>
      <c r="HC242" s="639"/>
      <c r="HD242" s="639"/>
      <c r="HE242" s="639"/>
      <c r="HF242" s="645"/>
      <c r="HG242" s="645"/>
      <c r="HH242" s="645"/>
      <c r="HI242" s="645"/>
      <c r="HJ242" s="645"/>
      <c r="HK242" s="645"/>
      <c r="HL242" s="645"/>
      <c r="HM242" s="645"/>
      <c r="HN242" s="645"/>
      <c r="HO242" s="645"/>
      <c r="HP242" s="645"/>
      <c r="HQ242" s="645"/>
      <c r="HR242" s="645">
        <v>0.1195</v>
      </c>
      <c r="HS242" s="645">
        <f t="shared" si="775"/>
        <v>802.35714285714278</v>
      </c>
      <c r="HT242" s="645">
        <f t="shared" si="776"/>
        <v>1</v>
      </c>
      <c r="HU242" s="618">
        <f t="shared" si="778"/>
        <v>3.0441717334881018</v>
      </c>
      <c r="HV242" s="618"/>
      <c r="HW242" s="618">
        <f t="shared" si="762"/>
        <v>31.677276138446896</v>
      </c>
      <c r="HX242" s="618">
        <f t="shared" si="779"/>
        <v>2.8606415512207564</v>
      </c>
      <c r="HY242" s="618">
        <f t="shared" si="780"/>
        <v>0.1195</v>
      </c>
      <c r="HZ242" s="618"/>
      <c r="IA242" s="618"/>
      <c r="IB242" s="618">
        <f t="shared" si="763"/>
        <v>25.000350341399081</v>
      </c>
      <c r="IC242" s="618">
        <f t="shared" si="764"/>
        <v>1E-3</v>
      </c>
      <c r="ID242" s="618"/>
      <c r="IE242" s="618">
        <f t="shared" si="765"/>
        <v>0</v>
      </c>
      <c r="IF242" s="618">
        <f t="shared" si="766"/>
        <v>40.704999999999998</v>
      </c>
      <c r="IG242" s="618"/>
      <c r="IH242" s="618">
        <f t="shared" si="767"/>
        <v>0</v>
      </c>
      <c r="II242" s="618">
        <f t="shared" si="768"/>
        <v>40.704999999999998</v>
      </c>
      <c r="IJ242" s="618"/>
      <c r="IK242" s="618">
        <f t="shared" si="769"/>
        <v>0</v>
      </c>
      <c r="IL242" s="618">
        <f t="shared" si="770"/>
        <v>40.704999999999998</v>
      </c>
      <c r="IM242" s="618"/>
      <c r="IN242" s="618">
        <f t="shared" si="771"/>
        <v>0</v>
      </c>
      <c r="IO242" s="618">
        <f t="shared" si="772"/>
        <v>40.704999999999998</v>
      </c>
      <c r="IP242" s="618"/>
      <c r="IQ242" s="618">
        <f t="shared" si="773"/>
        <v>0</v>
      </c>
      <c r="IR242" s="618">
        <f t="shared" si="774"/>
        <v>40.704999999999998</v>
      </c>
      <c r="IS242" s="645"/>
      <c r="IT242" s="639"/>
      <c r="IU242" s="639"/>
      <c r="IV242" s="639"/>
      <c r="IW242" s="639"/>
      <c r="IX242" s="639"/>
      <c r="IY242" s="639"/>
      <c r="IZ242" s="639"/>
      <c r="JA242" s="639"/>
      <c r="JB242" s="639"/>
      <c r="JC242" s="639"/>
      <c r="JD242" s="639"/>
      <c r="JE242" s="639"/>
      <c r="JF242" s="639"/>
      <c r="JG242" s="639"/>
      <c r="JH242" s="639"/>
      <c r="JI242" s="639"/>
      <c r="JJ242" s="639"/>
      <c r="JK242" s="639"/>
      <c r="JL242" s="639"/>
      <c r="JM242" s="639"/>
      <c r="JN242" s="639"/>
      <c r="JO242" s="639"/>
      <c r="JP242" s="639"/>
      <c r="JQ242" s="639"/>
      <c r="JR242" s="639"/>
      <c r="JS242" s="639"/>
      <c r="JT242" s="639"/>
      <c r="JU242" s="639"/>
      <c r="JV242" s="653"/>
    </row>
    <row r="243" spans="1:282" s="612" customFormat="1">
      <c r="A243" s="611"/>
      <c r="U243" s="613"/>
      <c r="V243" s="613"/>
      <c r="AC243" s="613"/>
      <c r="AD243" s="613"/>
      <c r="AL243" s="613"/>
      <c r="AM243" s="613"/>
      <c r="AT243" s="613"/>
      <c r="AU243" s="613"/>
      <c r="CH243" s="611"/>
      <c r="CI243" s="611"/>
      <c r="CO243" s="694" t="str">
        <f t="shared" si="777"/>
        <v>S500D</v>
      </c>
      <c r="CP243" s="645"/>
      <c r="CQ243" s="618"/>
      <c r="CR243" s="618"/>
      <c r="CS243" s="618"/>
      <c r="CT243" s="626"/>
      <c r="CU243" s="626"/>
      <c r="CV243" s="626"/>
      <c r="CW243" s="641"/>
      <c r="CX243" s="641"/>
      <c r="CY243" s="624"/>
      <c r="CZ243" s="624"/>
      <c r="DA243" s="624"/>
      <c r="DB243" s="624"/>
      <c r="DC243" s="639"/>
      <c r="DD243" s="639"/>
      <c r="DE243" s="639"/>
      <c r="DF243" s="639"/>
      <c r="DG243" s="639"/>
      <c r="DH243" s="639"/>
      <c r="DI243" s="639"/>
      <c r="DJ243" s="639"/>
      <c r="DK243" s="639"/>
      <c r="DL243" s="639"/>
      <c r="DM243" s="639"/>
      <c r="DN243" s="639"/>
      <c r="DO243" s="639"/>
      <c r="DP243" s="639"/>
      <c r="DQ243" s="639"/>
      <c r="DR243" s="639"/>
      <c r="DS243" s="639"/>
      <c r="DT243" s="639"/>
      <c r="DU243" s="639"/>
      <c r="DV243" s="639"/>
      <c r="DW243" s="639"/>
      <c r="DX243" s="639"/>
      <c r="DY243" s="639"/>
      <c r="DZ243" s="639"/>
      <c r="EA243" s="639"/>
      <c r="EB243" s="639"/>
      <c r="EC243" s="639"/>
      <c r="ED243" s="639"/>
      <c r="EE243" s="639"/>
      <c r="EF243" s="639"/>
      <c r="EG243" s="639"/>
      <c r="EH243" s="639"/>
      <c r="EI243" s="639"/>
      <c r="EJ243" s="639"/>
      <c r="EK243" s="639"/>
      <c r="EL243" s="639"/>
      <c r="EM243" s="639"/>
      <c r="EN243" s="639"/>
      <c r="EO243" s="639"/>
      <c r="EP243" s="639"/>
      <c r="EQ243" s="639"/>
      <c r="ER243" s="639"/>
      <c r="ES243" s="639"/>
      <c r="ET243" s="639"/>
      <c r="EU243" s="639"/>
      <c r="EV243" s="639"/>
      <c r="EW243" s="639"/>
      <c r="EX243" s="639"/>
      <c r="EY243" s="639"/>
      <c r="EZ243" s="639"/>
      <c r="FA243" s="639"/>
      <c r="FB243" s="639"/>
      <c r="FC243" s="639"/>
      <c r="FD243" s="639"/>
      <c r="FE243" s="639"/>
      <c r="FF243" s="639"/>
      <c r="FG243" s="639"/>
      <c r="FH243" s="639"/>
      <c r="FI243" s="639"/>
      <c r="FJ243" s="639"/>
      <c r="FK243" s="639"/>
      <c r="FL243" s="639"/>
      <c r="FM243" s="639"/>
      <c r="FN243" s="639"/>
      <c r="FO243" s="639"/>
      <c r="FP243" s="639"/>
      <c r="FQ243" s="639"/>
      <c r="FR243" s="639"/>
      <c r="FS243" s="639"/>
      <c r="FT243" s="639"/>
      <c r="FU243" s="639"/>
      <c r="FV243" s="639"/>
      <c r="FW243" s="639"/>
      <c r="FX243" s="639"/>
      <c r="FY243" s="639"/>
      <c r="FZ243" s="639"/>
      <c r="GA243" s="639"/>
      <c r="GB243" s="639"/>
      <c r="GC243" s="639"/>
      <c r="GD243" s="639"/>
      <c r="GE243" s="639"/>
      <c r="GF243" s="639"/>
      <c r="GG243" s="639"/>
      <c r="GH243" s="639"/>
      <c r="GI243" s="639"/>
      <c r="GJ243" s="639"/>
      <c r="GK243" s="639"/>
      <c r="GL243" s="639"/>
      <c r="GM243" s="639"/>
      <c r="GN243" s="639"/>
      <c r="GO243" s="639"/>
      <c r="GP243" s="639"/>
      <c r="GQ243" s="639"/>
      <c r="GR243" s="639"/>
      <c r="GS243" s="639"/>
      <c r="GT243" s="639"/>
      <c r="GU243" s="639"/>
      <c r="GV243" s="639"/>
      <c r="GW243" s="639"/>
      <c r="GX243" s="639"/>
      <c r="GY243" s="639"/>
      <c r="GZ243" s="639"/>
      <c r="HA243" s="639"/>
      <c r="HB243" s="639"/>
      <c r="HC243" s="639"/>
      <c r="HD243" s="639"/>
      <c r="HE243" s="639"/>
      <c r="HF243" s="645"/>
      <c r="HG243" s="645"/>
      <c r="HH243" s="645"/>
      <c r="HI243" s="645"/>
      <c r="HJ243" s="645"/>
      <c r="HK243" s="645"/>
      <c r="HL243" s="645"/>
      <c r="HM243" s="645"/>
      <c r="HN243" s="645"/>
      <c r="HO243" s="645"/>
      <c r="HP243" s="645"/>
      <c r="HQ243" s="645"/>
      <c r="HR243" s="645">
        <v>0.12</v>
      </c>
      <c r="HS243" s="645">
        <f t="shared" si="775"/>
        <v>805.71428571428567</v>
      </c>
      <c r="HT243" s="645">
        <f t="shared" si="776"/>
        <v>1</v>
      </c>
      <c r="HU243" s="618">
        <f t="shared" si="778"/>
        <v>3.0569107774617268</v>
      </c>
      <c r="HV243" s="618"/>
      <c r="HW243" s="618">
        <f t="shared" si="762"/>
        <v>31.659186696004348</v>
      </c>
      <c r="HX243" s="618">
        <f t="shared" si="779"/>
        <v>2.871844544873245</v>
      </c>
      <c r="HY243" s="618">
        <f t="shared" si="780"/>
        <v>0.12</v>
      </c>
      <c r="HZ243" s="618"/>
      <c r="IA243" s="618"/>
      <c r="IB243" s="618">
        <f t="shared" si="763"/>
        <v>25.000350341399081</v>
      </c>
      <c r="IC243" s="618">
        <f t="shared" si="764"/>
        <v>1E-3</v>
      </c>
      <c r="ID243" s="618"/>
      <c r="IE243" s="618">
        <f t="shared" si="765"/>
        <v>0</v>
      </c>
      <c r="IF243" s="618">
        <f t="shared" si="766"/>
        <v>40.704999999999998</v>
      </c>
      <c r="IG243" s="618"/>
      <c r="IH243" s="618">
        <f t="shared" si="767"/>
        <v>0</v>
      </c>
      <c r="II243" s="618">
        <f t="shared" si="768"/>
        <v>40.704999999999998</v>
      </c>
      <c r="IJ243" s="618"/>
      <c r="IK243" s="618">
        <f t="shared" si="769"/>
        <v>0</v>
      </c>
      <c r="IL243" s="618">
        <f t="shared" si="770"/>
        <v>40.704999999999998</v>
      </c>
      <c r="IM243" s="618"/>
      <c r="IN243" s="618">
        <f t="shared" si="771"/>
        <v>0</v>
      </c>
      <c r="IO243" s="618">
        <f t="shared" si="772"/>
        <v>40.704999999999998</v>
      </c>
      <c r="IP243" s="618"/>
      <c r="IQ243" s="618">
        <f t="shared" si="773"/>
        <v>0</v>
      </c>
      <c r="IR243" s="618">
        <f t="shared" si="774"/>
        <v>40.704999999999998</v>
      </c>
      <c r="IS243" s="645"/>
      <c r="IT243" s="639"/>
      <c r="IU243" s="639"/>
      <c r="IV243" s="639"/>
      <c r="IW243" s="639"/>
      <c r="IX243" s="639"/>
      <c r="IY243" s="639"/>
      <c r="IZ243" s="639"/>
      <c r="JA243" s="639"/>
      <c r="JB243" s="639"/>
      <c r="JC243" s="639"/>
      <c r="JD243" s="639"/>
      <c r="JE243" s="639"/>
      <c r="JF243" s="639"/>
      <c r="JG243" s="639"/>
      <c r="JH243" s="639"/>
      <c r="JI243" s="639"/>
      <c r="JJ243" s="639"/>
      <c r="JK243" s="639"/>
      <c r="JL243" s="639"/>
      <c r="JM243" s="639"/>
      <c r="JN243" s="639"/>
      <c r="JO243" s="639"/>
      <c r="JP243" s="639"/>
      <c r="JQ243" s="639"/>
      <c r="JR243" s="639"/>
      <c r="JS243" s="639"/>
      <c r="JT243" s="639"/>
      <c r="JU243" s="639"/>
      <c r="JV243" s="653"/>
    </row>
    <row r="244" spans="1:282" s="612" customFormat="1">
      <c r="A244" s="611"/>
      <c r="U244" s="613"/>
      <c r="V244" s="613"/>
      <c r="AC244" s="613"/>
      <c r="AD244" s="613"/>
      <c r="AL244" s="613"/>
      <c r="AM244" s="613"/>
      <c r="AT244" s="613"/>
      <c r="AU244" s="613"/>
      <c r="CH244" s="611"/>
      <c r="CI244" s="611"/>
      <c r="CO244" s="694" t="str">
        <f t="shared" si="777"/>
        <v>S500D 2S</v>
      </c>
      <c r="CP244" s="645"/>
      <c r="CQ244" s="618"/>
      <c r="CR244" s="618"/>
      <c r="CS244" s="618"/>
      <c r="CT244" s="626"/>
      <c r="CU244" s="626"/>
      <c r="CV244" s="626"/>
      <c r="CW244" s="641"/>
      <c r="CX244" s="641"/>
      <c r="CY244" s="624"/>
      <c r="CZ244" s="624"/>
      <c r="DA244" s="624"/>
      <c r="DB244" s="624"/>
      <c r="DC244" s="639"/>
      <c r="DD244" s="639"/>
      <c r="DE244" s="639"/>
      <c r="DF244" s="639"/>
      <c r="DG244" s="639"/>
      <c r="DH244" s="639"/>
      <c r="DI244" s="639"/>
      <c r="DJ244" s="639"/>
      <c r="DK244" s="639"/>
      <c r="DL244" s="639"/>
      <c r="DM244" s="639"/>
      <c r="DN244" s="639"/>
      <c r="DO244" s="639"/>
      <c r="DP244" s="639"/>
      <c r="DQ244" s="639"/>
      <c r="DR244" s="639"/>
      <c r="DS244" s="639"/>
      <c r="DT244" s="639"/>
      <c r="DU244" s="639"/>
      <c r="DV244" s="639"/>
      <c r="DW244" s="639"/>
      <c r="DX244" s="639"/>
      <c r="DY244" s="639"/>
      <c r="DZ244" s="639"/>
      <c r="EA244" s="639"/>
      <c r="EB244" s="639"/>
      <c r="EC244" s="639"/>
      <c r="ED244" s="639"/>
      <c r="EE244" s="639"/>
      <c r="EF244" s="639"/>
      <c r="EG244" s="639"/>
      <c r="EH244" s="639"/>
      <c r="EI244" s="639"/>
      <c r="EJ244" s="639"/>
      <c r="EK244" s="639"/>
      <c r="EL244" s="639"/>
      <c r="EM244" s="639"/>
      <c r="EN244" s="639"/>
      <c r="EO244" s="639"/>
      <c r="EP244" s="639"/>
      <c r="EQ244" s="639"/>
      <c r="ER244" s="639"/>
      <c r="ES244" s="639"/>
      <c r="ET244" s="639"/>
      <c r="EU244" s="639"/>
      <c r="EV244" s="639"/>
      <c r="EW244" s="639"/>
      <c r="EX244" s="639"/>
      <c r="EY244" s="639"/>
      <c r="EZ244" s="639"/>
      <c r="FA244" s="639"/>
      <c r="FB244" s="639"/>
      <c r="FC244" s="639"/>
      <c r="FD244" s="639"/>
      <c r="FE244" s="639"/>
      <c r="FF244" s="639"/>
      <c r="FG244" s="639"/>
      <c r="FH244" s="639"/>
      <c r="FI244" s="639"/>
      <c r="FJ244" s="639"/>
      <c r="FK244" s="639"/>
      <c r="FL244" s="639"/>
      <c r="FM244" s="639"/>
      <c r="FN244" s="639"/>
      <c r="FO244" s="639"/>
      <c r="FP244" s="639"/>
      <c r="FQ244" s="639"/>
      <c r="FR244" s="639"/>
      <c r="FS244" s="639"/>
      <c r="FT244" s="639"/>
      <c r="FU244" s="639"/>
      <c r="FV244" s="639"/>
      <c r="FW244" s="639"/>
      <c r="FX244" s="639"/>
      <c r="FY244" s="639"/>
      <c r="FZ244" s="639"/>
      <c r="GA244" s="639"/>
      <c r="GB244" s="639"/>
      <c r="GC244" s="639"/>
      <c r="GD244" s="639"/>
      <c r="GE244" s="639"/>
      <c r="GF244" s="639"/>
      <c r="GG244" s="639"/>
      <c r="GH244" s="639"/>
      <c r="GI244" s="639"/>
      <c r="GJ244" s="639"/>
      <c r="GK244" s="639"/>
      <c r="GL244" s="639"/>
      <c r="GM244" s="639"/>
      <c r="GN244" s="639"/>
      <c r="GO244" s="639"/>
      <c r="GP244" s="639"/>
      <c r="GQ244" s="639"/>
      <c r="GR244" s="639"/>
      <c r="GS244" s="639"/>
      <c r="GT244" s="639"/>
      <c r="GU244" s="639"/>
      <c r="GV244" s="639"/>
      <c r="GW244" s="639"/>
      <c r="GX244" s="639"/>
      <c r="GY244" s="639"/>
      <c r="GZ244" s="639"/>
      <c r="HA244" s="639"/>
      <c r="HB244" s="639"/>
      <c r="HC244" s="639"/>
      <c r="HD244" s="639"/>
      <c r="HE244" s="639"/>
      <c r="HF244" s="645"/>
      <c r="HG244" s="645"/>
      <c r="HH244" s="645"/>
      <c r="HI244" s="645"/>
      <c r="HJ244" s="645"/>
      <c r="HK244" s="645"/>
      <c r="HL244" s="645"/>
      <c r="HM244" s="645"/>
      <c r="HN244" s="645"/>
      <c r="HO244" s="645"/>
      <c r="HP244" s="645"/>
      <c r="HQ244" s="645"/>
      <c r="HR244" s="645">
        <v>0.1205</v>
      </c>
      <c r="HS244" s="645">
        <f t="shared" si="775"/>
        <v>809.07142857142856</v>
      </c>
      <c r="HT244" s="645">
        <f t="shared" si="776"/>
        <v>1</v>
      </c>
      <c r="HU244" s="618">
        <f t="shared" si="778"/>
        <v>3.0696498214353518</v>
      </c>
      <c r="HV244" s="618"/>
      <c r="HW244" s="618">
        <f t="shared" si="762"/>
        <v>31.641097253561799</v>
      </c>
      <c r="HX244" s="618">
        <f t="shared" si="779"/>
        <v>2.8830411373534357</v>
      </c>
      <c r="HY244" s="618">
        <f t="shared" si="780"/>
        <v>0.1205</v>
      </c>
      <c r="HZ244" s="618"/>
      <c r="IA244" s="618"/>
      <c r="IB244" s="618">
        <f t="shared" si="763"/>
        <v>25.000350341399081</v>
      </c>
      <c r="IC244" s="618">
        <f t="shared" si="764"/>
        <v>1E-3</v>
      </c>
      <c r="ID244" s="618"/>
      <c r="IE244" s="618">
        <f t="shared" si="765"/>
        <v>0</v>
      </c>
      <c r="IF244" s="618">
        <f t="shared" si="766"/>
        <v>40.704999999999998</v>
      </c>
      <c r="IG244" s="618"/>
      <c r="IH244" s="618">
        <f t="shared" si="767"/>
        <v>0</v>
      </c>
      <c r="II244" s="618">
        <f t="shared" si="768"/>
        <v>40.704999999999998</v>
      </c>
      <c r="IJ244" s="618"/>
      <c r="IK244" s="618">
        <f t="shared" si="769"/>
        <v>0</v>
      </c>
      <c r="IL244" s="618">
        <f t="shared" si="770"/>
        <v>40.704999999999998</v>
      </c>
      <c r="IM244" s="618"/>
      <c r="IN244" s="618">
        <f t="shared" si="771"/>
        <v>0</v>
      </c>
      <c r="IO244" s="618">
        <f t="shared" si="772"/>
        <v>40.704999999999998</v>
      </c>
      <c r="IP244" s="618"/>
      <c r="IQ244" s="618">
        <f t="shared" si="773"/>
        <v>0</v>
      </c>
      <c r="IR244" s="618">
        <f t="shared" si="774"/>
        <v>40.704999999999998</v>
      </c>
      <c r="IS244" s="645"/>
      <c r="IT244" s="639"/>
      <c r="IU244" s="639"/>
      <c r="IV244" s="639"/>
      <c r="IW244" s="639"/>
      <c r="IX244" s="639"/>
      <c r="IY244" s="639"/>
      <c r="IZ244" s="639"/>
      <c r="JA244" s="639"/>
      <c r="JB244" s="639"/>
      <c r="JC244" s="639"/>
      <c r="JD244" s="639"/>
      <c r="JE244" s="639"/>
      <c r="JF244" s="639"/>
      <c r="JG244" s="639"/>
      <c r="JH244" s="639"/>
      <c r="JI244" s="639"/>
      <c r="JJ244" s="639"/>
      <c r="JK244" s="639"/>
      <c r="JL244" s="639"/>
      <c r="JM244" s="639"/>
      <c r="JN244" s="639"/>
      <c r="JO244" s="639"/>
      <c r="JP244" s="639"/>
      <c r="JQ244" s="639"/>
      <c r="JR244" s="639"/>
      <c r="JS244" s="639"/>
      <c r="JT244" s="639"/>
      <c r="JU244" s="639"/>
      <c r="JV244" s="653"/>
    </row>
    <row r="245" spans="1:282" s="612" customFormat="1">
      <c r="A245" s="611"/>
      <c r="U245" s="613"/>
      <c r="V245" s="613"/>
      <c r="AC245" s="613"/>
      <c r="AD245" s="613"/>
      <c r="AL245" s="613"/>
      <c r="AM245" s="613"/>
      <c r="AT245" s="613"/>
      <c r="AU245" s="613"/>
      <c r="CH245" s="611"/>
      <c r="CI245" s="611"/>
      <c r="CO245" s="694" t="str">
        <f t="shared" si="777"/>
        <v>S605D 1S</v>
      </c>
      <c r="CP245" s="645"/>
      <c r="CQ245" s="618"/>
      <c r="CR245" s="618"/>
      <c r="CS245" s="618"/>
      <c r="CT245" s="626"/>
      <c r="CU245" s="626"/>
      <c r="CV245" s="626"/>
      <c r="CW245" s="641"/>
      <c r="CX245" s="641"/>
      <c r="CY245" s="624"/>
      <c r="CZ245" s="624"/>
      <c r="DA245" s="624"/>
      <c r="DB245" s="624"/>
      <c r="DC245" s="639"/>
      <c r="DD245" s="639"/>
      <c r="DE245" s="639"/>
      <c r="DF245" s="639"/>
      <c r="DG245" s="639"/>
      <c r="DH245" s="639"/>
      <c r="DI245" s="639"/>
      <c r="DJ245" s="639"/>
      <c r="DK245" s="639"/>
      <c r="DL245" s="639"/>
      <c r="DM245" s="639"/>
      <c r="DN245" s="639"/>
      <c r="DO245" s="639"/>
      <c r="DP245" s="639"/>
      <c r="DQ245" s="639"/>
      <c r="DR245" s="639"/>
      <c r="DS245" s="639"/>
      <c r="DT245" s="639"/>
      <c r="DU245" s="639"/>
      <c r="DV245" s="639"/>
      <c r="DW245" s="639"/>
      <c r="DX245" s="639"/>
      <c r="DY245" s="639"/>
      <c r="DZ245" s="639"/>
      <c r="EA245" s="639"/>
      <c r="EB245" s="639"/>
      <c r="EC245" s="639"/>
      <c r="ED245" s="639"/>
      <c r="EE245" s="639"/>
      <c r="EF245" s="639"/>
      <c r="EG245" s="639"/>
      <c r="EH245" s="639"/>
      <c r="EI245" s="639"/>
      <c r="EJ245" s="639"/>
      <c r="EK245" s="639"/>
      <c r="EL245" s="639"/>
      <c r="EM245" s="639"/>
      <c r="EN245" s="639"/>
      <c r="EO245" s="639"/>
      <c r="EP245" s="639"/>
      <c r="EQ245" s="639"/>
      <c r="ER245" s="639"/>
      <c r="ES245" s="639"/>
      <c r="ET245" s="639"/>
      <c r="EU245" s="639"/>
      <c r="EV245" s="639"/>
      <c r="EW245" s="639"/>
      <c r="EX245" s="639"/>
      <c r="EY245" s="639"/>
      <c r="EZ245" s="639"/>
      <c r="FA245" s="639"/>
      <c r="FB245" s="639"/>
      <c r="FC245" s="639"/>
      <c r="FD245" s="639"/>
      <c r="FE245" s="639"/>
      <c r="FF245" s="639"/>
      <c r="FG245" s="639"/>
      <c r="FH245" s="639"/>
      <c r="FI245" s="639"/>
      <c r="FJ245" s="639"/>
      <c r="FK245" s="639"/>
      <c r="FL245" s="639"/>
      <c r="FM245" s="639"/>
      <c r="FN245" s="639"/>
      <c r="FO245" s="639"/>
      <c r="FP245" s="639"/>
      <c r="FQ245" s="639"/>
      <c r="FR245" s="639"/>
      <c r="FS245" s="639"/>
      <c r="FT245" s="639"/>
      <c r="FU245" s="639"/>
      <c r="FV245" s="639"/>
      <c r="FW245" s="639"/>
      <c r="FX245" s="639"/>
      <c r="FY245" s="639"/>
      <c r="FZ245" s="639"/>
      <c r="GA245" s="639"/>
      <c r="GB245" s="639"/>
      <c r="GC245" s="639"/>
      <c r="GD245" s="639"/>
      <c r="GE245" s="639"/>
      <c r="GF245" s="639"/>
      <c r="GG245" s="639"/>
      <c r="GH245" s="639"/>
      <c r="GI245" s="639"/>
      <c r="GJ245" s="639"/>
      <c r="GK245" s="639"/>
      <c r="GL245" s="639"/>
      <c r="GM245" s="639"/>
      <c r="GN245" s="639"/>
      <c r="GO245" s="639"/>
      <c r="GP245" s="639"/>
      <c r="GQ245" s="639"/>
      <c r="GR245" s="639"/>
      <c r="GS245" s="639"/>
      <c r="GT245" s="639"/>
      <c r="GU245" s="639"/>
      <c r="GV245" s="639"/>
      <c r="GW245" s="639"/>
      <c r="GX245" s="639"/>
      <c r="GY245" s="639"/>
      <c r="GZ245" s="639"/>
      <c r="HA245" s="639"/>
      <c r="HB245" s="639"/>
      <c r="HC245" s="639"/>
      <c r="HD245" s="639"/>
      <c r="HE245" s="639"/>
      <c r="HF245" s="645"/>
      <c r="HG245" s="645"/>
      <c r="HH245" s="645"/>
      <c r="HI245" s="645"/>
      <c r="HJ245" s="645"/>
      <c r="HK245" s="645"/>
      <c r="HL245" s="645"/>
      <c r="HM245" s="645"/>
      <c r="HN245" s="645"/>
      <c r="HO245" s="645"/>
      <c r="HP245" s="645"/>
      <c r="HQ245" s="645"/>
      <c r="HR245" s="645">
        <v>0.121</v>
      </c>
      <c r="HS245" s="645">
        <f t="shared" si="775"/>
        <v>812.42857142857144</v>
      </c>
      <c r="HT245" s="645">
        <f t="shared" si="776"/>
        <v>1</v>
      </c>
      <c r="HU245" s="618">
        <f t="shared" si="778"/>
        <v>3.0823888654089768</v>
      </c>
      <c r="HV245" s="618"/>
      <c r="HW245" s="618">
        <f t="shared" si="762"/>
        <v>31.623007811119251</v>
      </c>
      <c r="HX245" s="618">
        <f t="shared" si="779"/>
        <v>2.8942313286613284</v>
      </c>
      <c r="HY245" s="618">
        <f t="shared" si="780"/>
        <v>0.121</v>
      </c>
      <c r="HZ245" s="618"/>
      <c r="IA245" s="618"/>
      <c r="IB245" s="618">
        <f t="shared" si="763"/>
        <v>25.000350341399081</v>
      </c>
      <c r="IC245" s="618">
        <f t="shared" si="764"/>
        <v>1E-3</v>
      </c>
      <c r="ID245" s="618"/>
      <c r="IE245" s="618">
        <f t="shared" si="765"/>
        <v>0</v>
      </c>
      <c r="IF245" s="618">
        <f t="shared" si="766"/>
        <v>40.704999999999998</v>
      </c>
      <c r="IG245" s="618"/>
      <c r="IH245" s="618">
        <f t="shared" si="767"/>
        <v>0</v>
      </c>
      <c r="II245" s="618">
        <f t="shared" si="768"/>
        <v>40.704999999999998</v>
      </c>
      <c r="IJ245" s="618"/>
      <c r="IK245" s="618">
        <f t="shared" si="769"/>
        <v>0</v>
      </c>
      <c r="IL245" s="618">
        <f t="shared" si="770"/>
        <v>40.704999999999998</v>
      </c>
      <c r="IM245" s="618"/>
      <c r="IN245" s="618">
        <f t="shared" si="771"/>
        <v>0</v>
      </c>
      <c r="IO245" s="618">
        <f t="shared" si="772"/>
        <v>40.704999999999998</v>
      </c>
      <c r="IP245" s="618"/>
      <c r="IQ245" s="618">
        <f t="shared" si="773"/>
        <v>0</v>
      </c>
      <c r="IR245" s="618">
        <f t="shared" si="774"/>
        <v>40.704999999999998</v>
      </c>
      <c r="IS245" s="645"/>
      <c r="IT245" s="639"/>
      <c r="IU245" s="639"/>
      <c r="IV245" s="639"/>
      <c r="IW245" s="639"/>
      <c r="IX245" s="639"/>
      <c r="IY245" s="639"/>
      <c r="IZ245" s="639"/>
      <c r="JA245" s="639"/>
      <c r="JB245" s="639"/>
      <c r="JC245" s="639"/>
      <c r="JD245" s="639"/>
      <c r="JE245" s="639"/>
      <c r="JF245" s="639"/>
      <c r="JG245" s="639"/>
      <c r="JH245" s="639"/>
      <c r="JI245" s="639"/>
      <c r="JJ245" s="639"/>
      <c r="JK245" s="639"/>
      <c r="JL245" s="639"/>
      <c r="JM245" s="639"/>
      <c r="JN245" s="639"/>
      <c r="JO245" s="639"/>
      <c r="JP245" s="639"/>
      <c r="JQ245" s="639"/>
      <c r="JR245" s="639"/>
      <c r="JS245" s="639"/>
      <c r="JT245" s="639"/>
      <c r="JU245" s="639"/>
      <c r="JV245" s="653"/>
    </row>
    <row r="246" spans="1:282" s="612" customFormat="1">
      <c r="A246" s="611"/>
      <c r="U246" s="613"/>
      <c r="V246" s="613"/>
      <c r="AC246" s="613"/>
      <c r="AD246" s="613"/>
      <c r="AL246" s="613"/>
      <c r="AM246" s="613"/>
      <c r="AT246" s="613"/>
      <c r="AU246" s="613"/>
      <c r="CH246" s="611"/>
      <c r="CI246" s="611"/>
      <c r="CO246" s="694" t="str">
        <f t="shared" si="777"/>
        <v>S605D</v>
      </c>
      <c r="CP246" s="645"/>
      <c r="CQ246" s="618"/>
      <c r="CR246" s="618"/>
      <c r="CS246" s="618"/>
      <c r="CT246" s="626"/>
      <c r="CU246" s="626"/>
      <c r="CV246" s="626"/>
      <c r="CW246" s="641"/>
      <c r="CX246" s="641"/>
      <c r="CY246" s="624"/>
      <c r="CZ246" s="624"/>
      <c r="DA246" s="624"/>
      <c r="DB246" s="624"/>
      <c r="DC246" s="639"/>
      <c r="DD246" s="639"/>
      <c r="DE246" s="639"/>
      <c r="DF246" s="639"/>
      <c r="DG246" s="639"/>
      <c r="DH246" s="639"/>
      <c r="DI246" s="639"/>
      <c r="DJ246" s="639"/>
      <c r="DK246" s="639"/>
      <c r="DL246" s="639"/>
      <c r="DM246" s="639"/>
      <c r="DN246" s="639"/>
      <c r="DO246" s="639"/>
      <c r="DP246" s="639"/>
      <c r="DQ246" s="639"/>
      <c r="DR246" s="639"/>
      <c r="DS246" s="639"/>
      <c r="DT246" s="639"/>
      <c r="DU246" s="639"/>
      <c r="DV246" s="639"/>
      <c r="DW246" s="639"/>
      <c r="DX246" s="639"/>
      <c r="DY246" s="639"/>
      <c r="DZ246" s="639"/>
      <c r="EA246" s="639"/>
      <c r="EB246" s="639"/>
      <c r="EC246" s="639"/>
      <c r="ED246" s="639"/>
      <c r="EE246" s="639"/>
      <c r="EF246" s="639"/>
      <c r="EG246" s="639"/>
      <c r="EH246" s="639"/>
      <c r="EI246" s="639"/>
      <c r="EJ246" s="639"/>
      <c r="EK246" s="639"/>
      <c r="EL246" s="639"/>
      <c r="EM246" s="639"/>
      <c r="EN246" s="639"/>
      <c r="EO246" s="639"/>
      <c r="EP246" s="639"/>
      <c r="EQ246" s="639"/>
      <c r="ER246" s="639"/>
      <c r="ES246" s="639"/>
      <c r="ET246" s="639"/>
      <c r="EU246" s="639"/>
      <c r="EV246" s="639"/>
      <c r="EW246" s="639"/>
      <c r="EX246" s="639"/>
      <c r="EY246" s="639"/>
      <c r="EZ246" s="639"/>
      <c r="FA246" s="639"/>
      <c r="FB246" s="639"/>
      <c r="FC246" s="639"/>
      <c r="FD246" s="639"/>
      <c r="FE246" s="639"/>
      <c r="FF246" s="639"/>
      <c r="FG246" s="639"/>
      <c r="FH246" s="639"/>
      <c r="FI246" s="639"/>
      <c r="FJ246" s="639"/>
      <c r="FK246" s="639"/>
      <c r="FL246" s="639"/>
      <c r="FM246" s="639"/>
      <c r="FN246" s="639"/>
      <c r="FO246" s="639"/>
      <c r="FP246" s="639"/>
      <c r="FQ246" s="639"/>
      <c r="FR246" s="639"/>
      <c r="FS246" s="639"/>
      <c r="FT246" s="639"/>
      <c r="FU246" s="639"/>
      <c r="FV246" s="639"/>
      <c r="FW246" s="639"/>
      <c r="FX246" s="639"/>
      <c r="FY246" s="639"/>
      <c r="FZ246" s="639"/>
      <c r="GA246" s="639"/>
      <c r="GB246" s="639"/>
      <c r="GC246" s="639"/>
      <c r="GD246" s="639"/>
      <c r="GE246" s="639"/>
      <c r="GF246" s="639"/>
      <c r="GG246" s="639"/>
      <c r="GH246" s="639"/>
      <c r="GI246" s="639"/>
      <c r="GJ246" s="639"/>
      <c r="GK246" s="639"/>
      <c r="GL246" s="639"/>
      <c r="GM246" s="639"/>
      <c r="GN246" s="639"/>
      <c r="GO246" s="639"/>
      <c r="GP246" s="639"/>
      <c r="GQ246" s="639"/>
      <c r="GR246" s="639"/>
      <c r="GS246" s="639"/>
      <c r="GT246" s="639"/>
      <c r="GU246" s="639"/>
      <c r="GV246" s="639"/>
      <c r="GW246" s="639"/>
      <c r="GX246" s="639"/>
      <c r="GY246" s="639"/>
      <c r="GZ246" s="639"/>
      <c r="HA246" s="639"/>
      <c r="HB246" s="639"/>
      <c r="HC246" s="639"/>
      <c r="HD246" s="639"/>
      <c r="HE246" s="639"/>
      <c r="HF246" s="645"/>
      <c r="HG246" s="645"/>
      <c r="HH246" s="645"/>
      <c r="HI246" s="645"/>
      <c r="HJ246" s="645"/>
      <c r="HK246" s="645"/>
      <c r="HL246" s="645"/>
      <c r="HM246" s="645"/>
      <c r="HN246" s="645"/>
      <c r="HO246" s="645"/>
      <c r="HP246" s="645"/>
      <c r="HQ246" s="645"/>
      <c r="HR246" s="645">
        <v>0.1215</v>
      </c>
      <c r="HS246" s="645">
        <f t="shared" si="775"/>
        <v>815.78571428571422</v>
      </c>
      <c r="HT246" s="645">
        <f t="shared" si="776"/>
        <v>1</v>
      </c>
      <c r="HU246" s="618">
        <f t="shared" si="778"/>
        <v>3.0951279093826018</v>
      </c>
      <c r="HV246" s="618"/>
      <c r="HW246" s="618">
        <f t="shared" si="762"/>
        <v>31.604918368676707</v>
      </c>
      <c r="HX246" s="618">
        <f t="shared" si="779"/>
        <v>2.9054151187969226</v>
      </c>
      <c r="HY246" s="618">
        <f t="shared" si="780"/>
        <v>0.1215</v>
      </c>
      <c r="HZ246" s="618"/>
      <c r="IA246" s="618"/>
      <c r="IB246" s="618">
        <f t="shared" si="763"/>
        <v>25.000350341399081</v>
      </c>
      <c r="IC246" s="618">
        <f t="shared" si="764"/>
        <v>1E-3</v>
      </c>
      <c r="ID246" s="618"/>
      <c r="IE246" s="618">
        <f t="shared" si="765"/>
        <v>0</v>
      </c>
      <c r="IF246" s="618">
        <f t="shared" si="766"/>
        <v>40.704999999999998</v>
      </c>
      <c r="IG246" s="618"/>
      <c r="IH246" s="618">
        <f t="shared" si="767"/>
        <v>0</v>
      </c>
      <c r="II246" s="618">
        <f t="shared" si="768"/>
        <v>40.704999999999998</v>
      </c>
      <c r="IJ246" s="618"/>
      <c r="IK246" s="618">
        <f t="shared" si="769"/>
        <v>0</v>
      </c>
      <c r="IL246" s="618">
        <f t="shared" si="770"/>
        <v>40.704999999999998</v>
      </c>
      <c r="IM246" s="618"/>
      <c r="IN246" s="618">
        <f t="shared" si="771"/>
        <v>0</v>
      </c>
      <c r="IO246" s="618">
        <f t="shared" si="772"/>
        <v>40.704999999999998</v>
      </c>
      <c r="IP246" s="618"/>
      <c r="IQ246" s="618">
        <f t="shared" si="773"/>
        <v>0</v>
      </c>
      <c r="IR246" s="618">
        <f t="shared" si="774"/>
        <v>40.704999999999998</v>
      </c>
      <c r="IS246" s="645"/>
      <c r="IT246" s="639"/>
      <c r="IU246" s="639"/>
      <c r="IV246" s="639"/>
      <c r="IW246" s="639"/>
      <c r="IX246" s="639"/>
      <c r="IY246" s="639"/>
      <c r="IZ246" s="639"/>
      <c r="JA246" s="639"/>
      <c r="JB246" s="639"/>
      <c r="JC246" s="639"/>
      <c r="JD246" s="639"/>
      <c r="JE246" s="639"/>
      <c r="JF246" s="639"/>
      <c r="JG246" s="639"/>
      <c r="JH246" s="639"/>
      <c r="JI246" s="639"/>
      <c r="JJ246" s="639"/>
      <c r="JK246" s="639"/>
      <c r="JL246" s="639"/>
      <c r="JM246" s="639"/>
      <c r="JN246" s="639"/>
      <c r="JO246" s="639"/>
      <c r="JP246" s="639"/>
      <c r="JQ246" s="639"/>
      <c r="JR246" s="639"/>
      <c r="JS246" s="639"/>
      <c r="JT246" s="639"/>
      <c r="JU246" s="639"/>
      <c r="JV246" s="653"/>
    </row>
    <row r="247" spans="1:282" s="612" customFormat="1">
      <c r="A247" s="611"/>
      <c r="U247" s="613"/>
      <c r="V247" s="613"/>
      <c r="AC247" s="613"/>
      <c r="AD247" s="613"/>
      <c r="AL247" s="613"/>
      <c r="AM247" s="613"/>
      <c r="AT247" s="613"/>
      <c r="AU247" s="613"/>
      <c r="CH247" s="611"/>
      <c r="CI247" s="611"/>
      <c r="CO247" s="694" t="str">
        <f t="shared" si="777"/>
        <v>S500T 3S</v>
      </c>
      <c r="CP247" s="645"/>
      <c r="CQ247" s="618"/>
      <c r="CR247" s="618"/>
      <c r="CS247" s="618"/>
      <c r="CT247" s="626"/>
      <c r="CU247" s="626"/>
      <c r="CV247" s="626"/>
      <c r="CW247" s="641"/>
      <c r="CX247" s="641"/>
      <c r="CY247" s="624"/>
      <c r="CZ247" s="624"/>
      <c r="DA247" s="624"/>
      <c r="DB247" s="624"/>
      <c r="DC247" s="639"/>
      <c r="DD247" s="639"/>
      <c r="DE247" s="639"/>
      <c r="DF247" s="639"/>
      <c r="DG247" s="639"/>
      <c r="DH247" s="639"/>
      <c r="DI247" s="639"/>
      <c r="DJ247" s="639"/>
      <c r="DK247" s="639"/>
      <c r="DL247" s="639"/>
      <c r="DM247" s="639"/>
      <c r="DN247" s="639"/>
      <c r="DO247" s="639"/>
      <c r="DP247" s="639"/>
      <c r="DQ247" s="639"/>
      <c r="DR247" s="639"/>
      <c r="DS247" s="639"/>
      <c r="DT247" s="639"/>
      <c r="DU247" s="639"/>
      <c r="DV247" s="639"/>
      <c r="DW247" s="639"/>
      <c r="DX247" s="639"/>
      <c r="DY247" s="639"/>
      <c r="DZ247" s="639"/>
      <c r="EA247" s="639"/>
      <c r="EB247" s="639"/>
      <c r="EC247" s="639"/>
      <c r="ED247" s="639"/>
      <c r="EE247" s="639"/>
      <c r="EF247" s="639"/>
      <c r="EG247" s="639"/>
      <c r="EH247" s="639"/>
      <c r="EI247" s="639"/>
      <c r="EJ247" s="639"/>
      <c r="EK247" s="639"/>
      <c r="EL247" s="639"/>
      <c r="EM247" s="639"/>
      <c r="EN247" s="639"/>
      <c r="EO247" s="639"/>
      <c r="EP247" s="639"/>
      <c r="EQ247" s="639"/>
      <c r="ER247" s="639"/>
      <c r="ES247" s="639"/>
      <c r="ET247" s="639"/>
      <c r="EU247" s="639"/>
      <c r="EV247" s="639"/>
      <c r="EW247" s="639"/>
      <c r="EX247" s="639"/>
      <c r="EY247" s="639"/>
      <c r="EZ247" s="639"/>
      <c r="FA247" s="639"/>
      <c r="FB247" s="639"/>
      <c r="FC247" s="639"/>
      <c r="FD247" s="639"/>
      <c r="FE247" s="639"/>
      <c r="FF247" s="639"/>
      <c r="FG247" s="639"/>
      <c r="FH247" s="639"/>
      <c r="FI247" s="639"/>
      <c r="FJ247" s="639"/>
      <c r="FK247" s="639"/>
      <c r="FL247" s="639"/>
      <c r="FM247" s="639"/>
      <c r="FN247" s="639"/>
      <c r="FO247" s="639"/>
      <c r="FP247" s="639"/>
      <c r="FQ247" s="639"/>
      <c r="FR247" s="639"/>
      <c r="FS247" s="639"/>
      <c r="FT247" s="639"/>
      <c r="FU247" s="639"/>
      <c r="FV247" s="639"/>
      <c r="FW247" s="639"/>
      <c r="FX247" s="639"/>
      <c r="FY247" s="639"/>
      <c r="FZ247" s="639"/>
      <c r="GA247" s="639"/>
      <c r="GB247" s="639"/>
      <c r="GC247" s="639"/>
      <c r="GD247" s="639"/>
      <c r="GE247" s="639"/>
      <c r="GF247" s="639"/>
      <c r="GG247" s="639"/>
      <c r="GH247" s="639"/>
      <c r="GI247" s="639"/>
      <c r="GJ247" s="639"/>
      <c r="GK247" s="639"/>
      <c r="GL247" s="639"/>
      <c r="GM247" s="639"/>
      <c r="GN247" s="639"/>
      <c r="GO247" s="639"/>
      <c r="GP247" s="639"/>
      <c r="GQ247" s="639"/>
      <c r="GR247" s="639"/>
      <c r="GS247" s="639"/>
      <c r="GT247" s="639"/>
      <c r="GU247" s="639"/>
      <c r="GV247" s="639"/>
      <c r="GW247" s="639"/>
      <c r="GX247" s="639"/>
      <c r="GY247" s="639"/>
      <c r="GZ247" s="639"/>
      <c r="HA247" s="639"/>
      <c r="HB247" s="639"/>
      <c r="HC247" s="639"/>
      <c r="HD247" s="639"/>
      <c r="HE247" s="639"/>
      <c r="HF247" s="645"/>
      <c r="HG247" s="645"/>
      <c r="HH247" s="645"/>
      <c r="HI247" s="645"/>
      <c r="HJ247" s="645"/>
      <c r="HK247" s="645"/>
      <c r="HL247" s="645"/>
      <c r="HM247" s="645"/>
      <c r="HN247" s="645"/>
      <c r="HO247" s="645"/>
      <c r="HP247" s="645"/>
      <c r="HQ247" s="645"/>
      <c r="HR247" s="645">
        <v>0.122</v>
      </c>
      <c r="HS247" s="645">
        <f t="shared" si="775"/>
        <v>819.14285714285711</v>
      </c>
      <c r="HT247" s="645">
        <f t="shared" si="776"/>
        <v>1</v>
      </c>
      <c r="HU247" s="618">
        <f t="shared" si="778"/>
        <v>3.1078669533562269</v>
      </c>
      <c r="HV247" s="618"/>
      <c r="HW247" s="618">
        <f t="shared" si="762"/>
        <v>31.586828926234158</v>
      </c>
      <c r="HX247" s="618">
        <f t="shared" si="779"/>
        <v>2.9165925077602188</v>
      </c>
      <c r="HY247" s="618">
        <f t="shared" si="780"/>
        <v>0.122</v>
      </c>
      <c r="HZ247" s="618"/>
      <c r="IA247" s="618"/>
      <c r="IB247" s="618">
        <f t="shared" si="763"/>
        <v>25.000350341399081</v>
      </c>
      <c r="IC247" s="618">
        <f t="shared" si="764"/>
        <v>1E-3</v>
      </c>
      <c r="ID247" s="618"/>
      <c r="IE247" s="618">
        <f t="shared" si="765"/>
        <v>0</v>
      </c>
      <c r="IF247" s="618">
        <f t="shared" si="766"/>
        <v>40.704999999999998</v>
      </c>
      <c r="IG247" s="618"/>
      <c r="IH247" s="618">
        <f t="shared" si="767"/>
        <v>0</v>
      </c>
      <c r="II247" s="618">
        <f t="shared" si="768"/>
        <v>40.704999999999998</v>
      </c>
      <c r="IJ247" s="618"/>
      <c r="IK247" s="618">
        <f t="shared" si="769"/>
        <v>0</v>
      </c>
      <c r="IL247" s="618">
        <f t="shared" si="770"/>
        <v>40.704999999999998</v>
      </c>
      <c r="IM247" s="618"/>
      <c r="IN247" s="618">
        <f t="shared" si="771"/>
        <v>0</v>
      </c>
      <c r="IO247" s="618">
        <f t="shared" si="772"/>
        <v>40.704999999999998</v>
      </c>
      <c r="IP247" s="618"/>
      <c r="IQ247" s="618">
        <f t="shared" si="773"/>
        <v>0</v>
      </c>
      <c r="IR247" s="618">
        <f t="shared" si="774"/>
        <v>40.704999999999998</v>
      </c>
      <c r="IS247" s="645"/>
      <c r="IT247" s="639"/>
      <c r="IU247" s="639"/>
      <c r="IV247" s="639"/>
      <c r="IW247" s="639"/>
      <c r="IX247" s="639"/>
      <c r="IY247" s="639"/>
      <c r="IZ247" s="639"/>
      <c r="JA247" s="639"/>
      <c r="JB247" s="639"/>
      <c r="JC247" s="639"/>
      <c r="JD247" s="639"/>
      <c r="JE247" s="639"/>
      <c r="JF247" s="639"/>
      <c r="JG247" s="639"/>
      <c r="JH247" s="639"/>
      <c r="JI247" s="639"/>
      <c r="JJ247" s="639"/>
      <c r="JK247" s="639"/>
      <c r="JL247" s="639"/>
      <c r="JM247" s="639"/>
      <c r="JN247" s="639"/>
      <c r="JO247" s="639"/>
      <c r="JP247" s="639"/>
      <c r="JQ247" s="639"/>
      <c r="JR247" s="639"/>
      <c r="JS247" s="639"/>
      <c r="JT247" s="639"/>
      <c r="JU247" s="639"/>
      <c r="JV247" s="653"/>
    </row>
    <row r="248" spans="1:282" s="612" customFormat="1">
      <c r="A248" s="611"/>
      <c r="U248" s="613"/>
      <c r="V248" s="613"/>
      <c r="AC248" s="613"/>
      <c r="AD248" s="613"/>
      <c r="AL248" s="613"/>
      <c r="AM248" s="613"/>
      <c r="AT248" s="613"/>
      <c r="AU248" s="613"/>
      <c r="CH248" s="611"/>
      <c r="CI248" s="611"/>
      <c r="CO248" s="694" t="str">
        <f t="shared" si="777"/>
        <v>S500T</v>
      </c>
      <c r="CP248" s="645"/>
      <c r="CQ248" s="618"/>
      <c r="CR248" s="618"/>
      <c r="CS248" s="618"/>
      <c r="CT248" s="626"/>
      <c r="CU248" s="626"/>
      <c r="CV248" s="626"/>
      <c r="CW248" s="641"/>
      <c r="CX248" s="641"/>
      <c r="CY248" s="624"/>
      <c r="CZ248" s="624"/>
      <c r="DA248" s="624"/>
      <c r="DB248" s="624"/>
      <c r="DC248" s="639"/>
      <c r="DD248" s="639"/>
      <c r="DE248" s="639"/>
      <c r="DF248" s="639"/>
      <c r="DG248" s="639"/>
      <c r="DH248" s="639"/>
      <c r="DI248" s="639"/>
      <c r="DJ248" s="639"/>
      <c r="DK248" s="639"/>
      <c r="DL248" s="639"/>
      <c r="DM248" s="639"/>
      <c r="DN248" s="639"/>
      <c r="DO248" s="639"/>
      <c r="DP248" s="639"/>
      <c r="DQ248" s="639"/>
      <c r="DR248" s="639"/>
      <c r="DS248" s="639"/>
      <c r="DT248" s="639"/>
      <c r="DU248" s="639"/>
      <c r="DV248" s="639"/>
      <c r="DW248" s="639"/>
      <c r="DX248" s="639"/>
      <c r="DY248" s="639"/>
      <c r="DZ248" s="639"/>
      <c r="EA248" s="639"/>
      <c r="EB248" s="639"/>
      <c r="EC248" s="639"/>
      <c r="ED248" s="639"/>
      <c r="EE248" s="639"/>
      <c r="EF248" s="639"/>
      <c r="EG248" s="639"/>
      <c r="EH248" s="639"/>
      <c r="EI248" s="639"/>
      <c r="EJ248" s="639"/>
      <c r="EK248" s="639"/>
      <c r="EL248" s="639"/>
      <c r="EM248" s="639"/>
      <c r="EN248" s="639"/>
      <c r="EO248" s="639"/>
      <c r="EP248" s="639"/>
      <c r="EQ248" s="639"/>
      <c r="ER248" s="639"/>
      <c r="ES248" s="639"/>
      <c r="ET248" s="639"/>
      <c r="EU248" s="639"/>
      <c r="EV248" s="639"/>
      <c r="EW248" s="639"/>
      <c r="EX248" s="639"/>
      <c r="EY248" s="639"/>
      <c r="EZ248" s="639"/>
      <c r="FA248" s="639"/>
      <c r="FB248" s="639"/>
      <c r="FC248" s="639"/>
      <c r="FD248" s="639"/>
      <c r="FE248" s="639"/>
      <c r="FF248" s="639"/>
      <c r="FG248" s="639"/>
      <c r="FH248" s="639"/>
      <c r="FI248" s="639"/>
      <c r="FJ248" s="639"/>
      <c r="FK248" s="639"/>
      <c r="FL248" s="639"/>
      <c r="FM248" s="639"/>
      <c r="FN248" s="639"/>
      <c r="FO248" s="639"/>
      <c r="FP248" s="639"/>
      <c r="FQ248" s="639"/>
      <c r="FR248" s="639"/>
      <c r="FS248" s="639"/>
      <c r="FT248" s="639"/>
      <c r="FU248" s="639"/>
      <c r="FV248" s="639"/>
      <c r="FW248" s="639"/>
      <c r="FX248" s="639"/>
      <c r="FY248" s="639"/>
      <c r="FZ248" s="639"/>
      <c r="GA248" s="639"/>
      <c r="GB248" s="639"/>
      <c r="GC248" s="639"/>
      <c r="GD248" s="639"/>
      <c r="GE248" s="639"/>
      <c r="GF248" s="639"/>
      <c r="GG248" s="639"/>
      <c r="GH248" s="639"/>
      <c r="GI248" s="639"/>
      <c r="GJ248" s="639"/>
      <c r="GK248" s="639"/>
      <c r="GL248" s="639"/>
      <c r="GM248" s="639"/>
      <c r="GN248" s="639"/>
      <c r="GO248" s="639"/>
      <c r="GP248" s="639"/>
      <c r="GQ248" s="639"/>
      <c r="GR248" s="639"/>
      <c r="GS248" s="639"/>
      <c r="GT248" s="639"/>
      <c r="GU248" s="639"/>
      <c r="GV248" s="639"/>
      <c r="GW248" s="639"/>
      <c r="GX248" s="639"/>
      <c r="GY248" s="639"/>
      <c r="GZ248" s="639"/>
      <c r="HA248" s="639"/>
      <c r="HB248" s="639"/>
      <c r="HC248" s="639"/>
      <c r="HD248" s="639"/>
      <c r="HE248" s="639"/>
      <c r="HF248" s="645"/>
      <c r="HG248" s="645"/>
      <c r="HH248" s="645"/>
      <c r="HI248" s="645"/>
      <c r="HJ248" s="645"/>
      <c r="HK248" s="645"/>
      <c r="HL248" s="645"/>
      <c r="HM248" s="645"/>
      <c r="HN248" s="645"/>
      <c r="HO248" s="645"/>
      <c r="HP248" s="645"/>
      <c r="HQ248" s="645"/>
      <c r="HR248" s="645">
        <v>0.1225</v>
      </c>
      <c r="HS248" s="645">
        <f t="shared" si="775"/>
        <v>822.5</v>
      </c>
      <c r="HT248" s="645">
        <f t="shared" si="776"/>
        <v>1</v>
      </c>
      <c r="HU248" s="618">
        <f t="shared" si="778"/>
        <v>3.1206059973298519</v>
      </c>
      <c r="HV248" s="618"/>
      <c r="HW248" s="618">
        <f t="shared" si="762"/>
        <v>31.56873948379161</v>
      </c>
      <c r="HX248" s="618">
        <f t="shared" si="779"/>
        <v>2.9277634955512166</v>
      </c>
      <c r="HY248" s="618">
        <f t="shared" si="780"/>
        <v>0.1225</v>
      </c>
      <c r="HZ248" s="618"/>
      <c r="IA248" s="618"/>
      <c r="IB248" s="618">
        <f t="shared" si="763"/>
        <v>25.000350341399081</v>
      </c>
      <c r="IC248" s="618">
        <f t="shared" si="764"/>
        <v>1E-3</v>
      </c>
      <c r="ID248" s="618"/>
      <c r="IE248" s="618">
        <f t="shared" si="765"/>
        <v>0</v>
      </c>
      <c r="IF248" s="618">
        <f t="shared" si="766"/>
        <v>40.704999999999998</v>
      </c>
      <c r="IG248" s="618"/>
      <c r="IH248" s="618">
        <f t="shared" si="767"/>
        <v>0</v>
      </c>
      <c r="II248" s="618">
        <f t="shared" si="768"/>
        <v>40.704999999999998</v>
      </c>
      <c r="IJ248" s="618"/>
      <c r="IK248" s="618">
        <f t="shared" si="769"/>
        <v>0</v>
      </c>
      <c r="IL248" s="618">
        <f t="shared" si="770"/>
        <v>40.704999999999998</v>
      </c>
      <c r="IM248" s="618"/>
      <c r="IN248" s="618">
        <f t="shared" si="771"/>
        <v>0</v>
      </c>
      <c r="IO248" s="618">
        <f t="shared" si="772"/>
        <v>40.704999999999998</v>
      </c>
      <c r="IP248" s="618"/>
      <c r="IQ248" s="618">
        <f t="shared" si="773"/>
        <v>0</v>
      </c>
      <c r="IR248" s="618">
        <f t="shared" si="774"/>
        <v>40.704999999999998</v>
      </c>
      <c r="IS248" s="645"/>
      <c r="IT248" s="639"/>
      <c r="IU248" s="639"/>
      <c r="IV248" s="639"/>
      <c r="IW248" s="639"/>
      <c r="IX248" s="639"/>
      <c r="IY248" s="639"/>
      <c r="IZ248" s="639"/>
      <c r="JA248" s="639"/>
      <c r="JB248" s="639"/>
      <c r="JC248" s="639"/>
      <c r="JD248" s="639"/>
      <c r="JE248" s="639"/>
      <c r="JF248" s="639"/>
      <c r="JG248" s="639"/>
      <c r="JH248" s="639"/>
      <c r="JI248" s="639"/>
      <c r="JJ248" s="639"/>
      <c r="JK248" s="639"/>
      <c r="JL248" s="639"/>
      <c r="JM248" s="639"/>
      <c r="JN248" s="639"/>
      <c r="JO248" s="639"/>
      <c r="JP248" s="639"/>
      <c r="JQ248" s="639"/>
      <c r="JR248" s="639"/>
      <c r="JS248" s="639"/>
      <c r="JT248" s="639"/>
      <c r="JU248" s="639"/>
      <c r="JV248" s="653"/>
    </row>
    <row r="249" spans="1:282" s="612" customFormat="1">
      <c r="A249" s="611"/>
      <c r="U249" s="613"/>
      <c r="V249" s="613"/>
      <c r="AC249" s="613"/>
      <c r="AD249" s="613"/>
      <c r="AL249" s="613"/>
      <c r="AM249" s="613"/>
      <c r="AT249" s="613"/>
      <c r="AU249" s="613"/>
      <c r="CH249" s="611"/>
      <c r="CI249" s="611"/>
      <c r="CO249" s="694" t="str">
        <f t="shared" si="777"/>
        <v>S500Q 2S</v>
      </c>
      <c r="CP249" s="645"/>
      <c r="CQ249" s="618"/>
      <c r="CR249" s="618"/>
      <c r="CS249" s="618"/>
      <c r="CT249" s="626"/>
      <c r="CU249" s="626"/>
      <c r="CV249" s="626"/>
      <c r="CW249" s="641"/>
      <c r="CX249" s="641"/>
      <c r="CY249" s="624"/>
      <c r="CZ249" s="624"/>
      <c r="DA249" s="624"/>
      <c r="DB249" s="624"/>
      <c r="DC249" s="639"/>
      <c r="DD249" s="639"/>
      <c r="DE249" s="639"/>
      <c r="DF249" s="639"/>
      <c r="DG249" s="639"/>
      <c r="DH249" s="639"/>
      <c r="DI249" s="639"/>
      <c r="DJ249" s="639"/>
      <c r="DK249" s="639"/>
      <c r="DL249" s="639"/>
      <c r="DM249" s="639"/>
      <c r="DN249" s="639"/>
      <c r="DO249" s="639"/>
      <c r="DP249" s="639"/>
      <c r="DQ249" s="639"/>
      <c r="DR249" s="639"/>
      <c r="DS249" s="639"/>
      <c r="DT249" s="639"/>
      <c r="DU249" s="639"/>
      <c r="DV249" s="639"/>
      <c r="DW249" s="639"/>
      <c r="DX249" s="639"/>
      <c r="DY249" s="639"/>
      <c r="DZ249" s="639"/>
      <c r="EA249" s="639"/>
      <c r="EB249" s="639"/>
      <c r="EC249" s="639"/>
      <c r="ED249" s="639"/>
      <c r="EE249" s="639"/>
      <c r="EF249" s="639"/>
      <c r="EG249" s="639"/>
      <c r="EH249" s="639"/>
      <c r="EI249" s="639"/>
      <c r="EJ249" s="639"/>
      <c r="EK249" s="639"/>
      <c r="EL249" s="639"/>
      <c r="EM249" s="639"/>
      <c r="EN249" s="639"/>
      <c r="EO249" s="639"/>
      <c r="EP249" s="639"/>
      <c r="EQ249" s="639"/>
      <c r="ER249" s="639"/>
      <c r="ES249" s="639"/>
      <c r="ET249" s="639"/>
      <c r="EU249" s="639"/>
      <c r="EV249" s="639"/>
      <c r="EW249" s="639"/>
      <c r="EX249" s="639"/>
      <c r="EY249" s="639"/>
      <c r="EZ249" s="639"/>
      <c r="FA249" s="639"/>
      <c r="FB249" s="639"/>
      <c r="FC249" s="639"/>
      <c r="FD249" s="639"/>
      <c r="FE249" s="639"/>
      <c r="FF249" s="639"/>
      <c r="FG249" s="639"/>
      <c r="FH249" s="639"/>
      <c r="FI249" s="639"/>
      <c r="FJ249" s="639"/>
      <c r="FK249" s="639"/>
      <c r="FL249" s="639"/>
      <c r="FM249" s="639"/>
      <c r="FN249" s="639"/>
      <c r="FO249" s="639"/>
      <c r="FP249" s="639"/>
      <c r="FQ249" s="639"/>
      <c r="FR249" s="639"/>
      <c r="FS249" s="639"/>
      <c r="FT249" s="639"/>
      <c r="FU249" s="639"/>
      <c r="FV249" s="639"/>
      <c r="FW249" s="639"/>
      <c r="FX249" s="639"/>
      <c r="FY249" s="639"/>
      <c r="FZ249" s="639"/>
      <c r="GA249" s="639"/>
      <c r="GB249" s="639"/>
      <c r="GC249" s="639"/>
      <c r="GD249" s="639"/>
      <c r="GE249" s="639"/>
      <c r="GF249" s="639"/>
      <c r="GG249" s="639"/>
      <c r="GH249" s="639"/>
      <c r="GI249" s="639"/>
      <c r="GJ249" s="639"/>
      <c r="GK249" s="639"/>
      <c r="GL249" s="639"/>
      <c r="GM249" s="639"/>
      <c r="GN249" s="639"/>
      <c r="GO249" s="639"/>
      <c r="GP249" s="639"/>
      <c r="GQ249" s="639"/>
      <c r="GR249" s="639"/>
      <c r="GS249" s="639"/>
      <c r="GT249" s="639"/>
      <c r="GU249" s="639"/>
      <c r="GV249" s="639"/>
      <c r="GW249" s="639"/>
      <c r="GX249" s="639"/>
      <c r="GY249" s="639"/>
      <c r="GZ249" s="639"/>
      <c r="HA249" s="639"/>
      <c r="HB249" s="639"/>
      <c r="HC249" s="639"/>
      <c r="HD249" s="639"/>
      <c r="HE249" s="639"/>
      <c r="HF249" s="645"/>
      <c r="HG249" s="645"/>
      <c r="HH249" s="645"/>
      <c r="HI249" s="645"/>
      <c r="HJ249" s="645"/>
      <c r="HK249" s="645"/>
      <c r="HL249" s="645"/>
      <c r="HM249" s="645"/>
      <c r="HN249" s="645"/>
      <c r="HO249" s="645"/>
      <c r="HP249" s="645"/>
      <c r="HQ249" s="645"/>
      <c r="HR249" s="645">
        <v>0.123</v>
      </c>
      <c r="HS249" s="645">
        <f t="shared" si="775"/>
        <v>825.85714285714289</v>
      </c>
      <c r="HT249" s="645">
        <f t="shared" si="776"/>
        <v>1</v>
      </c>
      <c r="HU249" s="618">
        <f t="shared" si="778"/>
        <v>3.1333450413034769</v>
      </c>
      <c r="HV249" s="618"/>
      <c r="HW249" s="618">
        <f t="shared" si="762"/>
        <v>31.550650041349062</v>
      </c>
      <c r="HX249" s="618">
        <f t="shared" si="779"/>
        <v>2.9389280821699164</v>
      </c>
      <c r="HY249" s="618">
        <f t="shared" si="780"/>
        <v>0.123</v>
      </c>
      <c r="HZ249" s="618"/>
      <c r="IA249" s="618"/>
      <c r="IB249" s="618">
        <f t="shared" si="763"/>
        <v>25.000350341399081</v>
      </c>
      <c r="IC249" s="618">
        <f t="shared" si="764"/>
        <v>1E-3</v>
      </c>
      <c r="ID249" s="618"/>
      <c r="IE249" s="618">
        <f t="shared" si="765"/>
        <v>0</v>
      </c>
      <c r="IF249" s="618">
        <f t="shared" si="766"/>
        <v>40.704999999999998</v>
      </c>
      <c r="IG249" s="618"/>
      <c r="IH249" s="618">
        <f t="shared" si="767"/>
        <v>0</v>
      </c>
      <c r="II249" s="618">
        <f t="shared" si="768"/>
        <v>40.704999999999998</v>
      </c>
      <c r="IJ249" s="618"/>
      <c r="IK249" s="618">
        <f t="shared" si="769"/>
        <v>0</v>
      </c>
      <c r="IL249" s="618">
        <f t="shared" si="770"/>
        <v>40.704999999999998</v>
      </c>
      <c r="IM249" s="618"/>
      <c r="IN249" s="618">
        <f t="shared" si="771"/>
        <v>0</v>
      </c>
      <c r="IO249" s="618">
        <f t="shared" si="772"/>
        <v>40.704999999999998</v>
      </c>
      <c r="IP249" s="618"/>
      <c r="IQ249" s="618">
        <f t="shared" si="773"/>
        <v>0</v>
      </c>
      <c r="IR249" s="618">
        <f t="shared" si="774"/>
        <v>40.704999999999998</v>
      </c>
      <c r="IS249" s="645"/>
      <c r="IT249" s="639"/>
      <c r="IU249" s="639"/>
      <c r="IV249" s="639"/>
      <c r="IW249" s="639"/>
      <c r="IX249" s="639"/>
      <c r="IY249" s="639"/>
      <c r="IZ249" s="639"/>
      <c r="JA249" s="639"/>
      <c r="JB249" s="639"/>
      <c r="JC249" s="639"/>
      <c r="JD249" s="639"/>
      <c r="JE249" s="639"/>
      <c r="JF249" s="639"/>
      <c r="JG249" s="639"/>
      <c r="JH249" s="639"/>
      <c r="JI249" s="639"/>
      <c r="JJ249" s="639"/>
      <c r="JK249" s="639"/>
      <c r="JL249" s="639"/>
      <c r="JM249" s="639"/>
      <c r="JN249" s="639"/>
      <c r="JO249" s="639"/>
      <c r="JP249" s="639"/>
      <c r="JQ249" s="639"/>
      <c r="JR249" s="639"/>
      <c r="JS249" s="639"/>
      <c r="JT249" s="639"/>
      <c r="JU249" s="639"/>
      <c r="JV249" s="653"/>
    </row>
    <row r="250" spans="1:282" s="612" customFormat="1">
      <c r="A250" s="611"/>
      <c r="U250" s="613"/>
      <c r="V250" s="613"/>
      <c r="AC250" s="613"/>
      <c r="AD250" s="613"/>
      <c r="AL250" s="613"/>
      <c r="AM250" s="613"/>
      <c r="AT250" s="613"/>
      <c r="AU250" s="613"/>
      <c r="CH250" s="611"/>
      <c r="CI250" s="611"/>
      <c r="CO250" s="694" t="str">
        <f t="shared" si="777"/>
        <v>S500Q 4S</v>
      </c>
      <c r="CP250" s="645"/>
      <c r="CQ250" s="618"/>
      <c r="CR250" s="618"/>
      <c r="CS250" s="618"/>
      <c r="CT250" s="626"/>
      <c r="CU250" s="626"/>
      <c r="CV250" s="626"/>
      <c r="CW250" s="641"/>
      <c r="CX250" s="641"/>
      <c r="CY250" s="624"/>
      <c r="CZ250" s="624"/>
      <c r="DA250" s="624"/>
      <c r="DB250" s="624"/>
      <c r="DC250" s="639"/>
      <c r="DD250" s="639"/>
      <c r="DE250" s="639"/>
      <c r="DF250" s="639"/>
      <c r="DG250" s="639"/>
      <c r="DH250" s="639"/>
      <c r="DI250" s="639"/>
      <c r="DJ250" s="639"/>
      <c r="DK250" s="639"/>
      <c r="DL250" s="639"/>
      <c r="DM250" s="639"/>
      <c r="DN250" s="639"/>
      <c r="DO250" s="639"/>
      <c r="DP250" s="639"/>
      <c r="DQ250" s="639"/>
      <c r="DR250" s="639"/>
      <c r="DS250" s="639"/>
      <c r="DT250" s="639"/>
      <c r="DU250" s="639"/>
      <c r="DV250" s="639"/>
      <c r="DW250" s="639"/>
      <c r="DX250" s="639"/>
      <c r="DY250" s="639"/>
      <c r="DZ250" s="639"/>
      <c r="EA250" s="639"/>
      <c r="EB250" s="639"/>
      <c r="EC250" s="639"/>
      <c r="ED250" s="639"/>
      <c r="EE250" s="639"/>
      <c r="EF250" s="639"/>
      <c r="EG250" s="639"/>
      <c r="EH250" s="639"/>
      <c r="EI250" s="639"/>
      <c r="EJ250" s="639"/>
      <c r="EK250" s="639"/>
      <c r="EL250" s="639"/>
      <c r="EM250" s="639"/>
      <c r="EN250" s="639"/>
      <c r="EO250" s="639"/>
      <c r="EP250" s="639"/>
      <c r="EQ250" s="639"/>
      <c r="ER250" s="639"/>
      <c r="ES250" s="639"/>
      <c r="ET250" s="639"/>
      <c r="EU250" s="639"/>
      <c r="EV250" s="639"/>
      <c r="EW250" s="639"/>
      <c r="EX250" s="639"/>
      <c r="EY250" s="639"/>
      <c r="EZ250" s="639"/>
      <c r="FA250" s="639"/>
      <c r="FB250" s="639"/>
      <c r="FC250" s="639"/>
      <c r="FD250" s="639"/>
      <c r="FE250" s="639"/>
      <c r="FF250" s="639"/>
      <c r="FG250" s="639"/>
      <c r="FH250" s="639"/>
      <c r="FI250" s="639"/>
      <c r="FJ250" s="639"/>
      <c r="FK250" s="639"/>
      <c r="FL250" s="639"/>
      <c r="FM250" s="639"/>
      <c r="FN250" s="639"/>
      <c r="FO250" s="639"/>
      <c r="FP250" s="639"/>
      <c r="FQ250" s="639"/>
      <c r="FR250" s="639"/>
      <c r="FS250" s="639"/>
      <c r="FT250" s="639"/>
      <c r="FU250" s="639"/>
      <c r="FV250" s="639"/>
      <c r="FW250" s="639"/>
      <c r="FX250" s="639"/>
      <c r="FY250" s="639"/>
      <c r="FZ250" s="639"/>
      <c r="GA250" s="639"/>
      <c r="GB250" s="639"/>
      <c r="GC250" s="639"/>
      <c r="GD250" s="639"/>
      <c r="GE250" s="639"/>
      <c r="GF250" s="639"/>
      <c r="GG250" s="639"/>
      <c r="GH250" s="639"/>
      <c r="GI250" s="639"/>
      <c r="GJ250" s="639"/>
      <c r="GK250" s="639"/>
      <c r="GL250" s="639"/>
      <c r="GM250" s="639"/>
      <c r="GN250" s="639"/>
      <c r="GO250" s="639"/>
      <c r="GP250" s="639"/>
      <c r="GQ250" s="639"/>
      <c r="GR250" s="639"/>
      <c r="GS250" s="639"/>
      <c r="GT250" s="639"/>
      <c r="GU250" s="639"/>
      <c r="GV250" s="639"/>
      <c r="GW250" s="639"/>
      <c r="GX250" s="639"/>
      <c r="GY250" s="639"/>
      <c r="GZ250" s="639"/>
      <c r="HA250" s="639"/>
      <c r="HB250" s="639"/>
      <c r="HC250" s="639"/>
      <c r="HD250" s="639"/>
      <c r="HE250" s="639"/>
      <c r="HF250" s="645"/>
      <c r="HG250" s="645"/>
      <c r="HH250" s="645"/>
      <c r="HI250" s="645"/>
      <c r="HJ250" s="645"/>
      <c r="HK250" s="645"/>
      <c r="HL250" s="645"/>
      <c r="HM250" s="645"/>
      <c r="HN250" s="645"/>
      <c r="HO250" s="645"/>
      <c r="HP250" s="645"/>
      <c r="HQ250" s="645"/>
      <c r="HR250" s="645">
        <v>0.1235</v>
      </c>
      <c r="HS250" s="645">
        <f t="shared" si="775"/>
        <v>829.21428571428567</v>
      </c>
      <c r="HT250" s="645">
        <f t="shared" si="776"/>
        <v>1</v>
      </c>
      <c r="HU250" s="618">
        <f t="shared" si="778"/>
        <v>3.1460840852771019</v>
      </c>
      <c r="HV250" s="618"/>
      <c r="HW250" s="618">
        <f t="shared" si="762"/>
        <v>31.532560598906514</v>
      </c>
      <c r="HX250" s="618">
        <f t="shared" si="779"/>
        <v>2.9500862676163182</v>
      </c>
      <c r="HY250" s="618">
        <f t="shared" si="780"/>
        <v>0.1235</v>
      </c>
      <c r="HZ250" s="618"/>
      <c r="IA250" s="618"/>
      <c r="IB250" s="618">
        <f t="shared" si="763"/>
        <v>25.000350341399081</v>
      </c>
      <c r="IC250" s="618">
        <f t="shared" si="764"/>
        <v>1E-3</v>
      </c>
      <c r="ID250" s="618"/>
      <c r="IE250" s="618">
        <f t="shared" si="765"/>
        <v>0</v>
      </c>
      <c r="IF250" s="618">
        <f t="shared" si="766"/>
        <v>40.704999999999998</v>
      </c>
      <c r="IG250" s="618"/>
      <c r="IH250" s="618">
        <f t="shared" si="767"/>
        <v>0</v>
      </c>
      <c r="II250" s="618">
        <f t="shared" si="768"/>
        <v>40.704999999999998</v>
      </c>
      <c r="IJ250" s="618"/>
      <c r="IK250" s="618">
        <f t="shared" si="769"/>
        <v>0</v>
      </c>
      <c r="IL250" s="618">
        <f t="shared" si="770"/>
        <v>40.704999999999998</v>
      </c>
      <c r="IM250" s="618"/>
      <c r="IN250" s="618">
        <f t="shared" si="771"/>
        <v>0</v>
      </c>
      <c r="IO250" s="618">
        <f t="shared" si="772"/>
        <v>40.704999999999998</v>
      </c>
      <c r="IP250" s="618"/>
      <c r="IQ250" s="618">
        <f t="shared" si="773"/>
        <v>0</v>
      </c>
      <c r="IR250" s="618">
        <f t="shared" si="774"/>
        <v>40.704999999999998</v>
      </c>
      <c r="IS250" s="645"/>
      <c r="IT250" s="639"/>
      <c r="IU250" s="639"/>
      <c r="IV250" s="639"/>
      <c r="IW250" s="639"/>
      <c r="IX250" s="639"/>
      <c r="IY250" s="639"/>
      <c r="IZ250" s="639"/>
      <c r="JA250" s="639"/>
      <c r="JB250" s="639"/>
      <c r="JC250" s="639"/>
      <c r="JD250" s="639"/>
      <c r="JE250" s="639"/>
      <c r="JF250" s="639"/>
      <c r="JG250" s="639"/>
      <c r="JH250" s="639"/>
      <c r="JI250" s="639"/>
      <c r="JJ250" s="639"/>
      <c r="JK250" s="639"/>
      <c r="JL250" s="639"/>
      <c r="JM250" s="639"/>
      <c r="JN250" s="639"/>
      <c r="JO250" s="639"/>
      <c r="JP250" s="639"/>
      <c r="JQ250" s="639"/>
      <c r="JR250" s="639"/>
      <c r="JS250" s="639"/>
      <c r="JT250" s="639"/>
      <c r="JU250" s="639"/>
      <c r="JV250" s="653"/>
    </row>
    <row r="251" spans="1:282" s="612" customFormat="1">
      <c r="A251" s="611"/>
      <c r="U251" s="613"/>
      <c r="V251" s="613"/>
      <c r="AC251" s="613"/>
      <c r="AD251" s="613"/>
      <c r="AL251" s="613"/>
      <c r="AM251" s="613"/>
      <c r="AT251" s="613"/>
      <c r="AU251" s="613"/>
      <c r="CH251" s="611"/>
      <c r="CI251" s="611"/>
      <c r="CO251" s="694" t="str">
        <f t="shared" si="777"/>
        <v>S500Q</v>
      </c>
      <c r="CP251" s="645"/>
      <c r="CQ251" s="618"/>
      <c r="CR251" s="618"/>
      <c r="CS251" s="618"/>
      <c r="CT251" s="626"/>
      <c r="CU251" s="626"/>
      <c r="CV251" s="626"/>
      <c r="CW251" s="641"/>
      <c r="CX251" s="641"/>
      <c r="CY251" s="624"/>
      <c r="CZ251" s="624"/>
      <c r="DA251" s="624"/>
      <c r="DB251" s="624"/>
      <c r="DC251" s="639"/>
      <c r="DD251" s="639"/>
      <c r="DE251" s="639"/>
      <c r="DF251" s="639"/>
      <c r="DG251" s="639"/>
      <c r="DH251" s="639"/>
      <c r="DI251" s="639"/>
      <c r="DJ251" s="639"/>
      <c r="DK251" s="639"/>
      <c r="DL251" s="639"/>
      <c r="DM251" s="639"/>
      <c r="DN251" s="639"/>
      <c r="DO251" s="639"/>
      <c r="DP251" s="639"/>
      <c r="DQ251" s="639"/>
      <c r="DR251" s="639"/>
      <c r="DS251" s="639"/>
      <c r="DT251" s="639"/>
      <c r="DU251" s="639"/>
      <c r="DV251" s="639"/>
      <c r="DW251" s="639"/>
      <c r="DX251" s="639"/>
      <c r="DY251" s="639"/>
      <c r="DZ251" s="639"/>
      <c r="EA251" s="639"/>
      <c r="EB251" s="639"/>
      <c r="EC251" s="639"/>
      <c r="ED251" s="639"/>
      <c r="EE251" s="639"/>
      <c r="EF251" s="639"/>
      <c r="EG251" s="639"/>
      <c r="EH251" s="639"/>
      <c r="EI251" s="639"/>
      <c r="EJ251" s="639"/>
      <c r="EK251" s="639"/>
      <c r="EL251" s="639"/>
      <c r="EM251" s="639"/>
      <c r="EN251" s="639"/>
      <c r="EO251" s="639"/>
      <c r="EP251" s="639"/>
      <c r="EQ251" s="639"/>
      <c r="ER251" s="639"/>
      <c r="ES251" s="639"/>
      <c r="ET251" s="639"/>
      <c r="EU251" s="639"/>
      <c r="EV251" s="639"/>
      <c r="EW251" s="639"/>
      <c r="EX251" s="639"/>
      <c r="EY251" s="639"/>
      <c r="EZ251" s="639"/>
      <c r="FA251" s="639"/>
      <c r="FB251" s="639"/>
      <c r="FC251" s="639"/>
      <c r="FD251" s="639"/>
      <c r="FE251" s="639"/>
      <c r="FF251" s="639"/>
      <c r="FG251" s="639"/>
      <c r="FH251" s="639"/>
      <c r="FI251" s="639"/>
      <c r="FJ251" s="639"/>
      <c r="FK251" s="639"/>
      <c r="FL251" s="639"/>
      <c r="FM251" s="639"/>
      <c r="FN251" s="639"/>
      <c r="FO251" s="639"/>
      <c r="FP251" s="639"/>
      <c r="FQ251" s="639"/>
      <c r="FR251" s="639"/>
      <c r="FS251" s="639"/>
      <c r="FT251" s="639"/>
      <c r="FU251" s="639"/>
      <c r="FV251" s="639"/>
      <c r="FW251" s="639"/>
      <c r="FX251" s="639"/>
      <c r="FY251" s="639"/>
      <c r="FZ251" s="639"/>
      <c r="GA251" s="639"/>
      <c r="GB251" s="639"/>
      <c r="GC251" s="639"/>
      <c r="GD251" s="639"/>
      <c r="GE251" s="639"/>
      <c r="GF251" s="639"/>
      <c r="GG251" s="639"/>
      <c r="GH251" s="639"/>
      <c r="GI251" s="639"/>
      <c r="GJ251" s="639"/>
      <c r="GK251" s="639"/>
      <c r="GL251" s="639"/>
      <c r="GM251" s="639"/>
      <c r="GN251" s="639"/>
      <c r="GO251" s="639"/>
      <c r="GP251" s="639"/>
      <c r="GQ251" s="639"/>
      <c r="GR251" s="639"/>
      <c r="GS251" s="639"/>
      <c r="GT251" s="639"/>
      <c r="GU251" s="639"/>
      <c r="GV251" s="639"/>
      <c r="GW251" s="639"/>
      <c r="GX251" s="639"/>
      <c r="GY251" s="639"/>
      <c r="GZ251" s="639"/>
      <c r="HA251" s="639"/>
      <c r="HB251" s="639"/>
      <c r="HC251" s="639"/>
      <c r="HD251" s="639"/>
      <c r="HE251" s="639"/>
      <c r="HF251" s="645"/>
      <c r="HG251" s="645"/>
      <c r="HH251" s="645"/>
      <c r="HI251" s="645"/>
      <c r="HJ251" s="645"/>
      <c r="HK251" s="645"/>
      <c r="HL251" s="645"/>
      <c r="HM251" s="645"/>
      <c r="HN251" s="645"/>
      <c r="HO251" s="645"/>
      <c r="HP251" s="645"/>
      <c r="HQ251" s="645"/>
      <c r="HR251" s="645">
        <v>0.124</v>
      </c>
      <c r="HS251" s="645">
        <f t="shared" si="775"/>
        <v>832.57142857142856</v>
      </c>
      <c r="HT251" s="645">
        <f t="shared" si="776"/>
        <v>1</v>
      </c>
      <c r="HU251" s="618">
        <f t="shared" si="778"/>
        <v>3.1588231292507269</v>
      </c>
      <c r="HV251" s="618"/>
      <c r="HW251" s="618">
        <f t="shared" si="762"/>
        <v>31.514471156463969</v>
      </c>
      <c r="HX251" s="618">
        <f t="shared" si="779"/>
        <v>2.9612380518904216</v>
      </c>
      <c r="HY251" s="618">
        <f t="shared" si="780"/>
        <v>0.124</v>
      </c>
      <c r="HZ251" s="618"/>
      <c r="IA251" s="618"/>
      <c r="IB251" s="618">
        <f t="shared" si="763"/>
        <v>25.000350341399081</v>
      </c>
      <c r="IC251" s="618">
        <f t="shared" si="764"/>
        <v>1E-3</v>
      </c>
      <c r="ID251" s="618"/>
      <c r="IE251" s="618">
        <f t="shared" si="765"/>
        <v>0</v>
      </c>
      <c r="IF251" s="618">
        <f t="shared" si="766"/>
        <v>40.704999999999998</v>
      </c>
      <c r="IG251" s="618"/>
      <c r="IH251" s="618">
        <f t="shared" si="767"/>
        <v>0</v>
      </c>
      <c r="II251" s="618">
        <f t="shared" si="768"/>
        <v>40.704999999999998</v>
      </c>
      <c r="IJ251" s="618"/>
      <c r="IK251" s="618">
        <f t="shared" si="769"/>
        <v>0</v>
      </c>
      <c r="IL251" s="618">
        <f t="shared" si="770"/>
        <v>40.704999999999998</v>
      </c>
      <c r="IM251" s="618"/>
      <c r="IN251" s="618">
        <f t="shared" si="771"/>
        <v>0</v>
      </c>
      <c r="IO251" s="618">
        <f t="shared" si="772"/>
        <v>40.704999999999998</v>
      </c>
      <c r="IP251" s="618"/>
      <c r="IQ251" s="618">
        <f t="shared" si="773"/>
        <v>0</v>
      </c>
      <c r="IR251" s="618">
        <f t="shared" si="774"/>
        <v>40.704999999999998</v>
      </c>
      <c r="IS251" s="645"/>
      <c r="IT251" s="639"/>
      <c r="IU251" s="639"/>
      <c r="IV251" s="639"/>
      <c r="IW251" s="639"/>
      <c r="IX251" s="639"/>
      <c r="IY251" s="639"/>
      <c r="IZ251" s="639"/>
      <c r="JA251" s="639"/>
      <c r="JB251" s="639"/>
      <c r="JC251" s="639"/>
      <c r="JD251" s="639"/>
      <c r="JE251" s="639"/>
      <c r="JF251" s="639"/>
      <c r="JG251" s="639"/>
      <c r="JH251" s="639"/>
      <c r="JI251" s="639"/>
      <c r="JJ251" s="639"/>
      <c r="JK251" s="639"/>
      <c r="JL251" s="639"/>
      <c r="JM251" s="639"/>
      <c r="JN251" s="639"/>
      <c r="JO251" s="639"/>
      <c r="JP251" s="639"/>
      <c r="JQ251" s="639"/>
      <c r="JR251" s="639"/>
      <c r="JS251" s="639"/>
      <c r="JT251" s="639"/>
      <c r="JU251" s="639"/>
      <c r="JV251" s="653"/>
    </row>
    <row r="252" spans="1:282" s="612" customFormat="1">
      <c r="A252" s="611"/>
      <c r="U252" s="613"/>
      <c r="V252" s="613"/>
      <c r="AC252" s="613"/>
      <c r="AD252" s="613"/>
      <c r="AL252" s="613"/>
      <c r="AM252" s="613"/>
      <c r="AT252" s="613"/>
      <c r="AU252" s="613"/>
      <c r="CH252" s="611"/>
      <c r="CI252" s="611"/>
      <c r="CO252" s="694" t="str">
        <f t="shared" si="777"/>
        <v>S605T</v>
      </c>
      <c r="CP252" s="645"/>
      <c r="CQ252" s="618"/>
      <c r="CR252" s="618"/>
      <c r="CS252" s="618"/>
      <c r="CT252" s="626"/>
      <c r="CU252" s="626"/>
      <c r="CV252" s="626"/>
      <c r="CW252" s="641"/>
      <c r="CX252" s="641"/>
      <c r="CY252" s="624"/>
      <c r="CZ252" s="624"/>
      <c r="DA252" s="624"/>
      <c r="DB252" s="624"/>
      <c r="DC252" s="639"/>
      <c r="DD252" s="639"/>
      <c r="DE252" s="639"/>
      <c r="DF252" s="639"/>
      <c r="DG252" s="639"/>
      <c r="DH252" s="639"/>
      <c r="DI252" s="639"/>
      <c r="DJ252" s="639"/>
      <c r="DK252" s="639"/>
      <c r="DL252" s="639"/>
      <c r="DM252" s="639"/>
      <c r="DN252" s="639"/>
      <c r="DO252" s="639"/>
      <c r="DP252" s="639"/>
      <c r="DQ252" s="639"/>
      <c r="DR252" s="639"/>
      <c r="DS252" s="639"/>
      <c r="DT252" s="639"/>
      <c r="DU252" s="639"/>
      <c r="DV252" s="639"/>
      <c r="DW252" s="639"/>
      <c r="DX252" s="639"/>
      <c r="DY252" s="639"/>
      <c r="DZ252" s="639"/>
      <c r="EA252" s="639"/>
      <c r="EB252" s="639"/>
      <c r="EC252" s="639"/>
      <c r="ED252" s="639"/>
      <c r="EE252" s="639"/>
      <c r="EF252" s="639"/>
      <c r="EG252" s="639"/>
      <c r="EH252" s="639"/>
      <c r="EI252" s="639"/>
      <c r="EJ252" s="639"/>
      <c r="EK252" s="639"/>
      <c r="EL252" s="639"/>
      <c r="EM252" s="639"/>
      <c r="EN252" s="639"/>
      <c r="EO252" s="639"/>
      <c r="EP252" s="639"/>
      <c r="EQ252" s="639"/>
      <c r="ER252" s="639"/>
      <c r="ES252" s="639"/>
      <c r="ET252" s="639"/>
      <c r="EU252" s="639"/>
      <c r="EV252" s="639"/>
      <c r="EW252" s="639"/>
      <c r="EX252" s="639"/>
      <c r="EY252" s="639"/>
      <c r="EZ252" s="639"/>
      <c r="FA252" s="639"/>
      <c r="FB252" s="639"/>
      <c r="FC252" s="639"/>
      <c r="FD252" s="639"/>
      <c r="FE252" s="639"/>
      <c r="FF252" s="639"/>
      <c r="FG252" s="639"/>
      <c r="FH252" s="639"/>
      <c r="FI252" s="639"/>
      <c r="FJ252" s="639"/>
      <c r="FK252" s="639"/>
      <c r="FL252" s="639"/>
      <c r="FM252" s="639"/>
      <c r="FN252" s="639"/>
      <c r="FO252" s="639"/>
      <c r="FP252" s="639"/>
      <c r="FQ252" s="639"/>
      <c r="FR252" s="639"/>
      <c r="FS252" s="639"/>
      <c r="FT252" s="639"/>
      <c r="FU252" s="639"/>
      <c r="FV252" s="639"/>
      <c r="FW252" s="639"/>
      <c r="FX252" s="639"/>
      <c r="FY252" s="639"/>
      <c r="FZ252" s="639"/>
      <c r="GA252" s="639"/>
      <c r="GB252" s="639"/>
      <c r="GC252" s="639"/>
      <c r="GD252" s="639"/>
      <c r="GE252" s="639"/>
      <c r="GF252" s="639"/>
      <c r="GG252" s="639"/>
      <c r="GH252" s="639"/>
      <c r="GI252" s="639"/>
      <c r="GJ252" s="639"/>
      <c r="GK252" s="639"/>
      <c r="GL252" s="639"/>
      <c r="GM252" s="639"/>
      <c r="GN252" s="639"/>
      <c r="GO252" s="639"/>
      <c r="GP252" s="639"/>
      <c r="GQ252" s="639"/>
      <c r="GR252" s="639"/>
      <c r="GS252" s="639"/>
      <c r="GT252" s="639"/>
      <c r="GU252" s="639"/>
      <c r="GV252" s="639"/>
      <c r="GW252" s="639"/>
      <c r="GX252" s="639"/>
      <c r="GY252" s="639"/>
      <c r="GZ252" s="639"/>
      <c r="HA252" s="639"/>
      <c r="HB252" s="639"/>
      <c r="HC252" s="639"/>
      <c r="HD252" s="639"/>
      <c r="HE252" s="639"/>
      <c r="HF252" s="645"/>
      <c r="HG252" s="645"/>
      <c r="HH252" s="645"/>
      <c r="HI252" s="645"/>
      <c r="HJ252" s="645"/>
      <c r="HK252" s="645"/>
      <c r="HL252" s="645"/>
      <c r="HM252" s="645"/>
      <c r="HN252" s="645"/>
      <c r="HO252" s="645"/>
      <c r="HP252" s="645"/>
      <c r="HQ252" s="645"/>
      <c r="HR252" s="645">
        <v>0.1245</v>
      </c>
      <c r="HS252" s="645">
        <f t="shared" si="775"/>
        <v>835.92857142857144</v>
      </c>
      <c r="HT252" s="645">
        <f t="shared" si="776"/>
        <v>1</v>
      </c>
      <c r="HU252" s="618">
        <f t="shared" si="778"/>
        <v>3.171562173224352</v>
      </c>
      <c r="HV252" s="618"/>
      <c r="HW252" s="618">
        <f t="shared" si="762"/>
        <v>31.496381714021421</v>
      </c>
      <c r="HX252" s="618">
        <f t="shared" si="779"/>
        <v>2.9723834349922269</v>
      </c>
      <c r="HY252" s="618">
        <f t="shared" si="780"/>
        <v>0.1245</v>
      </c>
      <c r="HZ252" s="618"/>
      <c r="IA252" s="618"/>
      <c r="IB252" s="618">
        <f t="shared" si="763"/>
        <v>25.000350341399081</v>
      </c>
      <c r="IC252" s="618">
        <f t="shared" si="764"/>
        <v>1E-3</v>
      </c>
      <c r="ID252" s="618"/>
      <c r="IE252" s="618">
        <f t="shared" si="765"/>
        <v>0</v>
      </c>
      <c r="IF252" s="618">
        <f t="shared" si="766"/>
        <v>40.704999999999998</v>
      </c>
      <c r="IG252" s="618"/>
      <c r="IH252" s="618">
        <f t="shared" si="767"/>
        <v>0</v>
      </c>
      <c r="II252" s="618">
        <f t="shared" si="768"/>
        <v>40.704999999999998</v>
      </c>
      <c r="IJ252" s="618"/>
      <c r="IK252" s="618">
        <f t="shared" si="769"/>
        <v>0</v>
      </c>
      <c r="IL252" s="618">
        <f t="shared" si="770"/>
        <v>40.704999999999998</v>
      </c>
      <c r="IM252" s="618"/>
      <c r="IN252" s="618">
        <f t="shared" si="771"/>
        <v>0</v>
      </c>
      <c r="IO252" s="618">
        <f t="shared" si="772"/>
        <v>40.704999999999998</v>
      </c>
      <c r="IP252" s="618"/>
      <c r="IQ252" s="618">
        <f t="shared" si="773"/>
        <v>0</v>
      </c>
      <c r="IR252" s="618">
        <f t="shared" si="774"/>
        <v>40.704999999999998</v>
      </c>
      <c r="IS252" s="645"/>
      <c r="IT252" s="639"/>
      <c r="IU252" s="639"/>
      <c r="IV252" s="639"/>
      <c r="IW252" s="639"/>
      <c r="IX252" s="639"/>
      <c r="IY252" s="639"/>
      <c r="IZ252" s="639"/>
      <c r="JA252" s="639"/>
      <c r="JB252" s="639"/>
      <c r="JC252" s="639"/>
      <c r="JD252" s="639"/>
      <c r="JE252" s="639"/>
      <c r="JF252" s="639"/>
      <c r="JG252" s="639"/>
      <c r="JH252" s="639"/>
      <c r="JI252" s="639"/>
      <c r="JJ252" s="639"/>
      <c r="JK252" s="639"/>
      <c r="JL252" s="639"/>
      <c r="JM252" s="639"/>
      <c r="JN252" s="639"/>
      <c r="JO252" s="639"/>
      <c r="JP252" s="639"/>
      <c r="JQ252" s="639"/>
      <c r="JR252" s="639"/>
      <c r="JS252" s="639"/>
      <c r="JT252" s="639"/>
      <c r="JU252" s="639"/>
      <c r="JV252" s="653"/>
    </row>
    <row r="253" spans="1:282" s="612" customFormat="1">
      <c r="A253" s="611"/>
      <c r="U253" s="613"/>
      <c r="V253" s="613"/>
      <c r="AC253" s="613"/>
      <c r="AD253" s="613"/>
      <c r="AL253" s="613"/>
      <c r="AM253" s="613"/>
      <c r="AT253" s="613"/>
      <c r="AU253" s="613"/>
      <c r="CH253" s="611"/>
      <c r="CI253" s="611"/>
      <c r="CO253" s="694" t="str">
        <f t="shared" si="777"/>
        <v>S605T 1S</v>
      </c>
      <c r="CP253" s="645"/>
      <c r="CQ253" s="618"/>
      <c r="CR253" s="618"/>
      <c r="CS253" s="618"/>
      <c r="CT253" s="626"/>
      <c r="CU253" s="626"/>
      <c r="CV253" s="626"/>
      <c r="CW253" s="641"/>
      <c r="CX253" s="641"/>
      <c r="CY253" s="624"/>
      <c r="CZ253" s="624"/>
      <c r="DA253" s="624"/>
      <c r="DB253" s="624"/>
      <c r="DC253" s="639"/>
      <c r="DD253" s="639"/>
      <c r="DE253" s="639"/>
      <c r="DF253" s="639"/>
      <c r="DG253" s="639"/>
      <c r="DH253" s="639"/>
      <c r="DI253" s="639"/>
      <c r="DJ253" s="639"/>
      <c r="DK253" s="639"/>
      <c r="DL253" s="639"/>
      <c r="DM253" s="639"/>
      <c r="DN253" s="639"/>
      <c r="DO253" s="639"/>
      <c r="DP253" s="639"/>
      <c r="DQ253" s="639"/>
      <c r="DR253" s="639"/>
      <c r="DS253" s="639"/>
      <c r="DT253" s="639"/>
      <c r="DU253" s="639"/>
      <c r="DV253" s="639"/>
      <c r="DW253" s="639"/>
      <c r="DX253" s="639"/>
      <c r="DY253" s="639"/>
      <c r="DZ253" s="639"/>
      <c r="EA253" s="639"/>
      <c r="EB253" s="639"/>
      <c r="EC253" s="639"/>
      <c r="ED253" s="639"/>
      <c r="EE253" s="639"/>
      <c r="EF253" s="639"/>
      <c r="EG253" s="639"/>
      <c r="EH253" s="639"/>
      <c r="EI253" s="639"/>
      <c r="EJ253" s="639"/>
      <c r="EK253" s="639"/>
      <c r="EL253" s="639"/>
      <c r="EM253" s="639"/>
      <c r="EN253" s="639"/>
      <c r="EO253" s="639"/>
      <c r="EP253" s="639"/>
      <c r="EQ253" s="639"/>
      <c r="ER253" s="639"/>
      <c r="ES253" s="639"/>
      <c r="ET253" s="639"/>
      <c r="EU253" s="639"/>
      <c r="EV253" s="639"/>
      <c r="EW253" s="639"/>
      <c r="EX253" s="639"/>
      <c r="EY253" s="639"/>
      <c r="EZ253" s="639"/>
      <c r="FA253" s="639"/>
      <c r="FB253" s="639"/>
      <c r="FC253" s="639"/>
      <c r="FD253" s="639"/>
      <c r="FE253" s="639"/>
      <c r="FF253" s="639"/>
      <c r="FG253" s="639"/>
      <c r="FH253" s="639"/>
      <c r="FI253" s="639"/>
      <c r="FJ253" s="639"/>
      <c r="FK253" s="639"/>
      <c r="FL253" s="639"/>
      <c r="FM253" s="639"/>
      <c r="FN253" s="639"/>
      <c r="FO253" s="639"/>
      <c r="FP253" s="639"/>
      <c r="FQ253" s="639"/>
      <c r="FR253" s="639"/>
      <c r="FS253" s="639"/>
      <c r="FT253" s="639"/>
      <c r="FU253" s="639"/>
      <c r="FV253" s="639"/>
      <c r="FW253" s="639"/>
      <c r="FX253" s="639"/>
      <c r="FY253" s="639"/>
      <c r="FZ253" s="639"/>
      <c r="GA253" s="639"/>
      <c r="GB253" s="639"/>
      <c r="GC253" s="639"/>
      <c r="GD253" s="639"/>
      <c r="GE253" s="639"/>
      <c r="GF253" s="639"/>
      <c r="GG253" s="639"/>
      <c r="GH253" s="639"/>
      <c r="GI253" s="639"/>
      <c r="GJ253" s="639"/>
      <c r="GK253" s="639"/>
      <c r="GL253" s="639"/>
      <c r="GM253" s="639"/>
      <c r="GN253" s="639"/>
      <c r="GO253" s="639"/>
      <c r="GP253" s="639"/>
      <c r="GQ253" s="639"/>
      <c r="GR253" s="639"/>
      <c r="GS253" s="639"/>
      <c r="GT253" s="639"/>
      <c r="GU253" s="639"/>
      <c r="GV253" s="639"/>
      <c r="GW253" s="639"/>
      <c r="GX253" s="639"/>
      <c r="GY253" s="639"/>
      <c r="GZ253" s="639"/>
      <c r="HA253" s="639"/>
      <c r="HB253" s="639"/>
      <c r="HC253" s="639"/>
      <c r="HD253" s="639"/>
      <c r="HE253" s="639"/>
      <c r="HF253" s="645"/>
      <c r="HG253" s="645"/>
      <c r="HH253" s="645"/>
      <c r="HI253" s="645"/>
      <c r="HJ253" s="645"/>
      <c r="HK253" s="645"/>
      <c r="HL253" s="645"/>
      <c r="HM253" s="645"/>
      <c r="HN253" s="645"/>
      <c r="HO253" s="645"/>
      <c r="HP253" s="645"/>
      <c r="HQ253" s="645"/>
      <c r="HR253" s="645">
        <v>0.125</v>
      </c>
      <c r="HS253" s="645">
        <f t="shared" si="775"/>
        <v>839.28571428571433</v>
      </c>
      <c r="HT253" s="645">
        <f t="shared" si="776"/>
        <v>1</v>
      </c>
      <c r="HU253" s="618">
        <f t="shared" si="778"/>
        <v>3.184301217197977</v>
      </c>
      <c r="HV253" s="618"/>
      <c r="HW253" s="618">
        <f t="shared" si="762"/>
        <v>31.478292271578873</v>
      </c>
      <c r="HX253" s="618">
        <f t="shared" si="779"/>
        <v>2.9835224169217343</v>
      </c>
      <c r="HY253" s="618">
        <f t="shared" si="780"/>
        <v>0.125</v>
      </c>
      <c r="HZ253" s="618"/>
      <c r="IA253" s="618"/>
      <c r="IB253" s="618">
        <f t="shared" si="763"/>
        <v>25.000350341399081</v>
      </c>
      <c r="IC253" s="618">
        <f t="shared" si="764"/>
        <v>1E-3</v>
      </c>
      <c r="ID253" s="618"/>
      <c r="IE253" s="618">
        <f t="shared" si="765"/>
        <v>0</v>
      </c>
      <c r="IF253" s="618">
        <f t="shared" si="766"/>
        <v>40.704999999999998</v>
      </c>
      <c r="IG253" s="618"/>
      <c r="IH253" s="618">
        <f t="shared" si="767"/>
        <v>0</v>
      </c>
      <c r="II253" s="618">
        <f t="shared" si="768"/>
        <v>40.704999999999998</v>
      </c>
      <c r="IJ253" s="618"/>
      <c r="IK253" s="618">
        <f t="shared" si="769"/>
        <v>0</v>
      </c>
      <c r="IL253" s="618">
        <f t="shared" si="770"/>
        <v>40.704999999999998</v>
      </c>
      <c r="IM253" s="618"/>
      <c r="IN253" s="618">
        <f t="shared" si="771"/>
        <v>0</v>
      </c>
      <c r="IO253" s="618">
        <f t="shared" si="772"/>
        <v>40.704999999999998</v>
      </c>
      <c r="IP253" s="618"/>
      <c r="IQ253" s="618">
        <f t="shared" si="773"/>
        <v>0</v>
      </c>
      <c r="IR253" s="618">
        <f t="shared" si="774"/>
        <v>40.704999999999998</v>
      </c>
      <c r="IS253" s="645"/>
      <c r="IT253" s="639"/>
      <c r="IU253" s="639"/>
      <c r="IV253" s="639"/>
      <c r="IW253" s="639"/>
      <c r="IX253" s="639"/>
      <c r="IY253" s="639"/>
      <c r="IZ253" s="639"/>
      <c r="JA253" s="639"/>
      <c r="JB253" s="639"/>
      <c r="JC253" s="639"/>
      <c r="JD253" s="639"/>
      <c r="JE253" s="639"/>
      <c r="JF253" s="639"/>
      <c r="JG253" s="639"/>
      <c r="JH253" s="639"/>
      <c r="JI253" s="639"/>
      <c r="JJ253" s="639"/>
      <c r="JK253" s="639"/>
      <c r="JL253" s="639"/>
      <c r="JM253" s="639"/>
      <c r="JN253" s="639"/>
      <c r="JO253" s="639"/>
      <c r="JP253" s="639"/>
      <c r="JQ253" s="639"/>
      <c r="JR253" s="639"/>
      <c r="JS253" s="639"/>
      <c r="JT253" s="639"/>
      <c r="JU253" s="639"/>
      <c r="JV253" s="653"/>
    </row>
    <row r="254" spans="1:282" s="612" customFormat="1">
      <c r="A254" s="611"/>
      <c r="U254" s="613"/>
      <c r="V254" s="613"/>
      <c r="AC254" s="613"/>
      <c r="AD254" s="613"/>
      <c r="AL254" s="613"/>
      <c r="AM254" s="613"/>
      <c r="AT254" s="613"/>
      <c r="AU254" s="613"/>
      <c r="CH254" s="611"/>
      <c r="CI254" s="611"/>
      <c r="CO254" s="694" t="str">
        <f t="shared" si="777"/>
        <v>S605Q</v>
      </c>
      <c r="CP254" s="645"/>
      <c r="CQ254" s="618"/>
      <c r="CR254" s="618"/>
      <c r="CS254" s="618"/>
      <c r="CT254" s="626"/>
      <c r="CU254" s="626"/>
      <c r="CV254" s="626"/>
      <c r="CW254" s="641"/>
      <c r="CX254" s="641"/>
      <c r="CY254" s="624"/>
      <c r="CZ254" s="624"/>
      <c r="DA254" s="624"/>
      <c r="DB254" s="624"/>
      <c r="DC254" s="639"/>
      <c r="DD254" s="639"/>
      <c r="DE254" s="639"/>
      <c r="DF254" s="639"/>
      <c r="DG254" s="639"/>
      <c r="DH254" s="639"/>
      <c r="DI254" s="639"/>
      <c r="DJ254" s="639"/>
      <c r="DK254" s="639"/>
      <c r="DL254" s="639"/>
      <c r="DM254" s="639"/>
      <c r="DN254" s="639"/>
      <c r="DO254" s="639"/>
      <c r="DP254" s="639"/>
      <c r="DQ254" s="639"/>
      <c r="DR254" s="639"/>
      <c r="DS254" s="639"/>
      <c r="DT254" s="639"/>
      <c r="DU254" s="639"/>
      <c r="DV254" s="639"/>
      <c r="DW254" s="639"/>
      <c r="DX254" s="639"/>
      <c r="DY254" s="639"/>
      <c r="DZ254" s="639"/>
      <c r="EA254" s="639"/>
      <c r="EB254" s="639"/>
      <c r="EC254" s="639"/>
      <c r="ED254" s="639"/>
      <c r="EE254" s="639"/>
      <c r="EF254" s="639"/>
      <c r="EG254" s="639"/>
      <c r="EH254" s="639"/>
      <c r="EI254" s="639"/>
      <c r="EJ254" s="639"/>
      <c r="EK254" s="639"/>
      <c r="EL254" s="639"/>
      <c r="EM254" s="639"/>
      <c r="EN254" s="639"/>
      <c r="EO254" s="639"/>
      <c r="EP254" s="639"/>
      <c r="EQ254" s="639"/>
      <c r="ER254" s="639"/>
      <c r="ES254" s="639"/>
      <c r="ET254" s="639"/>
      <c r="EU254" s="639"/>
      <c r="EV254" s="639"/>
      <c r="EW254" s="639"/>
      <c r="EX254" s="639"/>
      <c r="EY254" s="639"/>
      <c r="EZ254" s="639"/>
      <c r="FA254" s="639"/>
      <c r="FB254" s="639"/>
      <c r="FC254" s="639"/>
      <c r="FD254" s="639"/>
      <c r="FE254" s="639"/>
      <c r="FF254" s="639"/>
      <c r="FG254" s="639"/>
      <c r="FH254" s="639"/>
      <c r="FI254" s="639"/>
      <c r="FJ254" s="639"/>
      <c r="FK254" s="639"/>
      <c r="FL254" s="639"/>
      <c r="FM254" s="639"/>
      <c r="FN254" s="639"/>
      <c r="FO254" s="639"/>
      <c r="FP254" s="639"/>
      <c r="FQ254" s="639"/>
      <c r="FR254" s="639"/>
      <c r="FS254" s="639"/>
      <c r="FT254" s="639"/>
      <c r="FU254" s="639"/>
      <c r="FV254" s="639"/>
      <c r="FW254" s="639"/>
      <c r="FX254" s="639"/>
      <c r="FY254" s="639"/>
      <c r="FZ254" s="639"/>
      <c r="GA254" s="639"/>
      <c r="GB254" s="639"/>
      <c r="GC254" s="639"/>
      <c r="GD254" s="639"/>
      <c r="GE254" s="639"/>
      <c r="GF254" s="639"/>
      <c r="GG254" s="639"/>
      <c r="GH254" s="639"/>
      <c r="GI254" s="639"/>
      <c r="GJ254" s="639"/>
      <c r="GK254" s="639"/>
      <c r="GL254" s="639"/>
      <c r="GM254" s="639"/>
      <c r="GN254" s="639"/>
      <c r="GO254" s="639"/>
      <c r="GP254" s="639"/>
      <c r="GQ254" s="639"/>
      <c r="GR254" s="639"/>
      <c r="GS254" s="639"/>
      <c r="GT254" s="639"/>
      <c r="GU254" s="639"/>
      <c r="GV254" s="639"/>
      <c r="GW254" s="639"/>
      <c r="GX254" s="639"/>
      <c r="GY254" s="639"/>
      <c r="GZ254" s="639"/>
      <c r="HA254" s="639"/>
      <c r="HB254" s="639"/>
      <c r="HC254" s="639"/>
      <c r="HD254" s="639"/>
      <c r="HE254" s="639"/>
      <c r="HF254" s="645"/>
      <c r="HG254" s="645"/>
      <c r="HH254" s="645"/>
      <c r="HI254" s="645"/>
      <c r="HJ254" s="645"/>
      <c r="HK254" s="645"/>
      <c r="HL254" s="645"/>
      <c r="HM254" s="645"/>
      <c r="HN254" s="645"/>
      <c r="HO254" s="645"/>
      <c r="HP254" s="645"/>
      <c r="HQ254" s="645"/>
      <c r="HR254" s="645">
        <v>0.1255</v>
      </c>
      <c r="HS254" s="645">
        <f t="shared" si="775"/>
        <v>842.64285714285711</v>
      </c>
      <c r="HT254" s="645">
        <f t="shared" si="776"/>
        <v>1</v>
      </c>
      <c r="HU254" s="618">
        <f t="shared" si="778"/>
        <v>3.197040261171602</v>
      </c>
      <c r="HV254" s="618"/>
      <c r="HW254" s="618">
        <f t="shared" si="762"/>
        <v>31.460202829136325</v>
      </c>
      <c r="HX254" s="618">
        <f t="shared" si="779"/>
        <v>2.9946549976789432</v>
      </c>
      <c r="HY254" s="618">
        <f t="shared" si="780"/>
        <v>0.1255</v>
      </c>
      <c r="HZ254" s="618"/>
      <c r="IA254" s="618"/>
      <c r="IB254" s="618">
        <f t="shared" si="763"/>
        <v>25.000350341399081</v>
      </c>
      <c r="IC254" s="618">
        <f t="shared" si="764"/>
        <v>1E-3</v>
      </c>
      <c r="ID254" s="618"/>
      <c r="IE254" s="618">
        <f t="shared" si="765"/>
        <v>0</v>
      </c>
      <c r="IF254" s="618">
        <f t="shared" si="766"/>
        <v>40.704999999999998</v>
      </c>
      <c r="IG254" s="618"/>
      <c r="IH254" s="618">
        <f t="shared" si="767"/>
        <v>0</v>
      </c>
      <c r="II254" s="618">
        <f t="shared" si="768"/>
        <v>40.704999999999998</v>
      </c>
      <c r="IJ254" s="618"/>
      <c r="IK254" s="618">
        <f t="shared" si="769"/>
        <v>0</v>
      </c>
      <c r="IL254" s="618">
        <f t="shared" si="770"/>
        <v>40.704999999999998</v>
      </c>
      <c r="IM254" s="618"/>
      <c r="IN254" s="618">
        <f t="shared" si="771"/>
        <v>0</v>
      </c>
      <c r="IO254" s="618">
        <f t="shared" si="772"/>
        <v>40.704999999999998</v>
      </c>
      <c r="IP254" s="618"/>
      <c r="IQ254" s="618">
        <f t="shared" si="773"/>
        <v>0</v>
      </c>
      <c r="IR254" s="618">
        <f t="shared" si="774"/>
        <v>40.704999999999998</v>
      </c>
      <c r="IS254" s="645"/>
      <c r="IT254" s="639"/>
      <c r="IU254" s="639"/>
      <c r="IV254" s="639"/>
      <c r="IW254" s="639"/>
      <c r="IX254" s="639"/>
      <c r="IY254" s="639"/>
      <c r="IZ254" s="639"/>
      <c r="JA254" s="639"/>
      <c r="JB254" s="639"/>
      <c r="JC254" s="639"/>
      <c r="JD254" s="639"/>
      <c r="JE254" s="639"/>
      <c r="JF254" s="639"/>
      <c r="JG254" s="639"/>
      <c r="JH254" s="639"/>
      <c r="JI254" s="639"/>
      <c r="JJ254" s="639"/>
      <c r="JK254" s="639"/>
      <c r="JL254" s="639"/>
      <c r="JM254" s="639"/>
      <c r="JN254" s="639"/>
      <c r="JO254" s="639"/>
      <c r="JP254" s="639"/>
      <c r="JQ254" s="639"/>
      <c r="JR254" s="639"/>
      <c r="JS254" s="639"/>
      <c r="JT254" s="639"/>
      <c r="JU254" s="639"/>
      <c r="JV254" s="653"/>
    </row>
    <row r="255" spans="1:282" s="612" customFormat="1">
      <c r="A255" s="611"/>
      <c r="U255" s="613"/>
      <c r="V255" s="613"/>
      <c r="AC255" s="613"/>
      <c r="AD255" s="613"/>
      <c r="AL255" s="613"/>
      <c r="AM255" s="613"/>
      <c r="AT255" s="613"/>
      <c r="AU255" s="613"/>
      <c r="CH255" s="611"/>
      <c r="CI255" s="611"/>
      <c r="CO255" s="694" t="str">
        <f t="shared" si="777"/>
        <v>S605Q 1S</v>
      </c>
      <c r="CP255" s="645"/>
      <c r="CQ255" s="618"/>
      <c r="CR255" s="618"/>
      <c r="CS255" s="618"/>
      <c r="CT255" s="626"/>
      <c r="CU255" s="626"/>
      <c r="CV255" s="626"/>
      <c r="CW255" s="641"/>
      <c r="CX255" s="641"/>
      <c r="CY255" s="624"/>
      <c r="CZ255" s="624"/>
      <c r="DA255" s="624"/>
      <c r="DB255" s="624"/>
      <c r="DC255" s="639"/>
      <c r="DD255" s="639"/>
      <c r="DE255" s="639"/>
      <c r="DF255" s="639"/>
      <c r="DG255" s="639"/>
      <c r="DH255" s="639"/>
      <c r="DI255" s="639"/>
      <c r="DJ255" s="639"/>
      <c r="DK255" s="639"/>
      <c r="DL255" s="639"/>
      <c r="DM255" s="639"/>
      <c r="DN255" s="639"/>
      <c r="DO255" s="639"/>
      <c r="DP255" s="639"/>
      <c r="DQ255" s="639"/>
      <c r="DR255" s="639"/>
      <c r="DS255" s="639"/>
      <c r="DT255" s="639"/>
      <c r="DU255" s="639"/>
      <c r="DV255" s="639"/>
      <c r="DW255" s="639"/>
      <c r="DX255" s="639"/>
      <c r="DY255" s="639"/>
      <c r="DZ255" s="639"/>
      <c r="EA255" s="639"/>
      <c r="EB255" s="639"/>
      <c r="EC255" s="639"/>
      <c r="ED255" s="639"/>
      <c r="EE255" s="639"/>
      <c r="EF255" s="639"/>
      <c r="EG255" s="639"/>
      <c r="EH255" s="639"/>
      <c r="EI255" s="639"/>
      <c r="EJ255" s="639"/>
      <c r="EK255" s="639"/>
      <c r="EL255" s="639"/>
      <c r="EM255" s="639"/>
      <c r="EN255" s="639"/>
      <c r="EO255" s="639"/>
      <c r="EP255" s="639"/>
      <c r="EQ255" s="639"/>
      <c r="ER255" s="639"/>
      <c r="ES255" s="639"/>
      <c r="ET255" s="639"/>
      <c r="EU255" s="639"/>
      <c r="EV255" s="639"/>
      <c r="EW255" s="639"/>
      <c r="EX255" s="639"/>
      <c r="EY255" s="639"/>
      <c r="EZ255" s="639"/>
      <c r="FA255" s="639"/>
      <c r="FB255" s="639"/>
      <c r="FC255" s="639"/>
      <c r="FD255" s="639"/>
      <c r="FE255" s="639"/>
      <c r="FF255" s="639"/>
      <c r="FG255" s="639"/>
      <c r="FH255" s="639"/>
      <c r="FI255" s="639"/>
      <c r="FJ255" s="639"/>
      <c r="FK255" s="639"/>
      <c r="FL255" s="639"/>
      <c r="FM255" s="639"/>
      <c r="FN255" s="639"/>
      <c r="FO255" s="639"/>
      <c r="FP255" s="639"/>
      <c r="FQ255" s="639"/>
      <c r="FR255" s="639"/>
      <c r="FS255" s="639"/>
      <c r="FT255" s="639"/>
      <c r="FU255" s="639"/>
      <c r="FV255" s="639"/>
      <c r="FW255" s="639"/>
      <c r="FX255" s="639"/>
      <c r="FY255" s="639"/>
      <c r="FZ255" s="639"/>
      <c r="GA255" s="639"/>
      <c r="GB255" s="639"/>
      <c r="GC255" s="639"/>
      <c r="GD255" s="639"/>
      <c r="GE255" s="639"/>
      <c r="GF255" s="639"/>
      <c r="GG255" s="639"/>
      <c r="GH255" s="639"/>
      <c r="GI255" s="639"/>
      <c r="GJ255" s="639"/>
      <c r="GK255" s="639"/>
      <c r="GL255" s="639"/>
      <c r="GM255" s="639"/>
      <c r="GN255" s="639"/>
      <c r="GO255" s="639"/>
      <c r="GP255" s="639"/>
      <c r="GQ255" s="639"/>
      <c r="GR255" s="639"/>
      <c r="GS255" s="639"/>
      <c r="GT255" s="639"/>
      <c r="GU255" s="639"/>
      <c r="GV255" s="639"/>
      <c r="GW255" s="639"/>
      <c r="GX255" s="639"/>
      <c r="GY255" s="639"/>
      <c r="GZ255" s="639"/>
      <c r="HA255" s="639"/>
      <c r="HB255" s="639"/>
      <c r="HC255" s="639"/>
      <c r="HD255" s="639"/>
      <c r="HE255" s="639"/>
      <c r="HF255" s="645"/>
      <c r="HG255" s="645"/>
      <c r="HH255" s="645"/>
      <c r="HI255" s="645"/>
      <c r="HJ255" s="645"/>
      <c r="HK255" s="645"/>
      <c r="HL255" s="645"/>
      <c r="HM255" s="645"/>
      <c r="HN255" s="645"/>
      <c r="HO255" s="645"/>
      <c r="HP255" s="645"/>
      <c r="HQ255" s="645"/>
      <c r="HR255" s="645">
        <v>0.126</v>
      </c>
      <c r="HS255" s="645">
        <f t="shared" si="775"/>
        <v>846</v>
      </c>
      <c r="HT255" s="645">
        <f t="shared" si="776"/>
        <v>1</v>
      </c>
      <c r="HU255" s="618">
        <f t="shared" si="778"/>
        <v>3.209779305145227</v>
      </c>
      <c r="HV255" s="618"/>
      <c r="HW255" s="618">
        <f t="shared" si="762"/>
        <v>31.442113386693777</v>
      </c>
      <c r="HX255" s="618">
        <f t="shared" si="779"/>
        <v>3.0057811772638541</v>
      </c>
      <c r="HY255" s="618">
        <f t="shared" si="780"/>
        <v>0.126</v>
      </c>
      <c r="HZ255" s="618"/>
      <c r="IA255" s="618"/>
      <c r="IB255" s="618">
        <f t="shared" si="763"/>
        <v>25.000350341399081</v>
      </c>
      <c r="IC255" s="618">
        <f t="shared" si="764"/>
        <v>1E-3</v>
      </c>
      <c r="ID255" s="618"/>
      <c r="IE255" s="618">
        <f t="shared" si="765"/>
        <v>0</v>
      </c>
      <c r="IF255" s="618">
        <f t="shared" si="766"/>
        <v>40.704999999999998</v>
      </c>
      <c r="IG255" s="618"/>
      <c r="IH255" s="618">
        <f t="shared" si="767"/>
        <v>0</v>
      </c>
      <c r="II255" s="618">
        <f t="shared" si="768"/>
        <v>40.704999999999998</v>
      </c>
      <c r="IJ255" s="618"/>
      <c r="IK255" s="618">
        <f t="shared" si="769"/>
        <v>0</v>
      </c>
      <c r="IL255" s="618">
        <f t="shared" si="770"/>
        <v>40.704999999999998</v>
      </c>
      <c r="IM255" s="618"/>
      <c r="IN255" s="618">
        <f t="shared" si="771"/>
        <v>0</v>
      </c>
      <c r="IO255" s="618">
        <f t="shared" si="772"/>
        <v>40.704999999999998</v>
      </c>
      <c r="IP255" s="618"/>
      <c r="IQ255" s="618">
        <f t="shared" si="773"/>
        <v>0</v>
      </c>
      <c r="IR255" s="618">
        <f t="shared" si="774"/>
        <v>40.704999999999998</v>
      </c>
      <c r="IS255" s="645"/>
      <c r="IT255" s="639"/>
      <c r="IU255" s="639"/>
      <c r="IV255" s="639"/>
      <c r="IW255" s="639"/>
      <c r="IX255" s="639"/>
      <c r="IY255" s="639"/>
      <c r="IZ255" s="639"/>
      <c r="JA255" s="639"/>
      <c r="JB255" s="639"/>
      <c r="JC255" s="639"/>
      <c r="JD255" s="639"/>
      <c r="JE255" s="639"/>
      <c r="JF255" s="639"/>
      <c r="JG255" s="639"/>
      <c r="JH255" s="639"/>
      <c r="JI255" s="639"/>
      <c r="JJ255" s="639"/>
      <c r="JK255" s="639"/>
      <c r="JL255" s="639"/>
      <c r="JM255" s="639"/>
      <c r="JN255" s="639"/>
      <c r="JO255" s="639"/>
      <c r="JP255" s="639"/>
      <c r="JQ255" s="639"/>
      <c r="JR255" s="639"/>
      <c r="JS255" s="639"/>
      <c r="JT255" s="639"/>
      <c r="JU255" s="639"/>
      <c r="JV255" s="653"/>
    </row>
    <row r="256" spans="1:282" s="612" customFormat="1">
      <c r="A256" s="611"/>
      <c r="U256" s="613"/>
      <c r="V256" s="613"/>
      <c r="AC256" s="613"/>
      <c r="AD256" s="613"/>
      <c r="AL256" s="613"/>
      <c r="AM256" s="613"/>
      <c r="AT256" s="613"/>
      <c r="AU256" s="613"/>
      <c r="CH256" s="611"/>
      <c r="CI256" s="611"/>
      <c r="CO256" s="694" t="str">
        <f t="shared" si="777"/>
        <v>S605Q 2S</v>
      </c>
      <c r="CP256" s="645"/>
      <c r="CQ256" s="618"/>
      <c r="CR256" s="618"/>
      <c r="CS256" s="618"/>
      <c r="CT256" s="626"/>
      <c r="CU256" s="626"/>
      <c r="CV256" s="626"/>
      <c r="CW256" s="641"/>
      <c r="CX256" s="641"/>
      <c r="CY256" s="624"/>
      <c r="CZ256" s="624"/>
      <c r="DA256" s="624"/>
      <c r="DB256" s="624"/>
      <c r="DC256" s="639"/>
      <c r="DD256" s="639"/>
      <c r="DE256" s="639"/>
      <c r="DF256" s="639"/>
      <c r="DG256" s="639"/>
      <c r="DH256" s="639"/>
      <c r="DI256" s="639"/>
      <c r="DJ256" s="639"/>
      <c r="DK256" s="639"/>
      <c r="DL256" s="639"/>
      <c r="DM256" s="639"/>
      <c r="DN256" s="639"/>
      <c r="DO256" s="639"/>
      <c r="DP256" s="639"/>
      <c r="DQ256" s="639"/>
      <c r="DR256" s="639"/>
      <c r="DS256" s="639"/>
      <c r="DT256" s="639"/>
      <c r="DU256" s="639"/>
      <c r="DV256" s="639"/>
      <c r="DW256" s="639"/>
      <c r="DX256" s="639"/>
      <c r="DY256" s="639"/>
      <c r="DZ256" s="639"/>
      <c r="EA256" s="639"/>
      <c r="EB256" s="639"/>
      <c r="EC256" s="639"/>
      <c r="ED256" s="639"/>
      <c r="EE256" s="639"/>
      <c r="EF256" s="639"/>
      <c r="EG256" s="639"/>
      <c r="EH256" s="639"/>
      <c r="EI256" s="639"/>
      <c r="EJ256" s="639"/>
      <c r="EK256" s="639"/>
      <c r="EL256" s="639"/>
      <c r="EM256" s="639"/>
      <c r="EN256" s="639"/>
      <c r="EO256" s="639"/>
      <c r="EP256" s="639"/>
      <c r="EQ256" s="639"/>
      <c r="ER256" s="639"/>
      <c r="ES256" s="639"/>
      <c r="ET256" s="639"/>
      <c r="EU256" s="639"/>
      <c r="EV256" s="639"/>
      <c r="EW256" s="639"/>
      <c r="EX256" s="639"/>
      <c r="EY256" s="639"/>
      <c r="EZ256" s="639"/>
      <c r="FA256" s="639"/>
      <c r="FB256" s="639"/>
      <c r="FC256" s="639"/>
      <c r="FD256" s="639"/>
      <c r="FE256" s="639"/>
      <c r="FF256" s="639"/>
      <c r="FG256" s="639"/>
      <c r="FH256" s="639"/>
      <c r="FI256" s="639"/>
      <c r="FJ256" s="639"/>
      <c r="FK256" s="639"/>
      <c r="FL256" s="639"/>
      <c r="FM256" s="639"/>
      <c r="FN256" s="639"/>
      <c r="FO256" s="639"/>
      <c r="FP256" s="639"/>
      <c r="FQ256" s="639"/>
      <c r="FR256" s="639"/>
      <c r="FS256" s="639"/>
      <c r="FT256" s="639"/>
      <c r="FU256" s="639"/>
      <c r="FV256" s="639"/>
      <c r="FW256" s="639"/>
      <c r="FX256" s="639"/>
      <c r="FY256" s="639"/>
      <c r="FZ256" s="639"/>
      <c r="GA256" s="639"/>
      <c r="GB256" s="639"/>
      <c r="GC256" s="639"/>
      <c r="GD256" s="639"/>
      <c r="GE256" s="639"/>
      <c r="GF256" s="639"/>
      <c r="GG256" s="639"/>
      <c r="GH256" s="639"/>
      <c r="GI256" s="639"/>
      <c r="GJ256" s="639"/>
      <c r="GK256" s="639"/>
      <c r="GL256" s="639"/>
      <c r="GM256" s="639"/>
      <c r="GN256" s="639"/>
      <c r="GO256" s="639"/>
      <c r="GP256" s="639"/>
      <c r="GQ256" s="639"/>
      <c r="GR256" s="639"/>
      <c r="GS256" s="639"/>
      <c r="GT256" s="639"/>
      <c r="GU256" s="639"/>
      <c r="GV256" s="639"/>
      <c r="GW256" s="639"/>
      <c r="GX256" s="639"/>
      <c r="GY256" s="639"/>
      <c r="GZ256" s="639"/>
      <c r="HA256" s="639"/>
      <c r="HB256" s="639"/>
      <c r="HC256" s="639"/>
      <c r="HD256" s="639"/>
      <c r="HE256" s="639"/>
      <c r="HF256" s="645"/>
      <c r="HG256" s="645"/>
      <c r="HH256" s="645"/>
      <c r="HI256" s="645"/>
      <c r="HJ256" s="645"/>
      <c r="HK256" s="645"/>
      <c r="HL256" s="645"/>
      <c r="HM256" s="645"/>
      <c r="HN256" s="645"/>
      <c r="HO256" s="645"/>
      <c r="HP256" s="645"/>
      <c r="HQ256" s="645"/>
      <c r="HR256" s="645">
        <v>0.1265</v>
      </c>
      <c r="HS256" s="645">
        <f t="shared" si="775"/>
        <v>849.35714285714289</v>
      </c>
      <c r="HT256" s="645">
        <f t="shared" si="776"/>
        <v>1</v>
      </c>
      <c r="HU256" s="618">
        <f t="shared" si="778"/>
        <v>3.222518349118852</v>
      </c>
      <c r="HV256" s="618"/>
      <c r="HW256" s="618">
        <f t="shared" si="762"/>
        <v>31.424023944251232</v>
      </c>
      <c r="HX256" s="618">
        <f t="shared" si="779"/>
        <v>3.0169009556764665</v>
      </c>
      <c r="HY256" s="618">
        <f t="shared" si="780"/>
        <v>0.1265</v>
      </c>
      <c r="HZ256" s="618"/>
      <c r="IA256" s="618"/>
      <c r="IB256" s="618">
        <f t="shared" si="763"/>
        <v>25.000350341399081</v>
      </c>
      <c r="IC256" s="618">
        <f t="shared" si="764"/>
        <v>1E-3</v>
      </c>
      <c r="ID256" s="618"/>
      <c r="IE256" s="618">
        <f t="shared" si="765"/>
        <v>0</v>
      </c>
      <c r="IF256" s="618">
        <f t="shared" si="766"/>
        <v>40.704999999999998</v>
      </c>
      <c r="IG256" s="618"/>
      <c r="IH256" s="618">
        <f t="shared" si="767"/>
        <v>0</v>
      </c>
      <c r="II256" s="618">
        <f t="shared" si="768"/>
        <v>40.704999999999998</v>
      </c>
      <c r="IJ256" s="618"/>
      <c r="IK256" s="618">
        <f t="shared" si="769"/>
        <v>0</v>
      </c>
      <c r="IL256" s="618">
        <f t="shared" si="770"/>
        <v>40.704999999999998</v>
      </c>
      <c r="IM256" s="618"/>
      <c r="IN256" s="618">
        <f t="shared" si="771"/>
        <v>0</v>
      </c>
      <c r="IO256" s="618">
        <f t="shared" si="772"/>
        <v>40.704999999999998</v>
      </c>
      <c r="IP256" s="618"/>
      <c r="IQ256" s="618">
        <f t="shared" si="773"/>
        <v>0</v>
      </c>
      <c r="IR256" s="618">
        <f t="shared" si="774"/>
        <v>40.704999999999998</v>
      </c>
      <c r="IS256" s="645"/>
      <c r="IT256" s="639"/>
      <c r="IU256" s="639"/>
      <c r="IV256" s="639"/>
      <c r="IW256" s="639"/>
      <c r="IX256" s="639"/>
      <c r="IY256" s="639"/>
      <c r="IZ256" s="639"/>
      <c r="JA256" s="639"/>
      <c r="JB256" s="639"/>
      <c r="JC256" s="639"/>
      <c r="JD256" s="639"/>
      <c r="JE256" s="639"/>
      <c r="JF256" s="639"/>
      <c r="JG256" s="639"/>
      <c r="JH256" s="639"/>
      <c r="JI256" s="639"/>
      <c r="JJ256" s="639"/>
      <c r="JK256" s="639"/>
      <c r="JL256" s="639"/>
      <c r="JM256" s="639"/>
      <c r="JN256" s="639"/>
      <c r="JO256" s="639"/>
      <c r="JP256" s="639"/>
      <c r="JQ256" s="639"/>
      <c r="JR256" s="639"/>
      <c r="JS256" s="639"/>
      <c r="JT256" s="639"/>
      <c r="JU256" s="639"/>
      <c r="JV256" s="653"/>
    </row>
    <row r="257" spans="1:282" s="612" customFormat="1">
      <c r="A257" s="611"/>
      <c r="U257" s="613"/>
      <c r="V257" s="613"/>
      <c r="AC257" s="613"/>
      <c r="AD257" s="613"/>
      <c r="AL257" s="613"/>
      <c r="AM257" s="613"/>
      <c r="AT257" s="613"/>
      <c r="AU257" s="613"/>
      <c r="CH257" s="611"/>
      <c r="CI257" s="611"/>
      <c r="CO257" s="695"/>
      <c r="CP257" s="645"/>
      <c r="CQ257" s="618"/>
      <c r="CR257" s="618"/>
      <c r="CS257" s="618"/>
      <c r="CT257" s="626"/>
      <c r="CU257" s="626"/>
      <c r="CV257" s="626"/>
      <c r="CW257" s="641"/>
      <c r="CX257" s="641"/>
      <c r="CY257" s="624"/>
      <c r="CZ257" s="624"/>
      <c r="DA257" s="624"/>
      <c r="DB257" s="624"/>
      <c r="DC257" s="639"/>
      <c r="DD257" s="639"/>
      <c r="DE257" s="639"/>
      <c r="DF257" s="639"/>
      <c r="DG257" s="639"/>
      <c r="DH257" s="639"/>
      <c r="DI257" s="639"/>
      <c r="DJ257" s="639"/>
      <c r="DK257" s="639"/>
      <c r="DL257" s="639"/>
      <c r="DM257" s="639"/>
      <c r="DN257" s="639"/>
      <c r="DO257" s="639"/>
      <c r="DP257" s="639"/>
      <c r="DQ257" s="639"/>
      <c r="DR257" s="639"/>
      <c r="DS257" s="639"/>
      <c r="DT257" s="639"/>
      <c r="DU257" s="639"/>
      <c r="DV257" s="639"/>
      <c r="DW257" s="639"/>
      <c r="DX257" s="639"/>
      <c r="DY257" s="639"/>
      <c r="DZ257" s="639"/>
      <c r="EA257" s="639"/>
      <c r="EB257" s="639"/>
      <c r="EC257" s="639"/>
      <c r="ED257" s="639"/>
      <c r="EE257" s="639"/>
      <c r="EF257" s="639"/>
      <c r="EG257" s="639"/>
      <c r="EH257" s="639"/>
      <c r="EI257" s="639"/>
      <c r="EJ257" s="639"/>
      <c r="EK257" s="639"/>
      <c r="EL257" s="639"/>
      <c r="EM257" s="639"/>
      <c r="EN257" s="639"/>
      <c r="EO257" s="639"/>
      <c r="EP257" s="639"/>
      <c r="EQ257" s="639"/>
      <c r="ER257" s="639"/>
      <c r="ES257" s="639"/>
      <c r="ET257" s="639"/>
      <c r="EU257" s="639"/>
      <c r="EV257" s="639"/>
      <c r="EW257" s="639"/>
      <c r="EX257" s="639"/>
      <c r="EY257" s="639"/>
      <c r="EZ257" s="639"/>
      <c r="FA257" s="639"/>
      <c r="FB257" s="639"/>
      <c r="FC257" s="639"/>
      <c r="FD257" s="639"/>
      <c r="FE257" s="639"/>
      <c r="FF257" s="639"/>
      <c r="FG257" s="639"/>
      <c r="FH257" s="639"/>
      <c r="FI257" s="639"/>
      <c r="FJ257" s="639"/>
      <c r="FK257" s="639"/>
      <c r="FL257" s="639"/>
      <c r="FM257" s="639"/>
      <c r="FN257" s="639"/>
      <c r="FO257" s="639"/>
      <c r="FP257" s="639"/>
      <c r="FQ257" s="639"/>
      <c r="FR257" s="639"/>
      <c r="FS257" s="639"/>
      <c r="FT257" s="639"/>
      <c r="FU257" s="639"/>
      <c r="FV257" s="639"/>
      <c r="FW257" s="639"/>
      <c r="FX257" s="639"/>
      <c r="FY257" s="639"/>
      <c r="FZ257" s="639"/>
      <c r="GA257" s="639"/>
      <c r="GB257" s="639"/>
      <c r="GC257" s="639"/>
      <c r="GD257" s="639"/>
      <c r="GE257" s="639"/>
      <c r="GF257" s="639"/>
      <c r="GG257" s="639"/>
      <c r="GH257" s="639"/>
      <c r="GI257" s="639"/>
      <c r="GJ257" s="639"/>
      <c r="GK257" s="639"/>
      <c r="GL257" s="639"/>
      <c r="GM257" s="639"/>
      <c r="GN257" s="639"/>
      <c r="GO257" s="639"/>
      <c r="GP257" s="639"/>
      <c r="GQ257" s="639"/>
      <c r="GR257" s="639"/>
      <c r="GS257" s="639"/>
      <c r="GT257" s="639"/>
      <c r="GU257" s="639"/>
      <c r="GV257" s="639"/>
      <c r="GW257" s="639"/>
      <c r="GX257" s="639"/>
      <c r="GY257" s="639"/>
      <c r="GZ257" s="639"/>
      <c r="HA257" s="639"/>
      <c r="HB257" s="639"/>
      <c r="HC257" s="639"/>
      <c r="HD257" s="639"/>
      <c r="HE257" s="639"/>
      <c r="HF257" s="645"/>
      <c r="HG257" s="645"/>
      <c r="HH257" s="645"/>
      <c r="HI257" s="645"/>
      <c r="HJ257" s="645"/>
      <c r="HK257" s="645"/>
      <c r="HL257" s="645"/>
      <c r="HM257" s="645"/>
      <c r="HN257" s="645"/>
      <c r="HO257" s="645"/>
      <c r="HP257" s="645"/>
      <c r="HQ257" s="645"/>
      <c r="HR257" s="645">
        <v>0.127</v>
      </c>
      <c r="HS257" s="645">
        <f t="shared" si="775"/>
        <v>852.71428571428567</v>
      </c>
      <c r="HT257" s="645">
        <f t="shared" si="776"/>
        <v>1</v>
      </c>
      <c r="HU257" s="618">
        <f t="shared" si="778"/>
        <v>3.2352573930924771</v>
      </c>
      <c r="HV257" s="618"/>
      <c r="HW257" s="618">
        <f t="shared" si="762"/>
        <v>31.405934501808684</v>
      </c>
      <c r="HX257" s="618">
        <f t="shared" si="779"/>
        <v>3.028014332916781</v>
      </c>
      <c r="HY257" s="618">
        <f t="shared" si="780"/>
        <v>0.127</v>
      </c>
      <c r="HZ257" s="618"/>
      <c r="IA257" s="618"/>
      <c r="IB257" s="618">
        <f t="shared" si="763"/>
        <v>25.000350341399081</v>
      </c>
      <c r="IC257" s="618">
        <f t="shared" si="764"/>
        <v>1E-3</v>
      </c>
      <c r="ID257" s="618"/>
      <c r="IE257" s="618">
        <f t="shared" si="765"/>
        <v>0</v>
      </c>
      <c r="IF257" s="618">
        <f t="shared" si="766"/>
        <v>40.704999999999998</v>
      </c>
      <c r="IG257" s="618"/>
      <c r="IH257" s="618">
        <f t="shared" si="767"/>
        <v>0</v>
      </c>
      <c r="II257" s="618">
        <f t="shared" si="768"/>
        <v>40.704999999999998</v>
      </c>
      <c r="IJ257" s="618"/>
      <c r="IK257" s="618">
        <f t="shared" si="769"/>
        <v>0</v>
      </c>
      <c r="IL257" s="618">
        <f t="shared" si="770"/>
        <v>40.704999999999998</v>
      </c>
      <c r="IM257" s="618"/>
      <c r="IN257" s="618">
        <f t="shared" si="771"/>
        <v>0</v>
      </c>
      <c r="IO257" s="618">
        <f t="shared" si="772"/>
        <v>40.704999999999998</v>
      </c>
      <c r="IP257" s="618"/>
      <c r="IQ257" s="618">
        <f t="shared" si="773"/>
        <v>0</v>
      </c>
      <c r="IR257" s="618">
        <f t="shared" si="774"/>
        <v>40.704999999999998</v>
      </c>
      <c r="IS257" s="645"/>
      <c r="IT257" s="639"/>
      <c r="IU257" s="639"/>
      <c r="IV257" s="639"/>
      <c r="IW257" s="639"/>
      <c r="IX257" s="639"/>
      <c r="IY257" s="639"/>
      <c r="IZ257" s="639"/>
      <c r="JA257" s="639"/>
      <c r="JB257" s="639"/>
      <c r="JC257" s="639"/>
      <c r="JD257" s="639"/>
      <c r="JE257" s="639"/>
      <c r="JF257" s="639"/>
      <c r="JG257" s="639"/>
      <c r="JH257" s="639"/>
      <c r="JI257" s="639"/>
      <c r="JJ257" s="639"/>
      <c r="JK257" s="639"/>
      <c r="JL257" s="639"/>
      <c r="JM257" s="639"/>
      <c r="JN257" s="639"/>
      <c r="JO257" s="639"/>
      <c r="JP257" s="639"/>
      <c r="JQ257" s="639"/>
      <c r="JR257" s="639"/>
      <c r="JS257" s="639"/>
      <c r="JT257" s="639"/>
      <c r="JU257" s="639"/>
      <c r="JV257" s="653"/>
    </row>
    <row r="258" spans="1:282" s="612" customFormat="1">
      <c r="A258" s="611"/>
      <c r="U258" s="613"/>
      <c r="V258" s="613"/>
      <c r="AC258" s="613"/>
      <c r="AD258" s="613"/>
      <c r="AL258" s="613"/>
      <c r="AM258" s="613"/>
      <c r="AT258" s="613"/>
      <c r="AU258" s="613"/>
      <c r="CH258" s="611"/>
      <c r="CI258" s="611"/>
      <c r="CO258" s="695"/>
      <c r="CP258" s="645"/>
      <c r="CQ258" s="618"/>
      <c r="CR258" s="618"/>
      <c r="CS258" s="618"/>
      <c r="CT258" s="626"/>
      <c r="CU258" s="626"/>
      <c r="CV258" s="626"/>
      <c r="CW258" s="641"/>
      <c r="CX258" s="641"/>
      <c r="CY258" s="624"/>
      <c r="CZ258" s="624"/>
      <c r="DA258" s="624"/>
      <c r="DB258" s="624"/>
      <c r="DC258" s="639"/>
      <c r="DD258" s="639"/>
      <c r="DE258" s="639"/>
      <c r="DF258" s="639"/>
      <c r="DG258" s="639"/>
      <c r="DH258" s="639"/>
      <c r="DI258" s="639"/>
      <c r="DJ258" s="639"/>
      <c r="DK258" s="639"/>
      <c r="DL258" s="639"/>
      <c r="DM258" s="639"/>
      <c r="DN258" s="639"/>
      <c r="DO258" s="639"/>
      <c r="DP258" s="639"/>
      <c r="DQ258" s="639"/>
      <c r="DR258" s="639"/>
      <c r="DS258" s="639"/>
      <c r="DT258" s="639"/>
      <c r="DU258" s="639"/>
      <c r="DV258" s="639"/>
      <c r="DW258" s="639"/>
      <c r="DX258" s="639"/>
      <c r="DY258" s="639"/>
      <c r="DZ258" s="639"/>
      <c r="EA258" s="639"/>
      <c r="EB258" s="639"/>
      <c r="EC258" s="639"/>
      <c r="ED258" s="639"/>
      <c r="EE258" s="639"/>
      <c r="EF258" s="639"/>
      <c r="EG258" s="639"/>
      <c r="EH258" s="639"/>
      <c r="EI258" s="639"/>
      <c r="EJ258" s="639"/>
      <c r="EK258" s="639"/>
      <c r="EL258" s="639"/>
      <c r="EM258" s="639"/>
      <c r="EN258" s="639"/>
      <c r="EO258" s="639"/>
      <c r="EP258" s="639"/>
      <c r="EQ258" s="639"/>
      <c r="ER258" s="639"/>
      <c r="ES258" s="639"/>
      <c r="ET258" s="639"/>
      <c r="EU258" s="639"/>
      <c r="EV258" s="639"/>
      <c r="EW258" s="639"/>
      <c r="EX258" s="639"/>
      <c r="EY258" s="639"/>
      <c r="EZ258" s="639"/>
      <c r="FA258" s="639"/>
      <c r="FB258" s="639"/>
      <c r="FC258" s="639"/>
      <c r="FD258" s="639"/>
      <c r="FE258" s="639"/>
      <c r="FF258" s="639"/>
      <c r="FG258" s="639"/>
      <c r="FH258" s="639"/>
      <c r="FI258" s="639"/>
      <c r="FJ258" s="639"/>
      <c r="FK258" s="639"/>
      <c r="FL258" s="639"/>
      <c r="FM258" s="639"/>
      <c r="FN258" s="639"/>
      <c r="FO258" s="639"/>
      <c r="FP258" s="639"/>
      <c r="FQ258" s="639"/>
      <c r="FR258" s="639"/>
      <c r="FS258" s="639"/>
      <c r="FT258" s="639"/>
      <c r="FU258" s="639"/>
      <c r="FV258" s="639"/>
      <c r="FW258" s="639"/>
      <c r="FX258" s="639"/>
      <c r="FY258" s="639"/>
      <c r="FZ258" s="639"/>
      <c r="GA258" s="639"/>
      <c r="GB258" s="639"/>
      <c r="GC258" s="639"/>
      <c r="GD258" s="639"/>
      <c r="GE258" s="639"/>
      <c r="GF258" s="639"/>
      <c r="GG258" s="639"/>
      <c r="GH258" s="639"/>
      <c r="GI258" s="639"/>
      <c r="GJ258" s="639"/>
      <c r="GK258" s="639"/>
      <c r="GL258" s="639"/>
      <c r="GM258" s="639"/>
      <c r="GN258" s="639"/>
      <c r="GO258" s="639"/>
      <c r="GP258" s="639"/>
      <c r="GQ258" s="639"/>
      <c r="GR258" s="639"/>
      <c r="GS258" s="639"/>
      <c r="GT258" s="639"/>
      <c r="GU258" s="639"/>
      <c r="GV258" s="639"/>
      <c r="GW258" s="639"/>
      <c r="GX258" s="639"/>
      <c r="GY258" s="639"/>
      <c r="GZ258" s="639"/>
      <c r="HA258" s="639"/>
      <c r="HB258" s="639"/>
      <c r="HC258" s="639"/>
      <c r="HD258" s="639"/>
      <c r="HE258" s="639"/>
      <c r="HF258" s="645"/>
      <c r="HG258" s="645"/>
      <c r="HH258" s="645"/>
      <c r="HI258" s="645"/>
      <c r="HJ258" s="645"/>
      <c r="HK258" s="645"/>
      <c r="HL258" s="645"/>
      <c r="HM258" s="645"/>
      <c r="HN258" s="645"/>
      <c r="HO258" s="645"/>
      <c r="HP258" s="645"/>
      <c r="HQ258" s="645"/>
      <c r="HR258" s="645">
        <v>0.1275</v>
      </c>
      <c r="HS258" s="645">
        <f t="shared" si="775"/>
        <v>856.07142857142856</v>
      </c>
      <c r="HT258" s="645">
        <f t="shared" si="776"/>
        <v>1</v>
      </c>
      <c r="HU258" s="618">
        <f t="shared" si="778"/>
        <v>3.2479964370661021</v>
      </c>
      <c r="HV258" s="618"/>
      <c r="HW258" s="618">
        <f t="shared" si="762"/>
        <v>31.387845059366136</v>
      </c>
      <c r="HX258" s="618">
        <f t="shared" si="779"/>
        <v>3.0391213089847975</v>
      </c>
      <c r="HY258" s="618">
        <f t="shared" si="780"/>
        <v>0.1275</v>
      </c>
      <c r="HZ258" s="618"/>
      <c r="IA258" s="618"/>
      <c r="IB258" s="618">
        <f t="shared" si="763"/>
        <v>25.000350341399081</v>
      </c>
      <c r="IC258" s="618">
        <f t="shared" si="764"/>
        <v>1E-3</v>
      </c>
      <c r="ID258" s="618"/>
      <c r="IE258" s="618">
        <f t="shared" si="765"/>
        <v>0</v>
      </c>
      <c r="IF258" s="618">
        <f t="shared" si="766"/>
        <v>40.704999999999998</v>
      </c>
      <c r="IG258" s="618"/>
      <c r="IH258" s="618">
        <f t="shared" si="767"/>
        <v>0</v>
      </c>
      <c r="II258" s="618">
        <f t="shared" si="768"/>
        <v>40.704999999999998</v>
      </c>
      <c r="IJ258" s="618"/>
      <c r="IK258" s="618">
        <f t="shared" si="769"/>
        <v>0</v>
      </c>
      <c r="IL258" s="618">
        <f t="shared" si="770"/>
        <v>40.704999999999998</v>
      </c>
      <c r="IM258" s="618"/>
      <c r="IN258" s="618">
        <f t="shared" si="771"/>
        <v>0</v>
      </c>
      <c r="IO258" s="618">
        <f t="shared" si="772"/>
        <v>40.704999999999998</v>
      </c>
      <c r="IP258" s="618"/>
      <c r="IQ258" s="618">
        <f t="shared" si="773"/>
        <v>0</v>
      </c>
      <c r="IR258" s="618">
        <f t="shared" si="774"/>
        <v>40.704999999999998</v>
      </c>
      <c r="IS258" s="645"/>
      <c r="IT258" s="639"/>
      <c r="IU258" s="639"/>
      <c r="IV258" s="639"/>
      <c r="IW258" s="639"/>
      <c r="IX258" s="639"/>
      <c r="IY258" s="639"/>
      <c r="IZ258" s="639"/>
      <c r="JA258" s="639"/>
      <c r="JB258" s="639"/>
      <c r="JC258" s="639"/>
      <c r="JD258" s="639"/>
      <c r="JE258" s="639"/>
      <c r="JF258" s="639"/>
      <c r="JG258" s="639"/>
      <c r="JH258" s="639"/>
      <c r="JI258" s="639"/>
      <c r="JJ258" s="639"/>
      <c r="JK258" s="639"/>
      <c r="JL258" s="639"/>
      <c r="JM258" s="639"/>
      <c r="JN258" s="639"/>
      <c r="JO258" s="639"/>
      <c r="JP258" s="639"/>
      <c r="JQ258" s="639"/>
      <c r="JR258" s="639"/>
      <c r="JS258" s="639"/>
      <c r="JT258" s="639"/>
      <c r="JU258" s="639"/>
      <c r="JV258" s="653"/>
    </row>
    <row r="259" spans="1:282" s="612" customFormat="1">
      <c r="A259" s="611"/>
      <c r="U259" s="613"/>
      <c r="V259" s="613"/>
      <c r="AC259" s="613"/>
      <c r="AD259" s="613"/>
      <c r="AL259" s="613"/>
      <c r="AM259" s="613"/>
      <c r="AT259" s="613"/>
      <c r="AU259" s="613"/>
      <c r="CH259" s="611"/>
      <c r="CI259" s="611"/>
      <c r="CO259" s="695"/>
      <c r="CP259" s="645"/>
      <c r="CQ259" s="618"/>
      <c r="CR259" s="618"/>
      <c r="CS259" s="618"/>
      <c r="CT259" s="626"/>
      <c r="CU259" s="626"/>
      <c r="CV259" s="626"/>
      <c r="CW259" s="641"/>
      <c r="CX259" s="641"/>
      <c r="CY259" s="624"/>
      <c r="CZ259" s="624"/>
      <c r="DA259" s="624"/>
      <c r="DB259" s="624"/>
      <c r="DC259" s="639"/>
      <c r="DD259" s="639"/>
      <c r="DE259" s="639"/>
      <c r="DF259" s="639"/>
      <c r="DG259" s="639"/>
      <c r="DH259" s="639"/>
      <c r="DI259" s="639"/>
      <c r="DJ259" s="639"/>
      <c r="DK259" s="639"/>
      <c r="DL259" s="639"/>
      <c r="DM259" s="639"/>
      <c r="DN259" s="639"/>
      <c r="DO259" s="639"/>
      <c r="DP259" s="639"/>
      <c r="DQ259" s="639"/>
      <c r="DR259" s="639"/>
      <c r="DS259" s="639"/>
      <c r="DT259" s="639"/>
      <c r="DU259" s="639"/>
      <c r="DV259" s="639"/>
      <c r="DW259" s="639"/>
      <c r="DX259" s="639"/>
      <c r="DY259" s="639"/>
      <c r="DZ259" s="639"/>
      <c r="EA259" s="639"/>
      <c r="EB259" s="639"/>
      <c r="EC259" s="639"/>
      <c r="ED259" s="639"/>
      <c r="EE259" s="639"/>
      <c r="EF259" s="639"/>
      <c r="EG259" s="639"/>
      <c r="EH259" s="639"/>
      <c r="EI259" s="639"/>
      <c r="EJ259" s="639"/>
      <c r="EK259" s="639"/>
      <c r="EL259" s="639"/>
      <c r="EM259" s="639"/>
      <c r="EN259" s="639"/>
      <c r="EO259" s="639"/>
      <c r="EP259" s="639"/>
      <c r="EQ259" s="639"/>
      <c r="ER259" s="639"/>
      <c r="ES259" s="639"/>
      <c r="ET259" s="639"/>
      <c r="EU259" s="639"/>
      <c r="EV259" s="639"/>
      <c r="EW259" s="639"/>
      <c r="EX259" s="639"/>
      <c r="EY259" s="639"/>
      <c r="EZ259" s="639"/>
      <c r="FA259" s="639"/>
      <c r="FB259" s="639"/>
      <c r="FC259" s="639"/>
      <c r="FD259" s="639"/>
      <c r="FE259" s="639"/>
      <c r="FF259" s="639"/>
      <c r="FG259" s="639"/>
      <c r="FH259" s="639"/>
      <c r="FI259" s="639"/>
      <c r="FJ259" s="639"/>
      <c r="FK259" s="639"/>
      <c r="FL259" s="639"/>
      <c r="FM259" s="639"/>
      <c r="FN259" s="639"/>
      <c r="FO259" s="639"/>
      <c r="FP259" s="639"/>
      <c r="FQ259" s="639"/>
      <c r="FR259" s="639"/>
      <c r="FS259" s="639"/>
      <c r="FT259" s="639"/>
      <c r="FU259" s="639"/>
      <c r="FV259" s="639"/>
      <c r="FW259" s="639"/>
      <c r="FX259" s="639"/>
      <c r="FY259" s="639"/>
      <c r="FZ259" s="639"/>
      <c r="GA259" s="639"/>
      <c r="GB259" s="639"/>
      <c r="GC259" s="639"/>
      <c r="GD259" s="639"/>
      <c r="GE259" s="639"/>
      <c r="GF259" s="639"/>
      <c r="GG259" s="639"/>
      <c r="GH259" s="639"/>
      <c r="GI259" s="639"/>
      <c r="GJ259" s="639"/>
      <c r="GK259" s="639"/>
      <c r="GL259" s="639"/>
      <c r="GM259" s="639"/>
      <c r="GN259" s="639"/>
      <c r="GO259" s="639"/>
      <c r="GP259" s="639"/>
      <c r="GQ259" s="639"/>
      <c r="GR259" s="639"/>
      <c r="GS259" s="639"/>
      <c r="GT259" s="639"/>
      <c r="GU259" s="639"/>
      <c r="GV259" s="639"/>
      <c r="GW259" s="639"/>
      <c r="GX259" s="639"/>
      <c r="GY259" s="639"/>
      <c r="GZ259" s="639"/>
      <c r="HA259" s="639"/>
      <c r="HB259" s="639"/>
      <c r="HC259" s="639"/>
      <c r="HD259" s="639"/>
      <c r="HE259" s="639"/>
      <c r="HF259" s="645"/>
      <c r="HG259" s="645"/>
      <c r="HH259" s="645"/>
      <c r="HI259" s="645"/>
      <c r="HJ259" s="645"/>
      <c r="HK259" s="645"/>
      <c r="HL259" s="645"/>
      <c r="HM259" s="645"/>
      <c r="HN259" s="645"/>
      <c r="HO259" s="645"/>
      <c r="HP259" s="645"/>
      <c r="HQ259" s="645"/>
      <c r="HR259" s="645">
        <v>0.128</v>
      </c>
      <c r="HS259" s="645">
        <f t="shared" si="775"/>
        <v>859.42857142857144</v>
      </c>
      <c r="HT259" s="645">
        <f t="shared" si="776"/>
        <v>1</v>
      </c>
      <c r="HU259" s="618">
        <f t="shared" si="778"/>
        <v>3.2607354810397271</v>
      </c>
      <c r="HV259" s="618"/>
      <c r="HW259" s="618">
        <f t="shared" si="762"/>
        <v>31.369755616923587</v>
      </c>
      <c r="HX259" s="618">
        <f t="shared" si="779"/>
        <v>3.0502218838805155</v>
      </c>
      <c r="HY259" s="618">
        <f t="shared" si="780"/>
        <v>0.128</v>
      </c>
      <c r="HZ259" s="618"/>
      <c r="IA259" s="618"/>
      <c r="IB259" s="618">
        <f t="shared" si="763"/>
        <v>25.000350341399081</v>
      </c>
      <c r="IC259" s="618">
        <f t="shared" si="764"/>
        <v>1E-3</v>
      </c>
      <c r="ID259" s="618"/>
      <c r="IE259" s="618">
        <f t="shared" si="765"/>
        <v>0</v>
      </c>
      <c r="IF259" s="618">
        <f t="shared" si="766"/>
        <v>40.704999999999998</v>
      </c>
      <c r="IG259" s="618"/>
      <c r="IH259" s="618">
        <f t="shared" si="767"/>
        <v>0</v>
      </c>
      <c r="II259" s="618">
        <f t="shared" si="768"/>
        <v>40.704999999999998</v>
      </c>
      <c r="IJ259" s="618"/>
      <c r="IK259" s="618">
        <f t="shared" si="769"/>
        <v>0</v>
      </c>
      <c r="IL259" s="618">
        <f t="shared" si="770"/>
        <v>40.704999999999998</v>
      </c>
      <c r="IM259" s="618"/>
      <c r="IN259" s="618">
        <f t="shared" si="771"/>
        <v>0</v>
      </c>
      <c r="IO259" s="618">
        <f t="shared" si="772"/>
        <v>40.704999999999998</v>
      </c>
      <c r="IP259" s="618"/>
      <c r="IQ259" s="618">
        <f t="shared" si="773"/>
        <v>0</v>
      </c>
      <c r="IR259" s="618">
        <f t="shared" si="774"/>
        <v>40.704999999999998</v>
      </c>
      <c r="IS259" s="645"/>
      <c r="IT259" s="639"/>
      <c r="IU259" s="639"/>
      <c r="IV259" s="639"/>
      <c r="IW259" s="639"/>
      <c r="IX259" s="639"/>
      <c r="IY259" s="639"/>
      <c r="IZ259" s="639"/>
      <c r="JA259" s="639"/>
      <c r="JB259" s="639"/>
      <c r="JC259" s="639"/>
      <c r="JD259" s="639"/>
      <c r="JE259" s="639"/>
      <c r="JF259" s="639"/>
      <c r="JG259" s="639"/>
      <c r="JH259" s="639"/>
      <c r="JI259" s="639"/>
      <c r="JJ259" s="639"/>
      <c r="JK259" s="639"/>
      <c r="JL259" s="639"/>
      <c r="JM259" s="639"/>
      <c r="JN259" s="639"/>
      <c r="JO259" s="639"/>
      <c r="JP259" s="639"/>
      <c r="JQ259" s="639"/>
      <c r="JR259" s="639"/>
      <c r="JS259" s="639"/>
      <c r="JT259" s="639"/>
      <c r="JU259" s="639"/>
      <c r="JV259" s="653"/>
    </row>
    <row r="260" spans="1:282" s="612" customFormat="1">
      <c r="A260" s="611"/>
      <c r="U260" s="613"/>
      <c r="V260" s="613"/>
      <c r="AC260" s="613"/>
      <c r="AD260" s="613"/>
      <c r="AL260" s="613"/>
      <c r="AM260" s="613"/>
      <c r="AT260" s="613"/>
      <c r="AU260" s="613"/>
      <c r="CH260" s="611"/>
      <c r="CI260" s="611"/>
      <c r="CO260" s="695"/>
      <c r="CP260" s="645"/>
      <c r="CQ260" s="618"/>
      <c r="CR260" s="618"/>
      <c r="CS260" s="618"/>
      <c r="CT260" s="626"/>
      <c r="CU260" s="626"/>
      <c r="CV260" s="626"/>
      <c r="CW260" s="641"/>
      <c r="CX260" s="641"/>
      <c r="CY260" s="624"/>
      <c r="CZ260" s="624"/>
      <c r="DA260" s="624"/>
      <c r="DB260" s="624"/>
      <c r="DC260" s="639"/>
      <c r="DD260" s="639"/>
      <c r="DE260" s="639"/>
      <c r="DF260" s="639"/>
      <c r="DG260" s="639"/>
      <c r="DH260" s="639"/>
      <c r="DI260" s="639"/>
      <c r="DJ260" s="639"/>
      <c r="DK260" s="639"/>
      <c r="DL260" s="639"/>
      <c r="DM260" s="639"/>
      <c r="DN260" s="639"/>
      <c r="DO260" s="639"/>
      <c r="DP260" s="639"/>
      <c r="DQ260" s="639"/>
      <c r="DR260" s="639"/>
      <c r="DS260" s="639"/>
      <c r="DT260" s="639"/>
      <c r="DU260" s="639"/>
      <c r="DV260" s="639"/>
      <c r="DW260" s="639"/>
      <c r="DX260" s="639"/>
      <c r="DY260" s="639"/>
      <c r="DZ260" s="639"/>
      <c r="EA260" s="639"/>
      <c r="EB260" s="639"/>
      <c r="EC260" s="639"/>
      <c r="ED260" s="639"/>
      <c r="EE260" s="639"/>
      <c r="EF260" s="639"/>
      <c r="EG260" s="639"/>
      <c r="EH260" s="639"/>
      <c r="EI260" s="639"/>
      <c r="EJ260" s="639"/>
      <c r="EK260" s="639"/>
      <c r="EL260" s="639"/>
      <c r="EM260" s="639"/>
      <c r="EN260" s="639"/>
      <c r="EO260" s="639"/>
      <c r="EP260" s="639"/>
      <c r="EQ260" s="639"/>
      <c r="ER260" s="639"/>
      <c r="ES260" s="639"/>
      <c r="ET260" s="639"/>
      <c r="EU260" s="639"/>
      <c r="EV260" s="639"/>
      <c r="EW260" s="639"/>
      <c r="EX260" s="639"/>
      <c r="EY260" s="639"/>
      <c r="EZ260" s="639"/>
      <c r="FA260" s="639"/>
      <c r="FB260" s="639"/>
      <c r="FC260" s="639"/>
      <c r="FD260" s="639"/>
      <c r="FE260" s="639"/>
      <c r="FF260" s="639"/>
      <c r="FG260" s="639"/>
      <c r="FH260" s="639"/>
      <c r="FI260" s="639"/>
      <c r="FJ260" s="639"/>
      <c r="FK260" s="639"/>
      <c r="FL260" s="639"/>
      <c r="FM260" s="639"/>
      <c r="FN260" s="639"/>
      <c r="FO260" s="639"/>
      <c r="FP260" s="639"/>
      <c r="FQ260" s="639"/>
      <c r="FR260" s="639"/>
      <c r="FS260" s="639"/>
      <c r="FT260" s="639"/>
      <c r="FU260" s="639"/>
      <c r="FV260" s="639"/>
      <c r="FW260" s="639"/>
      <c r="FX260" s="639"/>
      <c r="FY260" s="639"/>
      <c r="FZ260" s="639"/>
      <c r="GA260" s="639"/>
      <c r="GB260" s="639"/>
      <c r="GC260" s="639"/>
      <c r="GD260" s="639"/>
      <c r="GE260" s="639"/>
      <c r="GF260" s="639"/>
      <c r="GG260" s="639"/>
      <c r="GH260" s="639"/>
      <c r="GI260" s="639"/>
      <c r="GJ260" s="639"/>
      <c r="GK260" s="639"/>
      <c r="GL260" s="639"/>
      <c r="GM260" s="639"/>
      <c r="GN260" s="639"/>
      <c r="GO260" s="639"/>
      <c r="GP260" s="639"/>
      <c r="GQ260" s="639"/>
      <c r="GR260" s="639"/>
      <c r="GS260" s="639"/>
      <c r="GT260" s="639"/>
      <c r="GU260" s="639"/>
      <c r="GV260" s="639"/>
      <c r="GW260" s="639"/>
      <c r="GX260" s="639"/>
      <c r="GY260" s="639"/>
      <c r="GZ260" s="639"/>
      <c r="HA260" s="639"/>
      <c r="HB260" s="639"/>
      <c r="HC260" s="639"/>
      <c r="HD260" s="639"/>
      <c r="HE260" s="639"/>
      <c r="HF260" s="645"/>
      <c r="HG260" s="645"/>
      <c r="HH260" s="645"/>
      <c r="HI260" s="645"/>
      <c r="HJ260" s="645"/>
      <c r="HK260" s="645"/>
      <c r="HL260" s="645"/>
      <c r="HM260" s="645"/>
      <c r="HN260" s="645"/>
      <c r="HO260" s="645"/>
      <c r="HP260" s="645"/>
      <c r="HQ260" s="645"/>
      <c r="HR260" s="645">
        <v>0.1285</v>
      </c>
      <c r="HS260" s="645">
        <f t="shared" si="775"/>
        <v>862.78571428571433</v>
      </c>
      <c r="HT260" s="645">
        <f t="shared" si="776"/>
        <v>1</v>
      </c>
      <c r="HU260" s="618">
        <f t="shared" si="778"/>
        <v>3.2734745250133521</v>
      </c>
      <c r="HV260" s="618"/>
      <c r="HW260" s="618">
        <f t="shared" ref="HW260:HW323" si="781">$HW$3-(HU260*$AQ$36)</f>
        <v>31.351666174481039</v>
      </c>
      <c r="HX260" s="618">
        <f t="shared" si="779"/>
        <v>3.0613160576039355</v>
      </c>
      <c r="HY260" s="618">
        <f t="shared" si="780"/>
        <v>0.1285</v>
      </c>
      <c r="HZ260" s="618"/>
      <c r="IA260" s="618"/>
      <c r="IB260" s="618">
        <f t="shared" ref="IB260:IB323" si="782">IF(AND(HX260&lt;$IB$1,HY260&lt;$IC$1,$AY$31),(HX260*1000)*IF($D$45&lt;0,-1,1),IB259)</f>
        <v>25.000350341399081</v>
      </c>
      <c r="IC260" s="618">
        <f t="shared" ref="IC260:IC323" si="783">IF(AND(HX260&lt;$IB$1,HY260&lt;$IC$1,$AY$31),HY260,IC259)</f>
        <v>1E-3</v>
      </c>
      <c r="ID260" s="618"/>
      <c r="IE260" s="618">
        <f t="shared" ref="IE260:IE323" si="784">IF(AND(HX260&lt;$IE$1,HY260&lt;$IF$1,$AY$31),(HX260*1000)*IF($H$45&lt;0,-1,1),IE259)</f>
        <v>0</v>
      </c>
      <c r="IF260" s="618">
        <f t="shared" ref="IF260:IF323" si="785">IF(AND(HX260&lt;$IE$1,HY260&lt;$IF$1,$AY$31),HY260+$IF$3,IF259)</f>
        <v>40.704999999999998</v>
      </c>
      <c r="IG260" s="618"/>
      <c r="IH260" s="618">
        <f t="shared" ref="IH260:IH323" si="786">IF(AND(HX260&lt;$IH$1,HY260&lt;$II$1,$AY$31),(HX260*1000)*IF($L$45&lt;0,-1,1),IH259)</f>
        <v>0</v>
      </c>
      <c r="II260" s="618">
        <f t="shared" ref="II260:II323" si="787">IF(AND(HX260&lt;$IH$1,HY260&lt;$II$1,$AY$31),HY260+$II$3,II259)</f>
        <v>40.704999999999998</v>
      </c>
      <c r="IJ260" s="618"/>
      <c r="IK260" s="618">
        <f t="shared" ref="IK260:IK323" si="788">IF(AND(HX260&lt;$IK$1,HY260&lt;$IL$1,$AY$31),(HX260*1000)*IF($P$45&lt;0,-1,1),IK259)</f>
        <v>0</v>
      </c>
      <c r="IL260" s="618">
        <f t="shared" ref="IL260:IL323" si="789">IF(AND(HX260&lt;$IK$1,HY260&lt;$IL$1,$AY$31),HY260+$IL$3,IL259)</f>
        <v>40.704999999999998</v>
      </c>
      <c r="IM260" s="618"/>
      <c r="IN260" s="618">
        <f t="shared" ref="IN260:IN323" si="790">IF(AND(HX260&lt;$IN$1,HY260&lt;$IO$1,$AY$31),(HX260*1000)*IF($T$45&lt;0,-1,1),IN259)</f>
        <v>0</v>
      </c>
      <c r="IO260" s="618">
        <f t="shared" ref="IO260:IO323" si="791">IF(AND(HX260&lt;$IN$1,HY260&lt;$IO$1,$AY$31),HY260+$IO$3,IO259)</f>
        <v>40.704999999999998</v>
      </c>
      <c r="IP260" s="618"/>
      <c r="IQ260" s="618">
        <f t="shared" ref="IQ260:IQ323" si="792">IF(AND(HX260&lt;$IQ$1,HY260&lt;$IR$1,$AY$31),(HX260*1000)*IF($X$45&lt;0,-1,1),IQ259)</f>
        <v>0</v>
      </c>
      <c r="IR260" s="618">
        <f t="shared" ref="IR260:IR323" si="793">IF(AND(HX260&lt;$IQ$1,HY260&lt;$IR$1,$AY$31),HY260+$IR$3,IR259)</f>
        <v>40.704999999999998</v>
      </c>
      <c r="IS260" s="645"/>
      <c r="IT260" s="639"/>
      <c r="IU260" s="639"/>
      <c r="IV260" s="639"/>
      <c r="IW260" s="639"/>
      <c r="IX260" s="639"/>
      <c r="IY260" s="639"/>
      <c r="IZ260" s="639"/>
      <c r="JA260" s="639"/>
      <c r="JB260" s="639"/>
      <c r="JC260" s="639"/>
      <c r="JD260" s="639"/>
      <c r="JE260" s="639"/>
      <c r="JF260" s="639"/>
      <c r="JG260" s="639"/>
      <c r="JH260" s="639"/>
      <c r="JI260" s="639"/>
      <c r="JJ260" s="639"/>
      <c r="JK260" s="639"/>
      <c r="JL260" s="639"/>
      <c r="JM260" s="639"/>
      <c r="JN260" s="639"/>
      <c r="JO260" s="639"/>
      <c r="JP260" s="639"/>
      <c r="JQ260" s="639"/>
      <c r="JR260" s="639"/>
      <c r="JS260" s="639"/>
      <c r="JT260" s="639"/>
      <c r="JU260" s="639"/>
      <c r="JV260" s="653"/>
    </row>
    <row r="261" spans="1:282" s="612" customFormat="1">
      <c r="A261" s="611"/>
      <c r="U261" s="613"/>
      <c r="V261" s="613"/>
      <c r="AC261" s="613"/>
      <c r="AD261" s="613"/>
      <c r="AL261" s="613"/>
      <c r="AM261" s="613"/>
      <c r="AT261" s="613"/>
      <c r="AU261" s="613"/>
      <c r="CH261" s="611"/>
      <c r="CI261" s="611"/>
      <c r="CO261" s="695"/>
      <c r="CP261" s="645"/>
      <c r="CQ261" s="618"/>
      <c r="CR261" s="618"/>
      <c r="CS261" s="618"/>
      <c r="CT261" s="626"/>
      <c r="CU261" s="626"/>
      <c r="CV261" s="626"/>
      <c r="CW261" s="641"/>
      <c r="CX261" s="641"/>
      <c r="CY261" s="624"/>
      <c r="CZ261" s="624"/>
      <c r="DA261" s="624"/>
      <c r="DB261" s="624"/>
      <c r="DC261" s="639"/>
      <c r="DD261" s="639"/>
      <c r="DE261" s="639"/>
      <c r="DF261" s="639"/>
      <c r="DG261" s="639"/>
      <c r="DH261" s="639"/>
      <c r="DI261" s="639"/>
      <c r="DJ261" s="639"/>
      <c r="DK261" s="639"/>
      <c r="DL261" s="639"/>
      <c r="DM261" s="639"/>
      <c r="DN261" s="639"/>
      <c r="DO261" s="639"/>
      <c r="DP261" s="639"/>
      <c r="DQ261" s="639"/>
      <c r="DR261" s="639"/>
      <c r="DS261" s="639"/>
      <c r="DT261" s="639"/>
      <c r="DU261" s="639"/>
      <c r="DV261" s="639"/>
      <c r="DW261" s="639"/>
      <c r="DX261" s="639"/>
      <c r="DY261" s="639"/>
      <c r="DZ261" s="639"/>
      <c r="EA261" s="639"/>
      <c r="EB261" s="639"/>
      <c r="EC261" s="639"/>
      <c r="ED261" s="639"/>
      <c r="EE261" s="639"/>
      <c r="EF261" s="639"/>
      <c r="EG261" s="639"/>
      <c r="EH261" s="639"/>
      <c r="EI261" s="639"/>
      <c r="EJ261" s="639"/>
      <c r="EK261" s="639"/>
      <c r="EL261" s="639"/>
      <c r="EM261" s="639"/>
      <c r="EN261" s="639"/>
      <c r="EO261" s="639"/>
      <c r="EP261" s="639"/>
      <c r="EQ261" s="639"/>
      <c r="ER261" s="639"/>
      <c r="ES261" s="639"/>
      <c r="ET261" s="639"/>
      <c r="EU261" s="639"/>
      <c r="EV261" s="639"/>
      <c r="EW261" s="639"/>
      <c r="EX261" s="639"/>
      <c r="EY261" s="639"/>
      <c r="EZ261" s="639"/>
      <c r="FA261" s="639"/>
      <c r="FB261" s="639"/>
      <c r="FC261" s="639"/>
      <c r="FD261" s="639"/>
      <c r="FE261" s="639"/>
      <c r="FF261" s="639"/>
      <c r="FG261" s="639"/>
      <c r="FH261" s="639"/>
      <c r="FI261" s="639"/>
      <c r="FJ261" s="639"/>
      <c r="FK261" s="639"/>
      <c r="FL261" s="639"/>
      <c r="FM261" s="639"/>
      <c r="FN261" s="639"/>
      <c r="FO261" s="639"/>
      <c r="FP261" s="639"/>
      <c r="FQ261" s="639"/>
      <c r="FR261" s="639"/>
      <c r="FS261" s="639"/>
      <c r="FT261" s="639"/>
      <c r="FU261" s="639"/>
      <c r="FV261" s="639"/>
      <c r="FW261" s="639"/>
      <c r="FX261" s="639"/>
      <c r="FY261" s="639"/>
      <c r="FZ261" s="639"/>
      <c r="GA261" s="639"/>
      <c r="GB261" s="639"/>
      <c r="GC261" s="639"/>
      <c r="GD261" s="639"/>
      <c r="GE261" s="639"/>
      <c r="GF261" s="639"/>
      <c r="GG261" s="639"/>
      <c r="GH261" s="639"/>
      <c r="GI261" s="639"/>
      <c r="GJ261" s="639"/>
      <c r="GK261" s="639"/>
      <c r="GL261" s="639"/>
      <c r="GM261" s="639"/>
      <c r="GN261" s="639"/>
      <c r="GO261" s="639"/>
      <c r="GP261" s="639"/>
      <c r="GQ261" s="639"/>
      <c r="GR261" s="639"/>
      <c r="GS261" s="639"/>
      <c r="GT261" s="639"/>
      <c r="GU261" s="639"/>
      <c r="GV261" s="639"/>
      <c r="GW261" s="639"/>
      <c r="GX261" s="639"/>
      <c r="GY261" s="639"/>
      <c r="GZ261" s="639"/>
      <c r="HA261" s="639"/>
      <c r="HB261" s="639"/>
      <c r="HC261" s="639"/>
      <c r="HD261" s="639"/>
      <c r="HE261" s="639"/>
      <c r="HF261" s="645"/>
      <c r="HG261" s="645"/>
      <c r="HH261" s="645"/>
      <c r="HI261" s="645"/>
      <c r="HJ261" s="645"/>
      <c r="HK261" s="645"/>
      <c r="HL261" s="645"/>
      <c r="HM261" s="645"/>
      <c r="HN261" s="645"/>
      <c r="HO261" s="645"/>
      <c r="HP261" s="645"/>
      <c r="HQ261" s="645"/>
      <c r="HR261" s="645">
        <v>0.129</v>
      </c>
      <c r="HS261" s="645">
        <f t="shared" si="775"/>
        <v>866.14285714285711</v>
      </c>
      <c r="HT261" s="645">
        <f t="shared" si="776"/>
        <v>1</v>
      </c>
      <c r="HU261" s="618">
        <f t="shared" si="778"/>
        <v>3.2862135689869771</v>
      </c>
      <c r="HV261" s="618"/>
      <c r="HW261" s="618">
        <f t="shared" si="781"/>
        <v>31.333576732038495</v>
      </c>
      <c r="HX261" s="618">
        <f t="shared" si="779"/>
        <v>3.0724038301550576</v>
      </c>
      <c r="HY261" s="618">
        <f t="shared" si="780"/>
        <v>0.129</v>
      </c>
      <c r="HZ261" s="618"/>
      <c r="IA261" s="618"/>
      <c r="IB261" s="618">
        <f t="shared" si="782"/>
        <v>25.000350341399081</v>
      </c>
      <c r="IC261" s="618">
        <f t="shared" si="783"/>
        <v>1E-3</v>
      </c>
      <c r="ID261" s="618"/>
      <c r="IE261" s="618">
        <f t="shared" si="784"/>
        <v>0</v>
      </c>
      <c r="IF261" s="618">
        <f t="shared" si="785"/>
        <v>40.704999999999998</v>
      </c>
      <c r="IG261" s="618"/>
      <c r="IH261" s="618">
        <f t="shared" si="786"/>
        <v>0</v>
      </c>
      <c r="II261" s="618">
        <f t="shared" si="787"/>
        <v>40.704999999999998</v>
      </c>
      <c r="IJ261" s="618"/>
      <c r="IK261" s="618">
        <f t="shared" si="788"/>
        <v>0</v>
      </c>
      <c r="IL261" s="618">
        <f t="shared" si="789"/>
        <v>40.704999999999998</v>
      </c>
      <c r="IM261" s="618"/>
      <c r="IN261" s="618">
        <f t="shared" si="790"/>
        <v>0</v>
      </c>
      <c r="IO261" s="618">
        <f t="shared" si="791"/>
        <v>40.704999999999998</v>
      </c>
      <c r="IP261" s="618"/>
      <c r="IQ261" s="618">
        <f t="shared" si="792"/>
        <v>0</v>
      </c>
      <c r="IR261" s="618">
        <f t="shared" si="793"/>
        <v>40.704999999999998</v>
      </c>
      <c r="IS261" s="645"/>
      <c r="IT261" s="639"/>
      <c r="IU261" s="639"/>
      <c r="IV261" s="639"/>
      <c r="IW261" s="639"/>
      <c r="IX261" s="639"/>
      <c r="IY261" s="639"/>
      <c r="IZ261" s="639"/>
      <c r="JA261" s="639"/>
      <c r="JB261" s="639"/>
      <c r="JC261" s="639"/>
      <c r="JD261" s="639"/>
      <c r="JE261" s="639"/>
      <c r="JF261" s="639"/>
      <c r="JG261" s="639"/>
      <c r="JH261" s="639"/>
      <c r="JI261" s="639"/>
      <c r="JJ261" s="639"/>
      <c r="JK261" s="639"/>
      <c r="JL261" s="639"/>
      <c r="JM261" s="639"/>
      <c r="JN261" s="639"/>
      <c r="JO261" s="639"/>
      <c r="JP261" s="639"/>
      <c r="JQ261" s="639"/>
      <c r="JR261" s="639"/>
      <c r="JS261" s="639"/>
      <c r="JT261" s="639"/>
      <c r="JU261" s="639"/>
      <c r="JV261" s="653"/>
    </row>
    <row r="262" spans="1:282" s="612" customFormat="1">
      <c r="A262" s="611"/>
      <c r="U262" s="613"/>
      <c r="V262" s="613"/>
      <c r="AC262" s="613"/>
      <c r="AD262" s="613"/>
      <c r="AL262" s="613"/>
      <c r="AM262" s="613"/>
      <c r="AT262" s="613"/>
      <c r="AU262" s="613"/>
      <c r="CH262" s="611"/>
      <c r="CI262" s="611"/>
      <c r="CO262" s="695"/>
      <c r="CP262" s="645"/>
      <c r="CQ262" s="618"/>
      <c r="CR262" s="618"/>
      <c r="CS262" s="618"/>
      <c r="CT262" s="626"/>
      <c r="CU262" s="626"/>
      <c r="CV262" s="626"/>
      <c r="CW262" s="646"/>
      <c r="CX262" s="646"/>
      <c r="CY262" s="625"/>
      <c r="CZ262" s="625"/>
      <c r="DA262" s="625"/>
      <c r="DB262" s="625"/>
      <c r="DC262" s="645"/>
      <c r="DD262" s="645"/>
      <c r="DE262" s="645"/>
      <c r="DF262" s="645"/>
      <c r="DG262" s="645"/>
      <c r="DH262" s="645"/>
      <c r="DI262" s="645"/>
      <c r="DJ262" s="645"/>
      <c r="DK262" s="645"/>
      <c r="DL262" s="645"/>
      <c r="DM262" s="645"/>
      <c r="DN262" s="645"/>
      <c r="DO262" s="645"/>
      <c r="DP262" s="645"/>
      <c r="DQ262" s="645"/>
      <c r="DR262" s="645"/>
      <c r="DS262" s="645"/>
      <c r="DT262" s="645"/>
      <c r="DU262" s="645"/>
      <c r="DV262" s="645"/>
      <c r="DW262" s="645"/>
      <c r="DX262" s="645"/>
      <c r="DY262" s="645"/>
      <c r="DZ262" s="645"/>
      <c r="EA262" s="645"/>
      <c r="EB262" s="645"/>
      <c r="EC262" s="645"/>
      <c r="ED262" s="645"/>
      <c r="EE262" s="645"/>
      <c r="EF262" s="645"/>
      <c r="EG262" s="645"/>
      <c r="EH262" s="645"/>
      <c r="EI262" s="645"/>
      <c r="EJ262" s="645"/>
      <c r="EK262" s="645"/>
      <c r="EL262" s="645"/>
      <c r="EM262" s="645"/>
      <c r="EN262" s="645"/>
      <c r="EO262" s="645"/>
      <c r="EP262" s="645"/>
      <c r="EQ262" s="645"/>
      <c r="ER262" s="645"/>
      <c r="ES262" s="645"/>
      <c r="ET262" s="645"/>
      <c r="EU262" s="645"/>
      <c r="EV262" s="645"/>
      <c r="EW262" s="645"/>
      <c r="EX262" s="645"/>
      <c r="EY262" s="645"/>
      <c r="EZ262" s="645"/>
      <c r="FA262" s="645"/>
      <c r="FB262" s="645"/>
      <c r="FC262" s="645"/>
      <c r="FD262" s="645"/>
      <c r="FE262" s="645"/>
      <c r="FF262" s="645"/>
      <c r="FG262" s="645"/>
      <c r="FH262" s="645"/>
      <c r="FI262" s="645"/>
      <c r="FJ262" s="645"/>
      <c r="FK262" s="645"/>
      <c r="FL262" s="645"/>
      <c r="FM262" s="645"/>
      <c r="FN262" s="645"/>
      <c r="FO262" s="645"/>
      <c r="FP262" s="645"/>
      <c r="FQ262" s="645"/>
      <c r="FR262" s="645"/>
      <c r="FS262" s="645"/>
      <c r="FT262" s="645"/>
      <c r="FU262" s="645"/>
      <c r="FV262" s="645"/>
      <c r="FW262" s="645"/>
      <c r="FX262" s="645"/>
      <c r="FY262" s="645"/>
      <c r="FZ262" s="645"/>
      <c r="GA262" s="645"/>
      <c r="GB262" s="645"/>
      <c r="GC262" s="645"/>
      <c r="GD262" s="645"/>
      <c r="GE262" s="645"/>
      <c r="GF262" s="645"/>
      <c r="GG262" s="645"/>
      <c r="GH262" s="645"/>
      <c r="GI262" s="645"/>
      <c r="GJ262" s="645"/>
      <c r="GK262" s="645"/>
      <c r="GL262" s="645"/>
      <c r="GM262" s="645"/>
      <c r="GN262" s="645"/>
      <c r="GO262" s="645"/>
      <c r="GP262" s="645"/>
      <c r="GQ262" s="645"/>
      <c r="GR262" s="645"/>
      <c r="GS262" s="645"/>
      <c r="GT262" s="645"/>
      <c r="GU262" s="645"/>
      <c r="GV262" s="645"/>
      <c r="GW262" s="645"/>
      <c r="GX262" s="645"/>
      <c r="GY262" s="645"/>
      <c r="GZ262" s="645"/>
      <c r="HA262" s="645"/>
      <c r="HB262" s="645"/>
      <c r="HC262" s="645"/>
      <c r="HD262" s="645"/>
      <c r="HE262" s="645"/>
      <c r="HF262" s="645"/>
      <c r="HG262" s="645"/>
      <c r="HH262" s="645"/>
      <c r="HI262" s="645"/>
      <c r="HJ262" s="645"/>
      <c r="HK262" s="645"/>
      <c r="HL262" s="645"/>
      <c r="HM262" s="645"/>
      <c r="HN262" s="645"/>
      <c r="HO262" s="645"/>
      <c r="HP262" s="645"/>
      <c r="HQ262" s="645"/>
      <c r="HR262" s="645">
        <v>0.1295</v>
      </c>
      <c r="HS262" s="645">
        <f t="shared" ref="HS262:HS325" si="794">HR262/$AQ$43</f>
        <v>869.5</v>
      </c>
      <c r="HT262" s="645">
        <f t="shared" ref="HT262:HT325" si="795">1-EXP(-HS262)</f>
        <v>1</v>
      </c>
      <c r="HU262" s="618">
        <f t="shared" si="778"/>
        <v>3.2989526129606022</v>
      </c>
      <c r="HV262" s="618"/>
      <c r="HW262" s="618">
        <f t="shared" si="781"/>
        <v>31.315487289595946</v>
      </c>
      <c r="HX262" s="618">
        <f t="shared" si="779"/>
        <v>3.0834852015338812</v>
      </c>
      <c r="HY262" s="618">
        <f t="shared" si="780"/>
        <v>0.1295</v>
      </c>
      <c r="HZ262" s="618"/>
      <c r="IA262" s="618"/>
      <c r="IB262" s="618">
        <f t="shared" si="782"/>
        <v>25.000350341399081</v>
      </c>
      <c r="IC262" s="618">
        <f t="shared" si="783"/>
        <v>1E-3</v>
      </c>
      <c r="ID262" s="618"/>
      <c r="IE262" s="618">
        <f t="shared" si="784"/>
        <v>0</v>
      </c>
      <c r="IF262" s="618">
        <f t="shared" si="785"/>
        <v>40.704999999999998</v>
      </c>
      <c r="IG262" s="618"/>
      <c r="IH262" s="618">
        <f t="shared" si="786"/>
        <v>0</v>
      </c>
      <c r="II262" s="618">
        <f t="shared" si="787"/>
        <v>40.704999999999998</v>
      </c>
      <c r="IJ262" s="618"/>
      <c r="IK262" s="618">
        <f t="shared" si="788"/>
        <v>0</v>
      </c>
      <c r="IL262" s="618">
        <f t="shared" si="789"/>
        <v>40.704999999999998</v>
      </c>
      <c r="IM262" s="618"/>
      <c r="IN262" s="618">
        <f t="shared" si="790"/>
        <v>0</v>
      </c>
      <c r="IO262" s="618">
        <f t="shared" si="791"/>
        <v>40.704999999999998</v>
      </c>
      <c r="IP262" s="618"/>
      <c r="IQ262" s="618">
        <f t="shared" si="792"/>
        <v>0</v>
      </c>
      <c r="IR262" s="618">
        <f t="shared" si="793"/>
        <v>40.704999999999998</v>
      </c>
      <c r="IS262" s="645"/>
      <c r="IT262" s="639"/>
      <c r="IU262" s="639"/>
      <c r="IV262" s="639"/>
      <c r="IW262" s="639"/>
      <c r="IX262" s="639"/>
      <c r="IY262" s="639"/>
      <c r="IZ262" s="639"/>
      <c r="JA262" s="639"/>
      <c r="JB262" s="639"/>
      <c r="JC262" s="639"/>
      <c r="JD262" s="639"/>
      <c r="JE262" s="639"/>
      <c r="JF262" s="639"/>
      <c r="JG262" s="639"/>
      <c r="JH262" s="639"/>
      <c r="JI262" s="639"/>
      <c r="JJ262" s="639"/>
      <c r="JK262" s="639"/>
      <c r="JL262" s="639"/>
      <c r="JM262" s="639"/>
      <c r="JN262" s="639"/>
      <c r="JO262" s="639"/>
      <c r="JP262" s="639"/>
      <c r="JQ262" s="639"/>
      <c r="JR262" s="639"/>
      <c r="JS262" s="639"/>
      <c r="JT262" s="639"/>
      <c r="JU262" s="639"/>
      <c r="JV262" s="653"/>
    </row>
    <row r="263" spans="1:282" s="612" customFormat="1">
      <c r="A263" s="611"/>
      <c r="U263" s="613"/>
      <c r="V263" s="613"/>
      <c r="AC263" s="613"/>
      <c r="AD263" s="613"/>
      <c r="AL263" s="613"/>
      <c r="AM263" s="613"/>
      <c r="AT263" s="613"/>
      <c r="AU263" s="613"/>
      <c r="CH263" s="611"/>
      <c r="CI263" s="611"/>
      <c r="CO263" s="695"/>
      <c r="CP263" s="645"/>
      <c r="CQ263" s="618"/>
      <c r="CR263" s="618"/>
      <c r="CS263" s="618"/>
      <c r="CT263" s="626"/>
      <c r="CU263" s="626"/>
      <c r="CV263" s="626"/>
      <c r="CW263" s="646"/>
      <c r="CX263" s="646"/>
      <c r="CY263" s="625"/>
      <c r="CZ263" s="625"/>
      <c r="DA263" s="625"/>
      <c r="DB263" s="625"/>
      <c r="DC263" s="645"/>
      <c r="DD263" s="645"/>
      <c r="DE263" s="645"/>
      <c r="DF263" s="645"/>
      <c r="DG263" s="645"/>
      <c r="DH263" s="645"/>
      <c r="DI263" s="645"/>
      <c r="DJ263" s="645"/>
      <c r="DK263" s="645"/>
      <c r="DL263" s="645"/>
      <c r="DM263" s="645"/>
      <c r="DN263" s="645"/>
      <c r="DO263" s="645"/>
      <c r="DP263" s="645"/>
      <c r="DQ263" s="645"/>
      <c r="DR263" s="645"/>
      <c r="DS263" s="645"/>
      <c r="DT263" s="645"/>
      <c r="DU263" s="645"/>
      <c r="DV263" s="645"/>
      <c r="DW263" s="645"/>
      <c r="DX263" s="645"/>
      <c r="DY263" s="645"/>
      <c r="DZ263" s="645"/>
      <c r="EA263" s="645"/>
      <c r="EB263" s="645"/>
      <c r="EC263" s="645"/>
      <c r="ED263" s="645"/>
      <c r="EE263" s="645"/>
      <c r="EF263" s="645"/>
      <c r="EG263" s="645"/>
      <c r="EH263" s="645"/>
      <c r="EI263" s="645"/>
      <c r="EJ263" s="645"/>
      <c r="EK263" s="645"/>
      <c r="EL263" s="645"/>
      <c r="EM263" s="645"/>
      <c r="EN263" s="645"/>
      <c r="EO263" s="645"/>
      <c r="EP263" s="645"/>
      <c r="EQ263" s="645"/>
      <c r="ER263" s="645"/>
      <c r="ES263" s="645"/>
      <c r="ET263" s="645"/>
      <c r="EU263" s="645"/>
      <c r="EV263" s="645"/>
      <c r="EW263" s="645"/>
      <c r="EX263" s="645"/>
      <c r="EY263" s="645"/>
      <c r="EZ263" s="645"/>
      <c r="FA263" s="645"/>
      <c r="FB263" s="645"/>
      <c r="FC263" s="645"/>
      <c r="FD263" s="645"/>
      <c r="FE263" s="645"/>
      <c r="FF263" s="645"/>
      <c r="FG263" s="645"/>
      <c r="FH263" s="645"/>
      <c r="FI263" s="645"/>
      <c r="FJ263" s="645"/>
      <c r="FK263" s="645"/>
      <c r="FL263" s="645"/>
      <c r="FM263" s="645"/>
      <c r="FN263" s="645"/>
      <c r="FO263" s="645"/>
      <c r="FP263" s="645"/>
      <c r="FQ263" s="645"/>
      <c r="FR263" s="645"/>
      <c r="FS263" s="645"/>
      <c r="FT263" s="645"/>
      <c r="FU263" s="645"/>
      <c r="FV263" s="645"/>
      <c r="FW263" s="645"/>
      <c r="FX263" s="645"/>
      <c r="FY263" s="645"/>
      <c r="FZ263" s="645"/>
      <c r="GA263" s="645"/>
      <c r="GB263" s="645"/>
      <c r="GC263" s="645"/>
      <c r="GD263" s="645"/>
      <c r="GE263" s="645"/>
      <c r="GF263" s="645"/>
      <c r="GG263" s="645"/>
      <c r="GH263" s="645"/>
      <c r="GI263" s="645"/>
      <c r="GJ263" s="645"/>
      <c r="GK263" s="645"/>
      <c r="GL263" s="645"/>
      <c r="GM263" s="645"/>
      <c r="GN263" s="645"/>
      <c r="GO263" s="645"/>
      <c r="GP263" s="645"/>
      <c r="GQ263" s="645"/>
      <c r="GR263" s="645"/>
      <c r="GS263" s="645"/>
      <c r="GT263" s="645"/>
      <c r="GU263" s="645"/>
      <c r="GV263" s="645"/>
      <c r="GW263" s="645"/>
      <c r="GX263" s="645"/>
      <c r="GY263" s="645"/>
      <c r="GZ263" s="645"/>
      <c r="HA263" s="645"/>
      <c r="HB263" s="645"/>
      <c r="HC263" s="645"/>
      <c r="HD263" s="645"/>
      <c r="HE263" s="645"/>
      <c r="HF263" s="645"/>
      <c r="HG263" s="645"/>
      <c r="HH263" s="645"/>
      <c r="HI263" s="645"/>
      <c r="HJ263" s="645"/>
      <c r="HK263" s="645"/>
      <c r="HL263" s="645"/>
      <c r="HM263" s="645"/>
      <c r="HN263" s="645"/>
      <c r="HO263" s="645"/>
      <c r="HP263" s="645"/>
      <c r="HQ263" s="645"/>
      <c r="HR263" s="645">
        <v>0.13</v>
      </c>
      <c r="HS263" s="645">
        <f t="shared" si="794"/>
        <v>872.85714285714289</v>
      </c>
      <c r="HT263" s="645">
        <f t="shared" si="795"/>
        <v>1</v>
      </c>
      <c r="HU263" s="618">
        <f t="shared" si="778"/>
        <v>3.3116916569342272</v>
      </c>
      <c r="HV263" s="618"/>
      <c r="HW263" s="618">
        <f t="shared" si="781"/>
        <v>31.297397847153398</v>
      </c>
      <c r="HX263" s="618">
        <f t="shared" si="779"/>
        <v>3.0945601717404068</v>
      </c>
      <c r="HY263" s="618">
        <f t="shared" si="780"/>
        <v>0.13</v>
      </c>
      <c r="HZ263" s="618"/>
      <c r="IA263" s="618"/>
      <c r="IB263" s="618">
        <f t="shared" si="782"/>
        <v>25.000350341399081</v>
      </c>
      <c r="IC263" s="618">
        <f t="shared" si="783"/>
        <v>1E-3</v>
      </c>
      <c r="ID263" s="618"/>
      <c r="IE263" s="618">
        <f t="shared" si="784"/>
        <v>0</v>
      </c>
      <c r="IF263" s="618">
        <f t="shared" si="785"/>
        <v>40.704999999999998</v>
      </c>
      <c r="IG263" s="618"/>
      <c r="IH263" s="618">
        <f t="shared" si="786"/>
        <v>0</v>
      </c>
      <c r="II263" s="618">
        <f t="shared" si="787"/>
        <v>40.704999999999998</v>
      </c>
      <c r="IJ263" s="618"/>
      <c r="IK263" s="618">
        <f t="shared" si="788"/>
        <v>0</v>
      </c>
      <c r="IL263" s="618">
        <f t="shared" si="789"/>
        <v>40.704999999999998</v>
      </c>
      <c r="IM263" s="618"/>
      <c r="IN263" s="618">
        <f t="shared" si="790"/>
        <v>0</v>
      </c>
      <c r="IO263" s="618">
        <f t="shared" si="791"/>
        <v>40.704999999999998</v>
      </c>
      <c r="IP263" s="618"/>
      <c r="IQ263" s="618">
        <f t="shared" si="792"/>
        <v>0</v>
      </c>
      <c r="IR263" s="618">
        <f t="shared" si="793"/>
        <v>40.704999999999998</v>
      </c>
      <c r="IS263" s="645"/>
      <c r="IT263" s="639"/>
      <c r="IU263" s="639"/>
      <c r="IV263" s="639"/>
      <c r="IW263" s="639"/>
      <c r="IX263" s="639"/>
      <c r="IY263" s="639"/>
      <c r="IZ263" s="639"/>
      <c r="JA263" s="639"/>
      <c r="JB263" s="639"/>
      <c r="JC263" s="639"/>
      <c r="JD263" s="639"/>
      <c r="JE263" s="639"/>
      <c r="JF263" s="639"/>
      <c r="JG263" s="639"/>
      <c r="JH263" s="639"/>
      <c r="JI263" s="639"/>
      <c r="JJ263" s="639"/>
      <c r="JK263" s="639"/>
      <c r="JL263" s="639"/>
      <c r="JM263" s="639"/>
      <c r="JN263" s="639"/>
      <c r="JO263" s="639"/>
      <c r="JP263" s="639"/>
      <c r="JQ263" s="639"/>
      <c r="JR263" s="639"/>
      <c r="JS263" s="639"/>
      <c r="JT263" s="639"/>
      <c r="JU263" s="639"/>
      <c r="JV263" s="653"/>
    </row>
    <row r="264" spans="1:282" s="612" customFormat="1">
      <c r="A264" s="611"/>
      <c r="U264" s="613"/>
      <c r="V264" s="613"/>
      <c r="AC264" s="613"/>
      <c r="AD264" s="613"/>
      <c r="AL264" s="613"/>
      <c r="AM264" s="613"/>
      <c r="AT264" s="613"/>
      <c r="AU264" s="613"/>
      <c r="CH264" s="611"/>
      <c r="CI264" s="611"/>
      <c r="CO264" s="695"/>
      <c r="CP264" s="645"/>
      <c r="CQ264" s="618"/>
      <c r="CR264" s="618"/>
      <c r="CS264" s="618"/>
      <c r="CT264" s="626"/>
      <c r="CU264" s="626"/>
      <c r="CV264" s="626"/>
      <c r="CW264" s="646"/>
      <c r="CX264" s="646"/>
      <c r="CY264" s="625"/>
      <c r="CZ264" s="625"/>
      <c r="DA264" s="625"/>
      <c r="DB264" s="625"/>
      <c r="DC264" s="645"/>
      <c r="DD264" s="645"/>
      <c r="DE264" s="645"/>
      <c r="DF264" s="645"/>
      <c r="DG264" s="645"/>
      <c r="DH264" s="645"/>
      <c r="DI264" s="645"/>
      <c r="DJ264" s="645"/>
      <c r="DK264" s="645"/>
      <c r="DL264" s="645"/>
      <c r="DM264" s="645"/>
      <c r="DN264" s="645"/>
      <c r="DO264" s="645"/>
      <c r="DP264" s="645"/>
      <c r="DQ264" s="645"/>
      <c r="DR264" s="645"/>
      <c r="DS264" s="645"/>
      <c r="DT264" s="645"/>
      <c r="DU264" s="645"/>
      <c r="DV264" s="645"/>
      <c r="DW264" s="645"/>
      <c r="DX264" s="645"/>
      <c r="DY264" s="645"/>
      <c r="DZ264" s="645"/>
      <c r="EA264" s="645"/>
      <c r="EB264" s="645"/>
      <c r="EC264" s="645"/>
      <c r="ED264" s="645"/>
      <c r="EE264" s="645"/>
      <c r="EF264" s="645"/>
      <c r="EG264" s="645"/>
      <c r="EH264" s="645"/>
      <c r="EI264" s="645"/>
      <c r="EJ264" s="645"/>
      <c r="EK264" s="645"/>
      <c r="EL264" s="645"/>
      <c r="EM264" s="645"/>
      <c r="EN264" s="645"/>
      <c r="EO264" s="645"/>
      <c r="EP264" s="645"/>
      <c r="EQ264" s="645"/>
      <c r="ER264" s="645"/>
      <c r="ES264" s="645"/>
      <c r="ET264" s="645"/>
      <c r="EU264" s="645"/>
      <c r="EV264" s="645"/>
      <c r="EW264" s="645"/>
      <c r="EX264" s="645"/>
      <c r="EY264" s="645"/>
      <c r="EZ264" s="645"/>
      <c r="FA264" s="645"/>
      <c r="FB264" s="645"/>
      <c r="FC264" s="645"/>
      <c r="FD264" s="645"/>
      <c r="FE264" s="645"/>
      <c r="FF264" s="645"/>
      <c r="FG264" s="645"/>
      <c r="FH264" s="645"/>
      <c r="FI264" s="645"/>
      <c r="FJ264" s="645"/>
      <c r="FK264" s="645"/>
      <c r="FL264" s="645"/>
      <c r="FM264" s="645"/>
      <c r="FN264" s="645"/>
      <c r="FO264" s="645"/>
      <c r="FP264" s="645"/>
      <c r="FQ264" s="645"/>
      <c r="FR264" s="645"/>
      <c r="FS264" s="645"/>
      <c r="FT264" s="645"/>
      <c r="FU264" s="645"/>
      <c r="FV264" s="645"/>
      <c r="FW264" s="645"/>
      <c r="FX264" s="645"/>
      <c r="FY264" s="645"/>
      <c r="FZ264" s="645"/>
      <c r="GA264" s="645"/>
      <c r="GB264" s="645"/>
      <c r="GC264" s="645"/>
      <c r="GD264" s="645"/>
      <c r="GE264" s="645"/>
      <c r="GF264" s="645"/>
      <c r="GG264" s="645"/>
      <c r="GH264" s="645"/>
      <c r="GI264" s="645"/>
      <c r="GJ264" s="645"/>
      <c r="GK264" s="645"/>
      <c r="GL264" s="645"/>
      <c r="GM264" s="645"/>
      <c r="GN264" s="645"/>
      <c r="GO264" s="645"/>
      <c r="GP264" s="645"/>
      <c r="GQ264" s="645"/>
      <c r="GR264" s="645"/>
      <c r="GS264" s="645"/>
      <c r="GT264" s="645"/>
      <c r="GU264" s="645"/>
      <c r="GV264" s="645"/>
      <c r="GW264" s="645"/>
      <c r="GX264" s="645"/>
      <c r="GY264" s="645"/>
      <c r="GZ264" s="645"/>
      <c r="HA264" s="645"/>
      <c r="HB264" s="645"/>
      <c r="HC264" s="645"/>
      <c r="HD264" s="645"/>
      <c r="HE264" s="645"/>
      <c r="HF264" s="645"/>
      <c r="HG264" s="645"/>
      <c r="HH264" s="645"/>
      <c r="HI264" s="645"/>
      <c r="HJ264" s="645"/>
      <c r="HK264" s="645"/>
      <c r="HL264" s="645"/>
      <c r="HM264" s="645"/>
      <c r="HN264" s="645"/>
      <c r="HO264" s="645"/>
      <c r="HP264" s="645"/>
      <c r="HQ264" s="645"/>
      <c r="HR264" s="645">
        <v>0.1305</v>
      </c>
      <c r="HS264" s="645">
        <f t="shared" si="794"/>
        <v>876.21428571428578</v>
      </c>
      <c r="HT264" s="645">
        <f t="shared" si="795"/>
        <v>1</v>
      </c>
      <c r="HU264" s="618">
        <f t="shared" si="778"/>
        <v>3.3244307009078522</v>
      </c>
      <c r="HV264" s="618"/>
      <c r="HW264" s="618">
        <f t="shared" si="781"/>
        <v>31.27930840471085</v>
      </c>
      <c r="HX264" s="618">
        <f t="shared" si="779"/>
        <v>3.1056287407746339</v>
      </c>
      <c r="HY264" s="618">
        <f t="shared" si="780"/>
        <v>0.1305</v>
      </c>
      <c r="HZ264" s="618"/>
      <c r="IA264" s="618"/>
      <c r="IB264" s="618">
        <f t="shared" si="782"/>
        <v>25.000350341399081</v>
      </c>
      <c r="IC264" s="618">
        <f t="shared" si="783"/>
        <v>1E-3</v>
      </c>
      <c r="ID264" s="618"/>
      <c r="IE264" s="618">
        <f t="shared" si="784"/>
        <v>0</v>
      </c>
      <c r="IF264" s="618">
        <f t="shared" si="785"/>
        <v>40.704999999999998</v>
      </c>
      <c r="IG264" s="618"/>
      <c r="IH264" s="618">
        <f t="shared" si="786"/>
        <v>0</v>
      </c>
      <c r="II264" s="618">
        <f t="shared" si="787"/>
        <v>40.704999999999998</v>
      </c>
      <c r="IJ264" s="618"/>
      <c r="IK264" s="618">
        <f t="shared" si="788"/>
        <v>0</v>
      </c>
      <c r="IL264" s="618">
        <f t="shared" si="789"/>
        <v>40.704999999999998</v>
      </c>
      <c r="IM264" s="618"/>
      <c r="IN264" s="618">
        <f t="shared" si="790"/>
        <v>0</v>
      </c>
      <c r="IO264" s="618">
        <f t="shared" si="791"/>
        <v>40.704999999999998</v>
      </c>
      <c r="IP264" s="618"/>
      <c r="IQ264" s="618">
        <f t="shared" si="792"/>
        <v>0</v>
      </c>
      <c r="IR264" s="618">
        <f t="shared" si="793"/>
        <v>40.704999999999998</v>
      </c>
      <c r="IS264" s="645"/>
      <c r="IT264" s="645"/>
      <c r="IU264" s="645"/>
      <c r="IV264" s="645"/>
      <c r="IW264" s="645"/>
      <c r="IX264" s="645"/>
      <c r="IY264" s="645"/>
      <c r="IZ264" s="645"/>
      <c r="JA264" s="645"/>
      <c r="JB264" s="645"/>
      <c r="JC264" s="645"/>
      <c r="JD264" s="645"/>
      <c r="JE264" s="645"/>
      <c r="JF264" s="645"/>
      <c r="JG264" s="645"/>
      <c r="JH264" s="645"/>
      <c r="JI264" s="645"/>
      <c r="JJ264" s="645"/>
      <c r="JK264" s="645"/>
      <c r="JL264" s="645"/>
      <c r="JM264" s="645"/>
      <c r="JN264" s="645"/>
      <c r="JO264" s="645"/>
      <c r="JP264" s="645"/>
      <c r="JQ264" s="645"/>
      <c r="JR264" s="645"/>
      <c r="JS264" s="645"/>
      <c r="JT264" s="645"/>
      <c r="JU264" s="645"/>
      <c r="JV264" s="653"/>
    </row>
    <row r="265" spans="1:282" s="612" customFormat="1">
      <c r="A265" s="611"/>
      <c r="U265" s="613"/>
      <c r="V265" s="613"/>
      <c r="AC265" s="613"/>
      <c r="AD265" s="613"/>
      <c r="AL265" s="613"/>
      <c r="AM265" s="613"/>
      <c r="AT265" s="613"/>
      <c r="AU265" s="613"/>
      <c r="CH265" s="611"/>
      <c r="CI265" s="611"/>
      <c r="CO265" s="695"/>
      <c r="CP265" s="645"/>
      <c r="CQ265" s="618"/>
      <c r="CR265" s="618"/>
      <c r="CS265" s="618"/>
      <c r="CT265" s="626"/>
      <c r="CU265" s="626"/>
      <c r="CV265" s="626"/>
      <c r="CW265" s="646"/>
      <c r="CX265" s="646"/>
      <c r="CY265" s="625"/>
      <c r="CZ265" s="625"/>
      <c r="DA265" s="625"/>
      <c r="DB265" s="625"/>
      <c r="DC265" s="645"/>
      <c r="DD265" s="645"/>
      <c r="DE265" s="645"/>
      <c r="DF265" s="645"/>
      <c r="DG265" s="645"/>
      <c r="DH265" s="645"/>
      <c r="DI265" s="645"/>
      <c r="DJ265" s="645"/>
      <c r="DK265" s="645"/>
      <c r="DL265" s="645"/>
      <c r="DM265" s="645"/>
      <c r="DN265" s="645"/>
      <c r="DO265" s="645"/>
      <c r="DP265" s="645"/>
      <c r="DQ265" s="645"/>
      <c r="DR265" s="645"/>
      <c r="DS265" s="645"/>
      <c r="DT265" s="645"/>
      <c r="DU265" s="645"/>
      <c r="DV265" s="645"/>
      <c r="DW265" s="645"/>
      <c r="DX265" s="645"/>
      <c r="DY265" s="645"/>
      <c r="DZ265" s="645"/>
      <c r="EA265" s="645"/>
      <c r="EB265" s="645"/>
      <c r="EC265" s="645"/>
      <c r="ED265" s="645"/>
      <c r="EE265" s="645"/>
      <c r="EF265" s="645"/>
      <c r="EG265" s="645"/>
      <c r="EH265" s="645"/>
      <c r="EI265" s="645"/>
      <c r="EJ265" s="645"/>
      <c r="EK265" s="645"/>
      <c r="EL265" s="645"/>
      <c r="EM265" s="645"/>
      <c r="EN265" s="645"/>
      <c r="EO265" s="645"/>
      <c r="EP265" s="645"/>
      <c r="EQ265" s="645"/>
      <c r="ER265" s="645"/>
      <c r="ES265" s="645"/>
      <c r="ET265" s="645"/>
      <c r="EU265" s="645"/>
      <c r="EV265" s="645"/>
      <c r="EW265" s="645"/>
      <c r="EX265" s="645"/>
      <c r="EY265" s="645"/>
      <c r="EZ265" s="645"/>
      <c r="FA265" s="645"/>
      <c r="FB265" s="645"/>
      <c r="FC265" s="645"/>
      <c r="FD265" s="645"/>
      <c r="FE265" s="645"/>
      <c r="FF265" s="645"/>
      <c r="FG265" s="645"/>
      <c r="FH265" s="645"/>
      <c r="FI265" s="645"/>
      <c r="FJ265" s="645"/>
      <c r="FK265" s="645"/>
      <c r="FL265" s="645"/>
      <c r="FM265" s="645"/>
      <c r="FN265" s="645"/>
      <c r="FO265" s="645"/>
      <c r="FP265" s="645"/>
      <c r="FQ265" s="645"/>
      <c r="FR265" s="645"/>
      <c r="FS265" s="645"/>
      <c r="FT265" s="645"/>
      <c r="FU265" s="645"/>
      <c r="FV265" s="645"/>
      <c r="FW265" s="645"/>
      <c r="FX265" s="645"/>
      <c r="FY265" s="645"/>
      <c r="FZ265" s="645"/>
      <c r="GA265" s="645"/>
      <c r="GB265" s="645"/>
      <c r="GC265" s="645"/>
      <c r="GD265" s="645"/>
      <c r="GE265" s="645"/>
      <c r="GF265" s="645"/>
      <c r="GG265" s="645"/>
      <c r="GH265" s="645"/>
      <c r="GI265" s="645"/>
      <c r="GJ265" s="645"/>
      <c r="GK265" s="645"/>
      <c r="GL265" s="645"/>
      <c r="GM265" s="645"/>
      <c r="GN265" s="645"/>
      <c r="GO265" s="645"/>
      <c r="GP265" s="645"/>
      <c r="GQ265" s="645"/>
      <c r="GR265" s="645"/>
      <c r="GS265" s="645"/>
      <c r="GT265" s="645"/>
      <c r="GU265" s="645"/>
      <c r="GV265" s="645"/>
      <c r="GW265" s="645"/>
      <c r="GX265" s="645"/>
      <c r="GY265" s="645"/>
      <c r="GZ265" s="645"/>
      <c r="HA265" s="645"/>
      <c r="HB265" s="645"/>
      <c r="HC265" s="645"/>
      <c r="HD265" s="645"/>
      <c r="HE265" s="645"/>
      <c r="HF265" s="645"/>
      <c r="HG265" s="645"/>
      <c r="HH265" s="645"/>
      <c r="HI265" s="645"/>
      <c r="HJ265" s="645"/>
      <c r="HK265" s="645"/>
      <c r="HL265" s="645"/>
      <c r="HM265" s="645"/>
      <c r="HN265" s="645"/>
      <c r="HO265" s="645"/>
      <c r="HP265" s="645"/>
      <c r="HQ265" s="645"/>
      <c r="HR265" s="645">
        <v>0.13100000000000001</v>
      </c>
      <c r="HS265" s="645">
        <f t="shared" si="794"/>
        <v>879.57142857142856</v>
      </c>
      <c r="HT265" s="645">
        <f t="shared" si="795"/>
        <v>1</v>
      </c>
      <c r="HU265" s="618">
        <f t="shared" si="778"/>
        <v>3.3371697448814772</v>
      </c>
      <c r="HV265" s="618"/>
      <c r="HW265" s="618">
        <f t="shared" si="781"/>
        <v>31.261218962268302</v>
      </c>
      <c r="HX265" s="618">
        <f t="shared" si="779"/>
        <v>3.1166909086365631</v>
      </c>
      <c r="HY265" s="618">
        <f t="shared" si="780"/>
        <v>0.13100000000000001</v>
      </c>
      <c r="HZ265" s="618"/>
      <c r="IA265" s="618"/>
      <c r="IB265" s="618">
        <f t="shared" si="782"/>
        <v>25.000350341399081</v>
      </c>
      <c r="IC265" s="618">
        <f t="shared" si="783"/>
        <v>1E-3</v>
      </c>
      <c r="ID265" s="618"/>
      <c r="IE265" s="618">
        <f t="shared" si="784"/>
        <v>0</v>
      </c>
      <c r="IF265" s="618">
        <f t="shared" si="785"/>
        <v>40.704999999999998</v>
      </c>
      <c r="IG265" s="618"/>
      <c r="IH265" s="618">
        <f t="shared" si="786"/>
        <v>0</v>
      </c>
      <c r="II265" s="618">
        <f t="shared" si="787"/>
        <v>40.704999999999998</v>
      </c>
      <c r="IJ265" s="618"/>
      <c r="IK265" s="618">
        <f t="shared" si="788"/>
        <v>0</v>
      </c>
      <c r="IL265" s="618">
        <f t="shared" si="789"/>
        <v>40.704999999999998</v>
      </c>
      <c r="IM265" s="618"/>
      <c r="IN265" s="618">
        <f t="shared" si="790"/>
        <v>0</v>
      </c>
      <c r="IO265" s="618">
        <f t="shared" si="791"/>
        <v>40.704999999999998</v>
      </c>
      <c r="IP265" s="618"/>
      <c r="IQ265" s="618">
        <f t="shared" si="792"/>
        <v>0</v>
      </c>
      <c r="IR265" s="618">
        <f t="shared" si="793"/>
        <v>40.704999999999998</v>
      </c>
      <c r="IS265" s="645"/>
      <c r="IT265" s="645"/>
      <c r="IU265" s="645"/>
      <c r="IV265" s="645"/>
      <c r="IW265" s="645"/>
      <c r="IX265" s="645"/>
      <c r="IY265" s="645"/>
      <c r="IZ265" s="645"/>
      <c r="JA265" s="645"/>
      <c r="JB265" s="645"/>
      <c r="JC265" s="645"/>
      <c r="JD265" s="645"/>
      <c r="JE265" s="645"/>
      <c r="JF265" s="645"/>
      <c r="JG265" s="645"/>
      <c r="JH265" s="645"/>
      <c r="JI265" s="645"/>
      <c r="JJ265" s="645"/>
      <c r="JK265" s="645"/>
      <c r="JL265" s="645"/>
      <c r="JM265" s="645"/>
      <c r="JN265" s="645"/>
      <c r="JO265" s="645"/>
      <c r="JP265" s="645"/>
      <c r="JQ265" s="645"/>
      <c r="JR265" s="645"/>
      <c r="JS265" s="645"/>
      <c r="JT265" s="645"/>
      <c r="JU265" s="645"/>
      <c r="JV265" s="653"/>
    </row>
    <row r="266" spans="1:282" s="612" customFormat="1">
      <c r="A266" s="611"/>
      <c r="U266" s="613"/>
      <c r="V266" s="613"/>
      <c r="AC266" s="613"/>
      <c r="AD266" s="613"/>
      <c r="AL266" s="613"/>
      <c r="AM266" s="613"/>
      <c r="AT266" s="613"/>
      <c r="AU266" s="613"/>
      <c r="CH266" s="611"/>
      <c r="CI266" s="611"/>
      <c r="CO266" s="695"/>
      <c r="CP266" s="645"/>
      <c r="CQ266" s="618"/>
      <c r="CR266" s="618"/>
      <c r="CS266" s="618"/>
      <c r="CT266" s="626"/>
      <c r="CU266" s="626"/>
      <c r="CV266" s="626"/>
      <c r="CW266" s="646"/>
      <c r="CX266" s="646"/>
      <c r="CY266" s="625"/>
      <c r="CZ266" s="625"/>
      <c r="DA266" s="625"/>
      <c r="DB266" s="625"/>
      <c r="DC266" s="645"/>
      <c r="DD266" s="645"/>
      <c r="DE266" s="645"/>
      <c r="DF266" s="645"/>
      <c r="DG266" s="645"/>
      <c r="DH266" s="645"/>
      <c r="DI266" s="645"/>
      <c r="DJ266" s="645"/>
      <c r="DK266" s="645"/>
      <c r="DL266" s="645"/>
      <c r="DM266" s="645"/>
      <c r="DN266" s="645"/>
      <c r="DO266" s="645"/>
      <c r="DP266" s="645"/>
      <c r="DQ266" s="645"/>
      <c r="DR266" s="645"/>
      <c r="DS266" s="645"/>
      <c r="DT266" s="645"/>
      <c r="DU266" s="645"/>
      <c r="DV266" s="645"/>
      <c r="DW266" s="645"/>
      <c r="DX266" s="645"/>
      <c r="DY266" s="645"/>
      <c r="DZ266" s="645"/>
      <c r="EA266" s="645"/>
      <c r="EB266" s="645"/>
      <c r="EC266" s="645"/>
      <c r="ED266" s="645"/>
      <c r="EE266" s="645"/>
      <c r="EF266" s="645"/>
      <c r="EG266" s="645"/>
      <c r="EH266" s="645"/>
      <c r="EI266" s="645"/>
      <c r="EJ266" s="645"/>
      <c r="EK266" s="645"/>
      <c r="EL266" s="645"/>
      <c r="EM266" s="645"/>
      <c r="EN266" s="645"/>
      <c r="EO266" s="645"/>
      <c r="EP266" s="645"/>
      <c r="EQ266" s="645"/>
      <c r="ER266" s="645"/>
      <c r="ES266" s="645"/>
      <c r="ET266" s="645"/>
      <c r="EU266" s="645"/>
      <c r="EV266" s="645"/>
      <c r="EW266" s="645"/>
      <c r="EX266" s="645"/>
      <c r="EY266" s="645"/>
      <c r="EZ266" s="645"/>
      <c r="FA266" s="645"/>
      <c r="FB266" s="645"/>
      <c r="FC266" s="645"/>
      <c r="FD266" s="645"/>
      <c r="FE266" s="645"/>
      <c r="FF266" s="645"/>
      <c r="FG266" s="645"/>
      <c r="FH266" s="645"/>
      <c r="FI266" s="645"/>
      <c r="FJ266" s="645"/>
      <c r="FK266" s="645"/>
      <c r="FL266" s="645"/>
      <c r="FM266" s="645"/>
      <c r="FN266" s="645"/>
      <c r="FO266" s="645"/>
      <c r="FP266" s="645"/>
      <c r="FQ266" s="645"/>
      <c r="FR266" s="645"/>
      <c r="FS266" s="645"/>
      <c r="FT266" s="645"/>
      <c r="FU266" s="645"/>
      <c r="FV266" s="645"/>
      <c r="FW266" s="645"/>
      <c r="FX266" s="645"/>
      <c r="FY266" s="645"/>
      <c r="FZ266" s="645"/>
      <c r="GA266" s="645"/>
      <c r="GB266" s="645"/>
      <c r="GC266" s="645"/>
      <c r="GD266" s="645"/>
      <c r="GE266" s="645"/>
      <c r="GF266" s="645"/>
      <c r="GG266" s="645"/>
      <c r="GH266" s="645"/>
      <c r="GI266" s="645"/>
      <c r="GJ266" s="645"/>
      <c r="GK266" s="645"/>
      <c r="GL266" s="645"/>
      <c r="GM266" s="645"/>
      <c r="GN266" s="645"/>
      <c r="GO266" s="645"/>
      <c r="GP266" s="645"/>
      <c r="GQ266" s="645"/>
      <c r="GR266" s="645"/>
      <c r="GS266" s="645"/>
      <c r="GT266" s="645"/>
      <c r="GU266" s="645"/>
      <c r="GV266" s="645"/>
      <c r="GW266" s="645"/>
      <c r="GX266" s="645"/>
      <c r="GY266" s="645"/>
      <c r="GZ266" s="645"/>
      <c r="HA266" s="645"/>
      <c r="HB266" s="645"/>
      <c r="HC266" s="645"/>
      <c r="HD266" s="645"/>
      <c r="HE266" s="645"/>
      <c r="HF266" s="645"/>
      <c r="HG266" s="645"/>
      <c r="HH266" s="645"/>
      <c r="HI266" s="645"/>
      <c r="HJ266" s="645"/>
      <c r="HK266" s="645"/>
      <c r="HL266" s="645"/>
      <c r="HM266" s="645"/>
      <c r="HN266" s="645"/>
      <c r="HO266" s="645"/>
      <c r="HP266" s="645"/>
      <c r="HQ266" s="645"/>
      <c r="HR266" s="645">
        <v>0.13150000000000001</v>
      </c>
      <c r="HS266" s="645">
        <f t="shared" si="794"/>
        <v>882.92857142857144</v>
      </c>
      <c r="HT266" s="645">
        <f t="shared" si="795"/>
        <v>1</v>
      </c>
      <c r="HU266" s="618">
        <f t="shared" si="778"/>
        <v>3.3499087888551022</v>
      </c>
      <c r="HV266" s="618"/>
      <c r="HW266" s="618">
        <f t="shared" si="781"/>
        <v>31.243129519825757</v>
      </c>
      <c r="HX266" s="618">
        <f t="shared" si="779"/>
        <v>3.1277466753261942</v>
      </c>
      <c r="HY266" s="618">
        <f t="shared" si="780"/>
        <v>0.13150000000000001</v>
      </c>
      <c r="HZ266" s="618"/>
      <c r="IA266" s="618"/>
      <c r="IB266" s="618">
        <f t="shared" si="782"/>
        <v>25.000350341399081</v>
      </c>
      <c r="IC266" s="618">
        <f t="shared" si="783"/>
        <v>1E-3</v>
      </c>
      <c r="ID266" s="618"/>
      <c r="IE266" s="618">
        <f t="shared" si="784"/>
        <v>0</v>
      </c>
      <c r="IF266" s="618">
        <f t="shared" si="785"/>
        <v>40.704999999999998</v>
      </c>
      <c r="IG266" s="618"/>
      <c r="IH266" s="618">
        <f t="shared" si="786"/>
        <v>0</v>
      </c>
      <c r="II266" s="618">
        <f t="shared" si="787"/>
        <v>40.704999999999998</v>
      </c>
      <c r="IJ266" s="618"/>
      <c r="IK266" s="618">
        <f t="shared" si="788"/>
        <v>0</v>
      </c>
      <c r="IL266" s="618">
        <f t="shared" si="789"/>
        <v>40.704999999999998</v>
      </c>
      <c r="IM266" s="618"/>
      <c r="IN266" s="618">
        <f t="shared" si="790"/>
        <v>0</v>
      </c>
      <c r="IO266" s="618">
        <f t="shared" si="791"/>
        <v>40.704999999999998</v>
      </c>
      <c r="IP266" s="618"/>
      <c r="IQ266" s="618">
        <f t="shared" si="792"/>
        <v>0</v>
      </c>
      <c r="IR266" s="618">
        <f t="shared" si="793"/>
        <v>40.704999999999998</v>
      </c>
      <c r="IS266" s="645"/>
      <c r="IT266" s="645"/>
      <c r="IU266" s="645"/>
      <c r="IV266" s="645"/>
      <c r="IW266" s="645"/>
      <c r="IX266" s="645"/>
      <c r="IY266" s="645"/>
      <c r="IZ266" s="645"/>
      <c r="JA266" s="645"/>
      <c r="JB266" s="645"/>
      <c r="JC266" s="645"/>
      <c r="JD266" s="645"/>
      <c r="JE266" s="645"/>
      <c r="JF266" s="645"/>
      <c r="JG266" s="645"/>
      <c r="JH266" s="645"/>
      <c r="JI266" s="645"/>
      <c r="JJ266" s="645"/>
      <c r="JK266" s="645"/>
      <c r="JL266" s="645"/>
      <c r="JM266" s="645"/>
      <c r="JN266" s="645"/>
      <c r="JO266" s="645"/>
      <c r="JP266" s="645"/>
      <c r="JQ266" s="645"/>
      <c r="JR266" s="645"/>
      <c r="JS266" s="645"/>
      <c r="JT266" s="645"/>
      <c r="JU266" s="645"/>
      <c r="JV266" s="653"/>
    </row>
    <row r="267" spans="1:282" s="612" customFormat="1">
      <c r="A267" s="611"/>
      <c r="U267" s="613"/>
      <c r="V267" s="613"/>
      <c r="AC267" s="613"/>
      <c r="AD267" s="613"/>
      <c r="AL267" s="613"/>
      <c r="AM267" s="613"/>
      <c r="AT267" s="613"/>
      <c r="AU267" s="613"/>
      <c r="CH267" s="611"/>
      <c r="CI267" s="611"/>
      <c r="CO267" s="695"/>
      <c r="CP267" s="645"/>
      <c r="CQ267" s="618"/>
      <c r="CR267" s="618"/>
      <c r="CS267" s="618"/>
      <c r="CT267" s="626"/>
      <c r="CU267" s="626"/>
      <c r="CV267" s="626"/>
      <c r="CW267" s="646"/>
      <c r="CX267" s="646"/>
      <c r="CY267" s="625"/>
      <c r="CZ267" s="625"/>
      <c r="DA267" s="625"/>
      <c r="DB267" s="625"/>
      <c r="DC267" s="645"/>
      <c r="DD267" s="645"/>
      <c r="DE267" s="645"/>
      <c r="DF267" s="645"/>
      <c r="DG267" s="645"/>
      <c r="DH267" s="645"/>
      <c r="DI267" s="645"/>
      <c r="DJ267" s="645"/>
      <c r="DK267" s="645"/>
      <c r="DL267" s="645"/>
      <c r="DM267" s="645"/>
      <c r="DN267" s="645"/>
      <c r="DO267" s="645"/>
      <c r="DP267" s="645"/>
      <c r="DQ267" s="645"/>
      <c r="DR267" s="645"/>
      <c r="DS267" s="645"/>
      <c r="DT267" s="645"/>
      <c r="DU267" s="645"/>
      <c r="DV267" s="645"/>
      <c r="DW267" s="645"/>
      <c r="DX267" s="645"/>
      <c r="DY267" s="645"/>
      <c r="DZ267" s="645"/>
      <c r="EA267" s="645"/>
      <c r="EB267" s="645"/>
      <c r="EC267" s="645"/>
      <c r="ED267" s="645"/>
      <c r="EE267" s="645"/>
      <c r="EF267" s="645"/>
      <c r="EG267" s="645"/>
      <c r="EH267" s="645"/>
      <c r="EI267" s="645"/>
      <c r="EJ267" s="645"/>
      <c r="EK267" s="645"/>
      <c r="EL267" s="645"/>
      <c r="EM267" s="645"/>
      <c r="EN267" s="645"/>
      <c r="EO267" s="645"/>
      <c r="EP267" s="645"/>
      <c r="EQ267" s="645"/>
      <c r="ER267" s="645"/>
      <c r="ES267" s="645"/>
      <c r="ET267" s="645"/>
      <c r="EU267" s="645"/>
      <c r="EV267" s="645"/>
      <c r="EW267" s="645"/>
      <c r="EX267" s="645"/>
      <c r="EY267" s="645"/>
      <c r="EZ267" s="645"/>
      <c r="FA267" s="645"/>
      <c r="FB267" s="645"/>
      <c r="FC267" s="645"/>
      <c r="FD267" s="645"/>
      <c r="FE267" s="645"/>
      <c r="FF267" s="645"/>
      <c r="FG267" s="645"/>
      <c r="FH267" s="645"/>
      <c r="FI267" s="645"/>
      <c r="FJ267" s="645"/>
      <c r="FK267" s="645"/>
      <c r="FL267" s="645"/>
      <c r="FM267" s="645"/>
      <c r="FN267" s="645"/>
      <c r="FO267" s="645"/>
      <c r="FP267" s="645"/>
      <c r="FQ267" s="645"/>
      <c r="FR267" s="645"/>
      <c r="FS267" s="645"/>
      <c r="FT267" s="645"/>
      <c r="FU267" s="645"/>
      <c r="FV267" s="645"/>
      <c r="FW267" s="645"/>
      <c r="FX267" s="645"/>
      <c r="FY267" s="645"/>
      <c r="FZ267" s="645"/>
      <c r="GA267" s="645"/>
      <c r="GB267" s="645"/>
      <c r="GC267" s="645"/>
      <c r="GD267" s="645"/>
      <c r="GE267" s="645"/>
      <c r="GF267" s="645"/>
      <c r="GG267" s="645"/>
      <c r="GH267" s="645"/>
      <c r="GI267" s="645"/>
      <c r="GJ267" s="645"/>
      <c r="GK267" s="645"/>
      <c r="GL267" s="645"/>
      <c r="GM267" s="645"/>
      <c r="GN267" s="645"/>
      <c r="GO267" s="645"/>
      <c r="GP267" s="645"/>
      <c r="GQ267" s="645"/>
      <c r="GR267" s="645"/>
      <c r="GS267" s="645"/>
      <c r="GT267" s="645"/>
      <c r="GU267" s="645"/>
      <c r="GV267" s="645"/>
      <c r="GW267" s="645"/>
      <c r="GX267" s="645"/>
      <c r="GY267" s="645"/>
      <c r="GZ267" s="645"/>
      <c r="HA267" s="645"/>
      <c r="HB267" s="645"/>
      <c r="HC267" s="645"/>
      <c r="HD267" s="645"/>
      <c r="HE267" s="645"/>
      <c r="HF267" s="645"/>
      <c r="HG267" s="645"/>
      <c r="HH267" s="645"/>
      <c r="HI267" s="645"/>
      <c r="HJ267" s="645"/>
      <c r="HK267" s="645"/>
      <c r="HL267" s="645"/>
      <c r="HM267" s="645"/>
      <c r="HN267" s="645"/>
      <c r="HO267" s="645"/>
      <c r="HP267" s="645"/>
      <c r="HQ267" s="645"/>
      <c r="HR267" s="645">
        <v>0.13200000000000001</v>
      </c>
      <c r="HS267" s="645">
        <f t="shared" si="794"/>
        <v>886.28571428571433</v>
      </c>
      <c r="HT267" s="645">
        <f t="shared" si="795"/>
        <v>1</v>
      </c>
      <c r="HU267" s="618">
        <f t="shared" si="778"/>
        <v>3.3626478328287273</v>
      </c>
      <c r="HV267" s="618"/>
      <c r="HW267" s="618">
        <f t="shared" si="781"/>
        <v>31.225040077383206</v>
      </c>
      <c r="HX267" s="618">
        <f t="shared" si="779"/>
        <v>3.1387960408435269</v>
      </c>
      <c r="HY267" s="618">
        <f t="shared" si="780"/>
        <v>0.13200000000000001</v>
      </c>
      <c r="HZ267" s="618"/>
      <c r="IA267" s="618"/>
      <c r="IB267" s="618">
        <f t="shared" si="782"/>
        <v>25.000350341399081</v>
      </c>
      <c r="IC267" s="618">
        <f t="shared" si="783"/>
        <v>1E-3</v>
      </c>
      <c r="ID267" s="618"/>
      <c r="IE267" s="618">
        <f t="shared" si="784"/>
        <v>0</v>
      </c>
      <c r="IF267" s="618">
        <f t="shared" si="785"/>
        <v>40.704999999999998</v>
      </c>
      <c r="IG267" s="618"/>
      <c r="IH267" s="618">
        <f t="shared" si="786"/>
        <v>0</v>
      </c>
      <c r="II267" s="618">
        <f t="shared" si="787"/>
        <v>40.704999999999998</v>
      </c>
      <c r="IJ267" s="618"/>
      <c r="IK267" s="618">
        <f t="shared" si="788"/>
        <v>0</v>
      </c>
      <c r="IL267" s="618">
        <f t="shared" si="789"/>
        <v>40.704999999999998</v>
      </c>
      <c r="IM267" s="618"/>
      <c r="IN267" s="618">
        <f t="shared" si="790"/>
        <v>0</v>
      </c>
      <c r="IO267" s="618">
        <f t="shared" si="791"/>
        <v>40.704999999999998</v>
      </c>
      <c r="IP267" s="618"/>
      <c r="IQ267" s="618">
        <f t="shared" si="792"/>
        <v>0</v>
      </c>
      <c r="IR267" s="618">
        <f t="shared" si="793"/>
        <v>40.704999999999998</v>
      </c>
      <c r="IS267" s="645"/>
      <c r="IT267" s="645"/>
      <c r="IU267" s="645"/>
      <c r="IV267" s="645"/>
      <c r="IW267" s="645"/>
      <c r="IX267" s="645"/>
      <c r="IY267" s="645"/>
      <c r="IZ267" s="645"/>
      <c r="JA267" s="645"/>
      <c r="JB267" s="645"/>
      <c r="JC267" s="645"/>
      <c r="JD267" s="645"/>
      <c r="JE267" s="645"/>
      <c r="JF267" s="645"/>
      <c r="JG267" s="645"/>
      <c r="JH267" s="645"/>
      <c r="JI267" s="645"/>
      <c r="JJ267" s="645"/>
      <c r="JK267" s="645"/>
      <c r="JL267" s="645"/>
      <c r="JM267" s="645"/>
      <c r="JN267" s="645"/>
      <c r="JO267" s="645"/>
      <c r="JP267" s="645"/>
      <c r="JQ267" s="645"/>
      <c r="JR267" s="645"/>
      <c r="JS267" s="645"/>
      <c r="JT267" s="645"/>
      <c r="JU267" s="645"/>
      <c r="JV267" s="653"/>
    </row>
    <row r="268" spans="1:282" s="612" customFormat="1">
      <c r="A268" s="611"/>
      <c r="U268" s="613"/>
      <c r="V268" s="613"/>
      <c r="AC268" s="613"/>
      <c r="AD268" s="613"/>
      <c r="AL268" s="613"/>
      <c r="AM268" s="613"/>
      <c r="AT268" s="613"/>
      <c r="AU268" s="613"/>
      <c r="CH268" s="611"/>
      <c r="CI268" s="611"/>
      <c r="CO268" s="695"/>
      <c r="CP268" s="645"/>
      <c r="CQ268" s="618"/>
      <c r="CR268" s="618"/>
      <c r="CS268" s="618"/>
      <c r="CT268" s="626"/>
      <c r="CU268" s="626"/>
      <c r="CV268" s="626"/>
      <c r="CW268" s="646"/>
      <c r="CX268" s="646"/>
      <c r="CY268" s="625"/>
      <c r="CZ268" s="625"/>
      <c r="DA268" s="625"/>
      <c r="DB268" s="625"/>
      <c r="DC268" s="645"/>
      <c r="DD268" s="645"/>
      <c r="DE268" s="645"/>
      <c r="DF268" s="645"/>
      <c r="DG268" s="645"/>
      <c r="DH268" s="645"/>
      <c r="DI268" s="645"/>
      <c r="DJ268" s="645"/>
      <c r="DK268" s="645"/>
      <c r="DL268" s="645"/>
      <c r="DM268" s="645"/>
      <c r="DN268" s="645"/>
      <c r="DO268" s="645"/>
      <c r="DP268" s="645"/>
      <c r="DQ268" s="645"/>
      <c r="DR268" s="645"/>
      <c r="DS268" s="645"/>
      <c r="DT268" s="645"/>
      <c r="DU268" s="645"/>
      <c r="DV268" s="645"/>
      <c r="DW268" s="645"/>
      <c r="DX268" s="645"/>
      <c r="DY268" s="645"/>
      <c r="DZ268" s="645"/>
      <c r="EA268" s="645"/>
      <c r="EB268" s="645"/>
      <c r="EC268" s="645"/>
      <c r="ED268" s="645"/>
      <c r="EE268" s="645"/>
      <c r="EF268" s="645"/>
      <c r="EG268" s="645"/>
      <c r="EH268" s="645"/>
      <c r="EI268" s="645"/>
      <c r="EJ268" s="645"/>
      <c r="EK268" s="645"/>
      <c r="EL268" s="645"/>
      <c r="EM268" s="645"/>
      <c r="EN268" s="645"/>
      <c r="EO268" s="645"/>
      <c r="EP268" s="645"/>
      <c r="EQ268" s="645"/>
      <c r="ER268" s="645"/>
      <c r="ES268" s="645"/>
      <c r="ET268" s="645"/>
      <c r="EU268" s="645"/>
      <c r="EV268" s="645"/>
      <c r="EW268" s="645"/>
      <c r="EX268" s="645"/>
      <c r="EY268" s="645"/>
      <c r="EZ268" s="645"/>
      <c r="FA268" s="645"/>
      <c r="FB268" s="645"/>
      <c r="FC268" s="645"/>
      <c r="FD268" s="645"/>
      <c r="FE268" s="645"/>
      <c r="FF268" s="645"/>
      <c r="FG268" s="645"/>
      <c r="FH268" s="645"/>
      <c r="FI268" s="645"/>
      <c r="FJ268" s="645"/>
      <c r="FK268" s="645"/>
      <c r="FL268" s="645"/>
      <c r="FM268" s="645"/>
      <c r="FN268" s="645"/>
      <c r="FO268" s="645"/>
      <c r="FP268" s="645"/>
      <c r="FQ268" s="645"/>
      <c r="FR268" s="645"/>
      <c r="FS268" s="645"/>
      <c r="FT268" s="645"/>
      <c r="FU268" s="645"/>
      <c r="FV268" s="645"/>
      <c r="FW268" s="645"/>
      <c r="FX268" s="645"/>
      <c r="FY268" s="645"/>
      <c r="FZ268" s="645"/>
      <c r="GA268" s="645"/>
      <c r="GB268" s="645"/>
      <c r="GC268" s="645"/>
      <c r="GD268" s="645"/>
      <c r="GE268" s="645"/>
      <c r="GF268" s="645"/>
      <c r="GG268" s="645"/>
      <c r="GH268" s="645"/>
      <c r="GI268" s="645"/>
      <c r="GJ268" s="645"/>
      <c r="GK268" s="645"/>
      <c r="GL268" s="645"/>
      <c r="GM268" s="645"/>
      <c r="GN268" s="645"/>
      <c r="GO268" s="645"/>
      <c r="GP268" s="645"/>
      <c r="GQ268" s="645"/>
      <c r="GR268" s="645"/>
      <c r="GS268" s="645"/>
      <c r="GT268" s="645"/>
      <c r="GU268" s="645"/>
      <c r="GV268" s="645"/>
      <c r="GW268" s="645"/>
      <c r="GX268" s="645"/>
      <c r="GY268" s="645"/>
      <c r="GZ268" s="645"/>
      <c r="HA268" s="645"/>
      <c r="HB268" s="645"/>
      <c r="HC268" s="645"/>
      <c r="HD268" s="645"/>
      <c r="HE268" s="645"/>
      <c r="HF268" s="645"/>
      <c r="HG268" s="645"/>
      <c r="HH268" s="645"/>
      <c r="HI268" s="645"/>
      <c r="HJ268" s="645"/>
      <c r="HK268" s="645"/>
      <c r="HL268" s="645"/>
      <c r="HM268" s="645"/>
      <c r="HN268" s="645"/>
      <c r="HO268" s="645"/>
      <c r="HP268" s="645"/>
      <c r="HQ268" s="645"/>
      <c r="HR268" s="645">
        <v>0.13250000000000001</v>
      </c>
      <c r="HS268" s="645">
        <f t="shared" si="794"/>
        <v>889.64285714285722</v>
      </c>
      <c r="HT268" s="645">
        <f t="shared" si="795"/>
        <v>1</v>
      </c>
      <c r="HU268" s="618">
        <f t="shared" si="778"/>
        <v>3.3753868768023523</v>
      </c>
      <c r="HV268" s="618"/>
      <c r="HW268" s="618">
        <f t="shared" si="781"/>
        <v>31.206950634940661</v>
      </c>
      <c r="HX268" s="618">
        <f t="shared" si="779"/>
        <v>3.1498390051885616</v>
      </c>
      <c r="HY268" s="618">
        <f t="shared" si="780"/>
        <v>0.13250000000000001</v>
      </c>
      <c r="HZ268" s="618"/>
      <c r="IA268" s="618"/>
      <c r="IB268" s="618">
        <f t="shared" si="782"/>
        <v>25.000350341399081</v>
      </c>
      <c r="IC268" s="618">
        <f t="shared" si="783"/>
        <v>1E-3</v>
      </c>
      <c r="ID268" s="618"/>
      <c r="IE268" s="618">
        <f t="shared" si="784"/>
        <v>0</v>
      </c>
      <c r="IF268" s="618">
        <f t="shared" si="785"/>
        <v>40.704999999999998</v>
      </c>
      <c r="IG268" s="618"/>
      <c r="IH268" s="618">
        <f t="shared" si="786"/>
        <v>0</v>
      </c>
      <c r="II268" s="618">
        <f t="shared" si="787"/>
        <v>40.704999999999998</v>
      </c>
      <c r="IJ268" s="618"/>
      <c r="IK268" s="618">
        <f t="shared" si="788"/>
        <v>0</v>
      </c>
      <c r="IL268" s="618">
        <f t="shared" si="789"/>
        <v>40.704999999999998</v>
      </c>
      <c r="IM268" s="618"/>
      <c r="IN268" s="618">
        <f t="shared" si="790"/>
        <v>0</v>
      </c>
      <c r="IO268" s="618">
        <f t="shared" si="791"/>
        <v>40.704999999999998</v>
      </c>
      <c r="IP268" s="618"/>
      <c r="IQ268" s="618">
        <f t="shared" si="792"/>
        <v>0</v>
      </c>
      <c r="IR268" s="618">
        <f t="shared" si="793"/>
        <v>40.704999999999998</v>
      </c>
      <c r="IS268" s="645"/>
      <c r="IT268" s="645"/>
      <c r="IU268" s="645"/>
      <c r="IV268" s="645"/>
      <c r="IW268" s="645"/>
      <c r="IX268" s="645"/>
      <c r="IY268" s="645"/>
      <c r="IZ268" s="645"/>
      <c r="JA268" s="645"/>
      <c r="JB268" s="645"/>
      <c r="JC268" s="645"/>
      <c r="JD268" s="645"/>
      <c r="JE268" s="645"/>
      <c r="JF268" s="645"/>
      <c r="JG268" s="645"/>
      <c r="JH268" s="645"/>
      <c r="JI268" s="645"/>
      <c r="JJ268" s="645"/>
      <c r="JK268" s="645"/>
      <c r="JL268" s="645"/>
      <c r="JM268" s="645"/>
      <c r="JN268" s="645"/>
      <c r="JO268" s="645"/>
      <c r="JP268" s="645"/>
      <c r="JQ268" s="645"/>
      <c r="JR268" s="645"/>
      <c r="JS268" s="645"/>
      <c r="JT268" s="645"/>
      <c r="JU268" s="645"/>
      <c r="JV268" s="653"/>
    </row>
    <row r="269" spans="1:282" s="612" customFormat="1">
      <c r="A269" s="611"/>
      <c r="U269" s="613"/>
      <c r="V269" s="613"/>
      <c r="AC269" s="613"/>
      <c r="AD269" s="613"/>
      <c r="AL269" s="613"/>
      <c r="AM269" s="613"/>
      <c r="AT269" s="613"/>
      <c r="AU269" s="613"/>
      <c r="CH269" s="611"/>
      <c r="CI269" s="611"/>
      <c r="CO269" s="695"/>
      <c r="CP269" s="645"/>
      <c r="CQ269" s="618"/>
      <c r="CR269" s="618"/>
      <c r="CS269" s="618"/>
      <c r="CT269" s="626"/>
      <c r="CU269" s="626"/>
      <c r="CV269" s="626"/>
      <c r="CW269" s="646"/>
      <c r="CX269" s="646"/>
      <c r="CY269" s="625"/>
      <c r="CZ269" s="625"/>
      <c r="DA269" s="625"/>
      <c r="DB269" s="625"/>
      <c r="DC269" s="645"/>
      <c r="DD269" s="645"/>
      <c r="DE269" s="645"/>
      <c r="DF269" s="645"/>
      <c r="DG269" s="645"/>
      <c r="DH269" s="645"/>
      <c r="DI269" s="645"/>
      <c r="DJ269" s="645"/>
      <c r="DK269" s="645"/>
      <c r="DL269" s="645"/>
      <c r="DM269" s="645"/>
      <c r="DN269" s="645"/>
      <c r="DO269" s="645"/>
      <c r="DP269" s="645"/>
      <c r="DQ269" s="645"/>
      <c r="DR269" s="645"/>
      <c r="DS269" s="645"/>
      <c r="DT269" s="645"/>
      <c r="DU269" s="645"/>
      <c r="DV269" s="645"/>
      <c r="DW269" s="645"/>
      <c r="DX269" s="645"/>
      <c r="DY269" s="645"/>
      <c r="DZ269" s="645"/>
      <c r="EA269" s="645"/>
      <c r="EB269" s="645"/>
      <c r="EC269" s="645"/>
      <c r="ED269" s="645"/>
      <c r="EE269" s="645"/>
      <c r="EF269" s="645"/>
      <c r="EG269" s="645"/>
      <c r="EH269" s="645"/>
      <c r="EI269" s="645"/>
      <c r="EJ269" s="645"/>
      <c r="EK269" s="645"/>
      <c r="EL269" s="645"/>
      <c r="EM269" s="645"/>
      <c r="EN269" s="645"/>
      <c r="EO269" s="645"/>
      <c r="EP269" s="645"/>
      <c r="EQ269" s="645"/>
      <c r="ER269" s="645"/>
      <c r="ES269" s="645"/>
      <c r="ET269" s="645"/>
      <c r="EU269" s="645"/>
      <c r="EV269" s="645"/>
      <c r="EW269" s="645"/>
      <c r="EX269" s="645"/>
      <c r="EY269" s="645"/>
      <c r="EZ269" s="645"/>
      <c r="FA269" s="645"/>
      <c r="FB269" s="645"/>
      <c r="FC269" s="645"/>
      <c r="FD269" s="645"/>
      <c r="FE269" s="645"/>
      <c r="FF269" s="645"/>
      <c r="FG269" s="645"/>
      <c r="FH269" s="645"/>
      <c r="FI269" s="645"/>
      <c r="FJ269" s="645"/>
      <c r="FK269" s="645"/>
      <c r="FL269" s="645"/>
      <c r="FM269" s="645"/>
      <c r="FN269" s="645"/>
      <c r="FO269" s="645"/>
      <c r="FP269" s="645"/>
      <c r="FQ269" s="645"/>
      <c r="FR269" s="645"/>
      <c r="FS269" s="645"/>
      <c r="FT269" s="645"/>
      <c r="FU269" s="645"/>
      <c r="FV269" s="645"/>
      <c r="FW269" s="645"/>
      <c r="FX269" s="645"/>
      <c r="FY269" s="645"/>
      <c r="FZ269" s="645"/>
      <c r="GA269" s="645"/>
      <c r="GB269" s="645"/>
      <c r="GC269" s="645"/>
      <c r="GD269" s="645"/>
      <c r="GE269" s="645"/>
      <c r="GF269" s="645"/>
      <c r="GG269" s="645"/>
      <c r="GH269" s="645"/>
      <c r="GI269" s="645"/>
      <c r="GJ269" s="645"/>
      <c r="GK269" s="645"/>
      <c r="GL269" s="645"/>
      <c r="GM269" s="645"/>
      <c r="GN269" s="645"/>
      <c r="GO269" s="645"/>
      <c r="GP269" s="645"/>
      <c r="GQ269" s="645"/>
      <c r="GR269" s="645"/>
      <c r="GS269" s="645"/>
      <c r="GT269" s="645"/>
      <c r="GU269" s="645"/>
      <c r="GV269" s="645"/>
      <c r="GW269" s="645"/>
      <c r="GX269" s="645"/>
      <c r="GY269" s="645"/>
      <c r="GZ269" s="645"/>
      <c r="HA269" s="645"/>
      <c r="HB269" s="645"/>
      <c r="HC269" s="645"/>
      <c r="HD269" s="645"/>
      <c r="HE269" s="645"/>
      <c r="HF269" s="645"/>
      <c r="HG269" s="645"/>
      <c r="HH269" s="645"/>
      <c r="HI269" s="645"/>
      <c r="HJ269" s="645"/>
      <c r="HK269" s="645"/>
      <c r="HL269" s="645"/>
      <c r="HM269" s="645"/>
      <c r="HN269" s="645"/>
      <c r="HO269" s="645"/>
      <c r="HP269" s="645"/>
      <c r="HQ269" s="645"/>
      <c r="HR269" s="645">
        <v>0.13300000000000001</v>
      </c>
      <c r="HS269" s="645">
        <f t="shared" si="794"/>
        <v>893</v>
      </c>
      <c r="HT269" s="645">
        <f t="shared" si="795"/>
        <v>1</v>
      </c>
      <c r="HU269" s="618">
        <f t="shared" si="778"/>
        <v>3.3881259207759773</v>
      </c>
      <c r="HV269" s="618"/>
      <c r="HW269" s="618">
        <f t="shared" si="781"/>
        <v>31.188861192498113</v>
      </c>
      <c r="HX269" s="618">
        <f t="shared" si="779"/>
        <v>3.1608755683612983</v>
      </c>
      <c r="HY269" s="618">
        <f t="shared" si="780"/>
        <v>0.13300000000000001</v>
      </c>
      <c r="HZ269" s="618"/>
      <c r="IA269" s="618"/>
      <c r="IB269" s="618">
        <f t="shared" si="782"/>
        <v>25.000350341399081</v>
      </c>
      <c r="IC269" s="618">
        <f t="shared" si="783"/>
        <v>1E-3</v>
      </c>
      <c r="ID269" s="618"/>
      <c r="IE269" s="618">
        <f t="shared" si="784"/>
        <v>0</v>
      </c>
      <c r="IF269" s="618">
        <f t="shared" si="785"/>
        <v>40.704999999999998</v>
      </c>
      <c r="IG269" s="618"/>
      <c r="IH269" s="618">
        <f t="shared" si="786"/>
        <v>0</v>
      </c>
      <c r="II269" s="618">
        <f t="shared" si="787"/>
        <v>40.704999999999998</v>
      </c>
      <c r="IJ269" s="618"/>
      <c r="IK269" s="618">
        <f t="shared" si="788"/>
        <v>0</v>
      </c>
      <c r="IL269" s="618">
        <f t="shared" si="789"/>
        <v>40.704999999999998</v>
      </c>
      <c r="IM269" s="618"/>
      <c r="IN269" s="618">
        <f t="shared" si="790"/>
        <v>0</v>
      </c>
      <c r="IO269" s="618">
        <f t="shared" si="791"/>
        <v>40.704999999999998</v>
      </c>
      <c r="IP269" s="618"/>
      <c r="IQ269" s="618">
        <f t="shared" si="792"/>
        <v>0</v>
      </c>
      <c r="IR269" s="618">
        <f t="shared" si="793"/>
        <v>40.704999999999998</v>
      </c>
      <c r="IS269" s="645"/>
      <c r="IT269" s="645"/>
      <c r="IU269" s="645"/>
      <c r="IV269" s="645"/>
      <c r="IW269" s="645"/>
      <c r="IX269" s="645"/>
      <c r="IY269" s="645"/>
      <c r="IZ269" s="645"/>
      <c r="JA269" s="645"/>
      <c r="JB269" s="645"/>
      <c r="JC269" s="645"/>
      <c r="JD269" s="645"/>
      <c r="JE269" s="645"/>
      <c r="JF269" s="645"/>
      <c r="JG269" s="645"/>
      <c r="JH269" s="645"/>
      <c r="JI269" s="645"/>
      <c r="JJ269" s="645"/>
      <c r="JK269" s="645"/>
      <c r="JL269" s="645"/>
      <c r="JM269" s="645"/>
      <c r="JN269" s="645"/>
      <c r="JO269" s="645"/>
      <c r="JP269" s="645"/>
      <c r="JQ269" s="645"/>
      <c r="JR269" s="645"/>
      <c r="JS269" s="645"/>
      <c r="JT269" s="645"/>
      <c r="JU269" s="645"/>
      <c r="JV269" s="653"/>
    </row>
    <row r="270" spans="1:282" s="612" customFormat="1">
      <c r="A270" s="611"/>
      <c r="U270" s="613"/>
      <c r="V270" s="613"/>
      <c r="AC270" s="613"/>
      <c r="AD270" s="613"/>
      <c r="AL270" s="613"/>
      <c r="AM270" s="613"/>
      <c r="AT270" s="613"/>
      <c r="AU270" s="613"/>
      <c r="CH270" s="611"/>
      <c r="CI270" s="611"/>
      <c r="CO270" s="695"/>
      <c r="CP270" s="645"/>
      <c r="CQ270" s="618"/>
      <c r="CR270" s="618"/>
      <c r="CS270" s="618"/>
      <c r="CT270" s="626"/>
      <c r="CU270" s="626"/>
      <c r="CV270" s="626"/>
      <c r="CW270" s="646"/>
      <c r="CX270" s="646"/>
      <c r="CY270" s="625"/>
      <c r="CZ270" s="625"/>
      <c r="DA270" s="625"/>
      <c r="DB270" s="625"/>
      <c r="DC270" s="645"/>
      <c r="DD270" s="645"/>
      <c r="DE270" s="645"/>
      <c r="DF270" s="645"/>
      <c r="DG270" s="645"/>
      <c r="DH270" s="645"/>
      <c r="DI270" s="645"/>
      <c r="DJ270" s="645"/>
      <c r="DK270" s="645"/>
      <c r="DL270" s="645"/>
      <c r="DM270" s="645"/>
      <c r="DN270" s="645"/>
      <c r="DO270" s="645"/>
      <c r="DP270" s="645"/>
      <c r="DQ270" s="645"/>
      <c r="DR270" s="645"/>
      <c r="DS270" s="645"/>
      <c r="DT270" s="645"/>
      <c r="DU270" s="645"/>
      <c r="DV270" s="645"/>
      <c r="DW270" s="645"/>
      <c r="DX270" s="645"/>
      <c r="DY270" s="645"/>
      <c r="DZ270" s="645"/>
      <c r="EA270" s="645"/>
      <c r="EB270" s="645"/>
      <c r="EC270" s="645"/>
      <c r="ED270" s="645"/>
      <c r="EE270" s="645"/>
      <c r="EF270" s="645"/>
      <c r="EG270" s="645"/>
      <c r="EH270" s="645"/>
      <c r="EI270" s="645"/>
      <c r="EJ270" s="645"/>
      <c r="EK270" s="645"/>
      <c r="EL270" s="645"/>
      <c r="EM270" s="645"/>
      <c r="EN270" s="645"/>
      <c r="EO270" s="645"/>
      <c r="EP270" s="645"/>
      <c r="EQ270" s="645"/>
      <c r="ER270" s="645"/>
      <c r="ES270" s="645"/>
      <c r="ET270" s="645"/>
      <c r="EU270" s="645"/>
      <c r="EV270" s="645"/>
      <c r="EW270" s="645"/>
      <c r="EX270" s="645"/>
      <c r="EY270" s="645"/>
      <c r="EZ270" s="645"/>
      <c r="FA270" s="645"/>
      <c r="FB270" s="645"/>
      <c r="FC270" s="645"/>
      <c r="FD270" s="645"/>
      <c r="FE270" s="645"/>
      <c r="FF270" s="645"/>
      <c r="FG270" s="645"/>
      <c r="FH270" s="645"/>
      <c r="FI270" s="645"/>
      <c r="FJ270" s="645"/>
      <c r="FK270" s="645"/>
      <c r="FL270" s="645"/>
      <c r="FM270" s="645"/>
      <c r="FN270" s="645"/>
      <c r="FO270" s="645"/>
      <c r="FP270" s="645"/>
      <c r="FQ270" s="645"/>
      <c r="FR270" s="645"/>
      <c r="FS270" s="645"/>
      <c r="FT270" s="645"/>
      <c r="FU270" s="645"/>
      <c r="FV270" s="645"/>
      <c r="FW270" s="645"/>
      <c r="FX270" s="645"/>
      <c r="FY270" s="645"/>
      <c r="FZ270" s="645"/>
      <c r="GA270" s="645"/>
      <c r="GB270" s="645"/>
      <c r="GC270" s="645"/>
      <c r="GD270" s="645"/>
      <c r="GE270" s="645"/>
      <c r="GF270" s="645"/>
      <c r="GG270" s="645"/>
      <c r="GH270" s="645"/>
      <c r="GI270" s="645"/>
      <c r="GJ270" s="645"/>
      <c r="GK270" s="645"/>
      <c r="GL270" s="645"/>
      <c r="GM270" s="645"/>
      <c r="GN270" s="645"/>
      <c r="GO270" s="645"/>
      <c r="GP270" s="645"/>
      <c r="GQ270" s="645"/>
      <c r="GR270" s="645"/>
      <c r="GS270" s="645"/>
      <c r="GT270" s="645"/>
      <c r="GU270" s="645"/>
      <c r="GV270" s="645"/>
      <c r="GW270" s="645"/>
      <c r="GX270" s="645"/>
      <c r="GY270" s="645"/>
      <c r="GZ270" s="645"/>
      <c r="HA270" s="645"/>
      <c r="HB270" s="645"/>
      <c r="HC270" s="645"/>
      <c r="HD270" s="645"/>
      <c r="HE270" s="645"/>
      <c r="HF270" s="645"/>
      <c r="HG270" s="645"/>
      <c r="HH270" s="645"/>
      <c r="HI270" s="645"/>
      <c r="HJ270" s="645"/>
      <c r="HK270" s="645"/>
      <c r="HL270" s="645"/>
      <c r="HM270" s="645"/>
      <c r="HN270" s="645"/>
      <c r="HO270" s="645"/>
      <c r="HP270" s="645"/>
      <c r="HQ270" s="645"/>
      <c r="HR270" s="645">
        <v>0.13350000000000001</v>
      </c>
      <c r="HS270" s="645">
        <f t="shared" si="794"/>
        <v>896.35714285714289</v>
      </c>
      <c r="HT270" s="645">
        <f t="shared" si="795"/>
        <v>1</v>
      </c>
      <c r="HU270" s="618">
        <f t="shared" si="778"/>
        <v>3.4008649647496023</v>
      </c>
      <c r="HV270" s="618"/>
      <c r="HW270" s="618">
        <f t="shared" si="781"/>
        <v>31.170771750055565</v>
      </c>
      <c r="HX270" s="618">
        <f t="shared" si="779"/>
        <v>3.1719057303617366</v>
      </c>
      <c r="HY270" s="618">
        <f t="shared" si="780"/>
        <v>0.13350000000000001</v>
      </c>
      <c r="HZ270" s="618"/>
      <c r="IA270" s="618"/>
      <c r="IB270" s="618">
        <f t="shared" si="782"/>
        <v>25.000350341399081</v>
      </c>
      <c r="IC270" s="618">
        <f t="shared" si="783"/>
        <v>1E-3</v>
      </c>
      <c r="ID270" s="618"/>
      <c r="IE270" s="618">
        <f t="shared" si="784"/>
        <v>0</v>
      </c>
      <c r="IF270" s="618">
        <f t="shared" si="785"/>
        <v>40.704999999999998</v>
      </c>
      <c r="IG270" s="618"/>
      <c r="IH270" s="618">
        <f t="shared" si="786"/>
        <v>0</v>
      </c>
      <c r="II270" s="618">
        <f t="shared" si="787"/>
        <v>40.704999999999998</v>
      </c>
      <c r="IJ270" s="618"/>
      <c r="IK270" s="618">
        <f t="shared" si="788"/>
        <v>0</v>
      </c>
      <c r="IL270" s="618">
        <f t="shared" si="789"/>
        <v>40.704999999999998</v>
      </c>
      <c r="IM270" s="618"/>
      <c r="IN270" s="618">
        <f t="shared" si="790"/>
        <v>0</v>
      </c>
      <c r="IO270" s="618">
        <f t="shared" si="791"/>
        <v>40.704999999999998</v>
      </c>
      <c r="IP270" s="618"/>
      <c r="IQ270" s="618">
        <f t="shared" si="792"/>
        <v>0</v>
      </c>
      <c r="IR270" s="618">
        <f t="shared" si="793"/>
        <v>40.704999999999998</v>
      </c>
      <c r="IS270" s="645"/>
      <c r="IT270" s="645"/>
      <c r="IU270" s="645"/>
      <c r="IV270" s="645"/>
      <c r="IW270" s="645"/>
      <c r="IX270" s="645"/>
      <c r="IY270" s="645"/>
      <c r="IZ270" s="645"/>
      <c r="JA270" s="645"/>
      <c r="JB270" s="645"/>
      <c r="JC270" s="645"/>
      <c r="JD270" s="645"/>
      <c r="JE270" s="645"/>
      <c r="JF270" s="645"/>
      <c r="JG270" s="645"/>
      <c r="JH270" s="645"/>
      <c r="JI270" s="645"/>
      <c r="JJ270" s="645"/>
      <c r="JK270" s="645"/>
      <c r="JL270" s="645"/>
      <c r="JM270" s="645"/>
      <c r="JN270" s="645"/>
      <c r="JO270" s="645"/>
      <c r="JP270" s="645"/>
      <c r="JQ270" s="645"/>
      <c r="JR270" s="645"/>
      <c r="JS270" s="645"/>
      <c r="JT270" s="645"/>
      <c r="JU270" s="645"/>
      <c r="JV270" s="653"/>
    </row>
    <row r="271" spans="1:282" s="612" customFormat="1">
      <c r="A271" s="611"/>
      <c r="U271" s="613"/>
      <c r="V271" s="613"/>
      <c r="AC271" s="613"/>
      <c r="AD271" s="613"/>
      <c r="AL271" s="613"/>
      <c r="AM271" s="613"/>
      <c r="AT271" s="613"/>
      <c r="AU271" s="613"/>
      <c r="CH271" s="611"/>
      <c r="CI271" s="611"/>
      <c r="CO271" s="695"/>
      <c r="CP271" s="645"/>
      <c r="CQ271" s="618"/>
      <c r="CR271" s="618"/>
      <c r="CS271" s="618"/>
      <c r="CT271" s="626"/>
      <c r="CU271" s="626"/>
      <c r="CV271" s="626"/>
      <c r="CW271" s="646"/>
      <c r="CX271" s="646"/>
      <c r="CY271" s="625"/>
      <c r="CZ271" s="625"/>
      <c r="DA271" s="625"/>
      <c r="DB271" s="625"/>
      <c r="DC271" s="645"/>
      <c r="DD271" s="645"/>
      <c r="DE271" s="645"/>
      <c r="DF271" s="645"/>
      <c r="DG271" s="645"/>
      <c r="DH271" s="645"/>
      <c r="DI271" s="645"/>
      <c r="DJ271" s="645"/>
      <c r="DK271" s="645"/>
      <c r="DL271" s="645"/>
      <c r="DM271" s="645"/>
      <c r="DN271" s="645"/>
      <c r="DO271" s="645"/>
      <c r="DP271" s="645"/>
      <c r="DQ271" s="645"/>
      <c r="DR271" s="645"/>
      <c r="DS271" s="645"/>
      <c r="DT271" s="645"/>
      <c r="DU271" s="645"/>
      <c r="DV271" s="645"/>
      <c r="DW271" s="645"/>
      <c r="DX271" s="645"/>
      <c r="DY271" s="645"/>
      <c r="DZ271" s="645"/>
      <c r="EA271" s="645"/>
      <c r="EB271" s="645"/>
      <c r="EC271" s="645"/>
      <c r="ED271" s="645"/>
      <c r="EE271" s="645"/>
      <c r="EF271" s="645"/>
      <c r="EG271" s="645"/>
      <c r="EH271" s="645"/>
      <c r="EI271" s="645"/>
      <c r="EJ271" s="645"/>
      <c r="EK271" s="645"/>
      <c r="EL271" s="645"/>
      <c r="EM271" s="645"/>
      <c r="EN271" s="645"/>
      <c r="EO271" s="645"/>
      <c r="EP271" s="645"/>
      <c r="EQ271" s="645"/>
      <c r="ER271" s="645"/>
      <c r="ES271" s="645"/>
      <c r="ET271" s="645"/>
      <c r="EU271" s="645"/>
      <c r="EV271" s="645"/>
      <c r="EW271" s="645"/>
      <c r="EX271" s="645"/>
      <c r="EY271" s="645"/>
      <c r="EZ271" s="645"/>
      <c r="FA271" s="645"/>
      <c r="FB271" s="645"/>
      <c r="FC271" s="645"/>
      <c r="FD271" s="645"/>
      <c r="FE271" s="645"/>
      <c r="FF271" s="645"/>
      <c r="FG271" s="645"/>
      <c r="FH271" s="645"/>
      <c r="FI271" s="645"/>
      <c r="FJ271" s="645"/>
      <c r="FK271" s="645"/>
      <c r="FL271" s="645"/>
      <c r="FM271" s="645"/>
      <c r="FN271" s="645"/>
      <c r="FO271" s="645"/>
      <c r="FP271" s="645"/>
      <c r="FQ271" s="645"/>
      <c r="FR271" s="645"/>
      <c r="FS271" s="645"/>
      <c r="FT271" s="645"/>
      <c r="FU271" s="645"/>
      <c r="FV271" s="645"/>
      <c r="FW271" s="645"/>
      <c r="FX271" s="645"/>
      <c r="FY271" s="645"/>
      <c r="FZ271" s="645"/>
      <c r="GA271" s="645"/>
      <c r="GB271" s="645"/>
      <c r="GC271" s="645"/>
      <c r="GD271" s="645"/>
      <c r="GE271" s="645"/>
      <c r="GF271" s="645"/>
      <c r="GG271" s="645"/>
      <c r="GH271" s="645"/>
      <c r="GI271" s="645"/>
      <c r="GJ271" s="645"/>
      <c r="GK271" s="645"/>
      <c r="GL271" s="645"/>
      <c r="GM271" s="645"/>
      <c r="GN271" s="645"/>
      <c r="GO271" s="645"/>
      <c r="GP271" s="645"/>
      <c r="GQ271" s="645"/>
      <c r="GR271" s="645"/>
      <c r="GS271" s="645"/>
      <c r="GT271" s="645"/>
      <c r="GU271" s="645"/>
      <c r="GV271" s="645"/>
      <c r="GW271" s="645"/>
      <c r="GX271" s="645"/>
      <c r="GY271" s="645"/>
      <c r="GZ271" s="645"/>
      <c r="HA271" s="645"/>
      <c r="HB271" s="645"/>
      <c r="HC271" s="645"/>
      <c r="HD271" s="645"/>
      <c r="HE271" s="645"/>
      <c r="HF271" s="645"/>
      <c r="HG271" s="645"/>
      <c r="HH271" s="645"/>
      <c r="HI271" s="645"/>
      <c r="HJ271" s="645"/>
      <c r="HK271" s="645"/>
      <c r="HL271" s="645"/>
      <c r="HM271" s="645"/>
      <c r="HN271" s="645"/>
      <c r="HO271" s="645"/>
      <c r="HP271" s="645"/>
      <c r="HQ271" s="645"/>
      <c r="HR271" s="645">
        <v>0.13400000000000001</v>
      </c>
      <c r="HS271" s="645">
        <f t="shared" si="794"/>
        <v>899.71428571428578</v>
      </c>
      <c r="HT271" s="645">
        <f t="shared" si="795"/>
        <v>1</v>
      </c>
      <c r="HU271" s="618">
        <f t="shared" si="778"/>
        <v>3.4136040087232273</v>
      </c>
      <c r="HV271" s="618"/>
      <c r="HW271" s="618">
        <f t="shared" si="781"/>
        <v>31.152682307613016</v>
      </c>
      <c r="HX271" s="618">
        <f t="shared" si="779"/>
        <v>3.1829294911898769</v>
      </c>
      <c r="HY271" s="618">
        <f t="shared" si="780"/>
        <v>0.13400000000000001</v>
      </c>
      <c r="HZ271" s="618"/>
      <c r="IA271" s="618"/>
      <c r="IB271" s="618">
        <f t="shared" si="782"/>
        <v>25.000350341399081</v>
      </c>
      <c r="IC271" s="618">
        <f t="shared" si="783"/>
        <v>1E-3</v>
      </c>
      <c r="ID271" s="618"/>
      <c r="IE271" s="618">
        <f t="shared" si="784"/>
        <v>0</v>
      </c>
      <c r="IF271" s="618">
        <f t="shared" si="785"/>
        <v>40.704999999999998</v>
      </c>
      <c r="IG271" s="618"/>
      <c r="IH271" s="618">
        <f t="shared" si="786"/>
        <v>0</v>
      </c>
      <c r="II271" s="618">
        <f t="shared" si="787"/>
        <v>40.704999999999998</v>
      </c>
      <c r="IJ271" s="618"/>
      <c r="IK271" s="618">
        <f t="shared" si="788"/>
        <v>0</v>
      </c>
      <c r="IL271" s="618">
        <f t="shared" si="789"/>
        <v>40.704999999999998</v>
      </c>
      <c r="IM271" s="618"/>
      <c r="IN271" s="618">
        <f t="shared" si="790"/>
        <v>0</v>
      </c>
      <c r="IO271" s="618">
        <f t="shared" si="791"/>
        <v>40.704999999999998</v>
      </c>
      <c r="IP271" s="618"/>
      <c r="IQ271" s="618">
        <f t="shared" si="792"/>
        <v>0</v>
      </c>
      <c r="IR271" s="618">
        <f t="shared" si="793"/>
        <v>40.704999999999998</v>
      </c>
      <c r="IS271" s="645"/>
      <c r="IT271" s="645"/>
      <c r="IU271" s="645"/>
      <c r="IV271" s="645"/>
      <c r="IW271" s="645"/>
      <c r="IX271" s="645"/>
      <c r="IY271" s="645"/>
      <c r="IZ271" s="645"/>
      <c r="JA271" s="645"/>
      <c r="JB271" s="645"/>
      <c r="JC271" s="645"/>
      <c r="JD271" s="645"/>
      <c r="JE271" s="645"/>
      <c r="JF271" s="645"/>
      <c r="JG271" s="645"/>
      <c r="JH271" s="645"/>
      <c r="JI271" s="645"/>
      <c r="JJ271" s="645"/>
      <c r="JK271" s="645"/>
      <c r="JL271" s="645"/>
      <c r="JM271" s="645"/>
      <c r="JN271" s="645"/>
      <c r="JO271" s="645"/>
      <c r="JP271" s="645"/>
      <c r="JQ271" s="645"/>
      <c r="JR271" s="645"/>
      <c r="JS271" s="645"/>
      <c r="JT271" s="645"/>
      <c r="JU271" s="645"/>
      <c r="JV271" s="653"/>
    </row>
    <row r="272" spans="1:282" s="612" customFormat="1">
      <c r="A272" s="611"/>
      <c r="U272" s="613"/>
      <c r="V272" s="613"/>
      <c r="AC272" s="613"/>
      <c r="AD272" s="613"/>
      <c r="AL272" s="613"/>
      <c r="AM272" s="613"/>
      <c r="AT272" s="613"/>
      <c r="AU272" s="613"/>
      <c r="CH272" s="611"/>
      <c r="CI272" s="611"/>
      <c r="CO272" s="695"/>
      <c r="CP272" s="645"/>
      <c r="CQ272" s="618"/>
      <c r="CR272" s="618"/>
      <c r="CS272" s="618"/>
      <c r="CT272" s="626"/>
      <c r="CU272" s="626"/>
      <c r="CV272" s="626"/>
      <c r="CW272" s="646"/>
      <c r="CX272" s="646"/>
      <c r="CY272" s="625"/>
      <c r="CZ272" s="625"/>
      <c r="DA272" s="625"/>
      <c r="DB272" s="625"/>
      <c r="DC272" s="645"/>
      <c r="DD272" s="645"/>
      <c r="DE272" s="645"/>
      <c r="DF272" s="645"/>
      <c r="DG272" s="645"/>
      <c r="DH272" s="645"/>
      <c r="DI272" s="645"/>
      <c r="DJ272" s="645"/>
      <c r="DK272" s="645"/>
      <c r="DL272" s="645"/>
      <c r="DM272" s="645"/>
      <c r="DN272" s="645"/>
      <c r="DO272" s="645"/>
      <c r="DP272" s="645"/>
      <c r="DQ272" s="645"/>
      <c r="DR272" s="645"/>
      <c r="DS272" s="645"/>
      <c r="DT272" s="645"/>
      <c r="DU272" s="645"/>
      <c r="DV272" s="645"/>
      <c r="DW272" s="645"/>
      <c r="DX272" s="645"/>
      <c r="DY272" s="645"/>
      <c r="DZ272" s="645"/>
      <c r="EA272" s="645"/>
      <c r="EB272" s="645"/>
      <c r="EC272" s="645"/>
      <c r="ED272" s="645"/>
      <c r="EE272" s="645"/>
      <c r="EF272" s="645"/>
      <c r="EG272" s="645"/>
      <c r="EH272" s="645"/>
      <c r="EI272" s="645"/>
      <c r="EJ272" s="645"/>
      <c r="EK272" s="645"/>
      <c r="EL272" s="645"/>
      <c r="EM272" s="645"/>
      <c r="EN272" s="645"/>
      <c r="EO272" s="645"/>
      <c r="EP272" s="645"/>
      <c r="EQ272" s="645"/>
      <c r="ER272" s="645"/>
      <c r="ES272" s="645"/>
      <c r="ET272" s="645"/>
      <c r="EU272" s="645"/>
      <c r="EV272" s="645"/>
      <c r="EW272" s="645"/>
      <c r="EX272" s="645"/>
      <c r="EY272" s="645"/>
      <c r="EZ272" s="645"/>
      <c r="FA272" s="645"/>
      <c r="FB272" s="645"/>
      <c r="FC272" s="645"/>
      <c r="FD272" s="645"/>
      <c r="FE272" s="645"/>
      <c r="FF272" s="645"/>
      <c r="FG272" s="645"/>
      <c r="FH272" s="645"/>
      <c r="FI272" s="645"/>
      <c r="FJ272" s="645"/>
      <c r="FK272" s="645"/>
      <c r="FL272" s="645"/>
      <c r="FM272" s="645"/>
      <c r="FN272" s="645"/>
      <c r="FO272" s="645"/>
      <c r="FP272" s="645"/>
      <c r="FQ272" s="645"/>
      <c r="FR272" s="645"/>
      <c r="FS272" s="645"/>
      <c r="FT272" s="645"/>
      <c r="FU272" s="645"/>
      <c r="FV272" s="645"/>
      <c r="FW272" s="645"/>
      <c r="FX272" s="645"/>
      <c r="FY272" s="645"/>
      <c r="FZ272" s="645"/>
      <c r="GA272" s="645"/>
      <c r="GB272" s="645"/>
      <c r="GC272" s="645"/>
      <c r="GD272" s="645"/>
      <c r="GE272" s="645"/>
      <c r="GF272" s="645"/>
      <c r="GG272" s="645"/>
      <c r="GH272" s="645"/>
      <c r="GI272" s="645"/>
      <c r="GJ272" s="645"/>
      <c r="GK272" s="645"/>
      <c r="GL272" s="645"/>
      <c r="GM272" s="645"/>
      <c r="GN272" s="645"/>
      <c r="GO272" s="645"/>
      <c r="GP272" s="645"/>
      <c r="GQ272" s="645"/>
      <c r="GR272" s="645"/>
      <c r="GS272" s="645"/>
      <c r="GT272" s="645"/>
      <c r="GU272" s="645"/>
      <c r="GV272" s="645"/>
      <c r="GW272" s="645"/>
      <c r="GX272" s="645"/>
      <c r="GY272" s="645"/>
      <c r="GZ272" s="645"/>
      <c r="HA272" s="645"/>
      <c r="HB272" s="645"/>
      <c r="HC272" s="645"/>
      <c r="HD272" s="645"/>
      <c r="HE272" s="645"/>
      <c r="HF272" s="645"/>
      <c r="HG272" s="645"/>
      <c r="HH272" s="645"/>
      <c r="HI272" s="645"/>
      <c r="HJ272" s="645"/>
      <c r="HK272" s="645"/>
      <c r="HL272" s="645"/>
      <c r="HM272" s="645"/>
      <c r="HN272" s="645"/>
      <c r="HO272" s="645"/>
      <c r="HP272" s="645"/>
      <c r="HQ272" s="645"/>
      <c r="HR272" s="645">
        <v>0.13450000000000001</v>
      </c>
      <c r="HS272" s="645">
        <f t="shared" si="794"/>
        <v>903.07142857142867</v>
      </c>
      <c r="HT272" s="645">
        <f t="shared" si="795"/>
        <v>1</v>
      </c>
      <c r="HU272" s="618">
        <f t="shared" si="778"/>
        <v>3.4263430526968524</v>
      </c>
      <c r="HV272" s="618"/>
      <c r="HW272" s="618">
        <f t="shared" si="781"/>
        <v>31.134592865170468</v>
      </c>
      <c r="HX272" s="618">
        <f t="shared" si="779"/>
        <v>3.1939468508457187</v>
      </c>
      <c r="HY272" s="618">
        <f t="shared" si="780"/>
        <v>0.13450000000000001</v>
      </c>
      <c r="HZ272" s="618"/>
      <c r="IA272" s="618"/>
      <c r="IB272" s="618">
        <f t="shared" si="782"/>
        <v>25.000350341399081</v>
      </c>
      <c r="IC272" s="618">
        <f t="shared" si="783"/>
        <v>1E-3</v>
      </c>
      <c r="ID272" s="618"/>
      <c r="IE272" s="618">
        <f t="shared" si="784"/>
        <v>0</v>
      </c>
      <c r="IF272" s="618">
        <f t="shared" si="785"/>
        <v>40.704999999999998</v>
      </c>
      <c r="IG272" s="618"/>
      <c r="IH272" s="618">
        <f t="shared" si="786"/>
        <v>0</v>
      </c>
      <c r="II272" s="618">
        <f t="shared" si="787"/>
        <v>40.704999999999998</v>
      </c>
      <c r="IJ272" s="618"/>
      <c r="IK272" s="618">
        <f t="shared" si="788"/>
        <v>0</v>
      </c>
      <c r="IL272" s="618">
        <f t="shared" si="789"/>
        <v>40.704999999999998</v>
      </c>
      <c r="IM272" s="618"/>
      <c r="IN272" s="618">
        <f t="shared" si="790"/>
        <v>0</v>
      </c>
      <c r="IO272" s="618">
        <f t="shared" si="791"/>
        <v>40.704999999999998</v>
      </c>
      <c r="IP272" s="618"/>
      <c r="IQ272" s="618">
        <f t="shared" si="792"/>
        <v>0</v>
      </c>
      <c r="IR272" s="618">
        <f t="shared" si="793"/>
        <v>40.704999999999998</v>
      </c>
      <c r="IS272" s="645"/>
      <c r="IT272" s="645"/>
      <c r="IU272" s="645"/>
      <c r="IV272" s="645"/>
      <c r="IW272" s="645"/>
      <c r="IX272" s="645"/>
      <c r="IY272" s="645"/>
      <c r="IZ272" s="645"/>
      <c r="JA272" s="645"/>
      <c r="JB272" s="645"/>
      <c r="JC272" s="645"/>
      <c r="JD272" s="645"/>
      <c r="JE272" s="645"/>
      <c r="JF272" s="645"/>
      <c r="JG272" s="645"/>
      <c r="JH272" s="645"/>
      <c r="JI272" s="645"/>
      <c r="JJ272" s="645"/>
      <c r="JK272" s="645"/>
      <c r="JL272" s="645"/>
      <c r="JM272" s="645"/>
      <c r="JN272" s="645"/>
      <c r="JO272" s="645"/>
      <c r="JP272" s="645"/>
      <c r="JQ272" s="645"/>
      <c r="JR272" s="645"/>
      <c r="JS272" s="645"/>
      <c r="JT272" s="645"/>
      <c r="JU272" s="645"/>
      <c r="JV272" s="653"/>
    </row>
    <row r="273" spans="1:282" s="612" customFormat="1">
      <c r="A273" s="611"/>
      <c r="U273" s="613"/>
      <c r="V273" s="613"/>
      <c r="AC273" s="613"/>
      <c r="AD273" s="613"/>
      <c r="AL273" s="613"/>
      <c r="AM273" s="613"/>
      <c r="AT273" s="613"/>
      <c r="AU273" s="613"/>
      <c r="CH273" s="611"/>
      <c r="CI273" s="611"/>
      <c r="CO273" s="695"/>
      <c r="CP273" s="645"/>
      <c r="CQ273" s="618"/>
      <c r="CR273" s="618"/>
      <c r="CS273" s="618"/>
      <c r="CT273" s="626"/>
      <c r="CU273" s="626"/>
      <c r="CV273" s="626"/>
      <c r="CW273" s="646"/>
      <c r="CX273" s="646"/>
      <c r="CY273" s="625"/>
      <c r="CZ273" s="625"/>
      <c r="DA273" s="625"/>
      <c r="DB273" s="625"/>
      <c r="DC273" s="645"/>
      <c r="DD273" s="645"/>
      <c r="DE273" s="645"/>
      <c r="DF273" s="645"/>
      <c r="DG273" s="645"/>
      <c r="DH273" s="645"/>
      <c r="DI273" s="645"/>
      <c r="DJ273" s="645"/>
      <c r="DK273" s="645"/>
      <c r="DL273" s="645"/>
      <c r="DM273" s="645"/>
      <c r="DN273" s="645"/>
      <c r="DO273" s="645"/>
      <c r="DP273" s="645"/>
      <c r="DQ273" s="645"/>
      <c r="DR273" s="645"/>
      <c r="DS273" s="645"/>
      <c r="DT273" s="645"/>
      <c r="DU273" s="645"/>
      <c r="DV273" s="645"/>
      <c r="DW273" s="645"/>
      <c r="DX273" s="645"/>
      <c r="DY273" s="645"/>
      <c r="DZ273" s="645"/>
      <c r="EA273" s="645"/>
      <c r="EB273" s="645"/>
      <c r="EC273" s="645"/>
      <c r="ED273" s="645"/>
      <c r="EE273" s="645"/>
      <c r="EF273" s="645"/>
      <c r="EG273" s="645"/>
      <c r="EH273" s="645"/>
      <c r="EI273" s="645"/>
      <c r="EJ273" s="645"/>
      <c r="EK273" s="645"/>
      <c r="EL273" s="645"/>
      <c r="EM273" s="645"/>
      <c r="EN273" s="645"/>
      <c r="EO273" s="645"/>
      <c r="EP273" s="645"/>
      <c r="EQ273" s="645"/>
      <c r="ER273" s="645"/>
      <c r="ES273" s="645"/>
      <c r="ET273" s="645"/>
      <c r="EU273" s="645"/>
      <c r="EV273" s="645"/>
      <c r="EW273" s="645"/>
      <c r="EX273" s="645"/>
      <c r="EY273" s="645"/>
      <c r="EZ273" s="645"/>
      <c r="FA273" s="645"/>
      <c r="FB273" s="645"/>
      <c r="FC273" s="645"/>
      <c r="FD273" s="645"/>
      <c r="FE273" s="645"/>
      <c r="FF273" s="645"/>
      <c r="FG273" s="645"/>
      <c r="FH273" s="645"/>
      <c r="FI273" s="645"/>
      <c r="FJ273" s="645"/>
      <c r="FK273" s="645"/>
      <c r="FL273" s="645"/>
      <c r="FM273" s="645"/>
      <c r="FN273" s="645"/>
      <c r="FO273" s="645"/>
      <c r="FP273" s="645"/>
      <c r="FQ273" s="645"/>
      <c r="FR273" s="645"/>
      <c r="FS273" s="645"/>
      <c r="FT273" s="645"/>
      <c r="FU273" s="645"/>
      <c r="FV273" s="645"/>
      <c r="FW273" s="645"/>
      <c r="FX273" s="645"/>
      <c r="FY273" s="645"/>
      <c r="FZ273" s="645"/>
      <c r="GA273" s="645"/>
      <c r="GB273" s="645"/>
      <c r="GC273" s="645"/>
      <c r="GD273" s="645"/>
      <c r="GE273" s="645"/>
      <c r="GF273" s="645"/>
      <c r="GG273" s="645"/>
      <c r="GH273" s="645"/>
      <c r="GI273" s="645"/>
      <c r="GJ273" s="645"/>
      <c r="GK273" s="645"/>
      <c r="GL273" s="645"/>
      <c r="GM273" s="645"/>
      <c r="GN273" s="645"/>
      <c r="GO273" s="645"/>
      <c r="GP273" s="645"/>
      <c r="GQ273" s="645"/>
      <c r="GR273" s="645"/>
      <c r="GS273" s="645"/>
      <c r="GT273" s="645"/>
      <c r="GU273" s="645"/>
      <c r="GV273" s="645"/>
      <c r="GW273" s="645"/>
      <c r="GX273" s="645"/>
      <c r="GY273" s="645"/>
      <c r="GZ273" s="645"/>
      <c r="HA273" s="645"/>
      <c r="HB273" s="645"/>
      <c r="HC273" s="645"/>
      <c r="HD273" s="645"/>
      <c r="HE273" s="645"/>
      <c r="HF273" s="645"/>
      <c r="HG273" s="645"/>
      <c r="HH273" s="645"/>
      <c r="HI273" s="645"/>
      <c r="HJ273" s="645"/>
      <c r="HK273" s="645"/>
      <c r="HL273" s="645"/>
      <c r="HM273" s="645"/>
      <c r="HN273" s="645"/>
      <c r="HO273" s="645"/>
      <c r="HP273" s="645"/>
      <c r="HQ273" s="645"/>
      <c r="HR273" s="645">
        <v>0.13500000000000001</v>
      </c>
      <c r="HS273" s="645">
        <f t="shared" si="794"/>
        <v>906.42857142857144</v>
      </c>
      <c r="HT273" s="645">
        <f t="shared" si="795"/>
        <v>1</v>
      </c>
      <c r="HU273" s="618">
        <f t="shared" si="778"/>
        <v>3.4390820966704774</v>
      </c>
      <c r="HV273" s="618"/>
      <c r="HW273" s="618">
        <f t="shared" si="781"/>
        <v>31.116503422727924</v>
      </c>
      <c r="HX273" s="618">
        <f t="shared" si="779"/>
        <v>3.2049578093292626</v>
      </c>
      <c r="HY273" s="618">
        <f t="shared" si="780"/>
        <v>0.13500000000000001</v>
      </c>
      <c r="HZ273" s="618"/>
      <c r="IA273" s="618"/>
      <c r="IB273" s="618">
        <f t="shared" si="782"/>
        <v>25.000350341399081</v>
      </c>
      <c r="IC273" s="618">
        <f t="shared" si="783"/>
        <v>1E-3</v>
      </c>
      <c r="ID273" s="618"/>
      <c r="IE273" s="618">
        <f t="shared" si="784"/>
        <v>0</v>
      </c>
      <c r="IF273" s="618">
        <f t="shared" si="785"/>
        <v>40.704999999999998</v>
      </c>
      <c r="IG273" s="618"/>
      <c r="IH273" s="618">
        <f t="shared" si="786"/>
        <v>0</v>
      </c>
      <c r="II273" s="618">
        <f t="shared" si="787"/>
        <v>40.704999999999998</v>
      </c>
      <c r="IJ273" s="618"/>
      <c r="IK273" s="618">
        <f t="shared" si="788"/>
        <v>0</v>
      </c>
      <c r="IL273" s="618">
        <f t="shared" si="789"/>
        <v>40.704999999999998</v>
      </c>
      <c r="IM273" s="618"/>
      <c r="IN273" s="618">
        <f t="shared" si="790"/>
        <v>0</v>
      </c>
      <c r="IO273" s="618">
        <f t="shared" si="791"/>
        <v>40.704999999999998</v>
      </c>
      <c r="IP273" s="618"/>
      <c r="IQ273" s="618">
        <f t="shared" si="792"/>
        <v>0</v>
      </c>
      <c r="IR273" s="618">
        <f t="shared" si="793"/>
        <v>40.704999999999998</v>
      </c>
      <c r="IS273" s="645"/>
      <c r="IT273" s="645"/>
      <c r="IU273" s="645"/>
      <c r="IV273" s="645"/>
      <c r="IW273" s="645"/>
      <c r="IX273" s="645"/>
      <c r="IY273" s="645"/>
      <c r="IZ273" s="645"/>
      <c r="JA273" s="645"/>
      <c r="JB273" s="645"/>
      <c r="JC273" s="645"/>
      <c r="JD273" s="645"/>
      <c r="JE273" s="645"/>
      <c r="JF273" s="645"/>
      <c r="JG273" s="645"/>
      <c r="JH273" s="645"/>
      <c r="JI273" s="645"/>
      <c r="JJ273" s="645"/>
      <c r="JK273" s="645"/>
      <c r="JL273" s="645"/>
      <c r="JM273" s="645"/>
      <c r="JN273" s="645"/>
      <c r="JO273" s="645"/>
      <c r="JP273" s="645"/>
      <c r="JQ273" s="645"/>
      <c r="JR273" s="645"/>
      <c r="JS273" s="645"/>
      <c r="JT273" s="645"/>
      <c r="JU273" s="645"/>
      <c r="JV273" s="653"/>
    </row>
    <row r="274" spans="1:282" s="612" customFormat="1">
      <c r="A274" s="611"/>
      <c r="U274" s="613"/>
      <c r="V274" s="613"/>
      <c r="AC274" s="613"/>
      <c r="AD274" s="613"/>
      <c r="AL274" s="613"/>
      <c r="AM274" s="613"/>
      <c r="AT274" s="613"/>
      <c r="AU274" s="613"/>
      <c r="CH274" s="611"/>
      <c r="CI274" s="611"/>
      <c r="CO274" s="695"/>
      <c r="CP274" s="645"/>
      <c r="CQ274" s="618"/>
      <c r="CR274" s="618"/>
      <c r="CS274" s="618"/>
      <c r="CT274" s="626"/>
      <c r="CU274" s="626"/>
      <c r="CV274" s="626"/>
      <c r="CW274" s="646"/>
      <c r="CX274" s="646"/>
      <c r="CY274" s="625"/>
      <c r="CZ274" s="625"/>
      <c r="DA274" s="625"/>
      <c r="DB274" s="625"/>
      <c r="DC274" s="645"/>
      <c r="DD274" s="645"/>
      <c r="DE274" s="645"/>
      <c r="DF274" s="645"/>
      <c r="DG274" s="645"/>
      <c r="DH274" s="645"/>
      <c r="DI274" s="645"/>
      <c r="DJ274" s="645"/>
      <c r="DK274" s="645"/>
      <c r="DL274" s="645"/>
      <c r="DM274" s="645"/>
      <c r="DN274" s="645"/>
      <c r="DO274" s="645"/>
      <c r="DP274" s="645"/>
      <c r="DQ274" s="645"/>
      <c r="DR274" s="645"/>
      <c r="DS274" s="645"/>
      <c r="DT274" s="645"/>
      <c r="DU274" s="645"/>
      <c r="DV274" s="645"/>
      <c r="DW274" s="645"/>
      <c r="DX274" s="645"/>
      <c r="DY274" s="645"/>
      <c r="DZ274" s="645"/>
      <c r="EA274" s="645"/>
      <c r="EB274" s="645"/>
      <c r="EC274" s="645"/>
      <c r="ED274" s="645"/>
      <c r="EE274" s="645"/>
      <c r="EF274" s="645"/>
      <c r="EG274" s="645"/>
      <c r="EH274" s="645"/>
      <c r="EI274" s="645"/>
      <c r="EJ274" s="645"/>
      <c r="EK274" s="645"/>
      <c r="EL274" s="645"/>
      <c r="EM274" s="645"/>
      <c r="EN274" s="645"/>
      <c r="EO274" s="645"/>
      <c r="EP274" s="645"/>
      <c r="EQ274" s="645"/>
      <c r="ER274" s="645"/>
      <c r="ES274" s="645"/>
      <c r="ET274" s="645"/>
      <c r="EU274" s="645"/>
      <c r="EV274" s="645"/>
      <c r="EW274" s="645"/>
      <c r="EX274" s="645"/>
      <c r="EY274" s="645"/>
      <c r="EZ274" s="645"/>
      <c r="FA274" s="645"/>
      <c r="FB274" s="645"/>
      <c r="FC274" s="645"/>
      <c r="FD274" s="645"/>
      <c r="FE274" s="645"/>
      <c r="FF274" s="645"/>
      <c r="FG274" s="645"/>
      <c r="FH274" s="645"/>
      <c r="FI274" s="645"/>
      <c r="FJ274" s="645"/>
      <c r="FK274" s="645"/>
      <c r="FL274" s="645"/>
      <c r="FM274" s="645"/>
      <c r="FN274" s="645"/>
      <c r="FO274" s="645"/>
      <c r="FP274" s="645"/>
      <c r="FQ274" s="645"/>
      <c r="FR274" s="645"/>
      <c r="FS274" s="645"/>
      <c r="FT274" s="645"/>
      <c r="FU274" s="645"/>
      <c r="FV274" s="645"/>
      <c r="FW274" s="645"/>
      <c r="FX274" s="645"/>
      <c r="FY274" s="645"/>
      <c r="FZ274" s="645"/>
      <c r="GA274" s="645"/>
      <c r="GB274" s="645"/>
      <c r="GC274" s="645"/>
      <c r="GD274" s="645"/>
      <c r="GE274" s="645"/>
      <c r="GF274" s="645"/>
      <c r="GG274" s="645"/>
      <c r="GH274" s="645"/>
      <c r="GI274" s="645"/>
      <c r="GJ274" s="645"/>
      <c r="GK274" s="645"/>
      <c r="GL274" s="645"/>
      <c r="GM274" s="645"/>
      <c r="GN274" s="645"/>
      <c r="GO274" s="645"/>
      <c r="GP274" s="645"/>
      <c r="GQ274" s="645"/>
      <c r="GR274" s="645"/>
      <c r="GS274" s="645"/>
      <c r="GT274" s="645"/>
      <c r="GU274" s="645"/>
      <c r="GV274" s="645"/>
      <c r="GW274" s="645"/>
      <c r="GX274" s="645"/>
      <c r="GY274" s="645"/>
      <c r="GZ274" s="645"/>
      <c r="HA274" s="645"/>
      <c r="HB274" s="645"/>
      <c r="HC274" s="645"/>
      <c r="HD274" s="645"/>
      <c r="HE274" s="645"/>
      <c r="HF274" s="645"/>
      <c r="HG274" s="645"/>
      <c r="HH274" s="645"/>
      <c r="HI274" s="645"/>
      <c r="HJ274" s="645"/>
      <c r="HK274" s="645"/>
      <c r="HL274" s="645"/>
      <c r="HM274" s="645"/>
      <c r="HN274" s="645"/>
      <c r="HO274" s="645"/>
      <c r="HP274" s="645"/>
      <c r="HQ274" s="645"/>
      <c r="HR274" s="645">
        <v>0.13550000000000001</v>
      </c>
      <c r="HS274" s="645">
        <f t="shared" si="794"/>
        <v>909.78571428571433</v>
      </c>
      <c r="HT274" s="645">
        <f t="shared" si="795"/>
        <v>1</v>
      </c>
      <c r="HU274" s="618">
        <f t="shared" si="778"/>
        <v>3.4518211406441024</v>
      </c>
      <c r="HV274" s="618"/>
      <c r="HW274" s="618">
        <f t="shared" si="781"/>
        <v>31.098413980285375</v>
      </c>
      <c r="HX274" s="618">
        <f t="shared" si="779"/>
        <v>3.2159623666405084</v>
      </c>
      <c r="HY274" s="618">
        <f t="shared" si="780"/>
        <v>0.13550000000000001</v>
      </c>
      <c r="HZ274" s="618"/>
      <c r="IA274" s="618"/>
      <c r="IB274" s="618">
        <f t="shared" si="782"/>
        <v>25.000350341399081</v>
      </c>
      <c r="IC274" s="618">
        <f t="shared" si="783"/>
        <v>1E-3</v>
      </c>
      <c r="ID274" s="618"/>
      <c r="IE274" s="618">
        <f t="shared" si="784"/>
        <v>0</v>
      </c>
      <c r="IF274" s="618">
        <f t="shared" si="785"/>
        <v>40.704999999999998</v>
      </c>
      <c r="IG274" s="618"/>
      <c r="IH274" s="618">
        <f t="shared" si="786"/>
        <v>0</v>
      </c>
      <c r="II274" s="618">
        <f t="shared" si="787"/>
        <v>40.704999999999998</v>
      </c>
      <c r="IJ274" s="618"/>
      <c r="IK274" s="618">
        <f t="shared" si="788"/>
        <v>0</v>
      </c>
      <c r="IL274" s="618">
        <f t="shared" si="789"/>
        <v>40.704999999999998</v>
      </c>
      <c r="IM274" s="618"/>
      <c r="IN274" s="618">
        <f t="shared" si="790"/>
        <v>0</v>
      </c>
      <c r="IO274" s="618">
        <f t="shared" si="791"/>
        <v>40.704999999999998</v>
      </c>
      <c r="IP274" s="618"/>
      <c r="IQ274" s="618">
        <f t="shared" si="792"/>
        <v>0</v>
      </c>
      <c r="IR274" s="618">
        <f t="shared" si="793"/>
        <v>40.704999999999998</v>
      </c>
      <c r="IS274" s="645"/>
      <c r="IT274" s="645"/>
      <c r="IU274" s="645"/>
      <c r="IV274" s="645"/>
      <c r="IW274" s="645"/>
      <c r="IX274" s="645"/>
      <c r="IY274" s="645"/>
      <c r="IZ274" s="645"/>
      <c r="JA274" s="645"/>
      <c r="JB274" s="645"/>
      <c r="JC274" s="645"/>
      <c r="JD274" s="645"/>
      <c r="JE274" s="645"/>
      <c r="JF274" s="645"/>
      <c r="JG274" s="645"/>
      <c r="JH274" s="645"/>
      <c r="JI274" s="645"/>
      <c r="JJ274" s="645"/>
      <c r="JK274" s="645"/>
      <c r="JL274" s="645"/>
      <c r="JM274" s="645"/>
      <c r="JN274" s="645"/>
      <c r="JO274" s="645"/>
      <c r="JP274" s="645"/>
      <c r="JQ274" s="645"/>
      <c r="JR274" s="645"/>
      <c r="JS274" s="645"/>
      <c r="JT274" s="645"/>
      <c r="JU274" s="645"/>
      <c r="JV274" s="653"/>
    </row>
    <row r="275" spans="1:282" s="612" customFormat="1">
      <c r="A275" s="611"/>
      <c r="U275" s="613"/>
      <c r="V275" s="613"/>
      <c r="AC275" s="613"/>
      <c r="AD275" s="613"/>
      <c r="AL275" s="613"/>
      <c r="AM275" s="613"/>
      <c r="AT275" s="613"/>
      <c r="AU275" s="613"/>
      <c r="CH275" s="611"/>
      <c r="CI275" s="611"/>
      <c r="CO275" s="695"/>
      <c r="CP275" s="645"/>
      <c r="CQ275" s="618"/>
      <c r="CR275" s="618"/>
      <c r="CS275" s="618"/>
      <c r="CT275" s="626"/>
      <c r="CU275" s="626"/>
      <c r="CV275" s="626"/>
      <c r="CW275" s="646"/>
      <c r="CX275" s="646"/>
      <c r="CY275" s="625"/>
      <c r="CZ275" s="625"/>
      <c r="DA275" s="625"/>
      <c r="DB275" s="625"/>
      <c r="DC275" s="645"/>
      <c r="DD275" s="645"/>
      <c r="DE275" s="645"/>
      <c r="DF275" s="645"/>
      <c r="DG275" s="645"/>
      <c r="DH275" s="645"/>
      <c r="DI275" s="645"/>
      <c r="DJ275" s="645"/>
      <c r="DK275" s="645"/>
      <c r="DL275" s="645"/>
      <c r="DM275" s="645"/>
      <c r="DN275" s="645"/>
      <c r="DO275" s="645"/>
      <c r="DP275" s="645"/>
      <c r="DQ275" s="645"/>
      <c r="DR275" s="645"/>
      <c r="DS275" s="645"/>
      <c r="DT275" s="645"/>
      <c r="DU275" s="645"/>
      <c r="DV275" s="645"/>
      <c r="DW275" s="645"/>
      <c r="DX275" s="645"/>
      <c r="DY275" s="645"/>
      <c r="DZ275" s="645"/>
      <c r="EA275" s="645"/>
      <c r="EB275" s="645"/>
      <c r="EC275" s="645"/>
      <c r="ED275" s="645"/>
      <c r="EE275" s="645"/>
      <c r="EF275" s="645"/>
      <c r="EG275" s="645"/>
      <c r="EH275" s="645"/>
      <c r="EI275" s="645"/>
      <c r="EJ275" s="645"/>
      <c r="EK275" s="645"/>
      <c r="EL275" s="645"/>
      <c r="EM275" s="645"/>
      <c r="EN275" s="645"/>
      <c r="EO275" s="645"/>
      <c r="EP275" s="645"/>
      <c r="EQ275" s="645"/>
      <c r="ER275" s="645"/>
      <c r="ES275" s="645"/>
      <c r="ET275" s="645"/>
      <c r="EU275" s="645"/>
      <c r="EV275" s="645"/>
      <c r="EW275" s="645"/>
      <c r="EX275" s="645"/>
      <c r="EY275" s="645"/>
      <c r="EZ275" s="645"/>
      <c r="FA275" s="645"/>
      <c r="FB275" s="645"/>
      <c r="FC275" s="645"/>
      <c r="FD275" s="645"/>
      <c r="FE275" s="645"/>
      <c r="FF275" s="645"/>
      <c r="FG275" s="645"/>
      <c r="FH275" s="645"/>
      <c r="FI275" s="645"/>
      <c r="FJ275" s="645"/>
      <c r="FK275" s="645"/>
      <c r="FL275" s="645"/>
      <c r="FM275" s="645"/>
      <c r="FN275" s="645"/>
      <c r="FO275" s="645"/>
      <c r="FP275" s="645"/>
      <c r="FQ275" s="645"/>
      <c r="FR275" s="645"/>
      <c r="FS275" s="645"/>
      <c r="FT275" s="645"/>
      <c r="FU275" s="645"/>
      <c r="FV275" s="645"/>
      <c r="FW275" s="645"/>
      <c r="FX275" s="645"/>
      <c r="FY275" s="645"/>
      <c r="FZ275" s="645"/>
      <c r="GA275" s="645"/>
      <c r="GB275" s="645"/>
      <c r="GC275" s="645"/>
      <c r="GD275" s="645"/>
      <c r="GE275" s="645"/>
      <c r="GF275" s="645"/>
      <c r="GG275" s="645"/>
      <c r="GH275" s="645"/>
      <c r="GI275" s="645"/>
      <c r="GJ275" s="645"/>
      <c r="GK275" s="645"/>
      <c r="GL275" s="645"/>
      <c r="GM275" s="645"/>
      <c r="GN275" s="645"/>
      <c r="GO275" s="645"/>
      <c r="GP275" s="645"/>
      <c r="GQ275" s="645"/>
      <c r="GR275" s="645"/>
      <c r="GS275" s="645"/>
      <c r="GT275" s="645"/>
      <c r="GU275" s="645"/>
      <c r="GV275" s="645"/>
      <c r="GW275" s="645"/>
      <c r="GX275" s="645"/>
      <c r="GY275" s="645"/>
      <c r="GZ275" s="645"/>
      <c r="HA275" s="645"/>
      <c r="HB275" s="645"/>
      <c r="HC275" s="645"/>
      <c r="HD275" s="645"/>
      <c r="HE275" s="645"/>
      <c r="HF275" s="645"/>
      <c r="HG275" s="645"/>
      <c r="HH275" s="645"/>
      <c r="HI275" s="645"/>
      <c r="HJ275" s="645"/>
      <c r="HK275" s="645"/>
      <c r="HL275" s="645"/>
      <c r="HM275" s="645"/>
      <c r="HN275" s="645"/>
      <c r="HO275" s="645"/>
      <c r="HP275" s="645"/>
      <c r="HQ275" s="645"/>
      <c r="HR275" s="645">
        <v>0.13600000000000001</v>
      </c>
      <c r="HS275" s="645">
        <f t="shared" si="794"/>
        <v>913.14285714285722</v>
      </c>
      <c r="HT275" s="645">
        <f t="shared" si="795"/>
        <v>1</v>
      </c>
      <c r="HU275" s="618">
        <f t="shared" ref="HU275:HU338" si="796">(((($AQ$45*HT275)*$AQ$34)/(Mc+ML)))*(HR275-HR274)+HU274</f>
        <v>3.4645601846177274</v>
      </c>
      <c r="HV275" s="618"/>
      <c r="HW275" s="618">
        <f t="shared" si="781"/>
        <v>31.080324537842827</v>
      </c>
      <c r="HX275" s="618">
        <f t="shared" ref="HX275:HX338" si="797">IF(HW275&lt;0,HX274,(((HW275/$AQ$44*HT275)*$AQ$34)/(Mc+ML))*(HR275-HR274)+HX274)</f>
        <v>3.2269605227794558</v>
      </c>
      <c r="HY275" s="618">
        <f t="shared" ref="HY275:HY338" si="798">HR275</f>
        <v>0.13600000000000001</v>
      </c>
      <c r="HZ275" s="618"/>
      <c r="IA275" s="618"/>
      <c r="IB275" s="618">
        <f t="shared" si="782"/>
        <v>25.000350341399081</v>
      </c>
      <c r="IC275" s="618">
        <f t="shared" si="783"/>
        <v>1E-3</v>
      </c>
      <c r="ID275" s="618"/>
      <c r="IE275" s="618">
        <f t="shared" si="784"/>
        <v>0</v>
      </c>
      <c r="IF275" s="618">
        <f t="shared" si="785"/>
        <v>40.704999999999998</v>
      </c>
      <c r="IG275" s="618"/>
      <c r="IH275" s="618">
        <f t="shared" si="786"/>
        <v>0</v>
      </c>
      <c r="II275" s="618">
        <f t="shared" si="787"/>
        <v>40.704999999999998</v>
      </c>
      <c r="IJ275" s="618"/>
      <c r="IK275" s="618">
        <f t="shared" si="788"/>
        <v>0</v>
      </c>
      <c r="IL275" s="618">
        <f t="shared" si="789"/>
        <v>40.704999999999998</v>
      </c>
      <c r="IM275" s="618"/>
      <c r="IN275" s="618">
        <f t="shared" si="790"/>
        <v>0</v>
      </c>
      <c r="IO275" s="618">
        <f t="shared" si="791"/>
        <v>40.704999999999998</v>
      </c>
      <c r="IP275" s="618"/>
      <c r="IQ275" s="618">
        <f t="shared" si="792"/>
        <v>0</v>
      </c>
      <c r="IR275" s="618">
        <f t="shared" si="793"/>
        <v>40.704999999999998</v>
      </c>
      <c r="IS275" s="645"/>
      <c r="IT275" s="645"/>
      <c r="IU275" s="645"/>
      <c r="IV275" s="645"/>
      <c r="IW275" s="645"/>
      <c r="IX275" s="645"/>
      <c r="IY275" s="645"/>
      <c r="IZ275" s="645"/>
      <c r="JA275" s="645"/>
      <c r="JB275" s="645"/>
      <c r="JC275" s="645"/>
      <c r="JD275" s="645"/>
      <c r="JE275" s="645"/>
      <c r="JF275" s="645"/>
      <c r="JG275" s="645"/>
      <c r="JH275" s="645"/>
      <c r="JI275" s="645"/>
      <c r="JJ275" s="645"/>
      <c r="JK275" s="645"/>
      <c r="JL275" s="645"/>
      <c r="JM275" s="645"/>
      <c r="JN275" s="645"/>
      <c r="JO275" s="645"/>
      <c r="JP275" s="645"/>
      <c r="JQ275" s="645"/>
      <c r="JR275" s="645"/>
      <c r="JS275" s="645"/>
      <c r="JT275" s="645"/>
      <c r="JU275" s="645"/>
      <c r="JV275" s="653"/>
    </row>
    <row r="276" spans="1:282" s="612" customFormat="1">
      <c r="A276" s="611"/>
      <c r="U276" s="613"/>
      <c r="V276" s="613"/>
      <c r="AC276" s="613"/>
      <c r="AD276" s="613"/>
      <c r="AL276" s="613"/>
      <c r="AM276" s="613"/>
      <c r="AT276" s="613"/>
      <c r="AU276" s="613"/>
      <c r="CH276" s="611"/>
      <c r="CI276" s="611"/>
      <c r="CO276" s="695"/>
      <c r="CP276" s="645"/>
      <c r="CQ276" s="618"/>
      <c r="CR276" s="618"/>
      <c r="CS276" s="618"/>
      <c r="CT276" s="626"/>
      <c r="CU276" s="626"/>
      <c r="CV276" s="626"/>
      <c r="CW276" s="646"/>
      <c r="CX276" s="646"/>
      <c r="CY276" s="625"/>
      <c r="CZ276" s="625"/>
      <c r="DA276" s="625"/>
      <c r="DB276" s="625"/>
      <c r="DC276" s="645"/>
      <c r="DD276" s="645"/>
      <c r="DE276" s="645"/>
      <c r="DF276" s="645"/>
      <c r="DG276" s="645"/>
      <c r="DH276" s="645"/>
      <c r="DI276" s="645"/>
      <c r="DJ276" s="645"/>
      <c r="DK276" s="645"/>
      <c r="DL276" s="645"/>
      <c r="DM276" s="645"/>
      <c r="DN276" s="645"/>
      <c r="DO276" s="645"/>
      <c r="DP276" s="645"/>
      <c r="DQ276" s="645"/>
      <c r="DR276" s="645"/>
      <c r="DS276" s="645"/>
      <c r="DT276" s="645"/>
      <c r="DU276" s="645"/>
      <c r="DV276" s="645"/>
      <c r="DW276" s="645"/>
      <c r="DX276" s="645"/>
      <c r="DY276" s="645"/>
      <c r="DZ276" s="645"/>
      <c r="EA276" s="645"/>
      <c r="EB276" s="645"/>
      <c r="EC276" s="645"/>
      <c r="ED276" s="645"/>
      <c r="EE276" s="645"/>
      <c r="EF276" s="645"/>
      <c r="EG276" s="645"/>
      <c r="EH276" s="645"/>
      <c r="EI276" s="645"/>
      <c r="EJ276" s="645"/>
      <c r="EK276" s="645"/>
      <c r="EL276" s="645"/>
      <c r="EM276" s="645"/>
      <c r="EN276" s="645"/>
      <c r="EO276" s="645"/>
      <c r="EP276" s="645"/>
      <c r="EQ276" s="645"/>
      <c r="ER276" s="645"/>
      <c r="ES276" s="645"/>
      <c r="ET276" s="645"/>
      <c r="EU276" s="645"/>
      <c r="EV276" s="645"/>
      <c r="EW276" s="645"/>
      <c r="EX276" s="645"/>
      <c r="EY276" s="645"/>
      <c r="EZ276" s="645"/>
      <c r="FA276" s="645"/>
      <c r="FB276" s="645"/>
      <c r="FC276" s="645"/>
      <c r="FD276" s="645"/>
      <c r="FE276" s="645"/>
      <c r="FF276" s="645"/>
      <c r="FG276" s="645"/>
      <c r="FH276" s="645"/>
      <c r="FI276" s="645"/>
      <c r="FJ276" s="645"/>
      <c r="FK276" s="645"/>
      <c r="FL276" s="645"/>
      <c r="FM276" s="645"/>
      <c r="FN276" s="645"/>
      <c r="FO276" s="645"/>
      <c r="FP276" s="645"/>
      <c r="FQ276" s="645"/>
      <c r="FR276" s="645"/>
      <c r="FS276" s="645"/>
      <c r="FT276" s="645"/>
      <c r="FU276" s="645"/>
      <c r="FV276" s="645"/>
      <c r="FW276" s="645"/>
      <c r="FX276" s="645"/>
      <c r="FY276" s="645"/>
      <c r="FZ276" s="645"/>
      <c r="GA276" s="645"/>
      <c r="GB276" s="645"/>
      <c r="GC276" s="645"/>
      <c r="GD276" s="645"/>
      <c r="GE276" s="645"/>
      <c r="GF276" s="645"/>
      <c r="GG276" s="645"/>
      <c r="GH276" s="645"/>
      <c r="GI276" s="645"/>
      <c r="GJ276" s="645"/>
      <c r="GK276" s="645"/>
      <c r="GL276" s="645"/>
      <c r="GM276" s="645"/>
      <c r="GN276" s="645"/>
      <c r="GO276" s="645"/>
      <c r="GP276" s="645"/>
      <c r="GQ276" s="645"/>
      <c r="GR276" s="645"/>
      <c r="GS276" s="645"/>
      <c r="GT276" s="645"/>
      <c r="GU276" s="645"/>
      <c r="GV276" s="645"/>
      <c r="GW276" s="645"/>
      <c r="GX276" s="645"/>
      <c r="GY276" s="645"/>
      <c r="GZ276" s="645"/>
      <c r="HA276" s="645"/>
      <c r="HB276" s="645"/>
      <c r="HC276" s="645"/>
      <c r="HD276" s="645"/>
      <c r="HE276" s="645"/>
      <c r="HF276" s="645"/>
      <c r="HG276" s="645"/>
      <c r="HH276" s="645"/>
      <c r="HI276" s="645"/>
      <c r="HJ276" s="645"/>
      <c r="HK276" s="645"/>
      <c r="HL276" s="645"/>
      <c r="HM276" s="645"/>
      <c r="HN276" s="645"/>
      <c r="HO276" s="645"/>
      <c r="HP276" s="645"/>
      <c r="HQ276" s="645"/>
      <c r="HR276" s="645">
        <v>0.13650000000000001</v>
      </c>
      <c r="HS276" s="645">
        <f t="shared" si="794"/>
        <v>916.50000000000011</v>
      </c>
      <c r="HT276" s="645">
        <f t="shared" si="795"/>
        <v>1</v>
      </c>
      <c r="HU276" s="618">
        <f t="shared" si="796"/>
        <v>3.4772992285913524</v>
      </c>
      <c r="HV276" s="618"/>
      <c r="HW276" s="618">
        <f t="shared" si="781"/>
        <v>31.062235095400279</v>
      </c>
      <c r="HX276" s="618">
        <f t="shared" si="797"/>
        <v>3.2379522777461052</v>
      </c>
      <c r="HY276" s="618">
        <f t="shared" si="798"/>
        <v>0.13650000000000001</v>
      </c>
      <c r="HZ276" s="618"/>
      <c r="IA276" s="618"/>
      <c r="IB276" s="618">
        <f t="shared" si="782"/>
        <v>25.000350341399081</v>
      </c>
      <c r="IC276" s="618">
        <f t="shared" si="783"/>
        <v>1E-3</v>
      </c>
      <c r="ID276" s="618"/>
      <c r="IE276" s="618">
        <f t="shared" si="784"/>
        <v>0</v>
      </c>
      <c r="IF276" s="618">
        <f t="shared" si="785"/>
        <v>40.704999999999998</v>
      </c>
      <c r="IG276" s="618"/>
      <c r="IH276" s="618">
        <f t="shared" si="786"/>
        <v>0</v>
      </c>
      <c r="II276" s="618">
        <f t="shared" si="787"/>
        <v>40.704999999999998</v>
      </c>
      <c r="IJ276" s="618"/>
      <c r="IK276" s="618">
        <f t="shared" si="788"/>
        <v>0</v>
      </c>
      <c r="IL276" s="618">
        <f t="shared" si="789"/>
        <v>40.704999999999998</v>
      </c>
      <c r="IM276" s="618"/>
      <c r="IN276" s="618">
        <f t="shared" si="790"/>
        <v>0</v>
      </c>
      <c r="IO276" s="618">
        <f t="shared" si="791"/>
        <v>40.704999999999998</v>
      </c>
      <c r="IP276" s="618"/>
      <c r="IQ276" s="618">
        <f t="shared" si="792"/>
        <v>0</v>
      </c>
      <c r="IR276" s="618">
        <f t="shared" si="793"/>
        <v>40.704999999999998</v>
      </c>
      <c r="IS276" s="645"/>
      <c r="IT276" s="645"/>
      <c r="IU276" s="645"/>
      <c r="IV276" s="645"/>
      <c r="IW276" s="645"/>
      <c r="IX276" s="645"/>
      <c r="IY276" s="645"/>
      <c r="IZ276" s="645"/>
      <c r="JA276" s="645"/>
      <c r="JB276" s="645"/>
      <c r="JC276" s="645"/>
      <c r="JD276" s="645"/>
      <c r="JE276" s="645"/>
      <c r="JF276" s="645"/>
      <c r="JG276" s="645"/>
      <c r="JH276" s="645"/>
      <c r="JI276" s="645"/>
      <c r="JJ276" s="645"/>
      <c r="JK276" s="645"/>
      <c r="JL276" s="645"/>
      <c r="JM276" s="645"/>
      <c r="JN276" s="645"/>
      <c r="JO276" s="645"/>
      <c r="JP276" s="645"/>
      <c r="JQ276" s="645"/>
      <c r="JR276" s="645"/>
      <c r="JS276" s="645"/>
      <c r="JT276" s="645"/>
      <c r="JU276" s="645"/>
      <c r="JV276" s="653"/>
    </row>
    <row r="277" spans="1:282" s="612" customFormat="1">
      <c r="A277" s="611"/>
      <c r="U277" s="613"/>
      <c r="V277" s="613"/>
      <c r="AC277" s="613"/>
      <c r="AD277" s="613"/>
      <c r="AL277" s="613"/>
      <c r="AM277" s="613"/>
      <c r="AT277" s="613"/>
      <c r="AU277" s="613"/>
      <c r="CH277" s="611"/>
      <c r="CI277" s="611"/>
      <c r="CO277" s="695"/>
      <c r="CP277" s="645"/>
      <c r="CQ277" s="618"/>
      <c r="CR277" s="618"/>
      <c r="CS277" s="618"/>
      <c r="CT277" s="626"/>
      <c r="CU277" s="626"/>
      <c r="CV277" s="626"/>
      <c r="CW277" s="646"/>
      <c r="CX277" s="646"/>
      <c r="CY277" s="625"/>
      <c r="CZ277" s="625"/>
      <c r="DA277" s="625"/>
      <c r="DB277" s="625"/>
      <c r="DC277" s="645"/>
      <c r="DD277" s="645"/>
      <c r="DE277" s="645"/>
      <c r="DF277" s="645"/>
      <c r="DG277" s="645"/>
      <c r="DH277" s="645"/>
      <c r="DI277" s="645"/>
      <c r="DJ277" s="645"/>
      <c r="DK277" s="645"/>
      <c r="DL277" s="645"/>
      <c r="DM277" s="645"/>
      <c r="DN277" s="645"/>
      <c r="DO277" s="645"/>
      <c r="DP277" s="645"/>
      <c r="DQ277" s="645"/>
      <c r="DR277" s="645"/>
      <c r="DS277" s="645"/>
      <c r="DT277" s="645"/>
      <c r="DU277" s="645"/>
      <c r="DV277" s="645"/>
      <c r="DW277" s="645"/>
      <c r="DX277" s="645"/>
      <c r="DY277" s="645"/>
      <c r="DZ277" s="645"/>
      <c r="EA277" s="645"/>
      <c r="EB277" s="645"/>
      <c r="EC277" s="645"/>
      <c r="ED277" s="645"/>
      <c r="EE277" s="645"/>
      <c r="EF277" s="645"/>
      <c r="EG277" s="645"/>
      <c r="EH277" s="645"/>
      <c r="EI277" s="645"/>
      <c r="EJ277" s="645"/>
      <c r="EK277" s="645"/>
      <c r="EL277" s="645"/>
      <c r="EM277" s="645"/>
      <c r="EN277" s="645"/>
      <c r="EO277" s="645"/>
      <c r="EP277" s="645"/>
      <c r="EQ277" s="645"/>
      <c r="ER277" s="645"/>
      <c r="ES277" s="645"/>
      <c r="ET277" s="645"/>
      <c r="EU277" s="645"/>
      <c r="EV277" s="645"/>
      <c r="EW277" s="645"/>
      <c r="EX277" s="645"/>
      <c r="EY277" s="645"/>
      <c r="EZ277" s="645"/>
      <c r="FA277" s="645"/>
      <c r="FB277" s="645"/>
      <c r="FC277" s="645"/>
      <c r="FD277" s="645"/>
      <c r="FE277" s="645"/>
      <c r="FF277" s="645"/>
      <c r="FG277" s="645"/>
      <c r="FH277" s="645"/>
      <c r="FI277" s="645"/>
      <c r="FJ277" s="645"/>
      <c r="FK277" s="645"/>
      <c r="FL277" s="645"/>
      <c r="FM277" s="645"/>
      <c r="FN277" s="645"/>
      <c r="FO277" s="645"/>
      <c r="FP277" s="645"/>
      <c r="FQ277" s="645"/>
      <c r="FR277" s="645"/>
      <c r="FS277" s="645"/>
      <c r="FT277" s="645"/>
      <c r="FU277" s="645"/>
      <c r="FV277" s="645"/>
      <c r="FW277" s="645"/>
      <c r="FX277" s="645"/>
      <c r="FY277" s="645"/>
      <c r="FZ277" s="645"/>
      <c r="GA277" s="645"/>
      <c r="GB277" s="645"/>
      <c r="GC277" s="645"/>
      <c r="GD277" s="645"/>
      <c r="GE277" s="645"/>
      <c r="GF277" s="645"/>
      <c r="GG277" s="645"/>
      <c r="GH277" s="645"/>
      <c r="GI277" s="645"/>
      <c r="GJ277" s="645"/>
      <c r="GK277" s="645"/>
      <c r="GL277" s="645"/>
      <c r="GM277" s="645"/>
      <c r="GN277" s="645"/>
      <c r="GO277" s="645"/>
      <c r="GP277" s="645"/>
      <c r="GQ277" s="645"/>
      <c r="GR277" s="645"/>
      <c r="GS277" s="645"/>
      <c r="GT277" s="645"/>
      <c r="GU277" s="645"/>
      <c r="GV277" s="645"/>
      <c r="GW277" s="645"/>
      <c r="GX277" s="645"/>
      <c r="GY277" s="645"/>
      <c r="GZ277" s="645"/>
      <c r="HA277" s="645"/>
      <c r="HB277" s="645"/>
      <c r="HC277" s="645"/>
      <c r="HD277" s="645"/>
      <c r="HE277" s="645"/>
      <c r="HF277" s="645"/>
      <c r="HG277" s="645"/>
      <c r="HH277" s="645"/>
      <c r="HI277" s="645"/>
      <c r="HJ277" s="645"/>
      <c r="HK277" s="645"/>
      <c r="HL277" s="645"/>
      <c r="HM277" s="645"/>
      <c r="HN277" s="645"/>
      <c r="HO277" s="645"/>
      <c r="HP277" s="645"/>
      <c r="HQ277" s="645"/>
      <c r="HR277" s="645">
        <v>0.13700000000000001</v>
      </c>
      <c r="HS277" s="645">
        <f t="shared" si="794"/>
        <v>919.85714285714289</v>
      </c>
      <c r="HT277" s="645">
        <f t="shared" si="795"/>
        <v>1</v>
      </c>
      <c r="HU277" s="618">
        <f t="shared" si="796"/>
        <v>3.4900382725649775</v>
      </c>
      <c r="HV277" s="618"/>
      <c r="HW277" s="618">
        <f t="shared" si="781"/>
        <v>31.044145652957731</v>
      </c>
      <c r="HX277" s="618">
        <f t="shared" si="797"/>
        <v>3.2489376315404561</v>
      </c>
      <c r="HY277" s="618">
        <f t="shared" si="798"/>
        <v>0.13700000000000001</v>
      </c>
      <c r="HZ277" s="618"/>
      <c r="IA277" s="618"/>
      <c r="IB277" s="618">
        <f t="shared" si="782"/>
        <v>25.000350341399081</v>
      </c>
      <c r="IC277" s="618">
        <f t="shared" si="783"/>
        <v>1E-3</v>
      </c>
      <c r="ID277" s="618"/>
      <c r="IE277" s="618">
        <f t="shared" si="784"/>
        <v>0</v>
      </c>
      <c r="IF277" s="618">
        <f t="shared" si="785"/>
        <v>40.704999999999998</v>
      </c>
      <c r="IG277" s="618"/>
      <c r="IH277" s="618">
        <f t="shared" si="786"/>
        <v>0</v>
      </c>
      <c r="II277" s="618">
        <f t="shared" si="787"/>
        <v>40.704999999999998</v>
      </c>
      <c r="IJ277" s="618"/>
      <c r="IK277" s="618">
        <f t="shared" si="788"/>
        <v>0</v>
      </c>
      <c r="IL277" s="618">
        <f t="shared" si="789"/>
        <v>40.704999999999998</v>
      </c>
      <c r="IM277" s="618"/>
      <c r="IN277" s="618">
        <f t="shared" si="790"/>
        <v>0</v>
      </c>
      <c r="IO277" s="618">
        <f t="shared" si="791"/>
        <v>40.704999999999998</v>
      </c>
      <c r="IP277" s="618"/>
      <c r="IQ277" s="618">
        <f t="shared" si="792"/>
        <v>0</v>
      </c>
      <c r="IR277" s="618">
        <f t="shared" si="793"/>
        <v>40.704999999999998</v>
      </c>
      <c r="IS277" s="645"/>
      <c r="IT277" s="645"/>
      <c r="IU277" s="645"/>
      <c r="IV277" s="645"/>
      <c r="IW277" s="645"/>
      <c r="IX277" s="645"/>
      <c r="IY277" s="645"/>
      <c r="IZ277" s="645"/>
      <c r="JA277" s="645"/>
      <c r="JB277" s="645"/>
      <c r="JC277" s="645"/>
      <c r="JD277" s="645"/>
      <c r="JE277" s="645"/>
      <c r="JF277" s="645"/>
      <c r="JG277" s="645"/>
      <c r="JH277" s="645"/>
      <c r="JI277" s="645"/>
      <c r="JJ277" s="645"/>
      <c r="JK277" s="645"/>
      <c r="JL277" s="645"/>
      <c r="JM277" s="645"/>
      <c r="JN277" s="645"/>
      <c r="JO277" s="645"/>
      <c r="JP277" s="645"/>
      <c r="JQ277" s="645"/>
      <c r="JR277" s="645"/>
      <c r="JS277" s="645"/>
      <c r="JT277" s="645"/>
      <c r="JU277" s="645"/>
      <c r="JV277" s="653"/>
    </row>
    <row r="278" spans="1:282" s="612" customFormat="1">
      <c r="A278" s="611"/>
      <c r="U278" s="613"/>
      <c r="V278" s="613"/>
      <c r="AC278" s="613"/>
      <c r="AD278" s="613"/>
      <c r="AL278" s="613"/>
      <c r="AM278" s="613"/>
      <c r="AT278" s="613"/>
      <c r="AU278" s="613"/>
      <c r="CH278" s="611"/>
      <c r="CI278" s="611"/>
      <c r="CO278" s="695"/>
      <c r="CP278" s="645"/>
      <c r="CQ278" s="618"/>
      <c r="CR278" s="618"/>
      <c r="CS278" s="618"/>
      <c r="CT278" s="626"/>
      <c r="CU278" s="626"/>
      <c r="CV278" s="626"/>
      <c r="CW278" s="646"/>
      <c r="CX278" s="646"/>
      <c r="CY278" s="625"/>
      <c r="CZ278" s="625"/>
      <c r="DA278" s="625"/>
      <c r="DB278" s="625"/>
      <c r="DC278" s="645"/>
      <c r="DD278" s="645"/>
      <c r="DE278" s="645"/>
      <c r="DF278" s="645"/>
      <c r="DG278" s="645"/>
      <c r="DH278" s="645"/>
      <c r="DI278" s="645"/>
      <c r="DJ278" s="645"/>
      <c r="DK278" s="645"/>
      <c r="DL278" s="645"/>
      <c r="DM278" s="645"/>
      <c r="DN278" s="645"/>
      <c r="DO278" s="645"/>
      <c r="DP278" s="645"/>
      <c r="DQ278" s="645"/>
      <c r="DR278" s="645"/>
      <c r="DS278" s="645"/>
      <c r="DT278" s="645"/>
      <c r="DU278" s="645"/>
      <c r="DV278" s="645"/>
      <c r="DW278" s="645"/>
      <c r="DX278" s="645"/>
      <c r="DY278" s="645"/>
      <c r="DZ278" s="645"/>
      <c r="EA278" s="645"/>
      <c r="EB278" s="645"/>
      <c r="EC278" s="645"/>
      <c r="ED278" s="645"/>
      <c r="EE278" s="645"/>
      <c r="EF278" s="645"/>
      <c r="EG278" s="645"/>
      <c r="EH278" s="645"/>
      <c r="EI278" s="645"/>
      <c r="EJ278" s="645"/>
      <c r="EK278" s="645"/>
      <c r="EL278" s="645"/>
      <c r="EM278" s="645"/>
      <c r="EN278" s="645"/>
      <c r="EO278" s="645"/>
      <c r="EP278" s="645"/>
      <c r="EQ278" s="645"/>
      <c r="ER278" s="645"/>
      <c r="ES278" s="645"/>
      <c r="ET278" s="645"/>
      <c r="EU278" s="645"/>
      <c r="EV278" s="645"/>
      <c r="EW278" s="645"/>
      <c r="EX278" s="645"/>
      <c r="EY278" s="645"/>
      <c r="EZ278" s="645"/>
      <c r="FA278" s="645"/>
      <c r="FB278" s="645"/>
      <c r="FC278" s="645"/>
      <c r="FD278" s="645"/>
      <c r="FE278" s="645"/>
      <c r="FF278" s="645"/>
      <c r="FG278" s="645"/>
      <c r="FH278" s="645"/>
      <c r="FI278" s="645"/>
      <c r="FJ278" s="645"/>
      <c r="FK278" s="645"/>
      <c r="FL278" s="645"/>
      <c r="FM278" s="645"/>
      <c r="FN278" s="645"/>
      <c r="FO278" s="645"/>
      <c r="FP278" s="645"/>
      <c r="FQ278" s="645"/>
      <c r="FR278" s="645"/>
      <c r="FS278" s="645"/>
      <c r="FT278" s="645"/>
      <c r="FU278" s="645"/>
      <c r="FV278" s="645"/>
      <c r="FW278" s="645"/>
      <c r="FX278" s="645"/>
      <c r="FY278" s="645"/>
      <c r="FZ278" s="645"/>
      <c r="GA278" s="645"/>
      <c r="GB278" s="645"/>
      <c r="GC278" s="645"/>
      <c r="GD278" s="645"/>
      <c r="GE278" s="645"/>
      <c r="GF278" s="645"/>
      <c r="GG278" s="645"/>
      <c r="GH278" s="645"/>
      <c r="GI278" s="645"/>
      <c r="GJ278" s="645"/>
      <c r="GK278" s="645"/>
      <c r="GL278" s="645"/>
      <c r="GM278" s="645"/>
      <c r="GN278" s="645"/>
      <c r="GO278" s="645"/>
      <c r="GP278" s="645"/>
      <c r="GQ278" s="645"/>
      <c r="GR278" s="645"/>
      <c r="GS278" s="645"/>
      <c r="GT278" s="645"/>
      <c r="GU278" s="645"/>
      <c r="GV278" s="645"/>
      <c r="GW278" s="645"/>
      <c r="GX278" s="645"/>
      <c r="GY278" s="645"/>
      <c r="GZ278" s="645"/>
      <c r="HA278" s="645"/>
      <c r="HB278" s="645"/>
      <c r="HC278" s="645"/>
      <c r="HD278" s="645"/>
      <c r="HE278" s="645"/>
      <c r="HF278" s="645"/>
      <c r="HG278" s="645"/>
      <c r="HH278" s="645"/>
      <c r="HI278" s="645"/>
      <c r="HJ278" s="645"/>
      <c r="HK278" s="645"/>
      <c r="HL278" s="645"/>
      <c r="HM278" s="645"/>
      <c r="HN278" s="645"/>
      <c r="HO278" s="645"/>
      <c r="HP278" s="645"/>
      <c r="HQ278" s="645"/>
      <c r="HR278" s="645">
        <v>0.13750000000000001</v>
      </c>
      <c r="HS278" s="645">
        <f t="shared" si="794"/>
        <v>923.21428571428578</v>
      </c>
      <c r="HT278" s="645">
        <f t="shared" si="795"/>
        <v>1</v>
      </c>
      <c r="HU278" s="618">
        <f t="shared" si="796"/>
        <v>3.5027773165386025</v>
      </c>
      <c r="HV278" s="618"/>
      <c r="HW278" s="618">
        <f t="shared" si="781"/>
        <v>31.026056210515186</v>
      </c>
      <c r="HX278" s="618">
        <f t="shared" si="797"/>
        <v>3.2599165841625091</v>
      </c>
      <c r="HY278" s="618">
        <f t="shared" si="798"/>
        <v>0.13750000000000001</v>
      </c>
      <c r="HZ278" s="618"/>
      <c r="IA278" s="618"/>
      <c r="IB278" s="618">
        <f t="shared" si="782"/>
        <v>25.000350341399081</v>
      </c>
      <c r="IC278" s="618">
        <f t="shared" si="783"/>
        <v>1E-3</v>
      </c>
      <c r="ID278" s="618"/>
      <c r="IE278" s="618">
        <f t="shared" si="784"/>
        <v>0</v>
      </c>
      <c r="IF278" s="618">
        <f t="shared" si="785"/>
        <v>40.704999999999998</v>
      </c>
      <c r="IG278" s="618"/>
      <c r="IH278" s="618">
        <f t="shared" si="786"/>
        <v>0</v>
      </c>
      <c r="II278" s="618">
        <f t="shared" si="787"/>
        <v>40.704999999999998</v>
      </c>
      <c r="IJ278" s="618"/>
      <c r="IK278" s="618">
        <f t="shared" si="788"/>
        <v>0</v>
      </c>
      <c r="IL278" s="618">
        <f t="shared" si="789"/>
        <v>40.704999999999998</v>
      </c>
      <c r="IM278" s="618"/>
      <c r="IN278" s="618">
        <f t="shared" si="790"/>
        <v>0</v>
      </c>
      <c r="IO278" s="618">
        <f t="shared" si="791"/>
        <v>40.704999999999998</v>
      </c>
      <c r="IP278" s="618"/>
      <c r="IQ278" s="618">
        <f t="shared" si="792"/>
        <v>0</v>
      </c>
      <c r="IR278" s="618">
        <f t="shared" si="793"/>
        <v>40.704999999999998</v>
      </c>
      <c r="IS278" s="645"/>
      <c r="IT278" s="645"/>
      <c r="IU278" s="645"/>
      <c r="IV278" s="645"/>
      <c r="IW278" s="645"/>
      <c r="IX278" s="645"/>
      <c r="IY278" s="645"/>
      <c r="IZ278" s="645"/>
      <c r="JA278" s="645"/>
      <c r="JB278" s="645"/>
      <c r="JC278" s="645"/>
      <c r="JD278" s="645"/>
      <c r="JE278" s="645"/>
      <c r="JF278" s="645"/>
      <c r="JG278" s="645"/>
      <c r="JH278" s="645"/>
      <c r="JI278" s="645"/>
      <c r="JJ278" s="645"/>
      <c r="JK278" s="645"/>
      <c r="JL278" s="645"/>
      <c r="JM278" s="645"/>
      <c r="JN278" s="645"/>
      <c r="JO278" s="645"/>
      <c r="JP278" s="645"/>
      <c r="JQ278" s="645"/>
      <c r="JR278" s="645"/>
      <c r="JS278" s="645"/>
      <c r="JT278" s="645"/>
      <c r="JU278" s="645"/>
      <c r="JV278" s="653"/>
    </row>
    <row r="279" spans="1:282" s="612" customFormat="1">
      <c r="A279" s="611"/>
      <c r="U279" s="613"/>
      <c r="V279" s="613"/>
      <c r="AC279" s="613"/>
      <c r="AD279" s="613"/>
      <c r="AL279" s="613"/>
      <c r="AM279" s="613"/>
      <c r="AT279" s="613"/>
      <c r="AU279" s="613"/>
      <c r="CH279" s="611"/>
      <c r="CI279" s="611"/>
      <c r="CO279" s="695"/>
      <c r="CP279" s="645"/>
      <c r="CQ279" s="618"/>
      <c r="CR279" s="618"/>
      <c r="CS279" s="618"/>
      <c r="CT279" s="626"/>
      <c r="CU279" s="626"/>
      <c r="CV279" s="626"/>
      <c r="CW279" s="646"/>
      <c r="CX279" s="646"/>
      <c r="CY279" s="625"/>
      <c r="CZ279" s="625"/>
      <c r="DA279" s="625"/>
      <c r="DB279" s="625"/>
      <c r="DC279" s="645"/>
      <c r="DD279" s="645"/>
      <c r="DE279" s="645"/>
      <c r="DF279" s="645"/>
      <c r="DG279" s="645"/>
      <c r="DH279" s="645"/>
      <c r="DI279" s="645"/>
      <c r="DJ279" s="645"/>
      <c r="DK279" s="645"/>
      <c r="DL279" s="645"/>
      <c r="DM279" s="645"/>
      <c r="DN279" s="645"/>
      <c r="DO279" s="645"/>
      <c r="DP279" s="645"/>
      <c r="DQ279" s="645"/>
      <c r="DR279" s="645"/>
      <c r="DS279" s="645"/>
      <c r="DT279" s="645"/>
      <c r="DU279" s="645"/>
      <c r="DV279" s="645"/>
      <c r="DW279" s="645"/>
      <c r="DX279" s="645"/>
      <c r="DY279" s="645"/>
      <c r="DZ279" s="645"/>
      <c r="EA279" s="645"/>
      <c r="EB279" s="645"/>
      <c r="EC279" s="645"/>
      <c r="ED279" s="645"/>
      <c r="EE279" s="645"/>
      <c r="EF279" s="645"/>
      <c r="EG279" s="645"/>
      <c r="EH279" s="645"/>
      <c r="EI279" s="645"/>
      <c r="EJ279" s="645"/>
      <c r="EK279" s="645"/>
      <c r="EL279" s="645"/>
      <c r="EM279" s="645"/>
      <c r="EN279" s="645"/>
      <c r="EO279" s="645"/>
      <c r="EP279" s="645"/>
      <c r="EQ279" s="645"/>
      <c r="ER279" s="645"/>
      <c r="ES279" s="645"/>
      <c r="ET279" s="645"/>
      <c r="EU279" s="645"/>
      <c r="EV279" s="645"/>
      <c r="EW279" s="645"/>
      <c r="EX279" s="645"/>
      <c r="EY279" s="645"/>
      <c r="EZ279" s="645"/>
      <c r="FA279" s="645"/>
      <c r="FB279" s="645"/>
      <c r="FC279" s="645"/>
      <c r="FD279" s="645"/>
      <c r="FE279" s="645"/>
      <c r="FF279" s="645"/>
      <c r="FG279" s="645"/>
      <c r="FH279" s="645"/>
      <c r="FI279" s="645"/>
      <c r="FJ279" s="645"/>
      <c r="FK279" s="645"/>
      <c r="FL279" s="645"/>
      <c r="FM279" s="645"/>
      <c r="FN279" s="645"/>
      <c r="FO279" s="645"/>
      <c r="FP279" s="645"/>
      <c r="FQ279" s="645"/>
      <c r="FR279" s="645"/>
      <c r="FS279" s="645"/>
      <c r="FT279" s="645"/>
      <c r="FU279" s="645"/>
      <c r="FV279" s="645"/>
      <c r="FW279" s="645"/>
      <c r="FX279" s="645"/>
      <c r="FY279" s="645"/>
      <c r="FZ279" s="645"/>
      <c r="GA279" s="645"/>
      <c r="GB279" s="645"/>
      <c r="GC279" s="645"/>
      <c r="GD279" s="645"/>
      <c r="GE279" s="645"/>
      <c r="GF279" s="645"/>
      <c r="GG279" s="645"/>
      <c r="GH279" s="645"/>
      <c r="GI279" s="645"/>
      <c r="GJ279" s="645"/>
      <c r="GK279" s="645"/>
      <c r="GL279" s="645"/>
      <c r="GM279" s="645"/>
      <c r="GN279" s="645"/>
      <c r="GO279" s="645"/>
      <c r="GP279" s="645"/>
      <c r="GQ279" s="645"/>
      <c r="GR279" s="645"/>
      <c r="GS279" s="645"/>
      <c r="GT279" s="645"/>
      <c r="GU279" s="645"/>
      <c r="GV279" s="645"/>
      <c r="GW279" s="645"/>
      <c r="GX279" s="645"/>
      <c r="GY279" s="645"/>
      <c r="GZ279" s="645"/>
      <c r="HA279" s="645"/>
      <c r="HB279" s="645"/>
      <c r="HC279" s="645"/>
      <c r="HD279" s="645"/>
      <c r="HE279" s="645"/>
      <c r="HF279" s="645"/>
      <c r="HG279" s="645"/>
      <c r="HH279" s="645"/>
      <c r="HI279" s="645"/>
      <c r="HJ279" s="645"/>
      <c r="HK279" s="645"/>
      <c r="HL279" s="645"/>
      <c r="HM279" s="645"/>
      <c r="HN279" s="645"/>
      <c r="HO279" s="645"/>
      <c r="HP279" s="645"/>
      <c r="HQ279" s="645"/>
      <c r="HR279" s="645">
        <v>0.13800000000000001</v>
      </c>
      <c r="HS279" s="645">
        <f t="shared" si="794"/>
        <v>926.57142857142867</v>
      </c>
      <c r="HT279" s="645">
        <f t="shared" si="795"/>
        <v>1</v>
      </c>
      <c r="HU279" s="618">
        <f t="shared" si="796"/>
        <v>3.5155163605122275</v>
      </c>
      <c r="HV279" s="618"/>
      <c r="HW279" s="618">
        <f t="shared" si="781"/>
        <v>31.007966768072638</v>
      </c>
      <c r="HX279" s="618">
        <f t="shared" si="797"/>
        <v>3.270889135612264</v>
      </c>
      <c r="HY279" s="618">
        <f t="shared" si="798"/>
        <v>0.13800000000000001</v>
      </c>
      <c r="HZ279" s="618"/>
      <c r="IA279" s="618"/>
      <c r="IB279" s="618">
        <f t="shared" si="782"/>
        <v>25.000350341399081</v>
      </c>
      <c r="IC279" s="618">
        <f t="shared" si="783"/>
        <v>1E-3</v>
      </c>
      <c r="ID279" s="618"/>
      <c r="IE279" s="618">
        <f t="shared" si="784"/>
        <v>0</v>
      </c>
      <c r="IF279" s="618">
        <f t="shared" si="785"/>
        <v>40.704999999999998</v>
      </c>
      <c r="IG279" s="618"/>
      <c r="IH279" s="618">
        <f t="shared" si="786"/>
        <v>0</v>
      </c>
      <c r="II279" s="618">
        <f t="shared" si="787"/>
        <v>40.704999999999998</v>
      </c>
      <c r="IJ279" s="618"/>
      <c r="IK279" s="618">
        <f t="shared" si="788"/>
        <v>0</v>
      </c>
      <c r="IL279" s="618">
        <f t="shared" si="789"/>
        <v>40.704999999999998</v>
      </c>
      <c r="IM279" s="618"/>
      <c r="IN279" s="618">
        <f t="shared" si="790"/>
        <v>0</v>
      </c>
      <c r="IO279" s="618">
        <f t="shared" si="791"/>
        <v>40.704999999999998</v>
      </c>
      <c r="IP279" s="618"/>
      <c r="IQ279" s="618">
        <f t="shared" si="792"/>
        <v>0</v>
      </c>
      <c r="IR279" s="618">
        <f t="shared" si="793"/>
        <v>40.704999999999998</v>
      </c>
      <c r="IS279" s="645"/>
      <c r="IT279" s="645"/>
      <c r="IU279" s="645"/>
      <c r="IV279" s="645"/>
      <c r="IW279" s="645"/>
      <c r="IX279" s="645"/>
      <c r="IY279" s="645"/>
      <c r="IZ279" s="645"/>
      <c r="JA279" s="645"/>
      <c r="JB279" s="645"/>
      <c r="JC279" s="645"/>
      <c r="JD279" s="645"/>
      <c r="JE279" s="645"/>
      <c r="JF279" s="645"/>
      <c r="JG279" s="645"/>
      <c r="JH279" s="645"/>
      <c r="JI279" s="645"/>
      <c r="JJ279" s="645"/>
      <c r="JK279" s="645"/>
      <c r="JL279" s="645"/>
      <c r="JM279" s="645"/>
      <c r="JN279" s="645"/>
      <c r="JO279" s="645"/>
      <c r="JP279" s="645"/>
      <c r="JQ279" s="645"/>
      <c r="JR279" s="645"/>
      <c r="JS279" s="645"/>
      <c r="JT279" s="645"/>
      <c r="JU279" s="645"/>
      <c r="JV279" s="653"/>
    </row>
    <row r="280" spans="1:282" s="612" customFormat="1">
      <c r="A280" s="611"/>
      <c r="U280" s="613"/>
      <c r="V280" s="613"/>
      <c r="AC280" s="613"/>
      <c r="AD280" s="613"/>
      <c r="AL280" s="613"/>
      <c r="AM280" s="613"/>
      <c r="AT280" s="613"/>
      <c r="AU280" s="613"/>
      <c r="CH280" s="611"/>
      <c r="CI280" s="611"/>
      <c r="CO280" s="695"/>
      <c r="CP280" s="645"/>
      <c r="CQ280" s="618"/>
      <c r="CR280" s="618"/>
      <c r="CS280" s="618"/>
      <c r="CT280" s="626"/>
      <c r="CU280" s="626"/>
      <c r="CV280" s="626"/>
      <c r="CW280" s="646"/>
      <c r="CX280" s="646"/>
      <c r="CY280" s="625"/>
      <c r="CZ280" s="625"/>
      <c r="DA280" s="625"/>
      <c r="DB280" s="625"/>
      <c r="DC280" s="645"/>
      <c r="DD280" s="645"/>
      <c r="DE280" s="645"/>
      <c r="DF280" s="645"/>
      <c r="DG280" s="645"/>
      <c r="DH280" s="645"/>
      <c r="DI280" s="645"/>
      <c r="DJ280" s="645"/>
      <c r="DK280" s="645"/>
      <c r="DL280" s="645"/>
      <c r="DM280" s="645"/>
      <c r="DN280" s="645"/>
      <c r="DO280" s="645"/>
      <c r="DP280" s="645"/>
      <c r="DQ280" s="645"/>
      <c r="DR280" s="645"/>
      <c r="DS280" s="645"/>
      <c r="DT280" s="645"/>
      <c r="DU280" s="645"/>
      <c r="DV280" s="645"/>
      <c r="DW280" s="645"/>
      <c r="DX280" s="645"/>
      <c r="DY280" s="645"/>
      <c r="DZ280" s="645"/>
      <c r="EA280" s="645"/>
      <c r="EB280" s="645"/>
      <c r="EC280" s="645"/>
      <c r="ED280" s="645"/>
      <c r="EE280" s="645"/>
      <c r="EF280" s="645"/>
      <c r="EG280" s="645"/>
      <c r="EH280" s="645"/>
      <c r="EI280" s="645"/>
      <c r="EJ280" s="645"/>
      <c r="EK280" s="645"/>
      <c r="EL280" s="645"/>
      <c r="EM280" s="645"/>
      <c r="EN280" s="645"/>
      <c r="EO280" s="645"/>
      <c r="EP280" s="645"/>
      <c r="EQ280" s="645"/>
      <c r="ER280" s="645"/>
      <c r="ES280" s="645"/>
      <c r="ET280" s="645"/>
      <c r="EU280" s="645"/>
      <c r="EV280" s="645"/>
      <c r="EW280" s="645"/>
      <c r="EX280" s="645"/>
      <c r="EY280" s="645"/>
      <c r="EZ280" s="645"/>
      <c r="FA280" s="645"/>
      <c r="FB280" s="645"/>
      <c r="FC280" s="645"/>
      <c r="FD280" s="645"/>
      <c r="FE280" s="645"/>
      <c r="FF280" s="645"/>
      <c r="FG280" s="645"/>
      <c r="FH280" s="645"/>
      <c r="FI280" s="645"/>
      <c r="FJ280" s="645"/>
      <c r="FK280" s="645"/>
      <c r="FL280" s="645"/>
      <c r="FM280" s="645"/>
      <c r="FN280" s="645"/>
      <c r="FO280" s="645"/>
      <c r="FP280" s="645"/>
      <c r="FQ280" s="645"/>
      <c r="FR280" s="645"/>
      <c r="FS280" s="645"/>
      <c r="FT280" s="645"/>
      <c r="FU280" s="645"/>
      <c r="FV280" s="645"/>
      <c r="FW280" s="645"/>
      <c r="FX280" s="645"/>
      <c r="FY280" s="645"/>
      <c r="FZ280" s="645"/>
      <c r="GA280" s="645"/>
      <c r="GB280" s="645"/>
      <c r="GC280" s="645"/>
      <c r="GD280" s="645"/>
      <c r="GE280" s="645"/>
      <c r="GF280" s="645"/>
      <c r="GG280" s="645"/>
      <c r="GH280" s="645"/>
      <c r="GI280" s="645"/>
      <c r="GJ280" s="645"/>
      <c r="GK280" s="645"/>
      <c r="GL280" s="645"/>
      <c r="GM280" s="645"/>
      <c r="GN280" s="645"/>
      <c r="GO280" s="645"/>
      <c r="GP280" s="645"/>
      <c r="GQ280" s="645"/>
      <c r="GR280" s="645"/>
      <c r="GS280" s="645"/>
      <c r="GT280" s="645"/>
      <c r="GU280" s="645"/>
      <c r="GV280" s="645"/>
      <c r="GW280" s="645"/>
      <c r="GX280" s="645"/>
      <c r="GY280" s="645"/>
      <c r="GZ280" s="645"/>
      <c r="HA280" s="645"/>
      <c r="HB280" s="645"/>
      <c r="HC280" s="645"/>
      <c r="HD280" s="645"/>
      <c r="HE280" s="645"/>
      <c r="HF280" s="645"/>
      <c r="HG280" s="645"/>
      <c r="HH280" s="645"/>
      <c r="HI280" s="645"/>
      <c r="HJ280" s="645"/>
      <c r="HK280" s="645"/>
      <c r="HL280" s="645"/>
      <c r="HM280" s="645"/>
      <c r="HN280" s="645"/>
      <c r="HO280" s="645"/>
      <c r="HP280" s="645"/>
      <c r="HQ280" s="645"/>
      <c r="HR280" s="645">
        <v>0.13850000000000001</v>
      </c>
      <c r="HS280" s="645">
        <f t="shared" si="794"/>
        <v>929.92857142857144</v>
      </c>
      <c r="HT280" s="645">
        <f t="shared" si="795"/>
        <v>1</v>
      </c>
      <c r="HU280" s="618">
        <f t="shared" si="796"/>
        <v>3.5282554044858525</v>
      </c>
      <c r="HV280" s="618"/>
      <c r="HW280" s="618">
        <f t="shared" si="781"/>
        <v>30.98987732563009</v>
      </c>
      <c r="HX280" s="618">
        <f t="shared" si="797"/>
        <v>3.2818552858897205</v>
      </c>
      <c r="HY280" s="618">
        <f t="shared" si="798"/>
        <v>0.13850000000000001</v>
      </c>
      <c r="HZ280" s="618"/>
      <c r="IA280" s="618"/>
      <c r="IB280" s="618">
        <f t="shared" si="782"/>
        <v>25.000350341399081</v>
      </c>
      <c r="IC280" s="618">
        <f t="shared" si="783"/>
        <v>1E-3</v>
      </c>
      <c r="ID280" s="618"/>
      <c r="IE280" s="618">
        <f t="shared" si="784"/>
        <v>0</v>
      </c>
      <c r="IF280" s="618">
        <f t="shared" si="785"/>
        <v>40.704999999999998</v>
      </c>
      <c r="IG280" s="618"/>
      <c r="IH280" s="618">
        <f t="shared" si="786"/>
        <v>0</v>
      </c>
      <c r="II280" s="618">
        <f t="shared" si="787"/>
        <v>40.704999999999998</v>
      </c>
      <c r="IJ280" s="618"/>
      <c r="IK280" s="618">
        <f t="shared" si="788"/>
        <v>0</v>
      </c>
      <c r="IL280" s="618">
        <f t="shared" si="789"/>
        <v>40.704999999999998</v>
      </c>
      <c r="IM280" s="618"/>
      <c r="IN280" s="618">
        <f t="shared" si="790"/>
        <v>0</v>
      </c>
      <c r="IO280" s="618">
        <f t="shared" si="791"/>
        <v>40.704999999999998</v>
      </c>
      <c r="IP280" s="618"/>
      <c r="IQ280" s="618">
        <f t="shared" si="792"/>
        <v>0</v>
      </c>
      <c r="IR280" s="618">
        <f t="shared" si="793"/>
        <v>40.704999999999998</v>
      </c>
      <c r="IS280" s="645"/>
      <c r="IT280" s="645"/>
      <c r="IU280" s="645"/>
      <c r="IV280" s="645"/>
      <c r="IW280" s="645"/>
      <c r="IX280" s="645"/>
      <c r="IY280" s="645"/>
      <c r="IZ280" s="645"/>
      <c r="JA280" s="645"/>
      <c r="JB280" s="645"/>
      <c r="JC280" s="645"/>
      <c r="JD280" s="645"/>
      <c r="JE280" s="645"/>
      <c r="JF280" s="645"/>
      <c r="JG280" s="645"/>
      <c r="JH280" s="645"/>
      <c r="JI280" s="645"/>
      <c r="JJ280" s="645"/>
      <c r="JK280" s="645"/>
      <c r="JL280" s="645"/>
      <c r="JM280" s="645"/>
      <c r="JN280" s="645"/>
      <c r="JO280" s="645"/>
      <c r="JP280" s="645"/>
      <c r="JQ280" s="645"/>
      <c r="JR280" s="645"/>
      <c r="JS280" s="645"/>
      <c r="JT280" s="645"/>
      <c r="JU280" s="645"/>
      <c r="JV280" s="653"/>
    </row>
    <row r="281" spans="1:282" s="612" customFormat="1">
      <c r="A281" s="611"/>
      <c r="U281" s="613"/>
      <c r="V281" s="613"/>
      <c r="AC281" s="613"/>
      <c r="AD281" s="613"/>
      <c r="AL281" s="613"/>
      <c r="AM281" s="613"/>
      <c r="AT281" s="613"/>
      <c r="AU281" s="613"/>
      <c r="CH281" s="611"/>
      <c r="CI281" s="611"/>
      <c r="CO281" s="695"/>
      <c r="CP281" s="645"/>
      <c r="CQ281" s="618"/>
      <c r="CR281" s="618"/>
      <c r="CS281" s="618"/>
      <c r="CT281" s="626"/>
      <c r="CU281" s="626"/>
      <c r="CV281" s="626"/>
      <c r="CW281" s="646"/>
      <c r="CX281" s="646"/>
      <c r="CY281" s="625"/>
      <c r="CZ281" s="625"/>
      <c r="DA281" s="625"/>
      <c r="DB281" s="625"/>
      <c r="DC281" s="645"/>
      <c r="DD281" s="645"/>
      <c r="DE281" s="645"/>
      <c r="DF281" s="645"/>
      <c r="DG281" s="645"/>
      <c r="DH281" s="645"/>
      <c r="DI281" s="645"/>
      <c r="DJ281" s="645"/>
      <c r="DK281" s="645"/>
      <c r="DL281" s="645"/>
      <c r="DM281" s="645"/>
      <c r="DN281" s="645"/>
      <c r="DO281" s="645"/>
      <c r="DP281" s="645"/>
      <c r="DQ281" s="645"/>
      <c r="DR281" s="645"/>
      <c r="DS281" s="645"/>
      <c r="DT281" s="645"/>
      <c r="DU281" s="645"/>
      <c r="DV281" s="645"/>
      <c r="DW281" s="645"/>
      <c r="DX281" s="645"/>
      <c r="DY281" s="645"/>
      <c r="DZ281" s="645"/>
      <c r="EA281" s="645"/>
      <c r="EB281" s="645"/>
      <c r="EC281" s="645"/>
      <c r="ED281" s="645"/>
      <c r="EE281" s="645"/>
      <c r="EF281" s="645"/>
      <c r="EG281" s="645"/>
      <c r="EH281" s="645"/>
      <c r="EI281" s="645"/>
      <c r="EJ281" s="645"/>
      <c r="EK281" s="645"/>
      <c r="EL281" s="645"/>
      <c r="EM281" s="645"/>
      <c r="EN281" s="645"/>
      <c r="EO281" s="645"/>
      <c r="EP281" s="645"/>
      <c r="EQ281" s="645"/>
      <c r="ER281" s="645"/>
      <c r="ES281" s="645"/>
      <c r="ET281" s="645"/>
      <c r="EU281" s="645"/>
      <c r="EV281" s="645"/>
      <c r="EW281" s="645"/>
      <c r="EX281" s="645"/>
      <c r="EY281" s="645"/>
      <c r="EZ281" s="645"/>
      <c r="FA281" s="645"/>
      <c r="FB281" s="645"/>
      <c r="FC281" s="645"/>
      <c r="FD281" s="645"/>
      <c r="FE281" s="645"/>
      <c r="FF281" s="645"/>
      <c r="FG281" s="645"/>
      <c r="FH281" s="645"/>
      <c r="FI281" s="645"/>
      <c r="FJ281" s="645"/>
      <c r="FK281" s="645"/>
      <c r="FL281" s="645"/>
      <c r="FM281" s="645"/>
      <c r="FN281" s="645"/>
      <c r="FO281" s="645"/>
      <c r="FP281" s="645"/>
      <c r="FQ281" s="645"/>
      <c r="FR281" s="645"/>
      <c r="FS281" s="645"/>
      <c r="FT281" s="645"/>
      <c r="FU281" s="645"/>
      <c r="FV281" s="645"/>
      <c r="FW281" s="645"/>
      <c r="FX281" s="645"/>
      <c r="FY281" s="645"/>
      <c r="FZ281" s="645"/>
      <c r="GA281" s="645"/>
      <c r="GB281" s="645"/>
      <c r="GC281" s="645"/>
      <c r="GD281" s="645"/>
      <c r="GE281" s="645"/>
      <c r="GF281" s="645"/>
      <c r="GG281" s="645"/>
      <c r="GH281" s="645"/>
      <c r="GI281" s="645"/>
      <c r="GJ281" s="645"/>
      <c r="GK281" s="645"/>
      <c r="GL281" s="645"/>
      <c r="GM281" s="645"/>
      <c r="GN281" s="645"/>
      <c r="GO281" s="645"/>
      <c r="GP281" s="645"/>
      <c r="GQ281" s="645"/>
      <c r="GR281" s="645"/>
      <c r="GS281" s="645"/>
      <c r="GT281" s="645"/>
      <c r="GU281" s="645"/>
      <c r="GV281" s="645"/>
      <c r="GW281" s="645"/>
      <c r="GX281" s="645"/>
      <c r="GY281" s="645"/>
      <c r="GZ281" s="645"/>
      <c r="HA281" s="645"/>
      <c r="HB281" s="645"/>
      <c r="HC281" s="645"/>
      <c r="HD281" s="645"/>
      <c r="HE281" s="645"/>
      <c r="HF281" s="645"/>
      <c r="HG281" s="645"/>
      <c r="HH281" s="645"/>
      <c r="HI281" s="645"/>
      <c r="HJ281" s="645"/>
      <c r="HK281" s="645"/>
      <c r="HL281" s="645"/>
      <c r="HM281" s="645"/>
      <c r="HN281" s="645"/>
      <c r="HO281" s="645"/>
      <c r="HP281" s="645"/>
      <c r="HQ281" s="645"/>
      <c r="HR281" s="645">
        <v>0.13900000000000001</v>
      </c>
      <c r="HS281" s="645">
        <f t="shared" si="794"/>
        <v>933.28571428571433</v>
      </c>
      <c r="HT281" s="645">
        <f t="shared" si="795"/>
        <v>1</v>
      </c>
      <c r="HU281" s="618">
        <f t="shared" si="796"/>
        <v>3.5409944484594775</v>
      </c>
      <c r="HV281" s="618"/>
      <c r="HW281" s="618">
        <f t="shared" si="781"/>
        <v>30.971787883187542</v>
      </c>
      <c r="HX281" s="618">
        <f t="shared" si="797"/>
        <v>3.292815034994879</v>
      </c>
      <c r="HY281" s="618">
        <f t="shared" si="798"/>
        <v>0.13900000000000001</v>
      </c>
      <c r="HZ281" s="618"/>
      <c r="IA281" s="618"/>
      <c r="IB281" s="618">
        <f t="shared" si="782"/>
        <v>25.000350341399081</v>
      </c>
      <c r="IC281" s="618">
        <f t="shared" si="783"/>
        <v>1E-3</v>
      </c>
      <c r="ID281" s="618"/>
      <c r="IE281" s="618">
        <f t="shared" si="784"/>
        <v>0</v>
      </c>
      <c r="IF281" s="618">
        <f t="shared" si="785"/>
        <v>40.704999999999998</v>
      </c>
      <c r="IG281" s="618"/>
      <c r="IH281" s="618">
        <f t="shared" si="786"/>
        <v>0</v>
      </c>
      <c r="II281" s="618">
        <f t="shared" si="787"/>
        <v>40.704999999999998</v>
      </c>
      <c r="IJ281" s="618"/>
      <c r="IK281" s="618">
        <f t="shared" si="788"/>
        <v>0</v>
      </c>
      <c r="IL281" s="618">
        <f t="shared" si="789"/>
        <v>40.704999999999998</v>
      </c>
      <c r="IM281" s="618"/>
      <c r="IN281" s="618">
        <f t="shared" si="790"/>
        <v>0</v>
      </c>
      <c r="IO281" s="618">
        <f t="shared" si="791"/>
        <v>40.704999999999998</v>
      </c>
      <c r="IP281" s="618"/>
      <c r="IQ281" s="618">
        <f t="shared" si="792"/>
        <v>0</v>
      </c>
      <c r="IR281" s="618">
        <f t="shared" si="793"/>
        <v>40.704999999999998</v>
      </c>
      <c r="IS281" s="645"/>
      <c r="IT281" s="645"/>
      <c r="IU281" s="645"/>
      <c r="IV281" s="645"/>
      <c r="IW281" s="645"/>
      <c r="IX281" s="645"/>
      <c r="IY281" s="645"/>
      <c r="IZ281" s="645"/>
      <c r="JA281" s="645"/>
      <c r="JB281" s="645"/>
      <c r="JC281" s="645"/>
      <c r="JD281" s="645"/>
      <c r="JE281" s="645"/>
      <c r="JF281" s="645"/>
      <c r="JG281" s="645"/>
      <c r="JH281" s="645"/>
      <c r="JI281" s="645"/>
      <c r="JJ281" s="645"/>
      <c r="JK281" s="645"/>
      <c r="JL281" s="645"/>
      <c r="JM281" s="645"/>
      <c r="JN281" s="645"/>
      <c r="JO281" s="645"/>
      <c r="JP281" s="645"/>
      <c r="JQ281" s="645"/>
      <c r="JR281" s="645"/>
      <c r="JS281" s="645"/>
      <c r="JT281" s="645"/>
      <c r="JU281" s="645"/>
      <c r="JV281" s="653"/>
    </row>
    <row r="282" spans="1:282" s="612" customFormat="1">
      <c r="A282" s="611"/>
      <c r="U282" s="613"/>
      <c r="V282" s="613"/>
      <c r="AC282" s="613"/>
      <c r="AD282" s="613"/>
      <c r="AL282" s="613"/>
      <c r="AM282" s="613"/>
      <c r="AT282" s="613"/>
      <c r="AU282" s="613"/>
      <c r="CH282" s="611"/>
      <c r="CI282" s="611"/>
      <c r="CO282" s="695"/>
      <c r="CP282" s="645"/>
      <c r="CQ282" s="618"/>
      <c r="CR282" s="618"/>
      <c r="CS282" s="618"/>
      <c r="CT282" s="626"/>
      <c r="CU282" s="626"/>
      <c r="CV282" s="626"/>
      <c r="CW282" s="646"/>
      <c r="CX282" s="646"/>
      <c r="CY282" s="625"/>
      <c r="CZ282" s="625"/>
      <c r="DA282" s="625"/>
      <c r="DB282" s="625"/>
      <c r="DC282" s="645"/>
      <c r="DD282" s="645"/>
      <c r="DE282" s="645"/>
      <c r="DF282" s="645"/>
      <c r="DG282" s="645"/>
      <c r="DH282" s="645"/>
      <c r="DI282" s="645"/>
      <c r="DJ282" s="645"/>
      <c r="DK282" s="645"/>
      <c r="DL282" s="645"/>
      <c r="DM282" s="645"/>
      <c r="DN282" s="645"/>
      <c r="DO282" s="645"/>
      <c r="DP282" s="645"/>
      <c r="DQ282" s="645"/>
      <c r="DR282" s="645"/>
      <c r="DS282" s="645"/>
      <c r="DT282" s="645"/>
      <c r="DU282" s="645"/>
      <c r="DV282" s="645"/>
      <c r="DW282" s="645"/>
      <c r="DX282" s="645"/>
      <c r="DY282" s="645"/>
      <c r="DZ282" s="645"/>
      <c r="EA282" s="645"/>
      <c r="EB282" s="645"/>
      <c r="EC282" s="645"/>
      <c r="ED282" s="645"/>
      <c r="EE282" s="645"/>
      <c r="EF282" s="645"/>
      <c r="EG282" s="645"/>
      <c r="EH282" s="645"/>
      <c r="EI282" s="645"/>
      <c r="EJ282" s="645"/>
      <c r="EK282" s="645"/>
      <c r="EL282" s="645"/>
      <c r="EM282" s="645"/>
      <c r="EN282" s="645"/>
      <c r="EO282" s="645"/>
      <c r="EP282" s="645"/>
      <c r="EQ282" s="645"/>
      <c r="ER282" s="645"/>
      <c r="ES282" s="645"/>
      <c r="ET282" s="645"/>
      <c r="EU282" s="645"/>
      <c r="EV282" s="645"/>
      <c r="EW282" s="645"/>
      <c r="EX282" s="645"/>
      <c r="EY282" s="645"/>
      <c r="EZ282" s="645"/>
      <c r="FA282" s="645"/>
      <c r="FB282" s="645"/>
      <c r="FC282" s="645"/>
      <c r="FD282" s="645"/>
      <c r="FE282" s="645"/>
      <c r="FF282" s="645"/>
      <c r="FG282" s="645"/>
      <c r="FH282" s="645"/>
      <c r="FI282" s="645"/>
      <c r="FJ282" s="645"/>
      <c r="FK282" s="645"/>
      <c r="FL282" s="645"/>
      <c r="FM282" s="645"/>
      <c r="FN282" s="645"/>
      <c r="FO282" s="645"/>
      <c r="FP282" s="645"/>
      <c r="FQ282" s="645"/>
      <c r="FR282" s="645"/>
      <c r="FS282" s="645"/>
      <c r="FT282" s="645"/>
      <c r="FU282" s="645"/>
      <c r="FV282" s="645"/>
      <c r="FW282" s="645"/>
      <c r="FX282" s="645"/>
      <c r="FY282" s="645"/>
      <c r="FZ282" s="645"/>
      <c r="GA282" s="645"/>
      <c r="GB282" s="645"/>
      <c r="GC282" s="645"/>
      <c r="GD282" s="645"/>
      <c r="GE282" s="645"/>
      <c r="GF282" s="645"/>
      <c r="GG282" s="645"/>
      <c r="GH282" s="645"/>
      <c r="GI282" s="645"/>
      <c r="GJ282" s="645"/>
      <c r="GK282" s="645"/>
      <c r="GL282" s="645"/>
      <c r="GM282" s="645"/>
      <c r="GN282" s="645"/>
      <c r="GO282" s="645"/>
      <c r="GP282" s="645"/>
      <c r="GQ282" s="645"/>
      <c r="GR282" s="645"/>
      <c r="GS282" s="645"/>
      <c r="GT282" s="645"/>
      <c r="GU282" s="645"/>
      <c r="GV282" s="645"/>
      <c r="GW282" s="645"/>
      <c r="GX282" s="645"/>
      <c r="GY282" s="645"/>
      <c r="GZ282" s="645"/>
      <c r="HA282" s="645"/>
      <c r="HB282" s="645"/>
      <c r="HC282" s="645"/>
      <c r="HD282" s="645"/>
      <c r="HE282" s="645"/>
      <c r="HF282" s="645"/>
      <c r="HG282" s="645"/>
      <c r="HH282" s="645"/>
      <c r="HI282" s="645"/>
      <c r="HJ282" s="645"/>
      <c r="HK282" s="645"/>
      <c r="HL282" s="645"/>
      <c r="HM282" s="645"/>
      <c r="HN282" s="645"/>
      <c r="HO282" s="645"/>
      <c r="HP282" s="645"/>
      <c r="HQ282" s="645"/>
      <c r="HR282" s="645">
        <v>0.13950000000000001</v>
      </c>
      <c r="HS282" s="645">
        <f t="shared" si="794"/>
        <v>936.64285714285722</v>
      </c>
      <c r="HT282" s="645">
        <f t="shared" si="795"/>
        <v>1</v>
      </c>
      <c r="HU282" s="618">
        <f t="shared" si="796"/>
        <v>3.5537334924331025</v>
      </c>
      <c r="HV282" s="618"/>
      <c r="HW282" s="618">
        <f t="shared" si="781"/>
        <v>30.953698440744994</v>
      </c>
      <c r="HX282" s="618">
        <f t="shared" si="797"/>
        <v>3.3037683829277396</v>
      </c>
      <c r="HY282" s="618">
        <f t="shared" si="798"/>
        <v>0.13950000000000001</v>
      </c>
      <c r="HZ282" s="618"/>
      <c r="IA282" s="618"/>
      <c r="IB282" s="618">
        <f t="shared" si="782"/>
        <v>25.000350341399081</v>
      </c>
      <c r="IC282" s="618">
        <f t="shared" si="783"/>
        <v>1E-3</v>
      </c>
      <c r="ID282" s="618"/>
      <c r="IE282" s="618">
        <f t="shared" si="784"/>
        <v>0</v>
      </c>
      <c r="IF282" s="618">
        <f t="shared" si="785"/>
        <v>40.704999999999998</v>
      </c>
      <c r="IG282" s="618"/>
      <c r="IH282" s="618">
        <f t="shared" si="786"/>
        <v>0</v>
      </c>
      <c r="II282" s="618">
        <f t="shared" si="787"/>
        <v>40.704999999999998</v>
      </c>
      <c r="IJ282" s="618"/>
      <c r="IK282" s="618">
        <f t="shared" si="788"/>
        <v>0</v>
      </c>
      <c r="IL282" s="618">
        <f t="shared" si="789"/>
        <v>40.704999999999998</v>
      </c>
      <c r="IM282" s="618"/>
      <c r="IN282" s="618">
        <f t="shared" si="790"/>
        <v>0</v>
      </c>
      <c r="IO282" s="618">
        <f t="shared" si="791"/>
        <v>40.704999999999998</v>
      </c>
      <c r="IP282" s="618"/>
      <c r="IQ282" s="618">
        <f t="shared" si="792"/>
        <v>0</v>
      </c>
      <c r="IR282" s="618">
        <f t="shared" si="793"/>
        <v>40.704999999999998</v>
      </c>
      <c r="IS282" s="645"/>
      <c r="IT282" s="645"/>
      <c r="IU282" s="645"/>
      <c r="IV282" s="645"/>
      <c r="IW282" s="645"/>
      <c r="IX282" s="645"/>
      <c r="IY282" s="645"/>
      <c r="IZ282" s="645"/>
      <c r="JA282" s="645"/>
      <c r="JB282" s="645"/>
      <c r="JC282" s="645"/>
      <c r="JD282" s="645"/>
      <c r="JE282" s="645"/>
      <c r="JF282" s="645"/>
      <c r="JG282" s="645"/>
      <c r="JH282" s="645"/>
      <c r="JI282" s="645"/>
      <c r="JJ282" s="645"/>
      <c r="JK282" s="645"/>
      <c r="JL282" s="645"/>
      <c r="JM282" s="645"/>
      <c r="JN282" s="645"/>
      <c r="JO282" s="645"/>
      <c r="JP282" s="645"/>
      <c r="JQ282" s="645"/>
      <c r="JR282" s="645"/>
      <c r="JS282" s="645"/>
      <c r="JT282" s="645"/>
      <c r="JU282" s="645"/>
      <c r="JV282" s="653"/>
    </row>
    <row r="283" spans="1:282" s="612" customFormat="1">
      <c r="A283" s="611"/>
      <c r="U283" s="613"/>
      <c r="V283" s="613"/>
      <c r="AC283" s="613"/>
      <c r="AD283" s="613"/>
      <c r="AL283" s="613"/>
      <c r="AM283" s="613"/>
      <c r="AT283" s="613"/>
      <c r="AU283" s="613"/>
      <c r="CH283" s="611"/>
      <c r="CI283" s="611"/>
      <c r="CO283" s="695"/>
      <c r="CP283" s="645"/>
      <c r="CQ283" s="618"/>
      <c r="CR283" s="618"/>
      <c r="CS283" s="618"/>
      <c r="CT283" s="626"/>
      <c r="CU283" s="626"/>
      <c r="CV283" s="626"/>
      <c r="CW283" s="646"/>
      <c r="CX283" s="646"/>
      <c r="CY283" s="625"/>
      <c r="CZ283" s="625"/>
      <c r="DA283" s="625"/>
      <c r="DB283" s="625"/>
      <c r="DC283" s="645"/>
      <c r="DD283" s="645"/>
      <c r="DE283" s="645"/>
      <c r="DF283" s="645"/>
      <c r="DG283" s="645"/>
      <c r="DH283" s="645"/>
      <c r="DI283" s="645"/>
      <c r="DJ283" s="645"/>
      <c r="DK283" s="645"/>
      <c r="DL283" s="645"/>
      <c r="DM283" s="645"/>
      <c r="DN283" s="645"/>
      <c r="DO283" s="645"/>
      <c r="DP283" s="645"/>
      <c r="DQ283" s="645"/>
      <c r="DR283" s="645"/>
      <c r="DS283" s="645"/>
      <c r="DT283" s="645"/>
      <c r="DU283" s="645"/>
      <c r="DV283" s="645"/>
      <c r="DW283" s="645"/>
      <c r="DX283" s="645"/>
      <c r="DY283" s="645"/>
      <c r="DZ283" s="645"/>
      <c r="EA283" s="645"/>
      <c r="EB283" s="645"/>
      <c r="EC283" s="645"/>
      <c r="ED283" s="645"/>
      <c r="EE283" s="645"/>
      <c r="EF283" s="645"/>
      <c r="EG283" s="645"/>
      <c r="EH283" s="645"/>
      <c r="EI283" s="645"/>
      <c r="EJ283" s="645"/>
      <c r="EK283" s="645"/>
      <c r="EL283" s="645"/>
      <c r="EM283" s="645"/>
      <c r="EN283" s="645"/>
      <c r="EO283" s="645"/>
      <c r="EP283" s="645"/>
      <c r="EQ283" s="645"/>
      <c r="ER283" s="645"/>
      <c r="ES283" s="645"/>
      <c r="ET283" s="645"/>
      <c r="EU283" s="645"/>
      <c r="EV283" s="645"/>
      <c r="EW283" s="645"/>
      <c r="EX283" s="645"/>
      <c r="EY283" s="645"/>
      <c r="EZ283" s="645"/>
      <c r="FA283" s="645"/>
      <c r="FB283" s="645"/>
      <c r="FC283" s="645"/>
      <c r="FD283" s="645"/>
      <c r="FE283" s="645"/>
      <c r="FF283" s="645"/>
      <c r="FG283" s="645"/>
      <c r="FH283" s="645"/>
      <c r="FI283" s="645"/>
      <c r="FJ283" s="645"/>
      <c r="FK283" s="645"/>
      <c r="FL283" s="645"/>
      <c r="FM283" s="645"/>
      <c r="FN283" s="645"/>
      <c r="FO283" s="645"/>
      <c r="FP283" s="645"/>
      <c r="FQ283" s="645"/>
      <c r="FR283" s="645"/>
      <c r="FS283" s="645"/>
      <c r="FT283" s="645"/>
      <c r="FU283" s="645"/>
      <c r="FV283" s="645"/>
      <c r="FW283" s="645"/>
      <c r="FX283" s="645"/>
      <c r="FY283" s="645"/>
      <c r="FZ283" s="645"/>
      <c r="GA283" s="645"/>
      <c r="GB283" s="645"/>
      <c r="GC283" s="645"/>
      <c r="GD283" s="645"/>
      <c r="GE283" s="645"/>
      <c r="GF283" s="645"/>
      <c r="GG283" s="645"/>
      <c r="GH283" s="645"/>
      <c r="GI283" s="645"/>
      <c r="GJ283" s="645"/>
      <c r="GK283" s="645"/>
      <c r="GL283" s="645"/>
      <c r="GM283" s="645"/>
      <c r="GN283" s="645"/>
      <c r="GO283" s="645"/>
      <c r="GP283" s="645"/>
      <c r="GQ283" s="645"/>
      <c r="GR283" s="645"/>
      <c r="GS283" s="645"/>
      <c r="GT283" s="645"/>
      <c r="GU283" s="645"/>
      <c r="GV283" s="645"/>
      <c r="GW283" s="645"/>
      <c r="GX283" s="645"/>
      <c r="GY283" s="645"/>
      <c r="GZ283" s="645"/>
      <c r="HA283" s="645"/>
      <c r="HB283" s="645"/>
      <c r="HC283" s="645"/>
      <c r="HD283" s="645"/>
      <c r="HE283" s="645"/>
      <c r="HF283" s="645"/>
      <c r="HG283" s="645"/>
      <c r="HH283" s="645"/>
      <c r="HI283" s="645"/>
      <c r="HJ283" s="645"/>
      <c r="HK283" s="645"/>
      <c r="HL283" s="645"/>
      <c r="HM283" s="645"/>
      <c r="HN283" s="645"/>
      <c r="HO283" s="645"/>
      <c r="HP283" s="645"/>
      <c r="HQ283" s="645"/>
      <c r="HR283" s="645">
        <v>0.14000000000000001</v>
      </c>
      <c r="HS283" s="645">
        <f t="shared" si="794"/>
        <v>940.00000000000011</v>
      </c>
      <c r="HT283" s="645">
        <f t="shared" si="795"/>
        <v>1</v>
      </c>
      <c r="HU283" s="618">
        <f t="shared" si="796"/>
        <v>3.5664725364067276</v>
      </c>
      <c r="HV283" s="618"/>
      <c r="HW283" s="618">
        <f t="shared" si="781"/>
        <v>30.935608998302449</v>
      </c>
      <c r="HX283" s="618">
        <f t="shared" si="797"/>
        <v>3.3147153296883016</v>
      </c>
      <c r="HY283" s="618">
        <f t="shared" si="798"/>
        <v>0.14000000000000001</v>
      </c>
      <c r="HZ283" s="618"/>
      <c r="IA283" s="618"/>
      <c r="IB283" s="618">
        <f t="shared" si="782"/>
        <v>25.000350341399081</v>
      </c>
      <c r="IC283" s="618">
        <f t="shared" si="783"/>
        <v>1E-3</v>
      </c>
      <c r="ID283" s="618"/>
      <c r="IE283" s="618">
        <f t="shared" si="784"/>
        <v>0</v>
      </c>
      <c r="IF283" s="618">
        <f t="shared" si="785"/>
        <v>40.704999999999998</v>
      </c>
      <c r="IG283" s="618"/>
      <c r="IH283" s="618">
        <f t="shared" si="786"/>
        <v>0</v>
      </c>
      <c r="II283" s="618">
        <f t="shared" si="787"/>
        <v>40.704999999999998</v>
      </c>
      <c r="IJ283" s="618"/>
      <c r="IK283" s="618">
        <f t="shared" si="788"/>
        <v>0</v>
      </c>
      <c r="IL283" s="618">
        <f t="shared" si="789"/>
        <v>40.704999999999998</v>
      </c>
      <c r="IM283" s="618"/>
      <c r="IN283" s="618">
        <f t="shared" si="790"/>
        <v>0</v>
      </c>
      <c r="IO283" s="618">
        <f t="shared" si="791"/>
        <v>40.704999999999998</v>
      </c>
      <c r="IP283" s="618"/>
      <c r="IQ283" s="618">
        <f t="shared" si="792"/>
        <v>0</v>
      </c>
      <c r="IR283" s="618">
        <f t="shared" si="793"/>
        <v>40.704999999999998</v>
      </c>
      <c r="IS283" s="645"/>
      <c r="IT283" s="645"/>
      <c r="IU283" s="645"/>
      <c r="IV283" s="645"/>
      <c r="IW283" s="645"/>
      <c r="IX283" s="645"/>
      <c r="IY283" s="645"/>
      <c r="IZ283" s="645"/>
      <c r="JA283" s="645"/>
      <c r="JB283" s="645"/>
      <c r="JC283" s="645"/>
      <c r="JD283" s="645"/>
      <c r="JE283" s="645"/>
      <c r="JF283" s="645"/>
      <c r="JG283" s="645"/>
      <c r="JH283" s="645"/>
      <c r="JI283" s="645"/>
      <c r="JJ283" s="645"/>
      <c r="JK283" s="645"/>
      <c r="JL283" s="645"/>
      <c r="JM283" s="645"/>
      <c r="JN283" s="645"/>
      <c r="JO283" s="645"/>
      <c r="JP283" s="645"/>
      <c r="JQ283" s="645"/>
      <c r="JR283" s="645"/>
      <c r="JS283" s="645"/>
      <c r="JT283" s="645"/>
      <c r="JU283" s="645"/>
      <c r="JV283" s="653"/>
    </row>
    <row r="284" spans="1:282" s="612" customFormat="1">
      <c r="A284" s="611"/>
      <c r="U284" s="613"/>
      <c r="V284" s="613"/>
      <c r="AC284" s="613"/>
      <c r="AD284" s="613"/>
      <c r="AL284" s="613"/>
      <c r="AM284" s="613"/>
      <c r="AT284" s="613"/>
      <c r="AU284" s="613"/>
      <c r="CH284" s="611"/>
      <c r="CI284" s="611"/>
      <c r="CO284" s="695"/>
      <c r="CP284" s="645"/>
      <c r="CQ284" s="618"/>
      <c r="CR284" s="618"/>
      <c r="CS284" s="618"/>
      <c r="CT284" s="626"/>
      <c r="CU284" s="626"/>
      <c r="CV284" s="626"/>
      <c r="CW284" s="646"/>
      <c r="CX284" s="646"/>
      <c r="CY284" s="625"/>
      <c r="CZ284" s="625"/>
      <c r="DA284" s="625"/>
      <c r="DB284" s="625"/>
      <c r="DC284" s="645"/>
      <c r="DD284" s="645"/>
      <c r="DE284" s="645"/>
      <c r="DF284" s="645"/>
      <c r="DG284" s="645"/>
      <c r="DH284" s="645"/>
      <c r="DI284" s="645"/>
      <c r="DJ284" s="645"/>
      <c r="DK284" s="645"/>
      <c r="DL284" s="645"/>
      <c r="DM284" s="645"/>
      <c r="DN284" s="645"/>
      <c r="DO284" s="645"/>
      <c r="DP284" s="645"/>
      <c r="DQ284" s="645"/>
      <c r="DR284" s="645"/>
      <c r="DS284" s="645"/>
      <c r="DT284" s="645"/>
      <c r="DU284" s="645"/>
      <c r="DV284" s="645"/>
      <c r="DW284" s="645"/>
      <c r="DX284" s="645"/>
      <c r="DY284" s="645"/>
      <c r="DZ284" s="645"/>
      <c r="EA284" s="645"/>
      <c r="EB284" s="645"/>
      <c r="EC284" s="645"/>
      <c r="ED284" s="645"/>
      <c r="EE284" s="645"/>
      <c r="EF284" s="645"/>
      <c r="EG284" s="645"/>
      <c r="EH284" s="645"/>
      <c r="EI284" s="645"/>
      <c r="EJ284" s="645"/>
      <c r="EK284" s="645"/>
      <c r="EL284" s="645"/>
      <c r="EM284" s="645"/>
      <c r="EN284" s="645"/>
      <c r="EO284" s="645"/>
      <c r="EP284" s="645"/>
      <c r="EQ284" s="645"/>
      <c r="ER284" s="645"/>
      <c r="ES284" s="645"/>
      <c r="ET284" s="645"/>
      <c r="EU284" s="645"/>
      <c r="EV284" s="645"/>
      <c r="EW284" s="645"/>
      <c r="EX284" s="645"/>
      <c r="EY284" s="645"/>
      <c r="EZ284" s="645"/>
      <c r="FA284" s="645"/>
      <c r="FB284" s="645"/>
      <c r="FC284" s="645"/>
      <c r="FD284" s="645"/>
      <c r="FE284" s="645"/>
      <c r="FF284" s="645"/>
      <c r="FG284" s="645"/>
      <c r="FH284" s="645"/>
      <c r="FI284" s="645"/>
      <c r="FJ284" s="645"/>
      <c r="FK284" s="645"/>
      <c r="FL284" s="645"/>
      <c r="FM284" s="645"/>
      <c r="FN284" s="645"/>
      <c r="FO284" s="645"/>
      <c r="FP284" s="645"/>
      <c r="FQ284" s="645"/>
      <c r="FR284" s="645"/>
      <c r="FS284" s="645"/>
      <c r="FT284" s="645"/>
      <c r="FU284" s="645"/>
      <c r="FV284" s="645"/>
      <c r="FW284" s="645"/>
      <c r="FX284" s="645"/>
      <c r="FY284" s="645"/>
      <c r="FZ284" s="645"/>
      <c r="GA284" s="645"/>
      <c r="GB284" s="645"/>
      <c r="GC284" s="645"/>
      <c r="GD284" s="645"/>
      <c r="GE284" s="645"/>
      <c r="GF284" s="645"/>
      <c r="GG284" s="645"/>
      <c r="GH284" s="645"/>
      <c r="GI284" s="645"/>
      <c r="GJ284" s="645"/>
      <c r="GK284" s="645"/>
      <c r="GL284" s="645"/>
      <c r="GM284" s="645"/>
      <c r="GN284" s="645"/>
      <c r="GO284" s="645"/>
      <c r="GP284" s="645"/>
      <c r="GQ284" s="645"/>
      <c r="GR284" s="645"/>
      <c r="GS284" s="645"/>
      <c r="GT284" s="645"/>
      <c r="GU284" s="645"/>
      <c r="GV284" s="645"/>
      <c r="GW284" s="645"/>
      <c r="GX284" s="645"/>
      <c r="GY284" s="645"/>
      <c r="GZ284" s="645"/>
      <c r="HA284" s="645"/>
      <c r="HB284" s="645"/>
      <c r="HC284" s="645"/>
      <c r="HD284" s="645"/>
      <c r="HE284" s="645"/>
      <c r="HF284" s="645"/>
      <c r="HG284" s="645"/>
      <c r="HH284" s="645"/>
      <c r="HI284" s="645"/>
      <c r="HJ284" s="645"/>
      <c r="HK284" s="645"/>
      <c r="HL284" s="645"/>
      <c r="HM284" s="645"/>
      <c r="HN284" s="645"/>
      <c r="HO284" s="645"/>
      <c r="HP284" s="645"/>
      <c r="HQ284" s="645"/>
      <c r="HR284" s="645">
        <v>0.14050000000000001</v>
      </c>
      <c r="HS284" s="645">
        <f t="shared" si="794"/>
        <v>943.35714285714289</v>
      </c>
      <c r="HT284" s="645">
        <f t="shared" si="795"/>
        <v>1</v>
      </c>
      <c r="HU284" s="618">
        <f t="shared" si="796"/>
        <v>3.5792115803803526</v>
      </c>
      <c r="HV284" s="618"/>
      <c r="HW284" s="618">
        <f t="shared" si="781"/>
        <v>30.917519555859901</v>
      </c>
      <c r="HX284" s="618">
        <f t="shared" si="797"/>
        <v>3.3256558752765657</v>
      </c>
      <c r="HY284" s="618">
        <f t="shared" si="798"/>
        <v>0.14050000000000001</v>
      </c>
      <c r="HZ284" s="618"/>
      <c r="IA284" s="618"/>
      <c r="IB284" s="618">
        <f t="shared" si="782"/>
        <v>25.000350341399081</v>
      </c>
      <c r="IC284" s="618">
        <f t="shared" si="783"/>
        <v>1E-3</v>
      </c>
      <c r="ID284" s="618"/>
      <c r="IE284" s="618">
        <f t="shared" si="784"/>
        <v>0</v>
      </c>
      <c r="IF284" s="618">
        <f t="shared" si="785"/>
        <v>40.704999999999998</v>
      </c>
      <c r="IG284" s="618"/>
      <c r="IH284" s="618">
        <f t="shared" si="786"/>
        <v>0</v>
      </c>
      <c r="II284" s="618">
        <f t="shared" si="787"/>
        <v>40.704999999999998</v>
      </c>
      <c r="IJ284" s="618"/>
      <c r="IK284" s="618">
        <f t="shared" si="788"/>
        <v>0</v>
      </c>
      <c r="IL284" s="618">
        <f t="shared" si="789"/>
        <v>40.704999999999998</v>
      </c>
      <c r="IM284" s="618"/>
      <c r="IN284" s="618">
        <f t="shared" si="790"/>
        <v>0</v>
      </c>
      <c r="IO284" s="618">
        <f t="shared" si="791"/>
        <v>40.704999999999998</v>
      </c>
      <c r="IP284" s="618"/>
      <c r="IQ284" s="618">
        <f t="shared" si="792"/>
        <v>0</v>
      </c>
      <c r="IR284" s="618">
        <f t="shared" si="793"/>
        <v>40.704999999999998</v>
      </c>
      <c r="IS284" s="645"/>
      <c r="IT284" s="645"/>
      <c r="IU284" s="645"/>
      <c r="IV284" s="645"/>
      <c r="IW284" s="645"/>
      <c r="IX284" s="645"/>
      <c r="IY284" s="645"/>
      <c r="IZ284" s="645"/>
      <c r="JA284" s="645"/>
      <c r="JB284" s="645"/>
      <c r="JC284" s="645"/>
      <c r="JD284" s="645"/>
      <c r="JE284" s="645"/>
      <c r="JF284" s="645"/>
      <c r="JG284" s="645"/>
      <c r="JH284" s="645"/>
      <c r="JI284" s="645"/>
      <c r="JJ284" s="645"/>
      <c r="JK284" s="645"/>
      <c r="JL284" s="645"/>
      <c r="JM284" s="645"/>
      <c r="JN284" s="645"/>
      <c r="JO284" s="645"/>
      <c r="JP284" s="645"/>
      <c r="JQ284" s="645"/>
      <c r="JR284" s="645"/>
      <c r="JS284" s="645"/>
      <c r="JT284" s="645"/>
      <c r="JU284" s="645"/>
      <c r="JV284" s="653"/>
    </row>
    <row r="285" spans="1:282" s="612" customFormat="1">
      <c r="A285" s="611"/>
      <c r="U285" s="613"/>
      <c r="V285" s="613"/>
      <c r="AC285" s="613"/>
      <c r="AD285" s="613"/>
      <c r="AL285" s="613"/>
      <c r="AM285" s="613"/>
      <c r="AT285" s="613"/>
      <c r="AU285" s="613"/>
      <c r="CH285" s="611"/>
      <c r="CI285" s="611"/>
      <c r="CO285" s="695"/>
      <c r="CP285" s="645"/>
      <c r="CQ285" s="618"/>
      <c r="CR285" s="618"/>
      <c r="CS285" s="618"/>
      <c r="CT285" s="626"/>
      <c r="CU285" s="626"/>
      <c r="CV285" s="626"/>
      <c r="CW285" s="646"/>
      <c r="CX285" s="646"/>
      <c r="CY285" s="625"/>
      <c r="CZ285" s="625"/>
      <c r="DA285" s="625"/>
      <c r="DB285" s="625"/>
      <c r="DC285" s="645"/>
      <c r="DD285" s="645"/>
      <c r="DE285" s="645"/>
      <c r="DF285" s="645"/>
      <c r="DG285" s="645"/>
      <c r="DH285" s="645"/>
      <c r="DI285" s="645"/>
      <c r="DJ285" s="645"/>
      <c r="DK285" s="645"/>
      <c r="DL285" s="645"/>
      <c r="DM285" s="645"/>
      <c r="DN285" s="645"/>
      <c r="DO285" s="645"/>
      <c r="DP285" s="645"/>
      <c r="DQ285" s="645"/>
      <c r="DR285" s="645"/>
      <c r="DS285" s="645"/>
      <c r="DT285" s="645"/>
      <c r="DU285" s="645"/>
      <c r="DV285" s="645"/>
      <c r="DW285" s="645"/>
      <c r="DX285" s="645"/>
      <c r="DY285" s="645"/>
      <c r="DZ285" s="645"/>
      <c r="EA285" s="645"/>
      <c r="EB285" s="645"/>
      <c r="EC285" s="645"/>
      <c r="ED285" s="645"/>
      <c r="EE285" s="645"/>
      <c r="EF285" s="645"/>
      <c r="EG285" s="645"/>
      <c r="EH285" s="645"/>
      <c r="EI285" s="645"/>
      <c r="EJ285" s="645"/>
      <c r="EK285" s="645"/>
      <c r="EL285" s="645"/>
      <c r="EM285" s="645"/>
      <c r="EN285" s="645"/>
      <c r="EO285" s="645"/>
      <c r="EP285" s="645"/>
      <c r="EQ285" s="645"/>
      <c r="ER285" s="645"/>
      <c r="ES285" s="645"/>
      <c r="ET285" s="645"/>
      <c r="EU285" s="645"/>
      <c r="EV285" s="645"/>
      <c r="EW285" s="645"/>
      <c r="EX285" s="645"/>
      <c r="EY285" s="645"/>
      <c r="EZ285" s="645"/>
      <c r="FA285" s="645"/>
      <c r="FB285" s="645"/>
      <c r="FC285" s="645"/>
      <c r="FD285" s="645"/>
      <c r="FE285" s="645"/>
      <c r="FF285" s="645"/>
      <c r="FG285" s="645"/>
      <c r="FH285" s="645"/>
      <c r="FI285" s="645"/>
      <c r="FJ285" s="645"/>
      <c r="FK285" s="645"/>
      <c r="FL285" s="645"/>
      <c r="FM285" s="645"/>
      <c r="FN285" s="645"/>
      <c r="FO285" s="645"/>
      <c r="FP285" s="645"/>
      <c r="FQ285" s="645"/>
      <c r="FR285" s="645"/>
      <c r="FS285" s="645"/>
      <c r="FT285" s="645"/>
      <c r="FU285" s="645"/>
      <c r="FV285" s="645"/>
      <c r="FW285" s="645"/>
      <c r="FX285" s="645"/>
      <c r="FY285" s="645"/>
      <c r="FZ285" s="645"/>
      <c r="GA285" s="645"/>
      <c r="GB285" s="645"/>
      <c r="GC285" s="645"/>
      <c r="GD285" s="645"/>
      <c r="GE285" s="645"/>
      <c r="GF285" s="645"/>
      <c r="GG285" s="645"/>
      <c r="GH285" s="645"/>
      <c r="GI285" s="645"/>
      <c r="GJ285" s="645"/>
      <c r="GK285" s="645"/>
      <c r="GL285" s="645"/>
      <c r="GM285" s="645"/>
      <c r="GN285" s="645"/>
      <c r="GO285" s="645"/>
      <c r="GP285" s="645"/>
      <c r="GQ285" s="645"/>
      <c r="GR285" s="645"/>
      <c r="GS285" s="645"/>
      <c r="GT285" s="645"/>
      <c r="GU285" s="645"/>
      <c r="GV285" s="645"/>
      <c r="GW285" s="645"/>
      <c r="GX285" s="645"/>
      <c r="GY285" s="645"/>
      <c r="GZ285" s="645"/>
      <c r="HA285" s="645"/>
      <c r="HB285" s="645"/>
      <c r="HC285" s="645"/>
      <c r="HD285" s="645"/>
      <c r="HE285" s="645"/>
      <c r="HF285" s="645"/>
      <c r="HG285" s="645"/>
      <c r="HH285" s="645"/>
      <c r="HI285" s="645"/>
      <c r="HJ285" s="645"/>
      <c r="HK285" s="645"/>
      <c r="HL285" s="645"/>
      <c r="HM285" s="645"/>
      <c r="HN285" s="645"/>
      <c r="HO285" s="645"/>
      <c r="HP285" s="645"/>
      <c r="HQ285" s="645"/>
      <c r="HR285" s="645">
        <v>0.14099999999999999</v>
      </c>
      <c r="HS285" s="645">
        <f t="shared" si="794"/>
        <v>946.71428571428567</v>
      </c>
      <c r="HT285" s="645">
        <f t="shared" si="795"/>
        <v>1</v>
      </c>
      <c r="HU285" s="618">
        <f t="shared" si="796"/>
        <v>3.5919506243539767</v>
      </c>
      <c r="HV285" s="618"/>
      <c r="HW285" s="618">
        <f t="shared" si="781"/>
        <v>30.899430113417353</v>
      </c>
      <c r="HX285" s="618">
        <f t="shared" si="797"/>
        <v>3.3365900196925309</v>
      </c>
      <c r="HY285" s="618">
        <f t="shared" si="798"/>
        <v>0.14099999999999999</v>
      </c>
      <c r="HZ285" s="618"/>
      <c r="IA285" s="618"/>
      <c r="IB285" s="618">
        <f t="shared" si="782"/>
        <v>25.000350341399081</v>
      </c>
      <c r="IC285" s="618">
        <f t="shared" si="783"/>
        <v>1E-3</v>
      </c>
      <c r="ID285" s="618"/>
      <c r="IE285" s="618">
        <f t="shared" si="784"/>
        <v>0</v>
      </c>
      <c r="IF285" s="618">
        <f t="shared" si="785"/>
        <v>40.704999999999998</v>
      </c>
      <c r="IG285" s="618"/>
      <c r="IH285" s="618">
        <f t="shared" si="786"/>
        <v>0</v>
      </c>
      <c r="II285" s="618">
        <f t="shared" si="787"/>
        <v>40.704999999999998</v>
      </c>
      <c r="IJ285" s="618"/>
      <c r="IK285" s="618">
        <f t="shared" si="788"/>
        <v>0</v>
      </c>
      <c r="IL285" s="618">
        <f t="shared" si="789"/>
        <v>40.704999999999998</v>
      </c>
      <c r="IM285" s="618"/>
      <c r="IN285" s="618">
        <f t="shared" si="790"/>
        <v>0</v>
      </c>
      <c r="IO285" s="618">
        <f t="shared" si="791"/>
        <v>40.704999999999998</v>
      </c>
      <c r="IP285" s="618"/>
      <c r="IQ285" s="618">
        <f t="shared" si="792"/>
        <v>0</v>
      </c>
      <c r="IR285" s="618">
        <f t="shared" si="793"/>
        <v>40.704999999999998</v>
      </c>
      <c r="IS285" s="645"/>
      <c r="IT285" s="645"/>
      <c r="IU285" s="645"/>
      <c r="IV285" s="645"/>
      <c r="IW285" s="645"/>
      <c r="IX285" s="645"/>
      <c r="IY285" s="645"/>
      <c r="IZ285" s="645"/>
      <c r="JA285" s="645"/>
      <c r="JB285" s="645"/>
      <c r="JC285" s="645"/>
      <c r="JD285" s="645"/>
      <c r="JE285" s="645"/>
      <c r="JF285" s="645"/>
      <c r="JG285" s="645"/>
      <c r="JH285" s="645"/>
      <c r="JI285" s="645"/>
      <c r="JJ285" s="645"/>
      <c r="JK285" s="645"/>
      <c r="JL285" s="645"/>
      <c r="JM285" s="645"/>
      <c r="JN285" s="645"/>
      <c r="JO285" s="645"/>
      <c r="JP285" s="645"/>
      <c r="JQ285" s="645"/>
      <c r="JR285" s="645"/>
      <c r="JS285" s="645"/>
      <c r="JT285" s="645"/>
      <c r="JU285" s="645"/>
      <c r="JV285" s="653"/>
    </row>
    <row r="286" spans="1:282" s="612" customFormat="1">
      <c r="A286" s="611"/>
      <c r="U286" s="613"/>
      <c r="V286" s="613"/>
      <c r="AC286" s="613"/>
      <c r="AD286" s="613"/>
      <c r="AL286" s="613"/>
      <c r="AM286" s="613"/>
      <c r="AT286" s="613"/>
      <c r="AU286" s="613"/>
      <c r="CH286" s="611"/>
      <c r="CI286" s="611"/>
      <c r="CO286" s="695"/>
      <c r="CP286" s="645"/>
      <c r="CQ286" s="618"/>
      <c r="CR286" s="618"/>
      <c r="CS286" s="618"/>
      <c r="CT286" s="626"/>
      <c r="CU286" s="626"/>
      <c r="CV286" s="626"/>
      <c r="CW286" s="646"/>
      <c r="CX286" s="646"/>
      <c r="CY286" s="625"/>
      <c r="CZ286" s="625"/>
      <c r="DA286" s="625"/>
      <c r="DB286" s="625"/>
      <c r="DC286" s="645"/>
      <c r="DD286" s="645"/>
      <c r="DE286" s="645"/>
      <c r="DF286" s="645"/>
      <c r="DG286" s="645"/>
      <c r="DH286" s="645"/>
      <c r="DI286" s="645"/>
      <c r="DJ286" s="645"/>
      <c r="DK286" s="645"/>
      <c r="DL286" s="645"/>
      <c r="DM286" s="645"/>
      <c r="DN286" s="645"/>
      <c r="DO286" s="645"/>
      <c r="DP286" s="645"/>
      <c r="DQ286" s="645"/>
      <c r="DR286" s="645"/>
      <c r="DS286" s="645"/>
      <c r="DT286" s="645"/>
      <c r="DU286" s="645"/>
      <c r="DV286" s="645"/>
      <c r="DW286" s="645"/>
      <c r="DX286" s="645"/>
      <c r="DY286" s="645"/>
      <c r="DZ286" s="645"/>
      <c r="EA286" s="645"/>
      <c r="EB286" s="645"/>
      <c r="EC286" s="645"/>
      <c r="ED286" s="645"/>
      <c r="EE286" s="645"/>
      <c r="EF286" s="645"/>
      <c r="EG286" s="645"/>
      <c r="EH286" s="645"/>
      <c r="EI286" s="645"/>
      <c r="EJ286" s="645"/>
      <c r="EK286" s="645"/>
      <c r="EL286" s="645"/>
      <c r="EM286" s="645"/>
      <c r="EN286" s="645"/>
      <c r="EO286" s="645"/>
      <c r="EP286" s="645"/>
      <c r="EQ286" s="645"/>
      <c r="ER286" s="645"/>
      <c r="ES286" s="645"/>
      <c r="ET286" s="645"/>
      <c r="EU286" s="645"/>
      <c r="EV286" s="645"/>
      <c r="EW286" s="645"/>
      <c r="EX286" s="645"/>
      <c r="EY286" s="645"/>
      <c r="EZ286" s="645"/>
      <c r="FA286" s="645"/>
      <c r="FB286" s="645"/>
      <c r="FC286" s="645"/>
      <c r="FD286" s="645"/>
      <c r="FE286" s="645"/>
      <c r="FF286" s="645"/>
      <c r="FG286" s="645"/>
      <c r="FH286" s="645"/>
      <c r="FI286" s="645"/>
      <c r="FJ286" s="645"/>
      <c r="FK286" s="645"/>
      <c r="FL286" s="645"/>
      <c r="FM286" s="645"/>
      <c r="FN286" s="645"/>
      <c r="FO286" s="645"/>
      <c r="FP286" s="645"/>
      <c r="FQ286" s="645"/>
      <c r="FR286" s="645"/>
      <c r="FS286" s="645"/>
      <c r="FT286" s="645"/>
      <c r="FU286" s="645"/>
      <c r="FV286" s="645"/>
      <c r="FW286" s="645"/>
      <c r="FX286" s="645"/>
      <c r="FY286" s="645"/>
      <c r="FZ286" s="645"/>
      <c r="GA286" s="645"/>
      <c r="GB286" s="645"/>
      <c r="GC286" s="645"/>
      <c r="GD286" s="645"/>
      <c r="GE286" s="645"/>
      <c r="GF286" s="645"/>
      <c r="GG286" s="645"/>
      <c r="GH286" s="645"/>
      <c r="GI286" s="645"/>
      <c r="GJ286" s="645"/>
      <c r="GK286" s="645"/>
      <c r="GL286" s="645"/>
      <c r="GM286" s="645"/>
      <c r="GN286" s="645"/>
      <c r="GO286" s="645"/>
      <c r="GP286" s="645"/>
      <c r="GQ286" s="645"/>
      <c r="GR286" s="645"/>
      <c r="GS286" s="645"/>
      <c r="GT286" s="645"/>
      <c r="GU286" s="645"/>
      <c r="GV286" s="645"/>
      <c r="GW286" s="645"/>
      <c r="GX286" s="645"/>
      <c r="GY286" s="645"/>
      <c r="GZ286" s="645"/>
      <c r="HA286" s="645"/>
      <c r="HB286" s="645"/>
      <c r="HC286" s="645"/>
      <c r="HD286" s="645"/>
      <c r="HE286" s="645"/>
      <c r="HF286" s="645"/>
      <c r="HG286" s="645"/>
      <c r="HH286" s="645"/>
      <c r="HI286" s="645"/>
      <c r="HJ286" s="645"/>
      <c r="HK286" s="645"/>
      <c r="HL286" s="645"/>
      <c r="HM286" s="645"/>
      <c r="HN286" s="645"/>
      <c r="HO286" s="645"/>
      <c r="HP286" s="645"/>
      <c r="HQ286" s="645"/>
      <c r="HR286" s="645">
        <v>0.14149999999999999</v>
      </c>
      <c r="HS286" s="645">
        <f t="shared" si="794"/>
        <v>950.07142857142844</v>
      </c>
      <c r="HT286" s="645">
        <f t="shared" si="795"/>
        <v>1</v>
      </c>
      <c r="HU286" s="618">
        <f t="shared" si="796"/>
        <v>3.6046896683276017</v>
      </c>
      <c r="HV286" s="618"/>
      <c r="HW286" s="618">
        <f t="shared" si="781"/>
        <v>30.881340670974808</v>
      </c>
      <c r="HX286" s="618">
        <f t="shared" si="797"/>
        <v>3.3475177629361985</v>
      </c>
      <c r="HY286" s="618">
        <f t="shared" si="798"/>
        <v>0.14149999999999999</v>
      </c>
      <c r="HZ286" s="618"/>
      <c r="IA286" s="618"/>
      <c r="IB286" s="618">
        <f t="shared" si="782"/>
        <v>25.000350341399081</v>
      </c>
      <c r="IC286" s="618">
        <f t="shared" si="783"/>
        <v>1E-3</v>
      </c>
      <c r="ID286" s="618"/>
      <c r="IE286" s="618">
        <f t="shared" si="784"/>
        <v>0</v>
      </c>
      <c r="IF286" s="618">
        <f t="shared" si="785"/>
        <v>40.704999999999998</v>
      </c>
      <c r="IG286" s="618"/>
      <c r="IH286" s="618">
        <f t="shared" si="786"/>
        <v>0</v>
      </c>
      <c r="II286" s="618">
        <f t="shared" si="787"/>
        <v>40.704999999999998</v>
      </c>
      <c r="IJ286" s="618"/>
      <c r="IK286" s="618">
        <f t="shared" si="788"/>
        <v>0</v>
      </c>
      <c r="IL286" s="618">
        <f t="shared" si="789"/>
        <v>40.704999999999998</v>
      </c>
      <c r="IM286" s="618"/>
      <c r="IN286" s="618">
        <f t="shared" si="790"/>
        <v>0</v>
      </c>
      <c r="IO286" s="618">
        <f t="shared" si="791"/>
        <v>40.704999999999998</v>
      </c>
      <c r="IP286" s="618"/>
      <c r="IQ286" s="618">
        <f t="shared" si="792"/>
        <v>0</v>
      </c>
      <c r="IR286" s="618">
        <f t="shared" si="793"/>
        <v>40.704999999999998</v>
      </c>
      <c r="IS286" s="645"/>
      <c r="IT286" s="645"/>
      <c r="IU286" s="645"/>
      <c r="IV286" s="645"/>
      <c r="IW286" s="645"/>
      <c r="IX286" s="645"/>
      <c r="IY286" s="645"/>
      <c r="IZ286" s="645"/>
      <c r="JA286" s="645"/>
      <c r="JB286" s="645"/>
      <c r="JC286" s="645"/>
      <c r="JD286" s="645"/>
      <c r="JE286" s="645"/>
      <c r="JF286" s="645"/>
      <c r="JG286" s="645"/>
      <c r="JH286" s="645"/>
      <c r="JI286" s="645"/>
      <c r="JJ286" s="645"/>
      <c r="JK286" s="645"/>
      <c r="JL286" s="645"/>
      <c r="JM286" s="645"/>
      <c r="JN286" s="645"/>
      <c r="JO286" s="645"/>
      <c r="JP286" s="645"/>
      <c r="JQ286" s="645"/>
      <c r="JR286" s="645"/>
      <c r="JS286" s="645"/>
      <c r="JT286" s="645"/>
      <c r="JU286" s="645"/>
      <c r="JV286" s="653"/>
    </row>
    <row r="287" spans="1:282" s="612" customFormat="1">
      <c r="A287" s="611"/>
      <c r="U287" s="613"/>
      <c r="V287" s="613"/>
      <c r="AC287" s="613"/>
      <c r="AD287" s="613"/>
      <c r="AL287" s="613"/>
      <c r="AM287" s="613"/>
      <c r="AT287" s="613"/>
      <c r="AU287" s="613"/>
      <c r="CH287" s="611"/>
      <c r="CI287" s="611"/>
      <c r="CO287" s="695"/>
      <c r="CP287" s="645"/>
      <c r="CQ287" s="618"/>
      <c r="CR287" s="618"/>
      <c r="CS287" s="618"/>
      <c r="CT287" s="626"/>
      <c r="CU287" s="626"/>
      <c r="CV287" s="626"/>
      <c r="CW287" s="646"/>
      <c r="CX287" s="646"/>
      <c r="CY287" s="625"/>
      <c r="CZ287" s="625"/>
      <c r="DA287" s="625"/>
      <c r="DB287" s="625"/>
      <c r="DC287" s="645"/>
      <c r="DD287" s="645"/>
      <c r="DE287" s="645"/>
      <c r="DF287" s="645"/>
      <c r="DG287" s="645"/>
      <c r="DH287" s="645"/>
      <c r="DI287" s="645"/>
      <c r="DJ287" s="645"/>
      <c r="DK287" s="645"/>
      <c r="DL287" s="645"/>
      <c r="DM287" s="645"/>
      <c r="DN287" s="645"/>
      <c r="DO287" s="645"/>
      <c r="DP287" s="645"/>
      <c r="DQ287" s="645"/>
      <c r="DR287" s="645"/>
      <c r="DS287" s="645"/>
      <c r="DT287" s="645"/>
      <c r="DU287" s="645"/>
      <c r="DV287" s="645"/>
      <c r="DW287" s="645"/>
      <c r="DX287" s="645"/>
      <c r="DY287" s="645"/>
      <c r="DZ287" s="645"/>
      <c r="EA287" s="645"/>
      <c r="EB287" s="645"/>
      <c r="EC287" s="645"/>
      <c r="ED287" s="645"/>
      <c r="EE287" s="645"/>
      <c r="EF287" s="645"/>
      <c r="EG287" s="645"/>
      <c r="EH287" s="645"/>
      <c r="EI287" s="645"/>
      <c r="EJ287" s="645"/>
      <c r="EK287" s="645"/>
      <c r="EL287" s="645"/>
      <c r="EM287" s="645"/>
      <c r="EN287" s="645"/>
      <c r="EO287" s="645"/>
      <c r="EP287" s="645"/>
      <c r="EQ287" s="645"/>
      <c r="ER287" s="645"/>
      <c r="ES287" s="645"/>
      <c r="ET287" s="645"/>
      <c r="EU287" s="645"/>
      <c r="EV287" s="645"/>
      <c r="EW287" s="645"/>
      <c r="EX287" s="645"/>
      <c r="EY287" s="645"/>
      <c r="EZ287" s="645"/>
      <c r="FA287" s="645"/>
      <c r="FB287" s="645"/>
      <c r="FC287" s="645"/>
      <c r="FD287" s="645"/>
      <c r="FE287" s="645"/>
      <c r="FF287" s="645"/>
      <c r="FG287" s="645"/>
      <c r="FH287" s="645"/>
      <c r="FI287" s="645"/>
      <c r="FJ287" s="645"/>
      <c r="FK287" s="645"/>
      <c r="FL287" s="645"/>
      <c r="FM287" s="645"/>
      <c r="FN287" s="645"/>
      <c r="FO287" s="645"/>
      <c r="FP287" s="645"/>
      <c r="FQ287" s="645"/>
      <c r="FR287" s="645"/>
      <c r="FS287" s="645"/>
      <c r="FT287" s="645"/>
      <c r="FU287" s="645"/>
      <c r="FV287" s="645"/>
      <c r="FW287" s="645"/>
      <c r="FX287" s="645"/>
      <c r="FY287" s="645"/>
      <c r="FZ287" s="645"/>
      <c r="GA287" s="645"/>
      <c r="GB287" s="645"/>
      <c r="GC287" s="645"/>
      <c r="GD287" s="645"/>
      <c r="GE287" s="645"/>
      <c r="GF287" s="645"/>
      <c r="GG287" s="645"/>
      <c r="GH287" s="645"/>
      <c r="GI287" s="645"/>
      <c r="GJ287" s="645"/>
      <c r="GK287" s="645"/>
      <c r="GL287" s="645"/>
      <c r="GM287" s="645"/>
      <c r="GN287" s="645"/>
      <c r="GO287" s="645"/>
      <c r="GP287" s="645"/>
      <c r="GQ287" s="645"/>
      <c r="GR287" s="645"/>
      <c r="GS287" s="645"/>
      <c r="GT287" s="645"/>
      <c r="GU287" s="645"/>
      <c r="GV287" s="645"/>
      <c r="GW287" s="645"/>
      <c r="GX287" s="645"/>
      <c r="GY287" s="645"/>
      <c r="GZ287" s="645"/>
      <c r="HA287" s="645"/>
      <c r="HB287" s="645"/>
      <c r="HC287" s="645"/>
      <c r="HD287" s="645"/>
      <c r="HE287" s="645"/>
      <c r="HF287" s="645"/>
      <c r="HG287" s="645"/>
      <c r="HH287" s="645"/>
      <c r="HI287" s="645"/>
      <c r="HJ287" s="645"/>
      <c r="HK287" s="645"/>
      <c r="HL287" s="645"/>
      <c r="HM287" s="645"/>
      <c r="HN287" s="645"/>
      <c r="HO287" s="645"/>
      <c r="HP287" s="645"/>
      <c r="HQ287" s="645"/>
      <c r="HR287" s="645">
        <v>0.14199999999999999</v>
      </c>
      <c r="HS287" s="645">
        <f t="shared" si="794"/>
        <v>953.42857142857133</v>
      </c>
      <c r="HT287" s="645">
        <f t="shared" si="795"/>
        <v>1</v>
      </c>
      <c r="HU287" s="618">
        <f t="shared" si="796"/>
        <v>3.6174287123012268</v>
      </c>
      <c r="HV287" s="618"/>
      <c r="HW287" s="618">
        <f t="shared" si="781"/>
        <v>30.863251228532256</v>
      </c>
      <c r="HX287" s="618">
        <f t="shared" si="797"/>
        <v>3.3584391050075681</v>
      </c>
      <c r="HY287" s="618">
        <f t="shared" si="798"/>
        <v>0.14199999999999999</v>
      </c>
      <c r="HZ287" s="618"/>
      <c r="IA287" s="618"/>
      <c r="IB287" s="618">
        <f t="shared" si="782"/>
        <v>25.000350341399081</v>
      </c>
      <c r="IC287" s="618">
        <f t="shared" si="783"/>
        <v>1E-3</v>
      </c>
      <c r="ID287" s="618"/>
      <c r="IE287" s="618">
        <f t="shared" si="784"/>
        <v>0</v>
      </c>
      <c r="IF287" s="618">
        <f t="shared" si="785"/>
        <v>40.704999999999998</v>
      </c>
      <c r="IG287" s="618"/>
      <c r="IH287" s="618">
        <f t="shared" si="786"/>
        <v>0</v>
      </c>
      <c r="II287" s="618">
        <f t="shared" si="787"/>
        <v>40.704999999999998</v>
      </c>
      <c r="IJ287" s="618"/>
      <c r="IK287" s="618">
        <f t="shared" si="788"/>
        <v>0</v>
      </c>
      <c r="IL287" s="618">
        <f t="shared" si="789"/>
        <v>40.704999999999998</v>
      </c>
      <c r="IM287" s="618"/>
      <c r="IN287" s="618">
        <f t="shared" si="790"/>
        <v>0</v>
      </c>
      <c r="IO287" s="618">
        <f t="shared" si="791"/>
        <v>40.704999999999998</v>
      </c>
      <c r="IP287" s="618"/>
      <c r="IQ287" s="618">
        <f t="shared" si="792"/>
        <v>0</v>
      </c>
      <c r="IR287" s="618">
        <f t="shared" si="793"/>
        <v>40.704999999999998</v>
      </c>
      <c r="IS287" s="645"/>
      <c r="IT287" s="645"/>
      <c r="IU287" s="645"/>
      <c r="IV287" s="645"/>
      <c r="IW287" s="645"/>
      <c r="IX287" s="645"/>
      <c r="IY287" s="645"/>
      <c r="IZ287" s="645"/>
      <c r="JA287" s="645"/>
      <c r="JB287" s="645"/>
      <c r="JC287" s="645"/>
      <c r="JD287" s="645"/>
      <c r="JE287" s="645"/>
      <c r="JF287" s="645"/>
      <c r="JG287" s="645"/>
      <c r="JH287" s="645"/>
      <c r="JI287" s="645"/>
      <c r="JJ287" s="645"/>
      <c r="JK287" s="645"/>
      <c r="JL287" s="645"/>
      <c r="JM287" s="645"/>
      <c r="JN287" s="645"/>
      <c r="JO287" s="645"/>
      <c r="JP287" s="645"/>
      <c r="JQ287" s="645"/>
      <c r="JR287" s="645"/>
      <c r="JS287" s="645"/>
      <c r="JT287" s="645"/>
      <c r="JU287" s="645"/>
      <c r="JV287" s="653"/>
    </row>
    <row r="288" spans="1:282" s="612" customFormat="1">
      <c r="A288" s="611"/>
      <c r="U288" s="613"/>
      <c r="V288" s="613"/>
      <c r="AC288" s="613"/>
      <c r="AD288" s="613"/>
      <c r="AL288" s="613"/>
      <c r="AM288" s="613"/>
      <c r="AT288" s="613"/>
      <c r="AU288" s="613"/>
      <c r="CH288" s="611"/>
      <c r="CI288" s="611"/>
      <c r="CO288" s="695"/>
      <c r="CP288" s="645"/>
      <c r="CQ288" s="618"/>
      <c r="CR288" s="618"/>
      <c r="CS288" s="618"/>
      <c r="CT288" s="626"/>
      <c r="CU288" s="626"/>
      <c r="CV288" s="626"/>
      <c r="CW288" s="646"/>
      <c r="CX288" s="646"/>
      <c r="CY288" s="625"/>
      <c r="CZ288" s="625"/>
      <c r="DA288" s="625"/>
      <c r="DB288" s="625"/>
      <c r="DC288" s="645"/>
      <c r="DD288" s="645"/>
      <c r="DE288" s="645"/>
      <c r="DF288" s="645"/>
      <c r="DG288" s="645"/>
      <c r="DH288" s="645"/>
      <c r="DI288" s="645"/>
      <c r="DJ288" s="645"/>
      <c r="DK288" s="645"/>
      <c r="DL288" s="645"/>
      <c r="DM288" s="645"/>
      <c r="DN288" s="645"/>
      <c r="DO288" s="645"/>
      <c r="DP288" s="645"/>
      <c r="DQ288" s="645"/>
      <c r="DR288" s="645"/>
      <c r="DS288" s="645"/>
      <c r="DT288" s="645"/>
      <c r="DU288" s="645"/>
      <c r="DV288" s="645"/>
      <c r="DW288" s="645"/>
      <c r="DX288" s="645"/>
      <c r="DY288" s="645"/>
      <c r="DZ288" s="645"/>
      <c r="EA288" s="645"/>
      <c r="EB288" s="645"/>
      <c r="EC288" s="645"/>
      <c r="ED288" s="645"/>
      <c r="EE288" s="645"/>
      <c r="EF288" s="645"/>
      <c r="EG288" s="645"/>
      <c r="EH288" s="645"/>
      <c r="EI288" s="645"/>
      <c r="EJ288" s="645"/>
      <c r="EK288" s="645"/>
      <c r="EL288" s="645"/>
      <c r="EM288" s="645"/>
      <c r="EN288" s="645"/>
      <c r="EO288" s="645"/>
      <c r="EP288" s="645"/>
      <c r="EQ288" s="645"/>
      <c r="ER288" s="645"/>
      <c r="ES288" s="645"/>
      <c r="ET288" s="645"/>
      <c r="EU288" s="645"/>
      <c r="EV288" s="645"/>
      <c r="EW288" s="645"/>
      <c r="EX288" s="645"/>
      <c r="EY288" s="645"/>
      <c r="EZ288" s="645"/>
      <c r="FA288" s="645"/>
      <c r="FB288" s="645"/>
      <c r="FC288" s="645"/>
      <c r="FD288" s="645"/>
      <c r="FE288" s="645"/>
      <c r="FF288" s="645"/>
      <c r="FG288" s="645"/>
      <c r="FH288" s="645"/>
      <c r="FI288" s="645"/>
      <c r="FJ288" s="645"/>
      <c r="FK288" s="645"/>
      <c r="FL288" s="645"/>
      <c r="FM288" s="645"/>
      <c r="FN288" s="645"/>
      <c r="FO288" s="645"/>
      <c r="FP288" s="645"/>
      <c r="FQ288" s="645"/>
      <c r="FR288" s="645"/>
      <c r="FS288" s="645"/>
      <c r="FT288" s="645"/>
      <c r="FU288" s="645"/>
      <c r="FV288" s="645"/>
      <c r="FW288" s="645"/>
      <c r="FX288" s="645"/>
      <c r="FY288" s="645"/>
      <c r="FZ288" s="645"/>
      <c r="GA288" s="645"/>
      <c r="GB288" s="645"/>
      <c r="GC288" s="645"/>
      <c r="GD288" s="645"/>
      <c r="GE288" s="645"/>
      <c r="GF288" s="645"/>
      <c r="GG288" s="645"/>
      <c r="GH288" s="645"/>
      <c r="GI288" s="645"/>
      <c r="GJ288" s="645"/>
      <c r="GK288" s="645"/>
      <c r="GL288" s="645"/>
      <c r="GM288" s="645"/>
      <c r="GN288" s="645"/>
      <c r="GO288" s="645"/>
      <c r="GP288" s="645"/>
      <c r="GQ288" s="645"/>
      <c r="GR288" s="645"/>
      <c r="GS288" s="645"/>
      <c r="GT288" s="645"/>
      <c r="GU288" s="645"/>
      <c r="GV288" s="645"/>
      <c r="GW288" s="645"/>
      <c r="GX288" s="645"/>
      <c r="GY288" s="645"/>
      <c r="GZ288" s="645"/>
      <c r="HA288" s="645"/>
      <c r="HB288" s="645"/>
      <c r="HC288" s="645"/>
      <c r="HD288" s="645"/>
      <c r="HE288" s="645"/>
      <c r="HF288" s="645"/>
      <c r="HG288" s="645"/>
      <c r="HH288" s="645"/>
      <c r="HI288" s="645"/>
      <c r="HJ288" s="645"/>
      <c r="HK288" s="645"/>
      <c r="HL288" s="645"/>
      <c r="HM288" s="645"/>
      <c r="HN288" s="645"/>
      <c r="HO288" s="645"/>
      <c r="HP288" s="645"/>
      <c r="HQ288" s="645"/>
      <c r="HR288" s="645">
        <v>0.14249999999999999</v>
      </c>
      <c r="HS288" s="645">
        <f t="shared" si="794"/>
        <v>956.78571428571422</v>
      </c>
      <c r="HT288" s="645">
        <f t="shared" si="795"/>
        <v>1</v>
      </c>
      <c r="HU288" s="618">
        <f t="shared" si="796"/>
        <v>3.6301677562748518</v>
      </c>
      <c r="HV288" s="618"/>
      <c r="HW288" s="618">
        <f t="shared" si="781"/>
        <v>30.845161786089712</v>
      </c>
      <c r="HX288" s="618">
        <f t="shared" si="797"/>
        <v>3.3693540459066393</v>
      </c>
      <c r="HY288" s="618">
        <f t="shared" si="798"/>
        <v>0.14249999999999999</v>
      </c>
      <c r="HZ288" s="618"/>
      <c r="IA288" s="618"/>
      <c r="IB288" s="618">
        <f t="shared" si="782"/>
        <v>25.000350341399081</v>
      </c>
      <c r="IC288" s="618">
        <f t="shared" si="783"/>
        <v>1E-3</v>
      </c>
      <c r="ID288" s="618"/>
      <c r="IE288" s="618">
        <f t="shared" si="784"/>
        <v>0</v>
      </c>
      <c r="IF288" s="618">
        <f t="shared" si="785"/>
        <v>40.704999999999998</v>
      </c>
      <c r="IG288" s="618"/>
      <c r="IH288" s="618">
        <f t="shared" si="786"/>
        <v>0</v>
      </c>
      <c r="II288" s="618">
        <f t="shared" si="787"/>
        <v>40.704999999999998</v>
      </c>
      <c r="IJ288" s="618"/>
      <c r="IK288" s="618">
        <f t="shared" si="788"/>
        <v>0</v>
      </c>
      <c r="IL288" s="618">
        <f t="shared" si="789"/>
        <v>40.704999999999998</v>
      </c>
      <c r="IM288" s="618"/>
      <c r="IN288" s="618">
        <f t="shared" si="790"/>
        <v>0</v>
      </c>
      <c r="IO288" s="618">
        <f t="shared" si="791"/>
        <v>40.704999999999998</v>
      </c>
      <c r="IP288" s="618"/>
      <c r="IQ288" s="618">
        <f t="shared" si="792"/>
        <v>0</v>
      </c>
      <c r="IR288" s="618">
        <f t="shared" si="793"/>
        <v>40.704999999999998</v>
      </c>
      <c r="IS288" s="645"/>
      <c r="IT288" s="645"/>
      <c r="IU288" s="645"/>
      <c r="IV288" s="645"/>
      <c r="IW288" s="645"/>
      <c r="IX288" s="645"/>
      <c r="IY288" s="645"/>
      <c r="IZ288" s="645"/>
      <c r="JA288" s="645"/>
      <c r="JB288" s="645"/>
      <c r="JC288" s="645"/>
      <c r="JD288" s="645"/>
      <c r="JE288" s="645"/>
      <c r="JF288" s="645"/>
      <c r="JG288" s="645"/>
      <c r="JH288" s="645"/>
      <c r="JI288" s="645"/>
      <c r="JJ288" s="645"/>
      <c r="JK288" s="645"/>
      <c r="JL288" s="645"/>
      <c r="JM288" s="645"/>
      <c r="JN288" s="645"/>
      <c r="JO288" s="645"/>
      <c r="JP288" s="645"/>
      <c r="JQ288" s="645"/>
      <c r="JR288" s="645"/>
      <c r="JS288" s="645"/>
      <c r="JT288" s="645"/>
      <c r="JU288" s="645"/>
      <c r="JV288" s="653"/>
    </row>
    <row r="289" spans="1:282" s="612" customFormat="1">
      <c r="A289" s="611"/>
      <c r="U289" s="613"/>
      <c r="V289" s="613"/>
      <c r="AC289" s="613"/>
      <c r="AD289" s="613"/>
      <c r="AL289" s="613"/>
      <c r="AM289" s="613"/>
      <c r="AT289" s="613"/>
      <c r="AU289" s="613"/>
      <c r="CH289" s="611"/>
      <c r="CI289" s="611"/>
      <c r="CO289" s="695"/>
      <c r="CP289" s="645"/>
      <c r="CQ289" s="618"/>
      <c r="CR289" s="618"/>
      <c r="CS289" s="618"/>
      <c r="CT289" s="626"/>
      <c r="CU289" s="626"/>
      <c r="CV289" s="626"/>
      <c r="CW289" s="646"/>
      <c r="CX289" s="646"/>
      <c r="CY289" s="625"/>
      <c r="CZ289" s="625"/>
      <c r="DA289" s="625"/>
      <c r="DB289" s="625"/>
      <c r="DC289" s="645"/>
      <c r="DD289" s="645"/>
      <c r="DE289" s="645"/>
      <c r="DF289" s="645"/>
      <c r="DG289" s="645"/>
      <c r="DH289" s="645"/>
      <c r="DI289" s="645"/>
      <c r="DJ289" s="645"/>
      <c r="DK289" s="645"/>
      <c r="DL289" s="645"/>
      <c r="DM289" s="645"/>
      <c r="DN289" s="645"/>
      <c r="DO289" s="645"/>
      <c r="DP289" s="645"/>
      <c r="DQ289" s="645"/>
      <c r="DR289" s="645"/>
      <c r="DS289" s="645"/>
      <c r="DT289" s="645"/>
      <c r="DU289" s="645"/>
      <c r="DV289" s="645"/>
      <c r="DW289" s="645"/>
      <c r="DX289" s="645"/>
      <c r="DY289" s="645"/>
      <c r="DZ289" s="645"/>
      <c r="EA289" s="645"/>
      <c r="EB289" s="645"/>
      <c r="EC289" s="645"/>
      <c r="ED289" s="645"/>
      <c r="EE289" s="645"/>
      <c r="EF289" s="645"/>
      <c r="EG289" s="645"/>
      <c r="EH289" s="645"/>
      <c r="EI289" s="645"/>
      <c r="EJ289" s="645"/>
      <c r="EK289" s="645"/>
      <c r="EL289" s="645"/>
      <c r="EM289" s="645"/>
      <c r="EN289" s="645"/>
      <c r="EO289" s="645"/>
      <c r="EP289" s="645"/>
      <c r="EQ289" s="645"/>
      <c r="ER289" s="645"/>
      <c r="ES289" s="645"/>
      <c r="ET289" s="645"/>
      <c r="EU289" s="645"/>
      <c r="EV289" s="645"/>
      <c r="EW289" s="645"/>
      <c r="EX289" s="645"/>
      <c r="EY289" s="645"/>
      <c r="EZ289" s="645"/>
      <c r="FA289" s="645"/>
      <c r="FB289" s="645"/>
      <c r="FC289" s="645"/>
      <c r="FD289" s="645"/>
      <c r="FE289" s="645"/>
      <c r="FF289" s="645"/>
      <c r="FG289" s="645"/>
      <c r="FH289" s="645"/>
      <c r="FI289" s="645"/>
      <c r="FJ289" s="645"/>
      <c r="FK289" s="645"/>
      <c r="FL289" s="645"/>
      <c r="FM289" s="645"/>
      <c r="FN289" s="645"/>
      <c r="FO289" s="645"/>
      <c r="FP289" s="645"/>
      <c r="FQ289" s="645"/>
      <c r="FR289" s="645"/>
      <c r="FS289" s="645"/>
      <c r="FT289" s="645"/>
      <c r="FU289" s="645"/>
      <c r="FV289" s="645"/>
      <c r="FW289" s="645"/>
      <c r="FX289" s="645"/>
      <c r="FY289" s="645"/>
      <c r="FZ289" s="645"/>
      <c r="GA289" s="645"/>
      <c r="GB289" s="645"/>
      <c r="GC289" s="645"/>
      <c r="GD289" s="645"/>
      <c r="GE289" s="645"/>
      <c r="GF289" s="645"/>
      <c r="GG289" s="645"/>
      <c r="GH289" s="645"/>
      <c r="GI289" s="645"/>
      <c r="GJ289" s="645"/>
      <c r="GK289" s="645"/>
      <c r="GL289" s="645"/>
      <c r="GM289" s="645"/>
      <c r="GN289" s="645"/>
      <c r="GO289" s="645"/>
      <c r="GP289" s="645"/>
      <c r="GQ289" s="645"/>
      <c r="GR289" s="645"/>
      <c r="GS289" s="645"/>
      <c r="GT289" s="645"/>
      <c r="GU289" s="645"/>
      <c r="GV289" s="645"/>
      <c r="GW289" s="645"/>
      <c r="GX289" s="645"/>
      <c r="GY289" s="645"/>
      <c r="GZ289" s="645"/>
      <c r="HA289" s="645"/>
      <c r="HB289" s="645"/>
      <c r="HC289" s="645"/>
      <c r="HD289" s="645"/>
      <c r="HE289" s="645"/>
      <c r="HF289" s="645"/>
      <c r="HG289" s="645"/>
      <c r="HH289" s="645"/>
      <c r="HI289" s="645"/>
      <c r="HJ289" s="645"/>
      <c r="HK289" s="645"/>
      <c r="HL289" s="645"/>
      <c r="HM289" s="645"/>
      <c r="HN289" s="645"/>
      <c r="HO289" s="645"/>
      <c r="HP289" s="645"/>
      <c r="HQ289" s="645"/>
      <c r="HR289" s="645">
        <v>0.14299999999999999</v>
      </c>
      <c r="HS289" s="645">
        <f t="shared" si="794"/>
        <v>960.14285714285711</v>
      </c>
      <c r="HT289" s="645">
        <f t="shared" si="795"/>
        <v>1</v>
      </c>
      <c r="HU289" s="618">
        <f t="shared" si="796"/>
        <v>3.6429068002484768</v>
      </c>
      <c r="HV289" s="618"/>
      <c r="HW289" s="618">
        <f t="shared" si="781"/>
        <v>30.827072343647163</v>
      </c>
      <c r="HX289" s="618">
        <f t="shared" si="797"/>
        <v>3.3802625856334125</v>
      </c>
      <c r="HY289" s="618">
        <f t="shared" si="798"/>
        <v>0.14299999999999999</v>
      </c>
      <c r="HZ289" s="618"/>
      <c r="IA289" s="618"/>
      <c r="IB289" s="618">
        <f t="shared" si="782"/>
        <v>25.000350341399081</v>
      </c>
      <c r="IC289" s="618">
        <f t="shared" si="783"/>
        <v>1E-3</v>
      </c>
      <c r="ID289" s="618"/>
      <c r="IE289" s="618">
        <f t="shared" si="784"/>
        <v>0</v>
      </c>
      <c r="IF289" s="618">
        <f t="shared" si="785"/>
        <v>40.704999999999998</v>
      </c>
      <c r="IG289" s="618"/>
      <c r="IH289" s="618">
        <f t="shared" si="786"/>
        <v>0</v>
      </c>
      <c r="II289" s="618">
        <f t="shared" si="787"/>
        <v>40.704999999999998</v>
      </c>
      <c r="IJ289" s="618"/>
      <c r="IK289" s="618">
        <f t="shared" si="788"/>
        <v>0</v>
      </c>
      <c r="IL289" s="618">
        <f t="shared" si="789"/>
        <v>40.704999999999998</v>
      </c>
      <c r="IM289" s="618"/>
      <c r="IN289" s="618">
        <f t="shared" si="790"/>
        <v>0</v>
      </c>
      <c r="IO289" s="618">
        <f t="shared" si="791"/>
        <v>40.704999999999998</v>
      </c>
      <c r="IP289" s="618"/>
      <c r="IQ289" s="618">
        <f t="shared" si="792"/>
        <v>0</v>
      </c>
      <c r="IR289" s="618">
        <f t="shared" si="793"/>
        <v>40.704999999999998</v>
      </c>
      <c r="IS289" s="645"/>
      <c r="IT289" s="645"/>
      <c r="IU289" s="645"/>
      <c r="IV289" s="645"/>
      <c r="IW289" s="645"/>
      <c r="IX289" s="645"/>
      <c r="IY289" s="645"/>
      <c r="IZ289" s="645"/>
      <c r="JA289" s="645"/>
      <c r="JB289" s="645"/>
      <c r="JC289" s="645"/>
      <c r="JD289" s="645"/>
      <c r="JE289" s="645"/>
      <c r="JF289" s="645"/>
      <c r="JG289" s="645"/>
      <c r="JH289" s="645"/>
      <c r="JI289" s="645"/>
      <c r="JJ289" s="645"/>
      <c r="JK289" s="645"/>
      <c r="JL289" s="645"/>
      <c r="JM289" s="645"/>
      <c r="JN289" s="645"/>
      <c r="JO289" s="645"/>
      <c r="JP289" s="645"/>
      <c r="JQ289" s="645"/>
      <c r="JR289" s="645"/>
      <c r="JS289" s="645"/>
      <c r="JT289" s="645"/>
      <c r="JU289" s="645"/>
      <c r="JV289" s="653"/>
    </row>
    <row r="290" spans="1:282" s="612" customFormat="1">
      <c r="A290" s="611"/>
      <c r="U290" s="613"/>
      <c r="V290" s="613"/>
      <c r="AC290" s="613"/>
      <c r="AD290" s="613"/>
      <c r="AL290" s="613"/>
      <c r="AM290" s="613"/>
      <c r="AT290" s="613"/>
      <c r="AU290" s="613"/>
      <c r="CH290" s="611"/>
      <c r="CI290" s="611"/>
      <c r="CO290" s="695"/>
      <c r="CP290" s="645"/>
      <c r="CQ290" s="618"/>
      <c r="CR290" s="618"/>
      <c r="CS290" s="618"/>
      <c r="CT290" s="626"/>
      <c r="CU290" s="626"/>
      <c r="CV290" s="626"/>
      <c r="CW290" s="646"/>
      <c r="CX290" s="646"/>
      <c r="CY290" s="625"/>
      <c r="CZ290" s="625"/>
      <c r="DA290" s="625"/>
      <c r="DB290" s="625"/>
      <c r="DC290" s="645"/>
      <c r="DD290" s="645"/>
      <c r="DE290" s="645"/>
      <c r="DF290" s="645"/>
      <c r="DG290" s="645"/>
      <c r="DH290" s="645"/>
      <c r="DI290" s="645"/>
      <c r="DJ290" s="645"/>
      <c r="DK290" s="645"/>
      <c r="DL290" s="645"/>
      <c r="DM290" s="645"/>
      <c r="DN290" s="645"/>
      <c r="DO290" s="645"/>
      <c r="DP290" s="645"/>
      <c r="DQ290" s="645"/>
      <c r="DR290" s="645"/>
      <c r="DS290" s="645"/>
      <c r="DT290" s="645"/>
      <c r="DU290" s="645"/>
      <c r="DV290" s="645"/>
      <c r="DW290" s="645"/>
      <c r="DX290" s="645"/>
      <c r="DY290" s="645"/>
      <c r="DZ290" s="645"/>
      <c r="EA290" s="645"/>
      <c r="EB290" s="645"/>
      <c r="EC290" s="645"/>
      <c r="ED290" s="645"/>
      <c r="EE290" s="645"/>
      <c r="EF290" s="645"/>
      <c r="EG290" s="645"/>
      <c r="EH290" s="645"/>
      <c r="EI290" s="645"/>
      <c r="EJ290" s="645"/>
      <c r="EK290" s="645"/>
      <c r="EL290" s="645"/>
      <c r="EM290" s="645"/>
      <c r="EN290" s="645"/>
      <c r="EO290" s="645"/>
      <c r="EP290" s="645"/>
      <c r="EQ290" s="645"/>
      <c r="ER290" s="645"/>
      <c r="ES290" s="645"/>
      <c r="ET290" s="645"/>
      <c r="EU290" s="645"/>
      <c r="EV290" s="645"/>
      <c r="EW290" s="645"/>
      <c r="EX290" s="645"/>
      <c r="EY290" s="645"/>
      <c r="EZ290" s="645"/>
      <c r="FA290" s="645"/>
      <c r="FB290" s="645"/>
      <c r="FC290" s="645"/>
      <c r="FD290" s="645"/>
      <c r="FE290" s="645"/>
      <c r="FF290" s="645"/>
      <c r="FG290" s="645"/>
      <c r="FH290" s="645"/>
      <c r="FI290" s="645"/>
      <c r="FJ290" s="645"/>
      <c r="FK290" s="645"/>
      <c r="FL290" s="645"/>
      <c r="FM290" s="645"/>
      <c r="FN290" s="645"/>
      <c r="FO290" s="645"/>
      <c r="FP290" s="645"/>
      <c r="FQ290" s="645"/>
      <c r="FR290" s="645"/>
      <c r="FS290" s="645"/>
      <c r="FT290" s="645"/>
      <c r="FU290" s="645"/>
      <c r="FV290" s="645"/>
      <c r="FW290" s="645"/>
      <c r="FX290" s="645"/>
      <c r="FY290" s="645"/>
      <c r="FZ290" s="645"/>
      <c r="GA290" s="645"/>
      <c r="GB290" s="645"/>
      <c r="GC290" s="645"/>
      <c r="GD290" s="645"/>
      <c r="GE290" s="645"/>
      <c r="GF290" s="645"/>
      <c r="GG290" s="645"/>
      <c r="GH290" s="645"/>
      <c r="GI290" s="645"/>
      <c r="GJ290" s="645"/>
      <c r="GK290" s="645"/>
      <c r="GL290" s="645"/>
      <c r="GM290" s="645"/>
      <c r="GN290" s="645"/>
      <c r="GO290" s="645"/>
      <c r="GP290" s="645"/>
      <c r="GQ290" s="645"/>
      <c r="GR290" s="645"/>
      <c r="GS290" s="645"/>
      <c r="GT290" s="645"/>
      <c r="GU290" s="645"/>
      <c r="GV290" s="645"/>
      <c r="GW290" s="645"/>
      <c r="GX290" s="645"/>
      <c r="GY290" s="645"/>
      <c r="GZ290" s="645"/>
      <c r="HA290" s="645"/>
      <c r="HB290" s="645"/>
      <c r="HC290" s="645"/>
      <c r="HD290" s="645"/>
      <c r="HE290" s="645"/>
      <c r="HF290" s="645"/>
      <c r="HG290" s="645"/>
      <c r="HH290" s="645"/>
      <c r="HI290" s="645"/>
      <c r="HJ290" s="645"/>
      <c r="HK290" s="645"/>
      <c r="HL290" s="645"/>
      <c r="HM290" s="645"/>
      <c r="HN290" s="645"/>
      <c r="HO290" s="645"/>
      <c r="HP290" s="645"/>
      <c r="HQ290" s="645"/>
      <c r="HR290" s="645">
        <v>0.14349999999999999</v>
      </c>
      <c r="HS290" s="645">
        <f t="shared" si="794"/>
        <v>963.49999999999989</v>
      </c>
      <c r="HT290" s="645">
        <f t="shared" si="795"/>
        <v>1</v>
      </c>
      <c r="HU290" s="618">
        <f t="shared" si="796"/>
        <v>3.6556458442221018</v>
      </c>
      <c r="HV290" s="618"/>
      <c r="HW290" s="618">
        <f t="shared" si="781"/>
        <v>30.808982901204615</v>
      </c>
      <c r="HX290" s="618">
        <f t="shared" si="797"/>
        <v>3.3911647241878877</v>
      </c>
      <c r="HY290" s="618">
        <f t="shared" si="798"/>
        <v>0.14349999999999999</v>
      </c>
      <c r="HZ290" s="618"/>
      <c r="IA290" s="618"/>
      <c r="IB290" s="618">
        <f t="shared" si="782"/>
        <v>25.000350341399081</v>
      </c>
      <c r="IC290" s="618">
        <f t="shared" si="783"/>
        <v>1E-3</v>
      </c>
      <c r="ID290" s="618"/>
      <c r="IE290" s="618">
        <f t="shared" si="784"/>
        <v>0</v>
      </c>
      <c r="IF290" s="618">
        <f t="shared" si="785"/>
        <v>40.704999999999998</v>
      </c>
      <c r="IG290" s="618"/>
      <c r="IH290" s="618">
        <f t="shared" si="786"/>
        <v>0</v>
      </c>
      <c r="II290" s="618">
        <f t="shared" si="787"/>
        <v>40.704999999999998</v>
      </c>
      <c r="IJ290" s="618"/>
      <c r="IK290" s="618">
        <f t="shared" si="788"/>
        <v>0</v>
      </c>
      <c r="IL290" s="618">
        <f t="shared" si="789"/>
        <v>40.704999999999998</v>
      </c>
      <c r="IM290" s="618"/>
      <c r="IN290" s="618">
        <f t="shared" si="790"/>
        <v>0</v>
      </c>
      <c r="IO290" s="618">
        <f t="shared" si="791"/>
        <v>40.704999999999998</v>
      </c>
      <c r="IP290" s="618"/>
      <c r="IQ290" s="618">
        <f t="shared" si="792"/>
        <v>0</v>
      </c>
      <c r="IR290" s="618">
        <f t="shared" si="793"/>
        <v>40.704999999999998</v>
      </c>
      <c r="IS290" s="645"/>
      <c r="IT290" s="645"/>
      <c r="IU290" s="645"/>
      <c r="IV290" s="645"/>
      <c r="IW290" s="645"/>
      <c r="IX290" s="645"/>
      <c r="IY290" s="645"/>
      <c r="IZ290" s="645"/>
      <c r="JA290" s="645"/>
      <c r="JB290" s="645"/>
      <c r="JC290" s="645"/>
      <c r="JD290" s="645"/>
      <c r="JE290" s="645"/>
      <c r="JF290" s="645"/>
      <c r="JG290" s="645"/>
      <c r="JH290" s="645"/>
      <c r="JI290" s="645"/>
      <c r="JJ290" s="645"/>
      <c r="JK290" s="645"/>
      <c r="JL290" s="645"/>
      <c r="JM290" s="645"/>
      <c r="JN290" s="645"/>
      <c r="JO290" s="645"/>
      <c r="JP290" s="645"/>
      <c r="JQ290" s="645"/>
      <c r="JR290" s="645"/>
      <c r="JS290" s="645"/>
      <c r="JT290" s="645"/>
      <c r="JU290" s="645"/>
      <c r="JV290" s="653"/>
    </row>
    <row r="291" spans="1:282" s="612" customFormat="1">
      <c r="A291" s="611"/>
      <c r="U291" s="613"/>
      <c r="V291" s="613"/>
      <c r="AC291" s="613"/>
      <c r="AD291" s="613"/>
      <c r="AL291" s="613"/>
      <c r="AM291" s="613"/>
      <c r="AT291" s="613"/>
      <c r="AU291" s="613"/>
      <c r="CH291" s="611"/>
      <c r="CI291" s="611"/>
      <c r="CO291" s="695"/>
      <c r="CP291" s="645"/>
      <c r="CQ291" s="618"/>
      <c r="CR291" s="618"/>
      <c r="CS291" s="618"/>
      <c r="CT291" s="626"/>
      <c r="CU291" s="626"/>
      <c r="CV291" s="626"/>
      <c r="CW291" s="646"/>
      <c r="CX291" s="646"/>
      <c r="CY291" s="625"/>
      <c r="CZ291" s="625"/>
      <c r="DA291" s="625"/>
      <c r="DB291" s="625"/>
      <c r="DC291" s="645"/>
      <c r="DD291" s="645"/>
      <c r="DE291" s="645"/>
      <c r="DF291" s="645"/>
      <c r="DG291" s="645"/>
      <c r="DH291" s="645"/>
      <c r="DI291" s="645"/>
      <c r="DJ291" s="645"/>
      <c r="DK291" s="645"/>
      <c r="DL291" s="645"/>
      <c r="DM291" s="645"/>
      <c r="DN291" s="645"/>
      <c r="DO291" s="645"/>
      <c r="DP291" s="645"/>
      <c r="DQ291" s="645"/>
      <c r="DR291" s="645"/>
      <c r="DS291" s="645"/>
      <c r="DT291" s="645"/>
      <c r="DU291" s="645"/>
      <c r="DV291" s="645"/>
      <c r="DW291" s="645"/>
      <c r="DX291" s="645"/>
      <c r="DY291" s="645"/>
      <c r="DZ291" s="645"/>
      <c r="EA291" s="645"/>
      <c r="EB291" s="645"/>
      <c r="EC291" s="645"/>
      <c r="ED291" s="645"/>
      <c r="EE291" s="645"/>
      <c r="EF291" s="645"/>
      <c r="EG291" s="645"/>
      <c r="EH291" s="645"/>
      <c r="EI291" s="645"/>
      <c r="EJ291" s="645"/>
      <c r="EK291" s="645"/>
      <c r="EL291" s="645"/>
      <c r="EM291" s="645"/>
      <c r="EN291" s="645"/>
      <c r="EO291" s="645"/>
      <c r="EP291" s="645"/>
      <c r="EQ291" s="645"/>
      <c r="ER291" s="645"/>
      <c r="ES291" s="645"/>
      <c r="ET291" s="645"/>
      <c r="EU291" s="645"/>
      <c r="EV291" s="645"/>
      <c r="EW291" s="645"/>
      <c r="EX291" s="645"/>
      <c r="EY291" s="645"/>
      <c r="EZ291" s="645"/>
      <c r="FA291" s="645"/>
      <c r="FB291" s="645"/>
      <c r="FC291" s="645"/>
      <c r="FD291" s="645"/>
      <c r="FE291" s="645"/>
      <c r="FF291" s="645"/>
      <c r="FG291" s="645"/>
      <c r="FH291" s="645"/>
      <c r="FI291" s="645"/>
      <c r="FJ291" s="645"/>
      <c r="FK291" s="645"/>
      <c r="FL291" s="645"/>
      <c r="FM291" s="645"/>
      <c r="FN291" s="645"/>
      <c r="FO291" s="645"/>
      <c r="FP291" s="645"/>
      <c r="FQ291" s="645"/>
      <c r="FR291" s="645"/>
      <c r="FS291" s="645"/>
      <c r="FT291" s="645"/>
      <c r="FU291" s="645"/>
      <c r="FV291" s="645"/>
      <c r="FW291" s="645"/>
      <c r="FX291" s="645"/>
      <c r="FY291" s="645"/>
      <c r="FZ291" s="645"/>
      <c r="GA291" s="645"/>
      <c r="GB291" s="645"/>
      <c r="GC291" s="645"/>
      <c r="GD291" s="645"/>
      <c r="GE291" s="645"/>
      <c r="GF291" s="645"/>
      <c r="GG291" s="645"/>
      <c r="GH291" s="645"/>
      <c r="GI291" s="645"/>
      <c r="GJ291" s="645"/>
      <c r="GK291" s="645"/>
      <c r="GL291" s="645"/>
      <c r="GM291" s="645"/>
      <c r="GN291" s="645"/>
      <c r="GO291" s="645"/>
      <c r="GP291" s="645"/>
      <c r="GQ291" s="645"/>
      <c r="GR291" s="645"/>
      <c r="GS291" s="645"/>
      <c r="GT291" s="645"/>
      <c r="GU291" s="645"/>
      <c r="GV291" s="645"/>
      <c r="GW291" s="645"/>
      <c r="GX291" s="645"/>
      <c r="GY291" s="645"/>
      <c r="GZ291" s="645"/>
      <c r="HA291" s="645"/>
      <c r="HB291" s="645"/>
      <c r="HC291" s="645"/>
      <c r="HD291" s="645"/>
      <c r="HE291" s="645"/>
      <c r="HF291" s="645"/>
      <c r="HG291" s="645"/>
      <c r="HH291" s="645"/>
      <c r="HI291" s="645"/>
      <c r="HJ291" s="645"/>
      <c r="HK291" s="645"/>
      <c r="HL291" s="645"/>
      <c r="HM291" s="645"/>
      <c r="HN291" s="645"/>
      <c r="HO291" s="645"/>
      <c r="HP291" s="645"/>
      <c r="HQ291" s="645"/>
      <c r="HR291" s="645">
        <v>0.14399999999999999</v>
      </c>
      <c r="HS291" s="645">
        <f t="shared" si="794"/>
        <v>966.85714285714278</v>
      </c>
      <c r="HT291" s="645">
        <f t="shared" si="795"/>
        <v>1</v>
      </c>
      <c r="HU291" s="618">
        <f t="shared" si="796"/>
        <v>3.6683848881957268</v>
      </c>
      <c r="HV291" s="618"/>
      <c r="HW291" s="618">
        <f t="shared" si="781"/>
        <v>30.790893458762067</v>
      </c>
      <c r="HX291" s="618">
        <f t="shared" si="797"/>
        <v>3.4020604615700645</v>
      </c>
      <c r="HY291" s="618">
        <f t="shared" si="798"/>
        <v>0.14399999999999999</v>
      </c>
      <c r="HZ291" s="618"/>
      <c r="IA291" s="618"/>
      <c r="IB291" s="618">
        <f t="shared" si="782"/>
        <v>25.000350341399081</v>
      </c>
      <c r="IC291" s="618">
        <f t="shared" si="783"/>
        <v>1E-3</v>
      </c>
      <c r="ID291" s="618"/>
      <c r="IE291" s="618">
        <f t="shared" si="784"/>
        <v>0</v>
      </c>
      <c r="IF291" s="618">
        <f t="shared" si="785"/>
        <v>40.704999999999998</v>
      </c>
      <c r="IG291" s="618"/>
      <c r="IH291" s="618">
        <f t="shared" si="786"/>
        <v>0</v>
      </c>
      <c r="II291" s="618">
        <f t="shared" si="787"/>
        <v>40.704999999999998</v>
      </c>
      <c r="IJ291" s="618"/>
      <c r="IK291" s="618">
        <f t="shared" si="788"/>
        <v>0</v>
      </c>
      <c r="IL291" s="618">
        <f t="shared" si="789"/>
        <v>40.704999999999998</v>
      </c>
      <c r="IM291" s="618"/>
      <c r="IN291" s="618">
        <f t="shared" si="790"/>
        <v>0</v>
      </c>
      <c r="IO291" s="618">
        <f t="shared" si="791"/>
        <v>40.704999999999998</v>
      </c>
      <c r="IP291" s="618"/>
      <c r="IQ291" s="618">
        <f t="shared" si="792"/>
        <v>0</v>
      </c>
      <c r="IR291" s="618">
        <f t="shared" si="793"/>
        <v>40.704999999999998</v>
      </c>
      <c r="IS291" s="645"/>
      <c r="IT291" s="645"/>
      <c r="IU291" s="645"/>
      <c r="IV291" s="645"/>
      <c r="IW291" s="645"/>
      <c r="IX291" s="645"/>
      <c r="IY291" s="645"/>
      <c r="IZ291" s="645"/>
      <c r="JA291" s="645"/>
      <c r="JB291" s="645"/>
      <c r="JC291" s="645"/>
      <c r="JD291" s="645"/>
      <c r="JE291" s="645"/>
      <c r="JF291" s="645"/>
      <c r="JG291" s="645"/>
      <c r="JH291" s="645"/>
      <c r="JI291" s="645"/>
      <c r="JJ291" s="645"/>
      <c r="JK291" s="645"/>
      <c r="JL291" s="645"/>
      <c r="JM291" s="645"/>
      <c r="JN291" s="645"/>
      <c r="JO291" s="645"/>
      <c r="JP291" s="645"/>
      <c r="JQ291" s="645"/>
      <c r="JR291" s="645"/>
      <c r="JS291" s="645"/>
      <c r="JT291" s="645"/>
      <c r="JU291" s="645"/>
      <c r="JV291" s="653"/>
    </row>
    <row r="292" spans="1:282" s="612" customFormat="1">
      <c r="A292" s="611"/>
      <c r="U292" s="613"/>
      <c r="V292" s="613"/>
      <c r="AC292" s="613"/>
      <c r="AD292" s="613"/>
      <c r="AL292" s="613"/>
      <c r="AM292" s="613"/>
      <c r="AT292" s="613"/>
      <c r="AU292" s="613"/>
      <c r="CH292" s="611"/>
      <c r="CI292" s="611"/>
      <c r="CO292" s="695"/>
      <c r="CP292" s="645"/>
      <c r="CQ292" s="618"/>
      <c r="CR292" s="618"/>
      <c r="CS292" s="618"/>
      <c r="CT292" s="626"/>
      <c r="CU292" s="626"/>
      <c r="CV292" s="626"/>
      <c r="CW292" s="646"/>
      <c r="CX292" s="646"/>
      <c r="CY292" s="625"/>
      <c r="CZ292" s="625"/>
      <c r="DA292" s="625"/>
      <c r="DB292" s="625"/>
      <c r="DC292" s="645"/>
      <c r="DD292" s="645"/>
      <c r="DE292" s="645"/>
      <c r="DF292" s="645"/>
      <c r="DG292" s="645"/>
      <c r="DH292" s="645"/>
      <c r="DI292" s="645"/>
      <c r="DJ292" s="645"/>
      <c r="DK292" s="645"/>
      <c r="DL292" s="645"/>
      <c r="DM292" s="645"/>
      <c r="DN292" s="645"/>
      <c r="DO292" s="645"/>
      <c r="DP292" s="645"/>
      <c r="DQ292" s="645"/>
      <c r="DR292" s="645"/>
      <c r="DS292" s="645"/>
      <c r="DT292" s="645"/>
      <c r="DU292" s="645"/>
      <c r="DV292" s="645"/>
      <c r="DW292" s="645"/>
      <c r="DX292" s="645"/>
      <c r="DY292" s="645"/>
      <c r="DZ292" s="645"/>
      <c r="EA292" s="645"/>
      <c r="EB292" s="645"/>
      <c r="EC292" s="645"/>
      <c r="ED292" s="645"/>
      <c r="EE292" s="645"/>
      <c r="EF292" s="645"/>
      <c r="EG292" s="645"/>
      <c r="EH292" s="645"/>
      <c r="EI292" s="645"/>
      <c r="EJ292" s="645"/>
      <c r="EK292" s="645"/>
      <c r="EL292" s="645"/>
      <c r="EM292" s="645"/>
      <c r="EN292" s="645"/>
      <c r="EO292" s="645"/>
      <c r="EP292" s="645"/>
      <c r="EQ292" s="645"/>
      <c r="ER292" s="645"/>
      <c r="ES292" s="645"/>
      <c r="ET292" s="645"/>
      <c r="EU292" s="645"/>
      <c r="EV292" s="645"/>
      <c r="EW292" s="645"/>
      <c r="EX292" s="645"/>
      <c r="EY292" s="645"/>
      <c r="EZ292" s="645"/>
      <c r="FA292" s="645"/>
      <c r="FB292" s="645"/>
      <c r="FC292" s="645"/>
      <c r="FD292" s="645"/>
      <c r="FE292" s="645"/>
      <c r="FF292" s="645"/>
      <c r="FG292" s="645"/>
      <c r="FH292" s="645"/>
      <c r="FI292" s="645"/>
      <c r="FJ292" s="645"/>
      <c r="FK292" s="645"/>
      <c r="FL292" s="645"/>
      <c r="FM292" s="645"/>
      <c r="FN292" s="645"/>
      <c r="FO292" s="645"/>
      <c r="FP292" s="645"/>
      <c r="FQ292" s="645"/>
      <c r="FR292" s="645"/>
      <c r="FS292" s="645"/>
      <c r="FT292" s="645"/>
      <c r="FU292" s="645"/>
      <c r="FV292" s="645"/>
      <c r="FW292" s="645"/>
      <c r="FX292" s="645"/>
      <c r="FY292" s="645"/>
      <c r="FZ292" s="645"/>
      <c r="GA292" s="645"/>
      <c r="GB292" s="645"/>
      <c r="GC292" s="645"/>
      <c r="GD292" s="645"/>
      <c r="GE292" s="645"/>
      <c r="GF292" s="645"/>
      <c r="GG292" s="645"/>
      <c r="GH292" s="645"/>
      <c r="GI292" s="645"/>
      <c r="GJ292" s="645"/>
      <c r="GK292" s="645"/>
      <c r="GL292" s="645"/>
      <c r="GM292" s="645"/>
      <c r="GN292" s="645"/>
      <c r="GO292" s="645"/>
      <c r="GP292" s="645"/>
      <c r="GQ292" s="645"/>
      <c r="GR292" s="645"/>
      <c r="GS292" s="645"/>
      <c r="GT292" s="645"/>
      <c r="GU292" s="645"/>
      <c r="GV292" s="645"/>
      <c r="GW292" s="645"/>
      <c r="GX292" s="645"/>
      <c r="GY292" s="645"/>
      <c r="GZ292" s="645"/>
      <c r="HA292" s="645"/>
      <c r="HB292" s="645"/>
      <c r="HC292" s="645"/>
      <c r="HD292" s="645"/>
      <c r="HE292" s="645"/>
      <c r="HF292" s="645"/>
      <c r="HG292" s="645"/>
      <c r="HH292" s="645"/>
      <c r="HI292" s="645"/>
      <c r="HJ292" s="645"/>
      <c r="HK292" s="645"/>
      <c r="HL292" s="645"/>
      <c r="HM292" s="645"/>
      <c r="HN292" s="645"/>
      <c r="HO292" s="645"/>
      <c r="HP292" s="645"/>
      <c r="HQ292" s="645"/>
      <c r="HR292" s="645">
        <v>0.14449999999999999</v>
      </c>
      <c r="HS292" s="645">
        <f t="shared" si="794"/>
        <v>970.21428571428567</v>
      </c>
      <c r="HT292" s="645">
        <f t="shared" si="795"/>
        <v>1</v>
      </c>
      <c r="HU292" s="618">
        <f t="shared" si="796"/>
        <v>3.6811239321693519</v>
      </c>
      <c r="HV292" s="618"/>
      <c r="HW292" s="618">
        <f t="shared" si="781"/>
        <v>30.772804016319519</v>
      </c>
      <c r="HX292" s="618">
        <f t="shared" si="797"/>
        <v>3.4129497977799432</v>
      </c>
      <c r="HY292" s="618">
        <f t="shared" si="798"/>
        <v>0.14449999999999999</v>
      </c>
      <c r="HZ292" s="618"/>
      <c r="IA292" s="618"/>
      <c r="IB292" s="618">
        <f t="shared" si="782"/>
        <v>25.000350341399081</v>
      </c>
      <c r="IC292" s="618">
        <f t="shared" si="783"/>
        <v>1E-3</v>
      </c>
      <c r="ID292" s="618"/>
      <c r="IE292" s="618">
        <f t="shared" si="784"/>
        <v>0</v>
      </c>
      <c r="IF292" s="618">
        <f t="shared" si="785"/>
        <v>40.704999999999998</v>
      </c>
      <c r="IG292" s="618"/>
      <c r="IH292" s="618">
        <f t="shared" si="786"/>
        <v>0</v>
      </c>
      <c r="II292" s="618">
        <f t="shared" si="787"/>
        <v>40.704999999999998</v>
      </c>
      <c r="IJ292" s="618"/>
      <c r="IK292" s="618">
        <f t="shared" si="788"/>
        <v>0</v>
      </c>
      <c r="IL292" s="618">
        <f t="shared" si="789"/>
        <v>40.704999999999998</v>
      </c>
      <c r="IM292" s="618"/>
      <c r="IN292" s="618">
        <f t="shared" si="790"/>
        <v>0</v>
      </c>
      <c r="IO292" s="618">
        <f t="shared" si="791"/>
        <v>40.704999999999998</v>
      </c>
      <c r="IP292" s="618"/>
      <c r="IQ292" s="618">
        <f t="shared" si="792"/>
        <v>0</v>
      </c>
      <c r="IR292" s="618">
        <f t="shared" si="793"/>
        <v>40.704999999999998</v>
      </c>
      <c r="IS292" s="645"/>
      <c r="IT292" s="645"/>
      <c r="IU292" s="645"/>
      <c r="IV292" s="645"/>
      <c r="IW292" s="645"/>
      <c r="IX292" s="645"/>
      <c r="IY292" s="645"/>
      <c r="IZ292" s="645"/>
      <c r="JA292" s="645"/>
      <c r="JB292" s="645"/>
      <c r="JC292" s="645"/>
      <c r="JD292" s="645"/>
      <c r="JE292" s="645"/>
      <c r="JF292" s="645"/>
      <c r="JG292" s="645"/>
      <c r="JH292" s="645"/>
      <c r="JI292" s="645"/>
      <c r="JJ292" s="645"/>
      <c r="JK292" s="645"/>
      <c r="JL292" s="645"/>
      <c r="JM292" s="645"/>
      <c r="JN292" s="645"/>
      <c r="JO292" s="645"/>
      <c r="JP292" s="645"/>
      <c r="JQ292" s="645"/>
      <c r="JR292" s="645"/>
      <c r="JS292" s="645"/>
      <c r="JT292" s="645"/>
      <c r="JU292" s="645"/>
      <c r="JV292" s="653"/>
    </row>
    <row r="293" spans="1:282" s="612" customFormat="1">
      <c r="A293" s="611"/>
      <c r="U293" s="613"/>
      <c r="V293" s="613"/>
      <c r="AC293" s="613"/>
      <c r="AD293" s="613"/>
      <c r="AL293" s="613"/>
      <c r="AM293" s="613"/>
      <c r="AT293" s="613"/>
      <c r="AU293" s="613"/>
      <c r="CH293" s="611"/>
      <c r="CI293" s="611"/>
      <c r="CO293" s="695"/>
      <c r="CP293" s="645"/>
      <c r="CQ293" s="618"/>
      <c r="CR293" s="618"/>
      <c r="CS293" s="618"/>
      <c r="CT293" s="626"/>
      <c r="CU293" s="626"/>
      <c r="CV293" s="626"/>
      <c r="CW293" s="646"/>
      <c r="CX293" s="646"/>
      <c r="CY293" s="625"/>
      <c r="CZ293" s="625"/>
      <c r="DA293" s="625"/>
      <c r="DB293" s="625"/>
      <c r="DC293" s="645"/>
      <c r="DD293" s="645"/>
      <c r="DE293" s="645"/>
      <c r="DF293" s="645"/>
      <c r="DG293" s="645"/>
      <c r="DH293" s="645"/>
      <c r="DI293" s="645"/>
      <c r="DJ293" s="645"/>
      <c r="DK293" s="645"/>
      <c r="DL293" s="645"/>
      <c r="DM293" s="645"/>
      <c r="DN293" s="645"/>
      <c r="DO293" s="645"/>
      <c r="DP293" s="645"/>
      <c r="DQ293" s="645"/>
      <c r="DR293" s="645"/>
      <c r="DS293" s="645"/>
      <c r="DT293" s="645"/>
      <c r="DU293" s="645"/>
      <c r="DV293" s="645"/>
      <c r="DW293" s="645"/>
      <c r="DX293" s="645"/>
      <c r="DY293" s="645"/>
      <c r="DZ293" s="645"/>
      <c r="EA293" s="645"/>
      <c r="EB293" s="645"/>
      <c r="EC293" s="645"/>
      <c r="ED293" s="645"/>
      <c r="EE293" s="645"/>
      <c r="EF293" s="645"/>
      <c r="EG293" s="645"/>
      <c r="EH293" s="645"/>
      <c r="EI293" s="645"/>
      <c r="EJ293" s="645"/>
      <c r="EK293" s="645"/>
      <c r="EL293" s="645"/>
      <c r="EM293" s="645"/>
      <c r="EN293" s="645"/>
      <c r="EO293" s="645"/>
      <c r="EP293" s="645"/>
      <c r="EQ293" s="645"/>
      <c r="ER293" s="645"/>
      <c r="ES293" s="645"/>
      <c r="ET293" s="645"/>
      <c r="EU293" s="645"/>
      <c r="EV293" s="645"/>
      <c r="EW293" s="645"/>
      <c r="EX293" s="645"/>
      <c r="EY293" s="645"/>
      <c r="EZ293" s="645"/>
      <c r="FA293" s="645"/>
      <c r="FB293" s="645"/>
      <c r="FC293" s="645"/>
      <c r="FD293" s="645"/>
      <c r="FE293" s="645"/>
      <c r="FF293" s="645"/>
      <c r="FG293" s="645"/>
      <c r="FH293" s="645"/>
      <c r="FI293" s="645"/>
      <c r="FJ293" s="645"/>
      <c r="FK293" s="645"/>
      <c r="FL293" s="645"/>
      <c r="FM293" s="645"/>
      <c r="FN293" s="645"/>
      <c r="FO293" s="645"/>
      <c r="FP293" s="645"/>
      <c r="FQ293" s="645"/>
      <c r="FR293" s="645"/>
      <c r="FS293" s="645"/>
      <c r="FT293" s="645"/>
      <c r="FU293" s="645"/>
      <c r="FV293" s="645"/>
      <c r="FW293" s="645"/>
      <c r="FX293" s="645"/>
      <c r="FY293" s="645"/>
      <c r="FZ293" s="645"/>
      <c r="GA293" s="645"/>
      <c r="GB293" s="645"/>
      <c r="GC293" s="645"/>
      <c r="GD293" s="645"/>
      <c r="GE293" s="645"/>
      <c r="GF293" s="645"/>
      <c r="GG293" s="645"/>
      <c r="GH293" s="645"/>
      <c r="GI293" s="645"/>
      <c r="GJ293" s="645"/>
      <c r="GK293" s="645"/>
      <c r="GL293" s="645"/>
      <c r="GM293" s="645"/>
      <c r="GN293" s="645"/>
      <c r="GO293" s="645"/>
      <c r="GP293" s="645"/>
      <c r="GQ293" s="645"/>
      <c r="GR293" s="645"/>
      <c r="GS293" s="645"/>
      <c r="GT293" s="645"/>
      <c r="GU293" s="645"/>
      <c r="GV293" s="645"/>
      <c r="GW293" s="645"/>
      <c r="GX293" s="645"/>
      <c r="GY293" s="645"/>
      <c r="GZ293" s="645"/>
      <c r="HA293" s="645"/>
      <c r="HB293" s="645"/>
      <c r="HC293" s="645"/>
      <c r="HD293" s="645"/>
      <c r="HE293" s="645"/>
      <c r="HF293" s="645"/>
      <c r="HG293" s="645"/>
      <c r="HH293" s="645"/>
      <c r="HI293" s="645"/>
      <c r="HJ293" s="645"/>
      <c r="HK293" s="645"/>
      <c r="HL293" s="645"/>
      <c r="HM293" s="645"/>
      <c r="HN293" s="645"/>
      <c r="HO293" s="645"/>
      <c r="HP293" s="645"/>
      <c r="HQ293" s="645"/>
      <c r="HR293" s="645">
        <v>0.14499999999999999</v>
      </c>
      <c r="HS293" s="645">
        <f t="shared" si="794"/>
        <v>973.57142857142844</v>
      </c>
      <c r="HT293" s="645">
        <f t="shared" si="795"/>
        <v>1</v>
      </c>
      <c r="HU293" s="618">
        <f t="shared" si="796"/>
        <v>3.6938629761429769</v>
      </c>
      <c r="HV293" s="618"/>
      <c r="HW293" s="618">
        <f t="shared" si="781"/>
        <v>30.754714573876974</v>
      </c>
      <c r="HX293" s="618">
        <f t="shared" si="797"/>
        <v>3.4238327328175235</v>
      </c>
      <c r="HY293" s="618">
        <f t="shared" si="798"/>
        <v>0.14499999999999999</v>
      </c>
      <c r="HZ293" s="618"/>
      <c r="IA293" s="618"/>
      <c r="IB293" s="618">
        <f t="shared" si="782"/>
        <v>25.000350341399081</v>
      </c>
      <c r="IC293" s="618">
        <f t="shared" si="783"/>
        <v>1E-3</v>
      </c>
      <c r="ID293" s="618"/>
      <c r="IE293" s="618">
        <f t="shared" si="784"/>
        <v>0</v>
      </c>
      <c r="IF293" s="618">
        <f t="shared" si="785"/>
        <v>40.704999999999998</v>
      </c>
      <c r="IG293" s="618"/>
      <c r="IH293" s="618">
        <f t="shared" si="786"/>
        <v>0</v>
      </c>
      <c r="II293" s="618">
        <f t="shared" si="787"/>
        <v>40.704999999999998</v>
      </c>
      <c r="IJ293" s="618"/>
      <c r="IK293" s="618">
        <f t="shared" si="788"/>
        <v>0</v>
      </c>
      <c r="IL293" s="618">
        <f t="shared" si="789"/>
        <v>40.704999999999998</v>
      </c>
      <c r="IM293" s="618"/>
      <c r="IN293" s="618">
        <f t="shared" si="790"/>
        <v>0</v>
      </c>
      <c r="IO293" s="618">
        <f t="shared" si="791"/>
        <v>40.704999999999998</v>
      </c>
      <c r="IP293" s="618"/>
      <c r="IQ293" s="618">
        <f t="shared" si="792"/>
        <v>0</v>
      </c>
      <c r="IR293" s="618">
        <f t="shared" si="793"/>
        <v>40.704999999999998</v>
      </c>
      <c r="IS293" s="645"/>
      <c r="IT293" s="645"/>
      <c r="IU293" s="645"/>
      <c r="IV293" s="645"/>
      <c r="IW293" s="645"/>
      <c r="IX293" s="645"/>
      <c r="IY293" s="645"/>
      <c r="IZ293" s="645"/>
      <c r="JA293" s="645"/>
      <c r="JB293" s="645"/>
      <c r="JC293" s="645"/>
      <c r="JD293" s="645"/>
      <c r="JE293" s="645"/>
      <c r="JF293" s="645"/>
      <c r="JG293" s="645"/>
      <c r="JH293" s="645"/>
      <c r="JI293" s="645"/>
      <c r="JJ293" s="645"/>
      <c r="JK293" s="645"/>
      <c r="JL293" s="645"/>
      <c r="JM293" s="645"/>
      <c r="JN293" s="645"/>
      <c r="JO293" s="645"/>
      <c r="JP293" s="645"/>
      <c r="JQ293" s="645"/>
      <c r="JR293" s="645"/>
      <c r="JS293" s="645"/>
      <c r="JT293" s="645"/>
      <c r="JU293" s="645"/>
      <c r="JV293" s="653"/>
    </row>
    <row r="294" spans="1:282" s="612" customFormat="1">
      <c r="A294" s="611"/>
      <c r="U294" s="613"/>
      <c r="V294" s="613"/>
      <c r="AC294" s="613"/>
      <c r="AD294" s="613"/>
      <c r="AL294" s="613"/>
      <c r="AM294" s="613"/>
      <c r="AT294" s="613"/>
      <c r="AU294" s="613"/>
      <c r="CH294" s="611"/>
      <c r="CI294" s="611"/>
      <c r="CO294" s="695"/>
      <c r="CP294" s="645"/>
      <c r="CQ294" s="618"/>
      <c r="CR294" s="618"/>
      <c r="CS294" s="618"/>
      <c r="CT294" s="626"/>
      <c r="CU294" s="626"/>
      <c r="CV294" s="626"/>
      <c r="CW294" s="646"/>
      <c r="CX294" s="646"/>
      <c r="CY294" s="625"/>
      <c r="CZ294" s="625"/>
      <c r="DA294" s="625"/>
      <c r="DB294" s="625"/>
      <c r="DC294" s="645"/>
      <c r="DD294" s="645"/>
      <c r="DE294" s="645"/>
      <c r="DF294" s="645"/>
      <c r="DG294" s="645"/>
      <c r="DH294" s="645"/>
      <c r="DI294" s="645"/>
      <c r="DJ294" s="645"/>
      <c r="DK294" s="645"/>
      <c r="DL294" s="645"/>
      <c r="DM294" s="645"/>
      <c r="DN294" s="645"/>
      <c r="DO294" s="645"/>
      <c r="DP294" s="645"/>
      <c r="DQ294" s="645"/>
      <c r="DR294" s="645"/>
      <c r="DS294" s="645"/>
      <c r="DT294" s="645"/>
      <c r="DU294" s="645"/>
      <c r="DV294" s="645"/>
      <c r="DW294" s="645"/>
      <c r="DX294" s="645"/>
      <c r="DY294" s="645"/>
      <c r="DZ294" s="645"/>
      <c r="EA294" s="645"/>
      <c r="EB294" s="645"/>
      <c r="EC294" s="645"/>
      <c r="ED294" s="645"/>
      <c r="EE294" s="645"/>
      <c r="EF294" s="645"/>
      <c r="EG294" s="645"/>
      <c r="EH294" s="645"/>
      <c r="EI294" s="645"/>
      <c r="EJ294" s="645"/>
      <c r="EK294" s="645"/>
      <c r="EL294" s="645"/>
      <c r="EM294" s="645"/>
      <c r="EN294" s="645"/>
      <c r="EO294" s="645"/>
      <c r="EP294" s="645"/>
      <c r="EQ294" s="645"/>
      <c r="ER294" s="645"/>
      <c r="ES294" s="645"/>
      <c r="ET294" s="645"/>
      <c r="EU294" s="645"/>
      <c r="EV294" s="645"/>
      <c r="EW294" s="645"/>
      <c r="EX294" s="645"/>
      <c r="EY294" s="645"/>
      <c r="EZ294" s="645"/>
      <c r="FA294" s="645"/>
      <c r="FB294" s="645"/>
      <c r="FC294" s="645"/>
      <c r="FD294" s="645"/>
      <c r="FE294" s="645"/>
      <c r="FF294" s="645"/>
      <c r="FG294" s="645"/>
      <c r="FH294" s="645"/>
      <c r="FI294" s="645"/>
      <c r="FJ294" s="645"/>
      <c r="FK294" s="645"/>
      <c r="FL294" s="645"/>
      <c r="FM294" s="645"/>
      <c r="FN294" s="645"/>
      <c r="FO294" s="645"/>
      <c r="FP294" s="645"/>
      <c r="FQ294" s="645"/>
      <c r="FR294" s="645"/>
      <c r="FS294" s="645"/>
      <c r="FT294" s="645"/>
      <c r="FU294" s="645"/>
      <c r="FV294" s="645"/>
      <c r="FW294" s="645"/>
      <c r="FX294" s="645"/>
      <c r="FY294" s="645"/>
      <c r="FZ294" s="645"/>
      <c r="GA294" s="645"/>
      <c r="GB294" s="645"/>
      <c r="GC294" s="645"/>
      <c r="GD294" s="645"/>
      <c r="GE294" s="645"/>
      <c r="GF294" s="645"/>
      <c r="GG294" s="645"/>
      <c r="GH294" s="645"/>
      <c r="GI294" s="645"/>
      <c r="GJ294" s="645"/>
      <c r="GK294" s="645"/>
      <c r="GL294" s="645"/>
      <c r="GM294" s="645"/>
      <c r="GN294" s="645"/>
      <c r="GO294" s="645"/>
      <c r="GP294" s="645"/>
      <c r="GQ294" s="645"/>
      <c r="GR294" s="645"/>
      <c r="GS294" s="645"/>
      <c r="GT294" s="645"/>
      <c r="GU294" s="645"/>
      <c r="GV294" s="645"/>
      <c r="GW294" s="645"/>
      <c r="GX294" s="645"/>
      <c r="GY294" s="645"/>
      <c r="GZ294" s="645"/>
      <c r="HA294" s="645"/>
      <c r="HB294" s="645"/>
      <c r="HC294" s="645"/>
      <c r="HD294" s="645"/>
      <c r="HE294" s="645"/>
      <c r="HF294" s="645"/>
      <c r="HG294" s="645"/>
      <c r="HH294" s="645"/>
      <c r="HI294" s="645"/>
      <c r="HJ294" s="645"/>
      <c r="HK294" s="645"/>
      <c r="HL294" s="645"/>
      <c r="HM294" s="645"/>
      <c r="HN294" s="645"/>
      <c r="HO294" s="645"/>
      <c r="HP294" s="645"/>
      <c r="HQ294" s="645"/>
      <c r="HR294" s="645">
        <v>0.14549999999999999</v>
      </c>
      <c r="HS294" s="645">
        <f t="shared" si="794"/>
        <v>976.92857142857133</v>
      </c>
      <c r="HT294" s="645">
        <f t="shared" si="795"/>
        <v>1</v>
      </c>
      <c r="HU294" s="618">
        <f t="shared" si="796"/>
        <v>3.7066020201166019</v>
      </c>
      <c r="HV294" s="618"/>
      <c r="HW294" s="618">
        <f t="shared" si="781"/>
        <v>30.736625131434426</v>
      </c>
      <c r="HX294" s="618">
        <f t="shared" si="797"/>
        <v>3.4347092666828059</v>
      </c>
      <c r="HY294" s="618">
        <f t="shared" si="798"/>
        <v>0.14549999999999999</v>
      </c>
      <c r="HZ294" s="618"/>
      <c r="IA294" s="618"/>
      <c r="IB294" s="618">
        <f t="shared" si="782"/>
        <v>25.000350341399081</v>
      </c>
      <c r="IC294" s="618">
        <f t="shared" si="783"/>
        <v>1E-3</v>
      </c>
      <c r="ID294" s="618"/>
      <c r="IE294" s="618">
        <f t="shared" si="784"/>
        <v>0</v>
      </c>
      <c r="IF294" s="618">
        <f t="shared" si="785"/>
        <v>40.704999999999998</v>
      </c>
      <c r="IG294" s="618"/>
      <c r="IH294" s="618">
        <f t="shared" si="786"/>
        <v>0</v>
      </c>
      <c r="II294" s="618">
        <f t="shared" si="787"/>
        <v>40.704999999999998</v>
      </c>
      <c r="IJ294" s="618"/>
      <c r="IK294" s="618">
        <f t="shared" si="788"/>
        <v>0</v>
      </c>
      <c r="IL294" s="618">
        <f t="shared" si="789"/>
        <v>40.704999999999998</v>
      </c>
      <c r="IM294" s="618"/>
      <c r="IN294" s="618">
        <f t="shared" si="790"/>
        <v>0</v>
      </c>
      <c r="IO294" s="618">
        <f t="shared" si="791"/>
        <v>40.704999999999998</v>
      </c>
      <c r="IP294" s="618"/>
      <c r="IQ294" s="618">
        <f t="shared" si="792"/>
        <v>0</v>
      </c>
      <c r="IR294" s="618">
        <f t="shared" si="793"/>
        <v>40.704999999999998</v>
      </c>
      <c r="IS294" s="645"/>
      <c r="IT294" s="645"/>
      <c r="IU294" s="645"/>
      <c r="IV294" s="645"/>
      <c r="IW294" s="645"/>
      <c r="IX294" s="645"/>
      <c r="IY294" s="645"/>
      <c r="IZ294" s="645"/>
      <c r="JA294" s="645"/>
      <c r="JB294" s="645"/>
      <c r="JC294" s="645"/>
      <c r="JD294" s="645"/>
      <c r="JE294" s="645"/>
      <c r="JF294" s="645"/>
      <c r="JG294" s="645"/>
      <c r="JH294" s="645"/>
      <c r="JI294" s="645"/>
      <c r="JJ294" s="645"/>
      <c r="JK294" s="645"/>
      <c r="JL294" s="645"/>
      <c r="JM294" s="645"/>
      <c r="JN294" s="645"/>
      <c r="JO294" s="645"/>
      <c r="JP294" s="645"/>
      <c r="JQ294" s="645"/>
      <c r="JR294" s="645"/>
      <c r="JS294" s="645"/>
      <c r="JT294" s="645"/>
      <c r="JU294" s="645"/>
      <c r="JV294" s="653"/>
    </row>
    <row r="295" spans="1:282" s="612" customFormat="1">
      <c r="A295" s="611"/>
      <c r="U295" s="613"/>
      <c r="V295" s="613"/>
      <c r="AC295" s="613"/>
      <c r="AD295" s="613"/>
      <c r="AL295" s="613"/>
      <c r="AM295" s="613"/>
      <c r="AT295" s="613"/>
      <c r="AU295" s="613"/>
      <c r="CH295" s="611"/>
      <c r="CI295" s="611"/>
      <c r="CO295" s="695"/>
      <c r="CP295" s="645"/>
      <c r="CQ295" s="618"/>
      <c r="CR295" s="618"/>
      <c r="CS295" s="618"/>
      <c r="CT295" s="626"/>
      <c r="CU295" s="626"/>
      <c r="CV295" s="626"/>
      <c r="CW295" s="646"/>
      <c r="CX295" s="646"/>
      <c r="CY295" s="625"/>
      <c r="CZ295" s="625"/>
      <c r="DA295" s="625"/>
      <c r="DB295" s="625"/>
      <c r="DC295" s="645"/>
      <c r="DD295" s="645"/>
      <c r="DE295" s="645"/>
      <c r="DF295" s="645"/>
      <c r="DG295" s="645"/>
      <c r="DH295" s="645"/>
      <c r="DI295" s="645"/>
      <c r="DJ295" s="645"/>
      <c r="DK295" s="645"/>
      <c r="DL295" s="645"/>
      <c r="DM295" s="645"/>
      <c r="DN295" s="645"/>
      <c r="DO295" s="645"/>
      <c r="DP295" s="645"/>
      <c r="DQ295" s="645"/>
      <c r="DR295" s="645"/>
      <c r="DS295" s="645"/>
      <c r="DT295" s="645"/>
      <c r="DU295" s="645"/>
      <c r="DV295" s="645"/>
      <c r="DW295" s="645"/>
      <c r="DX295" s="645"/>
      <c r="DY295" s="645"/>
      <c r="DZ295" s="645"/>
      <c r="EA295" s="645"/>
      <c r="EB295" s="645"/>
      <c r="EC295" s="645"/>
      <c r="ED295" s="645"/>
      <c r="EE295" s="645"/>
      <c r="EF295" s="645"/>
      <c r="EG295" s="645"/>
      <c r="EH295" s="645"/>
      <c r="EI295" s="645"/>
      <c r="EJ295" s="645"/>
      <c r="EK295" s="645"/>
      <c r="EL295" s="645"/>
      <c r="EM295" s="645"/>
      <c r="EN295" s="645"/>
      <c r="EO295" s="645"/>
      <c r="EP295" s="645"/>
      <c r="EQ295" s="645"/>
      <c r="ER295" s="645"/>
      <c r="ES295" s="645"/>
      <c r="ET295" s="645"/>
      <c r="EU295" s="645"/>
      <c r="EV295" s="645"/>
      <c r="EW295" s="645"/>
      <c r="EX295" s="645"/>
      <c r="EY295" s="645"/>
      <c r="EZ295" s="645"/>
      <c r="FA295" s="645"/>
      <c r="FB295" s="645"/>
      <c r="FC295" s="645"/>
      <c r="FD295" s="645"/>
      <c r="FE295" s="645"/>
      <c r="FF295" s="645"/>
      <c r="FG295" s="645"/>
      <c r="FH295" s="645"/>
      <c r="FI295" s="645"/>
      <c r="FJ295" s="645"/>
      <c r="FK295" s="645"/>
      <c r="FL295" s="645"/>
      <c r="FM295" s="645"/>
      <c r="FN295" s="645"/>
      <c r="FO295" s="645"/>
      <c r="FP295" s="645"/>
      <c r="FQ295" s="645"/>
      <c r="FR295" s="645"/>
      <c r="FS295" s="645"/>
      <c r="FT295" s="645"/>
      <c r="FU295" s="645"/>
      <c r="FV295" s="645"/>
      <c r="FW295" s="645"/>
      <c r="FX295" s="645"/>
      <c r="FY295" s="645"/>
      <c r="FZ295" s="645"/>
      <c r="GA295" s="645"/>
      <c r="GB295" s="645"/>
      <c r="GC295" s="645"/>
      <c r="GD295" s="645"/>
      <c r="GE295" s="645"/>
      <c r="GF295" s="645"/>
      <c r="GG295" s="645"/>
      <c r="GH295" s="645"/>
      <c r="GI295" s="645"/>
      <c r="GJ295" s="645"/>
      <c r="GK295" s="645"/>
      <c r="GL295" s="645"/>
      <c r="GM295" s="645"/>
      <c r="GN295" s="645"/>
      <c r="GO295" s="645"/>
      <c r="GP295" s="645"/>
      <c r="GQ295" s="645"/>
      <c r="GR295" s="645"/>
      <c r="GS295" s="645"/>
      <c r="GT295" s="645"/>
      <c r="GU295" s="645"/>
      <c r="GV295" s="645"/>
      <c r="GW295" s="645"/>
      <c r="GX295" s="645"/>
      <c r="GY295" s="645"/>
      <c r="GZ295" s="645"/>
      <c r="HA295" s="645"/>
      <c r="HB295" s="645"/>
      <c r="HC295" s="645"/>
      <c r="HD295" s="645"/>
      <c r="HE295" s="645"/>
      <c r="HF295" s="645"/>
      <c r="HG295" s="645"/>
      <c r="HH295" s="645"/>
      <c r="HI295" s="645"/>
      <c r="HJ295" s="645"/>
      <c r="HK295" s="645"/>
      <c r="HL295" s="645"/>
      <c r="HM295" s="645"/>
      <c r="HN295" s="645"/>
      <c r="HO295" s="645"/>
      <c r="HP295" s="645"/>
      <c r="HQ295" s="645"/>
      <c r="HR295" s="645">
        <v>0.14599999999999999</v>
      </c>
      <c r="HS295" s="645">
        <f t="shared" si="794"/>
        <v>980.28571428571422</v>
      </c>
      <c r="HT295" s="645">
        <f t="shared" si="795"/>
        <v>1</v>
      </c>
      <c r="HU295" s="618">
        <f t="shared" si="796"/>
        <v>3.7193410640902269</v>
      </c>
      <c r="HV295" s="618"/>
      <c r="HW295" s="618">
        <f t="shared" si="781"/>
        <v>30.718535688991878</v>
      </c>
      <c r="HX295" s="618">
        <f t="shared" si="797"/>
        <v>3.4455793993757902</v>
      </c>
      <c r="HY295" s="618">
        <f t="shared" si="798"/>
        <v>0.14599999999999999</v>
      </c>
      <c r="HZ295" s="618"/>
      <c r="IA295" s="618"/>
      <c r="IB295" s="618">
        <f t="shared" si="782"/>
        <v>25.000350341399081</v>
      </c>
      <c r="IC295" s="618">
        <f t="shared" si="783"/>
        <v>1E-3</v>
      </c>
      <c r="ID295" s="618"/>
      <c r="IE295" s="618">
        <f t="shared" si="784"/>
        <v>0</v>
      </c>
      <c r="IF295" s="618">
        <f t="shared" si="785"/>
        <v>40.704999999999998</v>
      </c>
      <c r="IG295" s="618"/>
      <c r="IH295" s="618">
        <f t="shared" si="786"/>
        <v>0</v>
      </c>
      <c r="II295" s="618">
        <f t="shared" si="787"/>
        <v>40.704999999999998</v>
      </c>
      <c r="IJ295" s="618"/>
      <c r="IK295" s="618">
        <f t="shared" si="788"/>
        <v>0</v>
      </c>
      <c r="IL295" s="618">
        <f t="shared" si="789"/>
        <v>40.704999999999998</v>
      </c>
      <c r="IM295" s="618"/>
      <c r="IN295" s="618">
        <f t="shared" si="790"/>
        <v>0</v>
      </c>
      <c r="IO295" s="618">
        <f t="shared" si="791"/>
        <v>40.704999999999998</v>
      </c>
      <c r="IP295" s="618"/>
      <c r="IQ295" s="618">
        <f t="shared" si="792"/>
        <v>0</v>
      </c>
      <c r="IR295" s="618">
        <f t="shared" si="793"/>
        <v>40.704999999999998</v>
      </c>
      <c r="IS295" s="645"/>
      <c r="IT295" s="645"/>
      <c r="IU295" s="645"/>
      <c r="IV295" s="645"/>
      <c r="IW295" s="645"/>
      <c r="IX295" s="645"/>
      <c r="IY295" s="645"/>
      <c r="IZ295" s="645"/>
      <c r="JA295" s="645"/>
      <c r="JB295" s="645"/>
      <c r="JC295" s="645"/>
      <c r="JD295" s="645"/>
      <c r="JE295" s="645"/>
      <c r="JF295" s="645"/>
      <c r="JG295" s="645"/>
      <c r="JH295" s="645"/>
      <c r="JI295" s="645"/>
      <c r="JJ295" s="645"/>
      <c r="JK295" s="645"/>
      <c r="JL295" s="645"/>
      <c r="JM295" s="645"/>
      <c r="JN295" s="645"/>
      <c r="JO295" s="645"/>
      <c r="JP295" s="645"/>
      <c r="JQ295" s="645"/>
      <c r="JR295" s="645"/>
      <c r="JS295" s="645"/>
      <c r="JT295" s="645"/>
      <c r="JU295" s="645"/>
      <c r="JV295" s="653"/>
    </row>
    <row r="296" spans="1:282" s="612" customFormat="1">
      <c r="A296" s="611"/>
      <c r="U296" s="613"/>
      <c r="V296" s="613"/>
      <c r="AC296" s="613"/>
      <c r="AD296" s="613"/>
      <c r="AL296" s="613"/>
      <c r="AM296" s="613"/>
      <c r="AT296" s="613"/>
      <c r="AU296" s="613"/>
      <c r="CH296" s="611"/>
      <c r="CI296" s="611"/>
      <c r="CO296" s="695"/>
      <c r="CP296" s="645"/>
      <c r="CQ296" s="618"/>
      <c r="CR296" s="618"/>
      <c r="CS296" s="618"/>
      <c r="CT296" s="626"/>
      <c r="CU296" s="626"/>
      <c r="CV296" s="626"/>
      <c r="CW296" s="646"/>
      <c r="CX296" s="646"/>
      <c r="CY296" s="625"/>
      <c r="CZ296" s="625"/>
      <c r="DA296" s="625"/>
      <c r="DB296" s="625"/>
      <c r="DC296" s="645"/>
      <c r="DD296" s="645"/>
      <c r="DE296" s="645"/>
      <c r="DF296" s="645"/>
      <c r="DG296" s="645"/>
      <c r="DH296" s="645"/>
      <c r="DI296" s="645"/>
      <c r="DJ296" s="645"/>
      <c r="DK296" s="645"/>
      <c r="DL296" s="645"/>
      <c r="DM296" s="645"/>
      <c r="DN296" s="645"/>
      <c r="DO296" s="645"/>
      <c r="DP296" s="645"/>
      <c r="DQ296" s="645"/>
      <c r="DR296" s="645"/>
      <c r="DS296" s="645"/>
      <c r="DT296" s="645"/>
      <c r="DU296" s="645"/>
      <c r="DV296" s="645"/>
      <c r="DW296" s="645"/>
      <c r="DX296" s="645"/>
      <c r="DY296" s="645"/>
      <c r="DZ296" s="645"/>
      <c r="EA296" s="645"/>
      <c r="EB296" s="645"/>
      <c r="EC296" s="645"/>
      <c r="ED296" s="645"/>
      <c r="EE296" s="645"/>
      <c r="EF296" s="645"/>
      <c r="EG296" s="645"/>
      <c r="EH296" s="645"/>
      <c r="EI296" s="645"/>
      <c r="EJ296" s="645"/>
      <c r="EK296" s="645"/>
      <c r="EL296" s="645"/>
      <c r="EM296" s="645"/>
      <c r="EN296" s="645"/>
      <c r="EO296" s="645"/>
      <c r="EP296" s="645"/>
      <c r="EQ296" s="645"/>
      <c r="ER296" s="645"/>
      <c r="ES296" s="645"/>
      <c r="ET296" s="645"/>
      <c r="EU296" s="645"/>
      <c r="EV296" s="645"/>
      <c r="EW296" s="645"/>
      <c r="EX296" s="645"/>
      <c r="EY296" s="645"/>
      <c r="EZ296" s="645"/>
      <c r="FA296" s="645"/>
      <c r="FB296" s="645"/>
      <c r="FC296" s="645"/>
      <c r="FD296" s="645"/>
      <c r="FE296" s="645"/>
      <c r="FF296" s="645"/>
      <c r="FG296" s="645"/>
      <c r="FH296" s="645"/>
      <c r="FI296" s="645"/>
      <c r="FJ296" s="645"/>
      <c r="FK296" s="645"/>
      <c r="FL296" s="645"/>
      <c r="FM296" s="645"/>
      <c r="FN296" s="645"/>
      <c r="FO296" s="645"/>
      <c r="FP296" s="645"/>
      <c r="FQ296" s="645"/>
      <c r="FR296" s="645"/>
      <c r="FS296" s="645"/>
      <c r="FT296" s="645"/>
      <c r="FU296" s="645"/>
      <c r="FV296" s="645"/>
      <c r="FW296" s="645"/>
      <c r="FX296" s="645"/>
      <c r="FY296" s="645"/>
      <c r="FZ296" s="645"/>
      <c r="GA296" s="645"/>
      <c r="GB296" s="645"/>
      <c r="GC296" s="645"/>
      <c r="GD296" s="645"/>
      <c r="GE296" s="645"/>
      <c r="GF296" s="645"/>
      <c r="GG296" s="645"/>
      <c r="GH296" s="645"/>
      <c r="GI296" s="645"/>
      <c r="GJ296" s="645"/>
      <c r="GK296" s="645"/>
      <c r="GL296" s="645"/>
      <c r="GM296" s="645"/>
      <c r="GN296" s="645"/>
      <c r="GO296" s="645"/>
      <c r="GP296" s="645"/>
      <c r="GQ296" s="645"/>
      <c r="GR296" s="645"/>
      <c r="GS296" s="645"/>
      <c r="GT296" s="645"/>
      <c r="GU296" s="645"/>
      <c r="GV296" s="645"/>
      <c r="GW296" s="645"/>
      <c r="GX296" s="645"/>
      <c r="GY296" s="645"/>
      <c r="GZ296" s="645"/>
      <c r="HA296" s="645"/>
      <c r="HB296" s="645"/>
      <c r="HC296" s="645"/>
      <c r="HD296" s="645"/>
      <c r="HE296" s="645"/>
      <c r="HF296" s="645"/>
      <c r="HG296" s="645"/>
      <c r="HH296" s="645"/>
      <c r="HI296" s="645"/>
      <c r="HJ296" s="645"/>
      <c r="HK296" s="645"/>
      <c r="HL296" s="645"/>
      <c r="HM296" s="645"/>
      <c r="HN296" s="645"/>
      <c r="HO296" s="645"/>
      <c r="HP296" s="645"/>
      <c r="HQ296" s="645"/>
      <c r="HR296" s="645">
        <v>0.14649999999999999</v>
      </c>
      <c r="HS296" s="645">
        <f t="shared" si="794"/>
        <v>983.64285714285711</v>
      </c>
      <c r="HT296" s="645">
        <f t="shared" si="795"/>
        <v>1</v>
      </c>
      <c r="HU296" s="618">
        <f t="shared" si="796"/>
        <v>3.7320801080638519</v>
      </c>
      <c r="HV296" s="618"/>
      <c r="HW296" s="618">
        <f t="shared" si="781"/>
        <v>30.70044624654933</v>
      </c>
      <c r="HX296" s="618">
        <f t="shared" si="797"/>
        <v>3.456443130896476</v>
      </c>
      <c r="HY296" s="618">
        <f t="shared" si="798"/>
        <v>0.14649999999999999</v>
      </c>
      <c r="HZ296" s="618"/>
      <c r="IA296" s="618"/>
      <c r="IB296" s="618">
        <f t="shared" si="782"/>
        <v>25.000350341399081</v>
      </c>
      <c r="IC296" s="618">
        <f t="shared" si="783"/>
        <v>1E-3</v>
      </c>
      <c r="ID296" s="618"/>
      <c r="IE296" s="618">
        <f t="shared" si="784"/>
        <v>0</v>
      </c>
      <c r="IF296" s="618">
        <f t="shared" si="785"/>
        <v>40.704999999999998</v>
      </c>
      <c r="IG296" s="618"/>
      <c r="IH296" s="618">
        <f t="shared" si="786"/>
        <v>0</v>
      </c>
      <c r="II296" s="618">
        <f t="shared" si="787"/>
        <v>40.704999999999998</v>
      </c>
      <c r="IJ296" s="618"/>
      <c r="IK296" s="618">
        <f t="shared" si="788"/>
        <v>0</v>
      </c>
      <c r="IL296" s="618">
        <f t="shared" si="789"/>
        <v>40.704999999999998</v>
      </c>
      <c r="IM296" s="618"/>
      <c r="IN296" s="618">
        <f t="shared" si="790"/>
        <v>0</v>
      </c>
      <c r="IO296" s="618">
        <f t="shared" si="791"/>
        <v>40.704999999999998</v>
      </c>
      <c r="IP296" s="618"/>
      <c r="IQ296" s="618">
        <f t="shared" si="792"/>
        <v>0</v>
      </c>
      <c r="IR296" s="618">
        <f t="shared" si="793"/>
        <v>40.704999999999998</v>
      </c>
      <c r="IS296" s="645"/>
      <c r="IT296" s="645"/>
      <c r="IU296" s="645"/>
      <c r="IV296" s="645"/>
      <c r="IW296" s="645"/>
      <c r="IX296" s="645"/>
      <c r="IY296" s="645"/>
      <c r="IZ296" s="645"/>
      <c r="JA296" s="645"/>
      <c r="JB296" s="645"/>
      <c r="JC296" s="645"/>
      <c r="JD296" s="645"/>
      <c r="JE296" s="645"/>
      <c r="JF296" s="645"/>
      <c r="JG296" s="645"/>
      <c r="JH296" s="645"/>
      <c r="JI296" s="645"/>
      <c r="JJ296" s="645"/>
      <c r="JK296" s="645"/>
      <c r="JL296" s="645"/>
      <c r="JM296" s="645"/>
      <c r="JN296" s="645"/>
      <c r="JO296" s="645"/>
      <c r="JP296" s="645"/>
      <c r="JQ296" s="645"/>
      <c r="JR296" s="645"/>
      <c r="JS296" s="645"/>
      <c r="JT296" s="645"/>
      <c r="JU296" s="645"/>
      <c r="JV296" s="653"/>
    </row>
    <row r="297" spans="1:282" s="612" customFormat="1">
      <c r="A297" s="611"/>
      <c r="U297" s="613"/>
      <c r="V297" s="613"/>
      <c r="AC297" s="613"/>
      <c r="AD297" s="613"/>
      <c r="AL297" s="613"/>
      <c r="AM297" s="613"/>
      <c r="AT297" s="613"/>
      <c r="AU297" s="613"/>
      <c r="CH297" s="611"/>
      <c r="CI297" s="611"/>
      <c r="CO297" s="695"/>
      <c r="CP297" s="645"/>
      <c r="CQ297" s="618"/>
      <c r="CR297" s="618"/>
      <c r="CS297" s="618"/>
      <c r="CT297" s="626"/>
      <c r="CU297" s="626"/>
      <c r="CV297" s="626"/>
      <c r="CW297" s="646"/>
      <c r="CX297" s="646"/>
      <c r="CY297" s="625"/>
      <c r="CZ297" s="625"/>
      <c r="DA297" s="625"/>
      <c r="DB297" s="625"/>
      <c r="DC297" s="645"/>
      <c r="DD297" s="645"/>
      <c r="DE297" s="645"/>
      <c r="DF297" s="645"/>
      <c r="DG297" s="645"/>
      <c r="DH297" s="645"/>
      <c r="DI297" s="645"/>
      <c r="DJ297" s="645"/>
      <c r="DK297" s="645"/>
      <c r="DL297" s="645"/>
      <c r="DM297" s="645"/>
      <c r="DN297" s="645"/>
      <c r="DO297" s="645"/>
      <c r="DP297" s="645"/>
      <c r="DQ297" s="645"/>
      <c r="DR297" s="645"/>
      <c r="DS297" s="645"/>
      <c r="DT297" s="645"/>
      <c r="DU297" s="645"/>
      <c r="DV297" s="645"/>
      <c r="DW297" s="645"/>
      <c r="DX297" s="645"/>
      <c r="DY297" s="645"/>
      <c r="DZ297" s="645"/>
      <c r="EA297" s="645"/>
      <c r="EB297" s="645"/>
      <c r="EC297" s="645"/>
      <c r="ED297" s="645"/>
      <c r="EE297" s="645"/>
      <c r="EF297" s="645"/>
      <c r="EG297" s="645"/>
      <c r="EH297" s="645"/>
      <c r="EI297" s="645"/>
      <c r="EJ297" s="645"/>
      <c r="EK297" s="645"/>
      <c r="EL297" s="645"/>
      <c r="EM297" s="645"/>
      <c r="EN297" s="645"/>
      <c r="EO297" s="645"/>
      <c r="EP297" s="645"/>
      <c r="EQ297" s="645"/>
      <c r="ER297" s="645"/>
      <c r="ES297" s="645"/>
      <c r="ET297" s="645"/>
      <c r="EU297" s="645"/>
      <c r="EV297" s="645"/>
      <c r="EW297" s="645"/>
      <c r="EX297" s="645"/>
      <c r="EY297" s="645"/>
      <c r="EZ297" s="645"/>
      <c r="FA297" s="645"/>
      <c r="FB297" s="645"/>
      <c r="FC297" s="645"/>
      <c r="FD297" s="645"/>
      <c r="FE297" s="645"/>
      <c r="FF297" s="645"/>
      <c r="FG297" s="645"/>
      <c r="FH297" s="645"/>
      <c r="FI297" s="645"/>
      <c r="FJ297" s="645"/>
      <c r="FK297" s="645"/>
      <c r="FL297" s="645"/>
      <c r="FM297" s="645"/>
      <c r="FN297" s="645"/>
      <c r="FO297" s="645"/>
      <c r="FP297" s="645"/>
      <c r="FQ297" s="645"/>
      <c r="FR297" s="645"/>
      <c r="FS297" s="645"/>
      <c r="FT297" s="645"/>
      <c r="FU297" s="645"/>
      <c r="FV297" s="645"/>
      <c r="FW297" s="645"/>
      <c r="FX297" s="645"/>
      <c r="FY297" s="645"/>
      <c r="FZ297" s="645"/>
      <c r="GA297" s="645"/>
      <c r="GB297" s="645"/>
      <c r="GC297" s="645"/>
      <c r="GD297" s="645"/>
      <c r="GE297" s="645"/>
      <c r="GF297" s="645"/>
      <c r="GG297" s="645"/>
      <c r="GH297" s="645"/>
      <c r="GI297" s="645"/>
      <c r="GJ297" s="645"/>
      <c r="GK297" s="645"/>
      <c r="GL297" s="645"/>
      <c r="GM297" s="645"/>
      <c r="GN297" s="645"/>
      <c r="GO297" s="645"/>
      <c r="GP297" s="645"/>
      <c r="GQ297" s="645"/>
      <c r="GR297" s="645"/>
      <c r="GS297" s="645"/>
      <c r="GT297" s="645"/>
      <c r="GU297" s="645"/>
      <c r="GV297" s="645"/>
      <c r="GW297" s="645"/>
      <c r="GX297" s="645"/>
      <c r="GY297" s="645"/>
      <c r="GZ297" s="645"/>
      <c r="HA297" s="645"/>
      <c r="HB297" s="645"/>
      <c r="HC297" s="645"/>
      <c r="HD297" s="645"/>
      <c r="HE297" s="645"/>
      <c r="HF297" s="645"/>
      <c r="HG297" s="645"/>
      <c r="HH297" s="645"/>
      <c r="HI297" s="645"/>
      <c r="HJ297" s="645"/>
      <c r="HK297" s="645"/>
      <c r="HL297" s="645"/>
      <c r="HM297" s="645"/>
      <c r="HN297" s="645"/>
      <c r="HO297" s="645"/>
      <c r="HP297" s="645"/>
      <c r="HQ297" s="645"/>
      <c r="HR297" s="645">
        <v>0.14699999999999999</v>
      </c>
      <c r="HS297" s="645">
        <f t="shared" si="794"/>
        <v>986.99999999999989</v>
      </c>
      <c r="HT297" s="645">
        <f t="shared" si="795"/>
        <v>1</v>
      </c>
      <c r="HU297" s="618">
        <f t="shared" si="796"/>
        <v>3.744819152037477</v>
      </c>
      <c r="HV297" s="618"/>
      <c r="HW297" s="618">
        <f t="shared" si="781"/>
        <v>30.682356804106782</v>
      </c>
      <c r="HX297" s="618">
        <f t="shared" si="797"/>
        <v>3.4673004612448639</v>
      </c>
      <c r="HY297" s="618">
        <f t="shared" si="798"/>
        <v>0.14699999999999999</v>
      </c>
      <c r="HZ297" s="618"/>
      <c r="IA297" s="618"/>
      <c r="IB297" s="618">
        <f t="shared" si="782"/>
        <v>25.000350341399081</v>
      </c>
      <c r="IC297" s="618">
        <f t="shared" si="783"/>
        <v>1E-3</v>
      </c>
      <c r="ID297" s="618"/>
      <c r="IE297" s="618">
        <f t="shared" si="784"/>
        <v>0</v>
      </c>
      <c r="IF297" s="618">
        <f t="shared" si="785"/>
        <v>40.704999999999998</v>
      </c>
      <c r="IG297" s="618"/>
      <c r="IH297" s="618">
        <f t="shared" si="786"/>
        <v>0</v>
      </c>
      <c r="II297" s="618">
        <f t="shared" si="787"/>
        <v>40.704999999999998</v>
      </c>
      <c r="IJ297" s="618"/>
      <c r="IK297" s="618">
        <f t="shared" si="788"/>
        <v>0</v>
      </c>
      <c r="IL297" s="618">
        <f t="shared" si="789"/>
        <v>40.704999999999998</v>
      </c>
      <c r="IM297" s="618"/>
      <c r="IN297" s="618">
        <f t="shared" si="790"/>
        <v>0</v>
      </c>
      <c r="IO297" s="618">
        <f t="shared" si="791"/>
        <v>40.704999999999998</v>
      </c>
      <c r="IP297" s="618"/>
      <c r="IQ297" s="618">
        <f t="shared" si="792"/>
        <v>0</v>
      </c>
      <c r="IR297" s="618">
        <f t="shared" si="793"/>
        <v>40.704999999999998</v>
      </c>
      <c r="IS297" s="645"/>
      <c r="IT297" s="645"/>
      <c r="IU297" s="645"/>
      <c r="IV297" s="645"/>
      <c r="IW297" s="645"/>
      <c r="IX297" s="645"/>
      <c r="IY297" s="645"/>
      <c r="IZ297" s="645"/>
      <c r="JA297" s="645"/>
      <c r="JB297" s="645"/>
      <c r="JC297" s="645"/>
      <c r="JD297" s="645"/>
      <c r="JE297" s="645"/>
      <c r="JF297" s="645"/>
      <c r="JG297" s="645"/>
      <c r="JH297" s="645"/>
      <c r="JI297" s="645"/>
      <c r="JJ297" s="645"/>
      <c r="JK297" s="645"/>
      <c r="JL297" s="645"/>
      <c r="JM297" s="645"/>
      <c r="JN297" s="645"/>
      <c r="JO297" s="645"/>
      <c r="JP297" s="645"/>
      <c r="JQ297" s="645"/>
      <c r="JR297" s="645"/>
      <c r="JS297" s="645"/>
      <c r="JT297" s="645"/>
      <c r="JU297" s="645"/>
      <c r="JV297" s="653"/>
    </row>
    <row r="298" spans="1:282" s="612" customFormat="1">
      <c r="A298" s="611"/>
      <c r="U298" s="613"/>
      <c r="V298" s="613"/>
      <c r="AC298" s="613"/>
      <c r="AD298" s="613"/>
      <c r="AL298" s="613"/>
      <c r="AM298" s="613"/>
      <c r="AT298" s="613"/>
      <c r="AU298" s="613"/>
      <c r="CH298" s="611"/>
      <c r="CI298" s="611"/>
      <c r="CO298" s="695"/>
      <c r="CP298" s="645"/>
      <c r="CQ298" s="618"/>
      <c r="CR298" s="618"/>
      <c r="CS298" s="618"/>
      <c r="CT298" s="626"/>
      <c r="CU298" s="626"/>
      <c r="CV298" s="626"/>
      <c r="CW298" s="646"/>
      <c r="CX298" s="646"/>
      <c r="CY298" s="625"/>
      <c r="CZ298" s="625"/>
      <c r="DA298" s="625"/>
      <c r="DB298" s="625"/>
      <c r="DC298" s="645"/>
      <c r="DD298" s="645"/>
      <c r="DE298" s="645"/>
      <c r="DF298" s="645"/>
      <c r="DG298" s="645"/>
      <c r="DH298" s="645"/>
      <c r="DI298" s="645"/>
      <c r="DJ298" s="645"/>
      <c r="DK298" s="645"/>
      <c r="DL298" s="645"/>
      <c r="DM298" s="645"/>
      <c r="DN298" s="645"/>
      <c r="DO298" s="645"/>
      <c r="DP298" s="645"/>
      <c r="DQ298" s="645"/>
      <c r="DR298" s="645"/>
      <c r="DS298" s="645"/>
      <c r="DT298" s="645"/>
      <c r="DU298" s="645"/>
      <c r="DV298" s="645"/>
      <c r="DW298" s="645"/>
      <c r="DX298" s="645"/>
      <c r="DY298" s="645"/>
      <c r="DZ298" s="645"/>
      <c r="EA298" s="645"/>
      <c r="EB298" s="645"/>
      <c r="EC298" s="645"/>
      <c r="ED298" s="645"/>
      <c r="EE298" s="645"/>
      <c r="EF298" s="645"/>
      <c r="EG298" s="645"/>
      <c r="EH298" s="645"/>
      <c r="EI298" s="645"/>
      <c r="EJ298" s="645"/>
      <c r="EK298" s="645"/>
      <c r="EL298" s="645"/>
      <c r="EM298" s="645"/>
      <c r="EN298" s="645"/>
      <c r="EO298" s="645"/>
      <c r="EP298" s="645"/>
      <c r="EQ298" s="645"/>
      <c r="ER298" s="645"/>
      <c r="ES298" s="645"/>
      <c r="ET298" s="645"/>
      <c r="EU298" s="645"/>
      <c r="EV298" s="645"/>
      <c r="EW298" s="645"/>
      <c r="EX298" s="645"/>
      <c r="EY298" s="645"/>
      <c r="EZ298" s="645"/>
      <c r="FA298" s="645"/>
      <c r="FB298" s="645"/>
      <c r="FC298" s="645"/>
      <c r="FD298" s="645"/>
      <c r="FE298" s="645"/>
      <c r="FF298" s="645"/>
      <c r="FG298" s="645"/>
      <c r="FH298" s="645"/>
      <c r="FI298" s="645"/>
      <c r="FJ298" s="645"/>
      <c r="FK298" s="645"/>
      <c r="FL298" s="645"/>
      <c r="FM298" s="645"/>
      <c r="FN298" s="645"/>
      <c r="FO298" s="645"/>
      <c r="FP298" s="645"/>
      <c r="FQ298" s="645"/>
      <c r="FR298" s="645"/>
      <c r="FS298" s="645"/>
      <c r="FT298" s="645"/>
      <c r="FU298" s="645"/>
      <c r="FV298" s="645"/>
      <c r="FW298" s="645"/>
      <c r="FX298" s="645"/>
      <c r="FY298" s="645"/>
      <c r="FZ298" s="645"/>
      <c r="GA298" s="645"/>
      <c r="GB298" s="645"/>
      <c r="GC298" s="645"/>
      <c r="GD298" s="645"/>
      <c r="GE298" s="645"/>
      <c r="GF298" s="645"/>
      <c r="GG298" s="645"/>
      <c r="GH298" s="645"/>
      <c r="GI298" s="645"/>
      <c r="GJ298" s="645"/>
      <c r="GK298" s="645"/>
      <c r="GL298" s="645"/>
      <c r="GM298" s="645"/>
      <c r="GN298" s="645"/>
      <c r="GO298" s="645"/>
      <c r="GP298" s="645"/>
      <c r="GQ298" s="645"/>
      <c r="GR298" s="645"/>
      <c r="GS298" s="645"/>
      <c r="GT298" s="645"/>
      <c r="GU298" s="645"/>
      <c r="GV298" s="645"/>
      <c r="GW298" s="645"/>
      <c r="GX298" s="645"/>
      <c r="GY298" s="645"/>
      <c r="GZ298" s="645"/>
      <c r="HA298" s="645"/>
      <c r="HB298" s="645"/>
      <c r="HC298" s="645"/>
      <c r="HD298" s="645"/>
      <c r="HE298" s="645"/>
      <c r="HF298" s="645"/>
      <c r="HG298" s="645"/>
      <c r="HH298" s="645"/>
      <c r="HI298" s="645"/>
      <c r="HJ298" s="645"/>
      <c r="HK298" s="645"/>
      <c r="HL298" s="645"/>
      <c r="HM298" s="645"/>
      <c r="HN298" s="645"/>
      <c r="HO298" s="645"/>
      <c r="HP298" s="645"/>
      <c r="HQ298" s="645"/>
      <c r="HR298" s="645">
        <v>0.14749999999999999</v>
      </c>
      <c r="HS298" s="645">
        <f t="shared" si="794"/>
        <v>990.35714285714278</v>
      </c>
      <c r="HT298" s="645">
        <f t="shared" si="795"/>
        <v>1</v>
      </c>
      <c r="HU298" s="618">
        <f t="shared" si="796"/>
        <v>3.757558196011102</v>
      </c>
      <c r="HV298" s="618"/>
      <c r="HW298" s="618">
        <f t="shared" si="781"/>
        <v>30.664267361664237</v>
      </c>
      <c r="HX298" s="618">
        <f t="shared" si="797"/>
        <v>3.4781513904209538</v>
      </c>
      <c r="HY298" s="618">
        <f t="shared" si="798"/>
        <v>0.14749999999999999</v>
      </c>
      <c r="HZ298" s="618"/>
      <c r="IA298" s="618"/>
      <c r="IB298" s="618">
        <f t="shared" si="782"/>
        <v>25.000350341399081</v>
      </c>
      <c r="IC298" s="618">
        <f t="shared" si="783"/>
        <v>1E-3</v>
      </c>
      <c r="ID298" s="618"/>
      <c r="IE298" s="618">
        <f t="shared" si="784"/>
        <v>0</v>
      </c>
      <c r="IF298" s="618">
        <f t="shared" si="785"/>
        <v>40.704999999999998</v>
      </c>
      <c r="IG298" s="618"/>
      <c r="IH298" s="618">
        <f t="shared" si="786"/>
        <v>0</v>
      </c>
      <c r="II298" s="618">
        <f t="shared" si="787"/>
        <v>40.704999999999998</v>
      </c>
      <c r="IJ298" s="618"/>
      <c r="IK298" s="618">
        <f t="shared" si="788"/>
        <v>0</v>
      </c>
      <c r="IL298" s="618">
        <f t="shared" si="789"/>
        <v>40.704999999999998</v>
      </c>
      <c r="IM298" s="618"/>
      <c r="IN298" s="618">
        <f t="shared" si="790"/>
        <v>0</v>
      </c>
      <c r="IO298" s="618">
        <f t="shared" si="791"/>
        <v>40.704999999999998</v>
      </c>
      <c r="IP298" s="618"/>
      <c r="IQ298" s="618">
        <f t="shared" si="792"/>
        <v>0</v>
      </c>
      <c r="IR298" s="618">
        <f t="shared" si="793"/>
        <v>40.704999999999998</v>
      </c>
      <c r="IS298" s="645"/>
      <c r="IT298" s="645"/>
      <c r="IU298" s="645"/>
      <c r="IV298" s="645"/>
      <c r="IW298" s="645"/>
      <c r="IX298" s="645"/>
      <c r="IY298" s="645"/>
      <c r="IZ298" s="645"/>
      <c r="JA298" s="645"/>
      <c r="JB298" s="645"/>
      <c r="JC298" s="645"/>
      <c r="JD298" s="645"/>
      <c r="JE298" s="645"/>
      <c r="JF298" s="645"/>
      <c r="JG298" s="645"/>
      <c r="JH298" s="645"/>
      <c r="JI298" s="645"/>
      <c r="JJ298" s="645"/>
      <c r="JK298" s="645"/>
      <c r="JL298" s="645"/>
      <c r="JM298" s="645"/>
      <c r="JN298" s="645"/>
      <c r="JO298" s="645"/>
      <c r="JP298" s="645"/>
      <c r="JQ298" s="645"/>
      <c r="JR298" s="645"/>
      <c r="JS298" s="645"/>
      <c r="JT298" s="645"/>
      <c r="JU298" s="645"/>
      <c r="JV298" s="653"/>
    </row>
    <row r="299" spans="1:282" s="612" customFormat="1">
      <c r="A299" s="611"/>
      <c r="U299" s="613"/>
      <c r="V299" s="613"/>
      <c r="AC299" s="613"/>
      <c r="AD299" s="613"/>
      <c r="AL299" s="613"/>
      <c r="AM299" s="613"/>
      <c r="AT299" s="613"/>
      <c r="AU299" s="613"/>
      <c r="CH299" s="611"/>
      <c r="CI299" s="611"/>
      <c r="CO299" s="695"/>
      <c r="CP299" s="645"/>
      <c r="CQ299" s="618"/>
      <c r="CR299" s="618"/>
      <c r="CS299" s="618"/>
      <c r="CT299" s="626"/>
      <c r="CU299" s="626"/>
      <c r="CV299" s="626"/>
      <c r="CW299" s="646"/>
      <c r="CX299" s="646"/>
      <c r="CY299" s="625"/>
      <c r="CZ299" s="625"/>
      <c r="DA299" s="625"/>
      <c r="DB299" s="625"/>
      <c r="DC299" s="645"/>
      <c r="DD299" s="645"/>
      <c r="DE299" s="645"/>
      <c r="DF299" s="645"/>
      <c r="DG299" s="645"/>
      <c r="DH299" s="645"/>
      <c r="DI299" s="645"/>
      <c r="DJ299" s="645"/>
      <c r="DK299" s="645"/>
      <c r="DL299" s="645"/>
      <c r="DM299" s="645"/>
      <c r="DN299" s="645"/>
      <c r="DO299" s="645"/>
      <c r="DP299" s="645"/>
      <c r="DQ299" s="645"/>
      <c r="DR299" s="645"/>
      <c r="DS299" s="645"/>
      <c r="DT299" s="645"/>
      <c r="DU299" s="645"/>
      <c r="DV299" s="645"/>
      <c r="DW299" s="645"/>
      <c r="DX299" s="645"/>
      <c r="DY299" s="645"/>
      <c r="DZ299" s="645"/>
      <c r="EA299" s="645"/>
      <c r="EB299" s="645"/>
      <c r="EC299" s="645"/>
      <c r="ED299" s="645"/>
      <c r="EE299" s="645"/>
      <c r="EF299" s="645"/>
      <c r="EG299" s="645"/>
      <c r="EH299" s="645"/>
      <c r="EI299" s="645"/>
      <c r="EJ299" s="645"/>
      <c r="EK299" s="645"/>
      <c r="EL299" s="645"/>
      <c r="EM299" s="645"/>
      <c r="EN299" s="645"/>
      <c r="EO299" s="645"/>
      <c r="EP299" s="645"/>
      <c r="EQ299" s="645"/>
      <c r="ER299" s="645"/>
      <c r="ES299" s="645"/>
      <c r="ET299" s="645"/>
      <c r="EU299" s="645"/>
      <c r="EV299" s="645"/>
      <c r="EW299" s="645"/>
      <c r="EX299" s="645"/>
      <c r="EY299" s="645"/>
      <c r="EZ299" s="645"/>
      <c r="FA299" s="645"/>
      <c r="FB299" s="645"/>
      <c r="FC299" s="645"/>
      <c r="FD299" s="645"/>
      <c r="FE299" s="645"/>
      <c r="FF299" s="645"/>
      <c r="FG299" s="645"/>
      <c r="FH299" s="645"/>
      <c r="FI299" s="645"/>
      <c r="FJ299" s="645"/>
      <c r="FK299" s="645"/>
      <c r="FL299" s="645"/>
      <c r="FM299" s="645"/>
      <c r="FN299" s="645"/>
      <c r="FO299" s="645"/>
      <c r="FP299" s="645"/>
      <c r="FQ299" s="645"/>
      <c r="FR299" s="645"/>
      <c r="FS299" s="645"/>
      <c r="FT299" s="645"/>
      <c r="FU299" s="645"/>
      <c r="FV299" s="645"/>
      <c r="FW299" s="645"/>
      <c r="FX299" s="645"/>
      <c r="FY299" s="645"/>
      <c r="FZ299" s="645"/>
      <c r="GA299" s="645"/>
      <c r="GB299" s="645"/>
      <c r="GC299" s="645"/>
      <c r="GD299" s="645"/>
      <c r="GE299" s="645"/>
      <c r="GF299" s="645"/>
      <c r="GG299" s="645"/>
      <c r="GH299" s="645"/>
      <c r="GI299" s="645"/>
      <c r="GJ299" s="645"/>
      <c r="GK299" s="645"/>
      <c r="GL299" s="645"/>
      <c r="GM299" s="645"/>
      <c r="GN299" s="645"/>
      <c r="GO299" s="645"/>
      <c r="GP299" s="645"/>
      <c r="GQ299" s="645"/>
      <c r="GR299" s="645"/>
      <c r="GS299" s="645"/>
      <c r="GT299" s="645"/>
      <c r="GU299" s="645"/>
      <c r="GV299" s="645"/>
      <c r="GW299" s="645"/>
      <c r="GX299" s="645"/>
      <c r="GY299" s="645"/>
      <c r="GZ299" s="645"/>
      <c r="HA299" s="645"/>
      <c r="HB299" s="645"/>
      <c r="HC299" s="645"/>
      <c r="HD299" s="645"/>
      <c r="HE299" s="645"/>
      <c r="HF299" s="645"/>
      <c r="HG299" s="645"/>
      <c r="HH299" s="645"/>
      <c r="HI299" s="645"/>
      <c r="HJ299" s="645"/>
      <c r="HK299" s="645"/>
      <c r="HL299" s="645"/>
      <c r="HM299" s="645"/>
      <c r="HN299" s="645"/>
      <c r="HO299" s="645"/>
      <c r="HP299" s="645"/>
      <c r="HQ299" s="645"/>
      <c r="HR299" s="645">
        <v>0.14799999999999999</v>
      </c>
      <c r="HS299" s="645">
        <f t="shared" si="794"/>
        <v>993.71428571428567</v>
      </c>
      <c r="HT299" s="645">
        <f t="shared" si="795"/>
        <v>1</v>
      </c>
      <c r="HU299" s="618">
        <f t="shared" si="796"/>
        <v>3.770297239984727</v>
      </c>
      <c r="HV299" s="618"/>
      <c r="HW299" s="618">
        <f t="shared" si="781"/>
        <v>30.646177919221689</v>
      </c>
      <c r="HX299" s="618">
        <f t="shared" si="797"/>
        <v>3.4889959184247452</v>
      </c>
      <c r="HY299" s="618">
        <f t="shared" si="798"/>
        <v>0.14799999999999999</v>
      </c>
      <c r="HZ299" s="618"/>
      <c r="IA299" s="618"/>
      <c r="IB299" s="618">
        <f t="shared" si="782"/>
        <v>25.000350341399081</v>
      </c>
      <c r="IC299" s="618">
        <f t="shared" si="783"/>
        <v>1E-3</v>
      </c>
      <c r="ID299" s="618"/>
      <c r="IE299" s="618">
        <f t="shared" si="784"/>
        <v>0</v>
      </c>
      <c r="IF299" s="618">
        <f t="shared" si="785"/>
        <v>40.704999999999998</v>
      </c>
      <c r="IG299" s="618"/>
      <c r="IH299" s="618">
        <f t="shared" si="786"/>
        <v>0</v>
      </c>
      <c r="II299" s="618">
        <f t="shared" si="787"/>
        <v>40.704999999999998</v>
      </c>
      <c r="IJ299" s="618"/>
      <c r="IK299" s="618">
        <f t="shared" si="788"/>
        <v>0</v>
      </c>
      <c r="IL299" s="618">
        <f t="shared" si="789"/>
        <v>40.704999999999998</v>
      </c>
      <c r="IM299" s="618"/>
      <c r="IN299" s="618">
        <f t="shared" si="790"/>
        <v>0</v>
      </c>
      <c r="IO299" s="618">
        <f t="shared" si="791"/>
        <v>40.704999999999998</v>
      </c>
      <c r="IP299" s="618"/>
      <c r="IQ299" s="618">
        <f t="shared" si="792"/>
        <v>0</v>
      </c>
      <c r="IR299" s="618">
        <f t="shared" si="793"/>
        <v>40.704999999999998</v>
      </c>
      <c r="IS299" s="645"/>
      <c r="IT299" s="645"/>
      <c r="IU299" s="645"/>
      <c r="IV299" s="645"/>
      <c r="IW299" s="645"/>
      <c r="IX299" s="645"/>
      <c r="IY299" s="645"/>
      <c r="IZ299" s="645"/>
      <c r="JA299" s="645"/>
      <c r="JB299" s="645"/>
      <c r="JC299" s="645"/>
      <c r="JD299" s="645"/>
      <c r="JE299" s="645"/>
      <c r="JF299" s="645"/>
      <c r="JG299" s="645"/>
      <c r="JH299" s="645"/>
      <c r="JI299" s="645"/>
      <c r="JJ299" s="645"/>
      <c r="JK299" s="645"/>
      <c r="JL299" s="645"/>
      <c r="JM299" s="645"/>
      <c r="JN299" s="645"/>
      <c r="JO299" s="645"/>
      <c r="JP299" s="645"/>
      <c r="JQ299" s="645"/>
      <c r="JR299" s="645"/>
      <c r="JS299" s="645"/>
      <c r="JT299" s="645"/>
      <c r="JU299" s="645"/>
      <c r="JV299" s="653"/>
    </row>
    <row r="300" spans="1:282" s="612" customFormat="1">
      <c r="A300" s="611"/>
      <c r="U300" s="613"/>
      <c r="V300" s="613"/>
      <c r="AC300" s="613"/>
      <c r="AD300" s="613"/>
      <c r="AL300" s="613"/>
      <c r="AM300" s="613"/>
      <c r="AT300" s="613"/>
      <c r="AU300" s="613"/>
      <c r="CH300" s="611"/>
      <c r="CI300" s="611"/>
      <c r="CO300" s="695"/>
      <c r="CP300" s="645"/>
      <c r="CQ300" s="618"/>
      <c r="CR300" s="618"/>
      <c r="CS300" s="618"/>
      <c r="CT300" s="626"/>
      <c r="CU300" s="626"/>
      <c r="CV300" s="626"/>
      <c r="CW300" s="646"/>
      <c r="CX300" s="646"/>
      <c r="CY300" s="625"/>
      <c r="CZ300" s="625"/>
      <c r="DA300" s="625"/>
      <c r="DB300" s="625"/>
      <c r="DC300" s="645"/>
      <c r="DD300" s="645"/>
      <c r="DE300" s="645"/>
      <c r="DF300" s="645"/>
      <c r="DG300" s="645"/>
      <c r="DH300" s="645"/>
      <c r="DI300" s="645"/>
      <c r="DJ300" s="645"/>
      <c r="DK300" s="645"/>
      <c r="DL300" s="645"/>
      <c r="DM300" s="645"/>
      <c r="DN300" s="645"/>
      <c r="DO300" s="645"/>
      <c r="DP300" s="645"/>
      <c r="DQ300" s="645"/>
      <c r="DR300" s="645"/>
      <c r="DS300" s="645"/>
      <c r="DT300" s="645"/>
      <c r="DU300" s="645"/>
      <c r="DV300" s="645"/>
      <c r="DW300" s="645"/>
      <c r="DX300" s="645"/>
      <c r="DY300" s="645"/>
      <c r="DZ300" s="645"/>
      <c r="EA300" s="645"/>
      <c r="EB300" s="645"/>
      <c r="EC300" s="645"/>
      <c r="ED300" s="645"/>
      <c r="EE300" s="645"/>
      <c r="EF300" s="645"/>
      <c r="EG300" s="645"/>
      <c r="EH300" s="645"/>
      <c r="EI300" s="645"/>
      <c r="EJ300" s="645"/>
      <c r="EK300" s="645"/>
      <c r="EL300" s="645"/>
      <c r="EM300" s="645"/>
      <c r="EN300" s="645"/>
      <c r="EO300" s="645"/>
      <c r="EP300" s="645"/>
      <c r="EQ300" s="645"/>
      <c r="ER300" s="645"/>
      <c r="ES300" s="645"/>
      <c r="ET300" s="645"/>
      <c r="EU300" s="645"/>
      <c r="EV300" s="645"/>
      <c r="EW300" s="645"/>
      <c r="EX300" s="645"/>
      <c r="EY300" s="645"/>
      <c r="EZ300" s="645"/>
      <c r="FA300" s="645"/>
      <c r="FB300" s="645"/>
      <c r="FC300" s="645"/>
      <c r="FD300" s="645"/>
      <c r="FE300" s="645"/>
      <c r="FF300" s="645"/>
      <c r="FG300" s="645"/>
      <c r="FH300" s="645"/>
      <c r="FI300" s="645"/>
      <c r="FJ300" s="645"/>
      <c r="FK300" s="645"/>
      <c r="FL300" s="645"/>
      <c r="FM300" s="645"/>
      <c r="FN300" s="645"/>
      <c r="FO300" s="645"/>
      <c r="FP300" s="645"/>
      <c r="FQ300" s="645"/>
      <c r="FR300" s="645"/>
      <c r="FS300" s="645"/>
      <c r="FT300" s="645"/>
      <c r="FU300" s="645"/>
      <c r="FV300" s="645"/>
      <c r="FW300" s="645"/>
      <c r="FX300" s="645"/>
      <c r="FY300" s="645"/>
      <c r="FZ300" s="645"/>
      <c r="GA300" s="645"/>
      <c r="GB300" s="645"/>
      <c r="GC300" s="645"/>
      <c r="GD300" s="645"/>
      <c r="GE300" s="645"/>
      <c r="GF300" s="645"/>
      <c r="GG300" s="645"/>
      <c r="GH300" s="645"/>
      <c r="GI300" s="645"/>
      <c r="GJ300" s="645"/>
      <c r="GK300" s="645"/>
      <c r="GL300" s="645"/>
      <c r="GM300" s="645"/>
      <c r="GN300" s="645"/>
      <c r="GO300" s="645"/>
      <c r="GP300" s="645"/>
      <c r="GQ300" s="645"/>
      <c r="GR300" s="645"/>
      <c r="GS300" s="645"/>
      <c r="GT300" s="645"/>
      <c r="GU300" s="645"/>
      <c r="GV300" s="645"/>
      <c r="GW300" s="645"/>
      <c r="GX300" s="645"/>
      <c r="GY300" s="645"/>
      <c r="GZ300" s="645"/>
      <c r="HA300" s="645"/>
      <c r="HB300" s="645"/>
      <c r="HC300" s="645"/>
      <c r="HD300" s="645"/>
      <c r="HE300" s="645"/>
      <c r="HF300" s="645"/>
      <c r="HG300" s="645"/>
      <c r="HH300" s="645"/>
      <c r="HI300" s="645"/>
      <c r="HJ300" s="645"/>
      <c r="HK300" s="645"/>
      <c r="HL300" s="645"/>
      <c r="HM300" s="645"/>
      <c r="HN300" s="645"/>
      <c r="HO300" s="645"/>
      <c r="HP300" s="645"/>
      <c r="HQ300" s="645"/>
      <c r="HR300" s="645">
        <v>0.14849999999999999</v>
      </c>
      <c r="HS300" s="645">
        <f t="shared" si="794"/>
        <v>997.07142857142856</v>
      </c>
      <c r="HT300" s="645">
        <f t="shared" si="795"/>
        <v>1</v>
      </c>
      <c r="HU300" s="618">
        <f t="shared" si="796"/>
        <v>3.783036283958352</v>
      </c>
      <c r="HV300" s="618"/>
      <c r="HW300" s="618">
        <f t="shared" si="781"/>
        <v>30.628088476779141</v>
      </c>
      <c r="HX300" s="618">
        <f t="shared" si="797"/>
        <v>3.4998340452562386</v>
      </c>
      <c r="HY300" s="618">
        <f t="shared" si="798"/>
        <v>0.14849999999999999</v>
      </c>
      <c r="HZ300" s="618"/>
      <c r="IA300" s="618"/>
      <c r="IB300" s="618">
        <f t="shared" si="782"/>
        <v>25.000350341399081</v>
      </c>
      <c r="IC300" s="618">
        <f t="shared" si="783"/>
        <v>1E-3</v>
      </c>
      <c r="ID300" s="618"/>
      <c r="IE300" s="618">
        <f t="shared" si="784"/>
        <v>0</v>
      </c>
      <c r="IF300" s="618">
        <f t="shared" si="785"/>
        <v>40.704999999999998</v>
      </c>
      <c r="IG300" s="618"/>
      <c r="IH300" s="618">
        <f t="shared" si="786"/>
        <v>0</v>
      </c>
      <c r="II300" s="618">
        <f t="shared" si="787"/>
        <v>40.704999999999998</v>
      </c>
      <c r="IJ300" s="618"/>
      <c r="IK300" s="618">
        <f t="shared" si="788"/>
        <v>0</v>
      </c>
      <c r="IL300" s="618">
        <f t="shared" si="789"/>
        <v>40.704999999999998</v>
      </c>
      <c r="IM300" s="618"/>
      <c r="IN300" s="618">
        <f t="shared" si="790"/>
        <v>0</v>
      </c>
      <c r="IO300" s="618">
        <f t="shared" si="791"/>
        <v>40.704999999999998</v>
      </c>
      <c r="IP300" s="618"/>
      <c r="IQ300" s="618">
        <f t="shared" si="792"/>
        <v>0</v>
      </c>
      <c r="IR300" s="618">
        <f t="shared" si="793"/>
        <v>40.704999999999998</v>
      </c>
      <c r="IS300" s="645"/>
      <c r="IT300" s="645"/>
      <c r="IU300" s="645"/>
      <c r="IV300" s="645"/>
      <c r="IW300" s="645"/>
      <c r="IX300" s="645"/>
      <c r="IY300" s="645"/>
      <c r="IZ300" s="645"/>
      <c r="JA300" s="645"/>
      <c r="JB300" s="645"/>
      <c r="JC300" s="645"/>
      <c r="JD300" s="645"/>
      <c r="JE300" s="645"/>
      <c r="JF300" s="645"/>
      <c r="JG300" s="645"/>
      <c r="JH300" s="645"/>
      <c r="JI300" s="645"/>
      <c r="JJ300" s="645"/>
      <c r="JK300" s="645"/>
      <c r="JL300" s="645"/>
      <c r="JM300" s="645"/>
      <c r="JN300" s="645"/>
      <c r="JO300" s="645"/>
      <c r="JP300" s="645"/>
      <c r="JQ300" s="645"/>
      <c r="JR300" s="645"/>
      <c r="JS300" s="645"/>
      <c r="JT300" s="645"/>
      <c r="JU300" s="645"/>
      <c r="JV300" s="653"/>
    </row>
    <row r="301" spans="1:282" s="612" customFormat="1">
      <c r="A301" s="611"/>
      <c r="U301" s="613"/>
      <c r="V301" s="613"/>
      <c r="AC301" s="613"/>
      <c r="AD301" s="613"/>
      <c r="AL301" s="613"/>
      <c r="AM301" s="613"/>
      <c r="AT301" s="613"/>
      <c r="AU301" s="613"/>
      <c r="CH301" s="611"/>
      <c r="CI301" s="611"/>
      <c r="CO301" s="695"/>
      <c r="CP301" s="645"/>
      <c r="CQ301" s="618"/>
      <c r="CR301" s="618"/>
      <c r="CS301" s="618"/>
      <c r="CT301" s="626"/>
      <c r="CU301" s="626"/>
      <c r="CV301" s="626"/>
      <c r="CW301" s="646"/>
      <c r="CX301" s="646"/>
      <c r="CY301" s="625"/>
      <c r="CZ301" s="625"/>
      <c r="DA301" s="625"/>
      <c r="DB301" s="625"/>
      <c r="DC301" s="645"/>
      <c r="DD301" s="645"/>
      <c r="DE301" s="645"/>
      <c r="DF301" s="645"/>
      <c r="DG301" s="645"/>
      <c r="DH301" s="645"/>
      <c r="DI301" s="645"/>
      <c r="DJ301" s="645"/>
      <c r="DK301" s="645"/>
      <c r="DL301" s="645"/>
      <c r="DM301" s="645"/>
      <c r="DN301" s="645"/>
      <c r="DO301" s="645"/>
      <c r="DP301" s="645"/>
      <c r="DQ301" s="645"/>
      <c r="DR301" s="645"/>
      <c r="DS301" s="645"/>
      <c r="DT301" s="645"/>
      <c r="DU301" s="645"/>
      <c r="DV301" s="645"/>
      <c r="DW301" s="645"/>
      <c r="DX301" s="645"/>
      <c r="DY301" s="645"/>
      <c r="DZ301" s="645"/>
      <c r="EA301" s="645"/>
      <c r="EB301" s="645"/>
      <c r="EC301" s="645"/>
      <c r="ED301" s="645"/>
      <c r="EE301" s="645"/>
      <c r="EF301" s="645"/>
      <c r="EG301" s="645"/>
      <c r="EH301" s="645"/>
      <c r="EI301" s="645"/>
      <c r="EJ301" s="645"/>
      <c r="EK301" s="645"/>
      <c r="EL301" s="645"/>
      <c r="EM301" s="645"/>
      <c r="EN301" s="645"/>
      <c r="EO301" s="645"/>
      <c r="EP301" s="645"/>
      <c r="EQ301" s="645"/>
      <c r="ER301" s="645"/>
      <c r="ES301" s="645"/>
      <c r="ET301" s="645"/>
      <c r="EU301" s="645"/>
      <c r="EV301" s="645"/>
      <c r="EW301" s="645"/>
      <c r="EX301" s="645"/>
      <c r="EY301" s="645"/>
      <c r="EZ301" s="645"/>
      <c r="FA301" s="645"/>
      <c r="FB301" s="645"/>
      <c r="FC301" s="645"/>
      <c r="FD301" s="645"/>
      <c r="FE301" s="645"/>
      <c r="FF301" s="645"/>
      <c r="FG301" s="645"/>
      <c r="FH301" s="645"/>
      <c r="FI301" s="645"/>
      <c r="FJ301" s="645"/>
      <c r="FK301" s="645"/>
      <c r="FL301" s="645"/>
      <c r="FM301" s="645"/>
      <c r="FN301" s="645"/>
      <c r="FO301" s="645"/>
      <c r="FP301" s="645"/>
      <c r="FQ301" s="645"/>
      <c r="FR301" s="645"/>
      <c r="FS301" s="645"/>
      <c r="FT301" s="645"/>
      <c r="FU301" s="645"/>
      <c r="FV301" s="645"/>
      <c r="FW301" s="645"/>
      <c r="FX301" s="645"/>
      <c r="FY301" s="645"/>
      <c r="FZ301" s="645"/>
      <c r="GA301" s="645"/>
      <c r="GB301" s="645"/>
      <c r="GC301" s="645"/>
      <c r="GD301" s="645"/>
      <c r="GE301" s="645"/>
      <c r="GF301" s="645"/>
      <c r="GG301" s="645"/>
      <c r="GH301" s="645"/>
      <c r="GI301" s="645"/>
      <c r="GJ301" s="645"/>
      <c r="GK301" s="645"/>
      <c r="GL301" s="645"/>
      <c r="GM301" s="645"/>
      <c r="GN301" s="645"/>
      <c r="GO301" s="645"/>
      <c r="GP301" s="645"/>
      <c r="GQ301" s="645"/>
      <c r="GR301" s="645"/>
      <c r="GS301" s="645"/>
      <c r="GT301" s="645"/>
      <c r="GU301" s="645"/>
      <c r="GV301" s="645"/>
      <c r="GW301" s="645"/>
      <c r="GX301" s="645"/>
      <c r="GY301" s="645"/>
      <c r="GZ301" s="645"/>
      <c r="HA301" s="645"/>
      <c r="HB301" s="645"/>
      <c r="HC301" s="645"/>
      <c r="HD301" s="645"/>
      <c r="HE301" s="645"/>
      <c r="HF301" s="645"/>
      <c r="HG301" s="645"/>
      <c r="HH301" s="645"/>
      <c r="HI301" s="645"/>
      <c r="HJ301" s="645"/>
      <c r="HK301" s="645"/>
      <c r="HL301" s="645"/>
      <c r="HM301" s="645"/>
      <c r="HN301" s="645"/>
      <c r="HO301" s="645"/>
      <c r="HP301" s="645"/>
      <c r="HQ301" s="645"/>
      <c r="HR301" s="645">
        <v>0.14899999999999999</v>
      </c>
      <c r="HS301" s="645">
        <f t="shared" si="794"/>
        <v>1000.4285714285713</v>
      </c>
      <c r="HT301" s="645">
        <f t="shared" si="795"/>
        <v>1</v>
      </c>
      <c r="HU301" s="618">
        <f t="shared" si="796"/>
        <v>3.795775327931977</v>
      </c>
      <c r="HV301" s="618"/>
      <c r="HW301" s="618">
        <f t="shared" si="781"/>
        <v>30.609999034336592</v>
      </c>
      <c r="HX301" s="618">
        <f t="shared" si="797"/>
        <v>3.5106657709154336</v>
      </c>
      <c r="HY301" s="618">
        <f t="shared" si="798"/>
        <v>0.14899999999999999</v>
      </c>
      <c r="HZ301" s="618"/>
      <c r="IA301" s="618"/>
      <c r="IB301" s="618">
        <f t="shared" si="782"/>
        <v>25.000350341399081</v>
      </c>
      <c r="IC301" s="618">
        <f t="shared" si="783"/>
        <v>1E-3</v>
      </c>
      <c r="ID301" s="618"/>
      <c r="IE301" s="618">
        <f t="shared" si="784"/>
        <v>0</v>
      </c>
      <c r="IF301" s="618">
        <f t="shared" si="785"/>
        <v>40.704999999999998</v>
      </c>
      <c r="IG301" s="618"/>
      <c r="IH301" s="618">
        <f t="shared" si="786"/>
        <v>0</v>
      </c>
      <c r="II301" s="618">
        <f t="shared" si="787"/>
        <v>40.704999999999998</v>
      </c>
      <c r="IJ301" s="618"/>
      <c r="IK301" s="618">
        <f t="shared" si="788"/>
        <v>0</v>
      </c>
      <c r="IL301" s="618">
        <f t="shared" si="789"/>
        <v>40.704999999999998</v>
      </c>
      <c r="IM301" s="618"/>
      <c r="IN301" s="618">
        <f t="shared" si="790"/>
        <v>0</v>
      </c>
      <c r="IO301" s="618">
        <f t="shared" si="791"/>
        <v>40.704999999999998</v>
      </c>
      <c r="IP301" s="618"/>
      <c r="IQ301" s="618">
        <f t="shared" si="792"/>
        <v>0</v>
      </c>
      <c r="IR301" s="618">
        <f t="shared" si="793"/>
        <v>40.704999999999998</v>
      </c>
      <c r="IS301" s="645"/>
      <c r="IT301" s="645"/>
      <c r="IU301" s="645"/>
      <c r="IV301" s="645"/>
      <c r="IW301" s="645"/>
      <c r="IX301" s="645"/>
      <c r="IY301" s="645"/>
      <c r="IZ301" s="645"/>
      <c r="JA301" s="645"/>
      <c r="JB301" s="645"/>
      <c r="JC301" s="645"/>
      <c r="JD301" s="645"/>
      <c r="JE301" s="645"/>
      <c r="JF301" s="645"/>
      <c r="JG301" s="645"/>
      <c r="JH301" s="645"/>
      <c r="JI301" s="645"/>
      <c r="JJ301" s="645"/>
      <c r="JK301" s="645"/>
      <c r="JL301" s="645"/>
      <c r="JM301" s="645"/>
      <c r="JN301" s="645"/>
      <c r="JO301" s="645"/>
      <c r="JP301" s="645"/>
      <c r="JQ301" s="645"/>
      <c r="JR301" s="645"/>
      <c r="JS301" s="645"/>
      <c r="JT301" s="645"/>
      <c r="JU301" s="645"/>
      <c r="JV301" s="653"/>
    </row>
    <row r="302" spans="1:282" s="612" customFormat="1">
      <c r="A302" s="611"/>
      <c r="U302" s="613"/>
      <c r="V302" s="613"/>
      <c r="AC302" s="613"/>
      <c r="AD302" s="613"/>
      <c r="AL302" s="613"/>
      <c r="AM302" s="613"/>
      <c r="AT302" s="613"/>
      <c r="AU302" s="613"/>
      <c r="CH302" s="611"/>
      <c r="CI302" s="611"/>
      <c r="CO302" s="695"/>
      <c r="CP302" s="645"/>
      <c r="CQ302" s="618"/>
      <c r="CR302" s="618"/>
      <c r="CS302" s="618"/>
      <c r="CT302" s="626"/>
      <c r="CU302" s="626"/>
      <c r="CV302" s="626"/>
      <c r="CW302" s="646"/>
      <c r="CX302" s="646"/>
      <c r="CY302" s="625"/>
      <c r="CZ302" s="625"/>
      <c r="DA302" s="625"/>
      <c r="DB302" s="625"/>
      <c r="DC302" s="645"/>
      <c r="DD302" s="645"/>
      <c r="DE302" s="645"/>
      <c r="DF302" s="645"/>
      <c r="DG302" s="645"/>
      <c r="DH302" s="645"/>
      <c r="DI302" s="645"/>
      <c r="DJ302" s="645"/>
      <c r="DK302" s="645"/>
      <c r="DL302" s="645"/>
      <c r="DM302" s="645"/>
      <c r="DN302" s="645"/>
      <c r="DO302" s="645"/>
      <c r="DP302" s="645"/>
      <c r="DQ302" s="645"/>
      <c r="DR302" s="645"/>
      <c r="DS302" s="645"/>
      <c r="DT302" s="645"/>
      <c r="DU302" s="645"/>
      <c r="DV302" s="645"/>
      <c r="DW302" s="645"/>
      <c r="DX302" s="645"/>
      <c r="DY302" s="645"/>
      <c r="DZ302" s="645"/>
      <c r="EA302" s="645"/>
      <c r="EB302" s="645"/>
      <c r="EC302" s="645"/>
      <c r="ED302" s="645"/>
      <c r="EE302" s="645"/>
      <c r="EF302" s="645"/>
      <c r="EG302" s="645"/>
      <c r="EH302" s="645"/>
      <c r="EI302" s="645"/>
      <c r="EJ302" s="645"/>
      <c r="EK302" s="645"/>
      <c r="EL302" s="645"/>
      <c r="EM302" s="645"/>
      <c r="EN302" s="645"/>
      <c r="EO302" s="645"/>
      <c r="EP302" s="645"/>
      <c r="EQ302" s="645"/>
      <c r="ER302" s="645"/>
      <c r="ES302" s="645"/>
      <c r="ET302" s="645"/>
      <c r="EU302" s="645"/>
      <c r="EV302" s="645"/>
      <c r="EW302" s="645"/>
      <c r="EX302" s="645"/>
      <c r="EY302" s="645"/>
      <c r="EZ302" s="645"/>
      <c r="FA302" s="645"/>
      <c r="FB302" s="645"/>
      <c r="FC302" s="645"/>
      <c r="FD302" s="645"/>
      <c r="FE302" s="645"/>
      <c r="FF302" s="645"/>
      <c r="FG302" s="645"/>
      <c r="FH302" s="645"/>
      <c r="FI302" s="645"/>
      <c r="FJ302" s="645"/>
      <c r="FK302" s="645"/>
      <c r="FL302" s="645"/>
      <c r="FM302" s="645"/>
      <c r="FN302" s="645"/>
      <c r="FO302" s="645"/>
      <c r="FP302" s="645"/>
      <c r="FQ302" s="645"/>
      <c r="FR302" s="645"/>
      <c r="FS302" s="645"/>
      <c r="FT302" s="645"/>
      <c r="FU302" s="645"/>
      <c r="FV302" s="645"/>
      <c r="FW302" s="645"/>
      <c r="FX302" s="645"/>
      <c r="FY302" s="645"/>
      <c r="FZ302" s="645"/>
      <c r="GA302" s="645"/>
      <c r="GB302" s="645"/>
      <c r="GC302" s="645"/>
      <c r="GD302" s="645"/>
      <c r="GE302" s="645"/>
      <c r="GF302" s="645"/>
      <c r="GG302" s="645"/>
      <c r="GH302" s="645"/>
      <c r="GI302" s="645"/>
      <c r="GJ302" s="645"/>
      <c r="GK302" s="645"/>
      <c r="GL302" s="645"/>
      <c r="GM302" s="645"/>
      <c r="GN302" s="645"/>
      <c r="GO302" s="645"/>
      <c r="GP302" s="645"/>
      <c r="GQ302" s="645"/>
      <c r="GR302" s="645"/>
      <c r="GS302" s="645"/>
      <c r="GT302" s="645"/>
      <c r="GU302" s="645"/>
      <c r="GV302" s="645"/>
      <c r="GW302" s="645"/>
      <c r="GX302" s="645"/>
      <c r="GY302" s="645"/>
      <c r="GZ302" s="645"/>
      <c r="HA302" s="645"/>
      <c r="HB302" s="645"/>
      <c r="HC302" s="645"/>
      <c r="HD302" s="645"/>
      <c r="HE302" s="645"/>
      <c r="HF302" s="645"/>
      <c r="HG302" s="645"/>
      <c r="HH302" s="645"/>
      <c r="HI302" s="645"/>
      <c r="HJ302" s="645"/>
      <c r="HK302" s="645"/>
      <c r="HL302" s="645"/>
      <c r="HM302" s="645"/>
      <c r="HN302" s="645"/>
      <c r="HO302" s="645"/>
      <c r="HP302" s="645"/>
      <c r="HQ302" s="645"/>
      <c r="HR302" s="645">
        <v>0.14949999999999999</v>
      </c>
      <c r="HS302" s="645">
        <f t="shared" si="794"/>
        <v>1003.7857142857142</v>
      </c>
      <c r="HT302" s="645">
        <f t="shared" si="795"/>
        <v>1</v>
      </c>
      <c r="HU302" s="618">
        <f t="shared" si="796"/>
        <v>3.808514371905602</v>
      </c>
      <c r="HV302" s="618"/>
      <c r="HW302" s="618">
        <f t="shared" si="781"/>
        <v>30.591909591894044</v>
      </c>
      <c r="HX302" s="618">
        <f t="shared" si="797"/>
        <v>3.5214910954023306</v>
      </c>
      <c r="HY302" s="618">
        <f t="shared" si="798"/>
        <v>0.14949999999999999</v>
      </c>
      <c r="HZ302" s="618"/>
      <c r="IA302" s="618"/>
      <c r="IB302" s="618">
        <f t="shared" si="782"/>
        <v>25.000350341399081</v>
      </c>
      <c r="IC302" s="618">
        <f t="shared" si="783"/>
        <v>1E-3</v>
      </c>
      <c r="ID302" s="618"/>
      <c r="IE302" s="618">
        <f t="shared" si="784"/>
        <v>0</v>
      </c>
      <c r="IF302" s="618">
        <f t="shared" si="785"/>
        <v>40.704999999999998</v>
      </c>
      <c r="IG302" s="618"/>
      <c r="IH302" s="618">
        <f t="shared" si="786"/>
        <v>0</v>
      </c>
      <c r="II302" s="618">
        <f t="shared" si="787"/>
        <v>40.704999999999998</v>
      </c>
      <c r="IJ302" s="618"/>
      <c r="IK302" s="618">
        <f t="shared" si="788"/>
        <v>0</v>
      </c>
      <c r="IL302" s="618">
        <f t="shared" si="789"/>
        <v>40.704999999999998</v>
      </c>
      <c r="IM302" s="618"/>
      <c r="IN302" s="618">
        <f t="shared" si="790"/>
        <v>0</v>
      </c>
      <c r="IO302" s="618">
        <f t="shared" si="791"/>
        <v>40.704999999999998</v>
      </c>
      <c r="IP302" s="618"/>
      <c r="IQ302" s="618">
        <f t="shared" si="792"/>
        <v>0</v>
      </c>
      <c r="IR302" s="618">
        <f t="shared" si="793"/>
        <v>40.704999999999998</v>
      </c>
      <c r="IS302" s="645"/>
      <c r="IT302" s="645"/>
      <c r="IU302" s="645"/>
      <c r="IV302" s="645"/>
      <c r="IW302" s="645"/>
      <c r="IX302" s="645"/>
      <c r="IY302" s="645"/>
      <c r="IZ302" s="645"/>
      <c r="JA302" s="645"/>
      <c r="JB302" s="645"/>
      <c r="JC302" s="645"/>
      <c r="JD302" s="645"/>
      <c r="JE302" s="645"/>
      <c r="JF302" s="645"/>
      <c r="JG302" s="645"/>
      <c r="JH302" s="645"/>
      <c r="JI302" s="645"/>
      <c r="JJ302" s="645"/>
      <c r="JK302" s="645"/>
      <c r="JL302" s="645"/>
      <c r="JM302" s="645"/>
      <c r="JN302" s="645"/>
      <c r="JO302" s="645"/>
      <c r="JP302" s="645"/>
      <c r="JQ302" s="645"/>
      <c r="JR302" s="645"/>
      <c r="JS302" s="645"/>
      <c r="JT302" s="645"/>
      <c r="JU302" s="645"/>
      <c r="JV302" s="653"/>
    </row>
    <row r="303" spans="1:282" s="612" customFormat="1">
      <c r="A303" s="611"/>
      <c r="U303" s="613"/>
      <c r="V303" s="613"/>
      <c r="AC303" s="613"/>
      <c r="AD303" s="613"/>
      <c r="AL303" s="613"/>
      <c r="AM303" s="613"/>
      <c r="AT303" s="613"/>
      <c r="AU303" s="613"/>
      <c r="CH303" s="611"/>
      <c r="CI303" s="611"/>
      <c r="CO303" s="695"/>
      <c r="CP303" s="645"/>
      <c r="CQ303" s="618"/>
      <c r="CR303" s="618"/>
      <c r="CS303" s="618"/>
      <c r="CT303" s="626"/>
      <c r="CU303" s="626"/>
      <c r="CV303" s="626"/>
      <c r="CW303" s="646"/>
      <c r="CX303" s="646"/>
      <c r="CY303" s="625"/>
      <c r="CZ303" s="625"/>
      <c r="DA303" s="625"/>
      <c r="DB303" s="625"/>
      <c r="DC303" s="645"/>
      <c r="DD303" s="645"/>
      <c r="DE303" s="645"/>
      <c r="DF303" s="645"/>
      <c r="DG303" s="645"/>
      <c r="DH303" s="645"/>
      <c r="DI303" s="645"/>
      <c r="DJ303" s="645"/>
      <c r="DK303" s="645"/>
      <c r="DL303" s="645"/>
      <c r="DM303" s="645"/>
      <c r="DN303" s="645"/>
      <c r="DO303" s="645"/>
      <c r="DP303" s="645"/>
      <c r="DQ303" s="645"/>
      <c r="DR303" s="645"/>
      <c r="DS303" s="645"/>
      <c r="DT303" s="645"/>
      <c r="DU303" s="645"/>
      <c r="DV303" s="645"/>
      <c r="DW303" s="645"/>
      <c r="DX303" s="645"/>
      <c r="DY303" s="645"/>
      <c r="DZ303" s="645"/>
      <c r="EA303" s="645"/>
      <c r="EB303" s="645"/>
      <c r="EC303" s="645"/>
      <c r="ED303" s="645"/>
      <c r="EE303" s="645"/>
      <c r="EF303" s="645"/>
      <c r="EG303" s="645"/>
      <c r="EH303" s="645"/>
      <c r="EI303" s="645"/>
      <c r="EJ303" s="645"/>
      <c r="EK303" s="645"/>
      <c r="EL303" s="645"/>
      <c r="EM303" s="645"/>
      <c r="EN303" s="645"/>
      <c r="EO303" s="645"/>
      <c r="EP303" s="645"/>
      <c r="EQ303" s="645"/>
      <c r="ER303" s="645"/>
      <c r="ES303" s="645"/>
      <c r="ET303" s="645"/>
      <c r="EU303" s="645"/>
      <c r="EV303" s="645"/>
      <c r="EW303" s="645"/>
      <c r="EX303" s="645"/>
      <c r="EY303" s="645"/>
      <c r="EZ303" s="645"/>
      <c r="FA303" s="645"/>
      <c r="FB303" s="645"/>
      <c r="FC303" s="645"/>
      <c r="FD303" s="645"/>
      <c r="FE303" s="645"/>
      <c r="FF303" s="645"/>
      <c r="FG303" s="645"/>
      <c r="FH303" s="645"/>
      <c r="FI303" s="645"/>
      <c r="FJ303" s="645"/>
      <c r="FK303" s="645"/>
      <c r="FL303" s="645"/>
      <c r="FM303" s="645"/>
      <c r="FN303" s="645"/>
      <c r="FO303" s="645"/>
      <c r="FP303" s="645"/>
      <c r="FQ303" s="645"/>
      <c r="FR303" s="645"/>
      <c r="FS303" s="645"/>
      <c r="FT303" s="645"/>
      <c r="FU303" s="645"/>
      <c r="FV303" s="645"/>
      <c r="FW303" s="645"/>
      <c r="FX303" s="645"/>
      <c r="FY303" s="645"/>
      <c r="FZ303" s="645"/>
      <c r="GA303" s="645"/>
      <c r="GB303" s="645"/>
      <c r="GC303" s="645"/>
      <c r="GD303" s="645"/>
      <c r="GE303" s="645"/>
      <c r="GF303" s="645"/>
      <c r="GG303" s="645"/>
      <c r="GH303" s="645"/>
      <c r="GI303" s="645"/>
      <c r="GJ303" s="645"/>
      <c r="GK303" s="645"/>
      <c r="GL303" s="645"/>
      <c r="GM303" s="645"/>
      <c r="GN303" s="645"/>
      <c r="GO303" s="645"/>
      <c r="GP303" s="645"/>
      <c r="GQ303" s="645"/>
      <c r="GR303" s="645"/>
      <c r="GS303" s="645"/>
      <c r="GT303" s="645"/>
      <c r="GU303" s="645"/>
      <c r="GV303" s="645"/>
      <c r="GW303" s="645"/>
      <c r="GX303" s="645"/>
      <c r="GY303" s="645"/>
      <c r="GZ303" s="645"/>
      <c r="HA303" s="645"/>
      <c r="HB303" s="645"/>
      <c r="HC303" s="645"/>
      <c r="HD303" s="645"/>
      <c r="HE303" s="645"/>
      <c r="HF303" s="645"/>
      <c r="HG303" s="645"/>
      <c r="HH303" s="645"/>
      <c r="HI303" s="645"/>
      <c r="HJ303" s="645"/>
      <c r="HK303" s="645"/>
      <c r="HL303" s="645"/>
      <c r="HM303" s="645"/>
      <c r="HN303" s="645"/>
      <c r="HO303" s="645"/>
      <c r="HP303" s="645"/>
      <c r="HQ303" s="645"/>
      <c r="HR303" s="645">
        <v>0.15</v>
      </c>
      <c r="HS303" s="645">
        <f t="shared" si="794"/>
        <v>1007.1428571428571</v>
      </c>
      <c r="HT303" s="645">
        <f t="shared" si="795"/>
        <v>1</v>
      </c>
      <c r="HU303" s="618">
        <f t="shared" si="796"/>
        <v>3.8212534158792271</v>
      </c>
      <c r="HV303" s="618"/>
      <c r="HW303" s="618">
        <f t="shared" si="781"/>
        <v>30.5738201494515</v>
      </c>
      <c r="HX303" s="618">
        <f t="shared" si="797"/>
        <v>3.5323100187169296</v>
      </c>
      <c r="HY303" s="618">
        <f t="shared" si="798"/>
        <v>0.15</v>
      </c>
      <c r="HZ303" s="618"/>
      <c r="IA303" s="618"/>
      <c r="IB303" s="618">
        <f t="shared" si="782"/>
        <v>25.000350341399081</v>
      </c>
      <c r="IC303" s="618">
        <f t="shared" si="783"/>
        <v>1E-3</v>
      </c>
      <c r="ID303" s="618"/>
      <c r="IE303" s="618">
        <f t="shared" si="784"/>
        <v>0</v>
      </c>
      <c r="IF303" s="618">
        <f t="shared" si="785"/>
        <v>40.704999999999998</v>
      </c>
      <c r="IG303" s="618"/>
      <c r="IH303" s="618">
        <f t="shared" si="786"/>
        <v>0</v>
      </c>
      <c r="II303" s="618">
        <f t="shared" si="787"/>
        <v>40.704999999999998</v>
      </c>
      <c r="IJ303" s="618"/>
      <c r="IK303" s="618">
        <f t="shared" si="788"/>
        <v>0</v>
      </c>
      <c r="IL303" s="618">
        <f t="shared" si="789"/>
        <v>40.704999999999998</v>
      </c>
      <c r="IM303" s="618"/>
      <c r="IN303" s="618">
        <f t="shared" si="790"/>
        <v>0</v>
      </c>
      <c r="IO303" s="618">
        <f t="shared" si="791"/>
        <v>40.704999999999998</v>
      </c>
      <c r="IP303" s="618"/>
      <c r="IQ303" s="618">
        <f t="shared" si="792"/>
        <v>0</v>
      </c>
      <c r="IR303" s="618">
        <f t="shared" si="793"/>
        <v>40.704999999999998</v>
      </c>
      <c r="IS303" s="645"/>
      <c r="IT303" s="645"/>
      <c r="IU303" s="645"/>
      <c r="IV303" s="645"/>
      <c r="IW303" s="645"/>
      <c r="IX303" s="645"/>
      <c r="IY303" s="645"/>
      <c r="IZ303" s="645"/>
      <c r="JA303" s="645"/>
      <c r="JB303" s="645"/>
      <c r="JC303" s="645"/>
      <c r="JD303" s="645"/>
      <c r="JE303" s="645"/>
      <c r="JF303" s="645"/>
      <c r="JG303" s="645"/>
      <c r="JH303" s="645"/>
      <c r="JI303" s="645"/>
      <c r="JJ303" s="645"/>
      <c r="JK303" s="645"/>
      <c r="JL303" s="645"/>
      <c r="JM303" s="645"/>
      <c r="JN303" s="645"/>
      <c r="JO303" s="645"/>
      <c r="JP303" s="645"/>
      <c r="JQ303" s="645"/>
      <c r="JR303" s="645"/>
      <c r="JS303" s="645"/>
      <c r="JT303" s="645"/>
      <c r="JU303" s="645"/>
      <c r="JV303" s="653"/>
    </row>
    <row r="304" spans="1:282" s="612" customFormat="1">
      <c r="A304" s="611"/>
      <c r="U304" s="613"/>
      <c r="V304" s="613"/>
      <c r="AC304" s="613"/>
      <c r="AD304" s="613"/>
      <c r="AL304" s="613"/>
      <c r="AM304" s="613"/>
      <c r="AT304" s="613"/>
      <c r="AU304" s="613"/>
      <c r="CH304" s="611"/>
      <c r="CI304" s="611"/>
      <c r="CO304" s="695"/>
      <c r="CP304" s="645"/>
      <c r="CQ304" s="618"/>
      <c r="CR304" s="618"/>
      <c r="CS304" s="618"/>
      <c r="CT304" s="626"/>
      <c r="CU304" s="626"/>
      <c r="CV304" s="626"/>
      <c r="CW304" s="646"/>
      <c r="CX304" s="646"/>
      <c r="CY304" s="625"/>
      <c r="CZ304" s="625"/>
      <c r="DA304" s="625"/>
      <c r="DB304" s="625"/>
      <c r="DC304" s="645"/>
      <c r="DD304" s="645"/>
      <c r="DE304" s="645"/>
      <c r="DF304" s="645"/>
      <c r="DG304" s="645"/>
      <c r="DH304" s="645"/>
      <c r="DI304" s="645"/>
      <c r="DJ304" s="645"/>
      <c r="DK304" s="645"/>
      <c r="DL304" s="645"/>
      <c r="DM304" s="645"/>
      <c r="DN304" s="645"/>
      <c r="DO304" s="645"/>
      <c r="DP304" s="645"/>
      <c r="DQ304" s="645"/>
      <c r="DR304" s="645"/>
      <c r="DS304" s="645"/>
      <c r="DT304" s="645"/>
      <c r="DU304" s="645"/>
      <c r="DV304" s="645"/>
      <c r="DW304" s="645"/>
      <c r="DX304" s="645"/>
      <c r="DY304" s="645"/>
      <c r="DZ304" s="645"/>
      <c r="EA304" s="645"/>
      <c r="EB304" s="645"/>
      <c r="EC304" s="645"/>
      <c r="ED304" s="645"/>
      <c r="EE304" s="645"/>
      <c r="EF304" s="645"/>
      <c r="EG304" s="645"/>
      <c r="EH304" s="645"/>
      <c r="EI304" s="645"/>
      <c r="EJ304" s="645"/>
      <c r="EK304" s="645"/>
      <c r="EL304" s="645"/>
      <c r="EM304" s="645"/>
      <c r="EN304" s="645"/>
      <c r="EO304" s="645"/>
      <c r="EP304" s="645"/>
      <c r="EQ304" s="645"/>
      <c r="ER304" s="645"/>
      <c r="ES304" s="645"/>
      <c r="ET304" s="645"/>
      <c r="EU304" s="645"/>
      <c r="EV304" s="645"/>
      <c r="EW304" s="645"/>
      <c r="EX304" s="645"/>
      <c r="EY304" s="645"/>
      <c r="EZ304" s="645"/>
      <c r="FA304" s="645"/>
      <c r="FB304" s="645"/>
      <c r="FC304" s="645"/>
      <c r="FD304" s="645"/>
      <c r="FE304" s="645"/>
      <c r="FF304" s="645"/>
      <c r="FG304" s="645"/>
      <c r="FH304" s="645"/>
      <c r="FI304" s="645"/>
      <c r="FJ304" s="645"/>
      <c r="FK304" s="645"/>
      <c r="FL304" s="645"/>
      <c r="FM304" s="645"/>
      <c r="FN304" s="645"/>
      <c r="FO304" s="645"/>
      <c r="FP304" s="645"/>
      <c r="FQ304" s="645"/>
      <c r="FR304" s="645"/>
      <c r="FS304" s="645"/>
      <c r="FT304" s="645"/>
      <c r="FU304" s="645"/>
      <c r="FV304" s="645"/>
      <c r="FW304" s="645"/>
      <c r="FX304" s="645"/>
      <c r="FY304" s="645"/>
      <c r="FZ304" s="645"/>
      <c r="GA304" s="645"/>
      <c r="GB304" s="645"/>
      <c r="GC304" s="645"/>
      <c r="GD304" s="645"/>
      <c r="GE304" s="645"/>
      <c r="GF304" s="645"/>
      <c r="GG304" s="645"/>
      <c r="GH304" s="645"/>
      <c r="GI304" s="645"/>
      <c r="GJ304" s="645"/>
      <c r="GK304" s="645"/>
      <c r="GL304" s="645"/>
      <c r="GM304" s="645"/>
      <c r="GN304" s="645"/>
      <c r="GO304" s="645"/>
      <c r="GP304" s="645"/>
      <c r="GQ304" s="645"/>
      <c r="GR304" s="645"/>
      <c r="GS304" s="645"/>
      <c r="GT304" s="645"/>
      <c r="GU304" s="645"/>
      <c r="GV304" s="645"/>
      <c r="GW304" s="645"/>
      <c r="GX304" s="645"/>
      <c r="GY304" s="645"/>
      <c r="GZ304" s="645"/>
      <c r="HA304" s="645"/>
      <c r="HB304" s="645"/>
      <c r="HC304" s="645"/>
      <c r="HD304" s="645"/>
      <c r="HE304" s="645"/>
      <c r="HF304" s="645"/>
      <c r="HG304" s="645"/>
      <c r="HH304" s="645"/>
      <c r="HI304" s="645"/>
      <c r="HJ304" s="645"/>
      <c r="HK304" s="645"/>
      <c r="HL304" s="645"/>
      <c r="HM304" s="645"/>
      <c r="HN304" s="645"/>
      <c r="HO304" s="645"/>
      <c r="HP304" s="645"/>
      <c r="HQ304" s="645"/>
      <c r="HR304" s="645">
        <v>0.15049999999999999</v>
      </c>
      <c r="HS304" s="645">
        <f t="shared" si="794"/>
        <v>1010.5</v>
      </c>
      <c r="HT304" s="645">
        <f t="shared" si="795"/>
        <v>1</v>
      </c>
      <c r="HU304" s="618">
        <f t="shared" si="796"/>
        <v>3.8339924598528521</v>
      </c>
      <c r="HV304" s="618"/>
      <c r="HW304" s="618">
        <f t="shared" si="781"/>
        <v>30.555730707008951</v>
      </c>
      <c r="HX304" s="618">
        <f t="shared" si="797"/>
        <v>3.5431225408592302</v>
      </c>
      <c r="HY304" s="618">
        <f t="shared" si="798"/>
        <v>0.15049999999999999</v>
      </c>
      <c r="HZ304" s="618"/>
      <c r="IA304" s="618"/>
      <c r="IB304" s="618">
        <f t="shared" si="782"/>
        <v>25.000350341399081</v>
      </c>
      <c r="IC304" s="618">
        <f t="shared" si="783"/>
        <v>1E-3</v>
      </c>
      <c r="ID304" s="618"/>
      <c r="IE304" s="618">
        <f t="shared" si="784"/>
        <v>0</v>
      </c>
      <c r="IF304" s="618">
        <f t="shared" si="785"/>
        <v>40.704999999999998</v>
      </c>
      <c r="IG304" s="618"/>
      <c r="IH304" s="618">
        <f t="shared" si="786"/>
        <v>0</v>
      </c>
      <c r="II304" s="618">
        <f t="shared" si="787"/>
        <v>40.704999999999998</v>
      </c>
      <c r="IJ304" s="618"/>
      <c r="IK304" s="618">
        <f t="shared" si="788"/>
        <v>0</v>
      </c>
      <c r="IL304" s="618">
        <f t="shared" si="789"/>
        <v>40.704999999999998</v>
      </c>
      <c r="IM304" s="618"/>
      <c r="IN304" s="618">
        <f t="shared" si="790"/>
        <v>0</v>
      </c>
      <c r="IO304" s="618">
        <f t="shared" si="791"/>
        <v>40.704999999999998</v>
      </c>
      <c r="IP304" s="618"/>
      <c r="IQ304" s="618">
        <f t="shared" si="792"/>
        <v>0</v>
      </c>
      <c r="IR304" s="618">
        <f t="shared" si="793"/>
        <v>40.704999999999998</v>
      </c>
      <c r="IS304" s="645"/>
      <c r="IT304" s="645"/>
      <c r="IU304" s="645"/>
      <c r="IV304" s="645"/>
      <c r="IW304" s="645"/>
      <c r="IX304" s="645"/>
      <c r="IY304" s="645"/>
      <c r="IZ304" s="645"/>
      <c r="JA304" s="645"/>
      <c r="JB304" s="645"/>
      <c r="JC304" s="645"/>
      <c r="JD304" s="645"/>
      <c r="JE304" s="645"/>
      <c r="JF304" s="645"/>
      <c r="JG304" s="645"/>
      <c r="JH304" s="645"/>
      <c r="JI304" s="645"/>
      <c r="JJ304" s="645"/>
      <c r="JK304" s="645"/>
      <c r="JL304" s="645"/>
      <c r="JM304" s="645"/>
      <c r="JN304" s="645"/>
      <c r="JO304" s="645"/>
      <c r="JP304" s="645"/>
      <c r="JQ304" s="645"/>
      <c r="JR304" s="645"/>
      <c r="JS304" s="645"/>
      <c r="JT304" s="645"/>
      <c r="JU304" s="645"/>
      <c r="JV304" s="653"/>
    </row>
    <row r="305" spans="1:282" s="612" customFormat="1">
      <c r="A305" s="611"/>
      <c r="U305" s="613"/>
      <c r="V305" s="613"/>
      <c r="AC305" s="613"/>
      <c r="AD305" s="613"/>
      <c r="AL305" s="613"/>
      <c r="AM305" s="613"/>
      <c r="AT305" s="613"/>
      <c r="AU305" s="613"/>
      <c r="CH305" s="611"/>
      <c r="CI305" s="611"/>
      <c r="CO305" s="695"/>
      <c r="CP305" s="645"/>
      <c r="CQ305" s="618"/>
      <c r="CR305" s="618"/>
      <c r="CS305" s="618"/>
      <c r="CT305" s="626"/>
      <c r="CU305" s="626"/>
      <c r="CV305" s="626"/>
      <c r="CW305" s="646"/>
      <c r="CX305" s="646"/>
      <c r="CY305" s="625"/>
      <c r="CZ305" s="625"/>
      <c r="DA305" s="625"/>
      <c r="DB305" s="625"/>
      <c r="DC305" s="645"/>
      <c r="DD305" s="645"/>
      <c r="DE305" s="645"/>
      <c r="DF305" s="645"/>
      <c r="DG305" s="645"/>
      <c r="DH305" s="645"/>
      <c r="DI305" s="645"/>
      <c r="DJ305" s="645"/>
      <c r="DK305" s="645"/>
      <c r="DL305" s="645"/>
      <c r="DM305" s="645"/>
      <c r="DN305" s="645"/>
      <c r="DO305" s="645"/>
      <c r="DP305" s="645"/>
      <c r="DQ305" s="645"/>
      <c r="DR305" s="645"/>
      <c r="DS305" s="645"/>
      <c r="DT305" s="645"/>
      <c r="DU305" s="645"/>
      <c r="DV305" s="645"/>
      <c r="DW305" s="645"/>
      <c r="DX305" s="645"/>
      <c r="DY305" s="645"/>
      <c r="DZ305" s="645"/>
      <c r="EA305" s="645"/>
      <c r="EB305" s="645"/>
      <c r="EC305" s="645"/>
      <c r="ED305" s="645"/>
      <c r="EE305" s="645"/>
      <c r="EF305" s="645"/>
      <c r="EG305" s="645"/>
      <c r="EH305" s="645"/>
      <c r="EI305" s="645"/>
      <c r="EJ305" s="645"/>
      <c r="EK305" s="645"/>
      <c r="EL305" s="645"/>
      <c r="EM305" s="645"/>
      <c r="EN305" s="645"/>
      <c r="EO305" s="645"/>
      <c r="EP305" s="645"/>
      <c r="EQ305" s="645"/>
      <c r="ER305" s="645"/>
      <c r="ES305" s="645"/>
      <c r="ET305" s="645"/>
      <c r="EU305" s="645"/>
      <c r="EV305" s="645"/>
      <c r="EW305" s="645"/>
      <c r="EX305" s="645"/>
      <c r="EY305" s="645"/>
      <c r="EZ305" s="645"/>
      <c r="FA305" s="645"/>
      <c r="FB305" s="645"/>
      <c r="FC305" s="645"/>
      <c r="FD305" s="645"/>
      <c r="FE305" s="645"/>
      <c r="FF305" s="645"/>
      <c r="FG305" s="645"/>
      <c r="FH305" s="645"/>
      <c r="FI305" s="645"/>
      <c r="FJ305" s="645"/>
      <c r="FK305" s="645"/>
      <c r="FL305" s="645"/>
      <c r="FM305" s="645"/>
      <c r="FN305" s="645"/>
      <c r="FO305" s="645"/>
      <c r="FP305" s="645"/>
      <c r="FQ305" s="645"/>
      <c r="FR305" s="645"/>
      <c r="FS305" s="645"/>
      <c r="FT305" s="645"/>
      <c r="FU305" s="645"/>
      <c r="FV305" s="645"/>
      <c r="FW305" s="645"/>
      <c r="FX305" s="645"/>
      <c r="FY305" s="645"/>
      <c r="FZ305" s="645"/>
      <c r="GA305" s="645"/>
      <c r="GB305" s="645"/>
      <c r="GC305" s="645"/>
      <c r="GD305" s="645"/>
      <c r="GE305" s="645"/>
      <c r="GF305" s="645"/>
      <c r="GG305" s="645"/>
      <c r="GH305" s="645"/>
      <c r="GI305" s="645"/>
      <c r="GJ305" s="645"/>
      <c r="GK305" s="645"/>
      <c r="GL305" s="645"/>
      <c r="GM305" s="645"/>
      <c r="GN305" s="645"/>
      <c r="GO305" s="645"/>
      <c r="GP305" s="645"/>
      <c r="GQ305" s="645"/>
      <c r="GR305" s="645"/>
      <c r="GS305" s="645"/>
      <c r="GT305" s="645"/>
      <c r="GU305" s="645"/>
      <c r="GV305" s="645"/>
      <c r="GW305" s="645"/>
      <c r="GX305" s="645"/>
      <c r="GY305" s="645"/>
      <c r="GZ305" s="645"/>
      <c r="HA305" s="645"/>
      <c r="HB305" s="645"/>
      <c r="HC305" s="645"/>
      <c r="HD305" s="645"/>
      <c r="HE305" s="645"/>
      <c r="HF305" s="645"/>
      <c r="HG305" s="645"/>
      <c r="HH305" s="645"/>
      <c r="HI305" s="645"/>
      <c r="HJ305" s="645"/>
      <c r="HK305" s="645"/>
      <c r="HL305" s="645"/>
      <c r="HM305" s="645"/>
      <c r="HN305" s="645"/>
      <c r="HO305" s="645"/>
      <c r="HP305" s="645"/>
      <c r="HQ305" s="645"/>
      <c r="HR305" s="645">
        <v>0.151</v>
      </c>
      <c r="HS305" s="645">
        <f t="shared" si="794"/>
        <v>1013.8571428571428</v>
      </c>
      <c r="HT305" s="645">
        <f t="shared" si="795"/>
        <v>1</v>
      </c>
      <c r="HU305" s="618">
        <f t="shared" si="796"/>
        <v>3.8467315038264771</v>
      </c>
      <c r="HV305" s="618"/>
      <c r="HW305" s="618">
        <f t="shared" si="781"/>
        <v>30.537641264566403</v>
      </c>
      <c r="HX305" s="618">
        <f t="shared" si="797"/>
        <v>3.5539286618292327</v>
      </c>
      <c r="HY305" s="618">
        <f t="shared" si="798"/>
        <v>0.151</v>
      </c>
      <c r="HZ305" s="618"/>
      <c r="IA305" s="618"/>
      <c r="IB305" s="618">
        <f t="shared" si="782"/>
        <v>25.000350341399081</v>
      </c>
      <c r="IC305" s="618">
        <f t="shared" si="783"/>
        <v>1E-3</v>
      </c>
      <c r="ID305" s="618"/>
      <c r="IE305" s="618">
        <f t="shared" si="784"/>
        <v>0</v>
      </c>
      <c r="IF305" s="618">
        <f t="shared" si="785"/>
        <v>40.704999999999998</v>
      </c>
      <c r="IG305" s="618"/>
      <c r="IH305" s="618">
        <f t="shared" si="786"/>
        <v>0</v>
      </c>
      <c r="II305" s="618">
        <f t="shared" si="787"/>
        <v>40.704999999999998</v>
      </c>
      <c r="IJ305" s="618"/>
      <c r="IK305" s="618">
        <f t="shared" si="788"/>
        <v>0</v>
      </c>
      <c r="IL305" s="618">
        <f t="shared" si="789"/>
        <v>40.704999999999998</v>
      </c>
      <c r="IM305" s="618"/>
      <c r="IN305" s="618">
        <f t="shared" si="790"/>
        <v>0</v>
      </c>
      <c r="IO305" s="618">
        <f t="shared" si="791"/>
        <v>40.704999999999998</v>
      </c>
      <c r="IP305" s="618"/>
      <c r="IQ305" s="618">
        <f t="shared" si="792"/>
        <v>0</v>
      </c>
      <c r="IR305" s="618">
        <f t="shared" si="793"/>
        <v>40.704999999999998</v>
      </c>
      <c r="IS305" s="645"/>
      <c r="IT305" s="645"/>
      <c r="IU305" s="645"/>
      <c r="IV305" s="645"/>
      <c r="IW305" s="645"/>
      <c r="IX305" s="645"/>
      <c r="IY305" s="645"/>
      <c r="IZ305" s="645"/>
      <c r="JA305" s="645"/>
      <c r="JB305" s="645"/>
      <c r="JC305" s="645"/>
      <c r="JD305" s="645"/>
      <c r="JE305" s="645"/>
      <c r="JF305" s="645"/>
      <c r="JG305" s="645"/>
      <c r="JH305" s="645"/>
      <c r="JI305" s="645"/>
      <c r="JJ305" s="645"/>
      <c r="JK305" s="645"/>
      <c r="JL305" s="645"/>
      <c r="JM305" s="645"/>
      <c r="JN305" s="645"/>
      <c r="JO305" s="645"/>
      <c r="JP305" s="645"/>
      <c r="JQ305" s="645"/>
      <c r="JR305" s="645"/>
      <c r="JS305" s="645"/>
      <c r="JT305" s="645"/>
      <c r="JU305" s="645"/>
      <c r="JV305" s="653"/>
    </row>
    <row r="306" spans="1:282" s="612" customFormat="1">
      <c r="A306" s="611"/>
      <c r="U306" s="613"/>
      <c r="V306" s="613"/>
      <c r="AC306" s="613"/>
      <c r="AD306" s="613"/>
      <c r="AL306" s="613"/>
      <c r="AM306" s="613"/>
      <c r="AT306" s="613"/>
      <c r="AU306" s="613"/>
      <c r="CH306" s="611"/>
      <c r="CI306" s="611"/>
      <c r="CO306" s="695"/>
      <c r="CP306" s="645"/>
      <c r="CQ306" s="618"/>
      <c r="CR306" s="618"/>
      <c r="CS306" s="618"/>
      <c r="CT306" s="626"/>
      <c r="CU306" s="626"/>
      <c r="CV306" s="626"/>
      <c r="CW306" s="646"/>
      <c r="CX306" s="646"/>
      <c r="CY306" s="625"/>
      <c r="CZ306" s="625"/>
      <c r="DA306" s="625"/>
      <c r="DB306" s="625"/>
      <c r="DC306" s="645"/>
      <c r="DD306" s="645"/>
      <c r="DE306" s="645"/>
      <c r="DF306" s="645"/>
      <c r="DG306" s="645"/>
      <c r="DH306" s="645"/>
      <c r="DI306" s="645"/>
      <c r="DJ306" s="645"/>
      <c r="DK306" s="645"/>
      <c r="DL306" s="645"/>
      <c r="DM306" s="645"/>
      <c r="DN306" s="645"/>
      <c r="DO306" s="645"/>
      <c r="DP306" s="645"/>
      <c r="DQ306" s="645"/>
      <c r="DR306" s="645"/>
      <c r="DS306" s="645"/>
      <c r="DT306" s="645"/>
      <c r="DU306" s="645"/>
      <c r="DV306" s="645"/>
      <c r="DW306" s="645"/>
      <c r="DX306" s="645"/>
      <c r="DY306" s="645"/>
      <c r="DZ306" s="645"/>
      <c r="EA306" s="645"/>
      <c r="EB306" s="645"/>
      <c r="EC306" s="645"/>
      <c r="ED306" s="645"/>
      <c r="EE306" s="645"/>
      <c r="EF306" s="645"/>
      <c r="EG306" s="645"/>
      <c r="EH306" s="645"/>
      <c r="EI306" s="645"/>
      <c r="EJ306" s="645"/>
      <c r="EK306" s="645"/>
      <c r="EL306" s="645"/>
      <c r="EM306" s="645"/>
      <c r="EN306" s="645"/>
      <c r="EO306" s="645"/>
      <c r="EP306" s="645"/>
      <c r="EQ306" s="645"/>
      <c r="ER306" s="645"/>
      <c r="ES306" s="645"/>
      <c r="ET306" s="645"/>
      <c r="EU306" s="645"/>
      <c r="EV306" s="645"/>
      <c r="EW306" s="645"/>
      <c r="EX306" s="645"/>
      <c r="EY306" s="645"/>
      <c r="EZ306" s="645"/>
      <c r="FA306" s="645"/>
      <c r="FB306" s="645"/>
      <c r="FC306" s="645"/>
      <c r="FD306" s="645"/>
      <c r="FE306" s="645"/>
      <c r="FF306" s="645"/>
      <c r="FG306" s="645"/>
      <c r="FH306" s="645"/>
      <c r="FI306" s="645"/>
      <c r="FJ306" s="645"/>
      <c r="FK306" s="645"/>
      <c r="FL306" s="645"/>
      <c r="FM306" s="645"/>
      <c r="FN306" s="645"/>
      <c r="FO306" s="645"/>
      <c r="FP306" s="645"/>
      <c r="FQ306" s="645"/>
      <c r="FR306" s="645"/>
      <c r="FS306" s="645"/>
      <c r="FT306" s="645"/>
      <c r="FU306" s="645"/>
      <c r="FV306" s="645"/>
      <c r="FW306" s="645"/>
      <c r="FX306" s="645"/>
      <c r="FY306" s="645"/>
      <c r="FZ306" s="645"/>
      <c r="GA306" s="645"/>
      <c r="GB306" s="645"/>
      <c r="GC306" s="645"/>
      <c r="GD306" s="645"/>
      <c r="GE306" s="645"/>
      <c r="GF306" s="645"/>
      <c r="GG306" s="645"/>
      <c r="GH306" s="645"/>
      <c r="GI306" s="645"/>
      <c r="GJ306" s="645"/>
      <c r="GK306" s="645"/>
      <c r="GL306" s="645"/>
      <c r="GM306" s="645"/>
      <c r="GN306" s="645"/>
      <c r="GO306" s="645"/>
      <c r="GP306" s="645"/>
      <c r="GQ306" s="645"/>
      <c r="GR306" s="645"/>
      <c r="GS306" s="645"/>
      <c r="GT306" s="645"/>
      <c r="GU306" s="645"/>
      <c r="GV306" s="645"/>
      <c r="GW306" s="645"/>
      <c r="GX306" s="645"/>
      <c r="GY306" s="645"/>
      <c r="GZ306" s="645"/>
      <c r="HA306" s="645"/>
      <c r="HB306" s="645"/>
      <c r="HC306" s="645"/>
      <c r="HD306" s="645"/>
      <c r="HE306" s="645"/>
      <c r="HF306" s="645"/>
      <c r="HG306" s="645"/>
      <c r="HH306" s="645"/>
      <c r="HI306" s="645"/>
      <c r="HJ306" s="645"/>
      <c r="HK306" s="645"/>
      <c r="HL306" s="645"/>
      <c r="HM306" s="645"/>
      <c r="HN306" s="645"/>
      <c r="HO306" s="645"/>
      <c r="HP306" s="645"/>
      <c r="HQ306" s="645"/>
      <c r="HR306" s="645">
        <v>0.1515</v>
      </c>
      <c r="HS306" s="645">
        <f t="shared" si="794"/>
        <v>1017.2142857142857</v>
      </c>
      <c r="HT306" s="645">
        <f t="shared" si="795"/>
        <v>1</v>
      </c>
      <c r="HU306" s="618">
        <f t="shared" si="796"/>
        <v>3.8594705478001021</v>
      </c>
      <c r="HV306" s="618"/>
      <c r="HW306" s="618">
        <f t="shared" si="781"/>
        <v>30.519551822123855</v>
      </c>
      <c r="HX306" s="618">
        <f t="shared" si="797"/>
        <v>3.5647283816269373</v>
      </c>
      <c r="HY306" s="618">
        <f t="shared" si="798"/>
        <v>0.1515</v>
      </c>
      <c r="HZ306" s="618"/>
      <c r="IA306" s="618"/>
      <c r="IB306" s="618">
        <f t="shared" si="782"/>
        <v>25.000350341399081</v>
      </c>
      <c r="IC306" s="618">
        <f t="shared" si="783"/>
        <v>1E-3</v>
      </c>
      <c r="ID306" s="618"/>
      <c r="IE306" s="618">
        <f t="shared" si="784"/>
        <v>0</v>
      </c>
      <c r="IF306" s="618">
        <f t="shared" si="785"/>
        <v>40.704999999999998</v>
      </c>
      <c r="IG306" s="618"/>
      <c r="IH306" s="618">
        <f t="shared" si="786"/>
        <v>0</v>
      </c>
      <c r="II306" s="618">
        <f t="shared" si="787"/>
        <v>40.704999999999998</v>
      </c>
      <c r="IJ306" s="618"/>
      <c r="IK306" s="618">
        <f t="shared" si="788"/>
        <v>0</v>
      </c>
      <c r="IL306" s="618">
        <f t="shared" si="789"/>
        <v>40.704999999999998</v>
      </c>
      <c r="IM306" s="618"/>
      <c r="IN306" s="618">
        <f t="shared" si="790"/>
        <v>0</v>
      </c>
      <c r="IO306" s="618">
        <f t="shared" si="791"/>
        <v>40.704999999999998</v>
      </c>
      <c r="IP306" s="618"/>
      <c r="IQ306" s="618">
        <f t="shared" si="792"/>
        <v>0</v>
      </c>
      <c r="IR306" s="618">
        <f t="shared" si="793"/>
        <v>40.704999999999998</v>
      </c>
      <c r="IS306" s="645"/>
      <c r="IT306" s="645"/>
      <c r="IU306" s="645"/>
      <c r="IV306" s="645"/>
      <c r="IW306" s="645"/>
      <c r="IX306" s="645"/>
      <c r="IY306" s="645"/>
      <c r="IZ306" s="645"/>
      <c r="JA306" s="645"/>
      <c r="JB306" s="645"/>
      <c r="JC306" s="645"/>
      <c r="JD306" s="645"/>
      <c r="JE306" s="645"/>
      <c r="JF306" s="645"/>
      <c r="JG306" s="645"/>
      <c r="JH306" s="645"/>
      <c r="JI306" s="645"/>
      <c r="JJ306" s="645"/>
      <c r="JK306" s="645"/>
      <c r="JL306" s="645"/>
      <c r="JM306" s="645"/>
      <c r="JN306" s="645"/>
      <c r="JO306" s="645"/>
      <c r="JP306" s="645"/>
      <c r="JQ306" s="645"/>
      <c r="JR306" s="645"/>
      <c r="JS306" s="645"/>
      <c r="JT306" s="645"/>
      <c r="JU306" s="645"/>
      <c r="JV306" s="653"/>
    </row>
    <row r="307" spans="1:282" s="612" customFormat="1">
      <c r="A307" s="611"/>
      <c r="U307" s="613"/>
      <c r="V307" s="613"/>
      <c r="AC307" s="613"/>
      <c r="AD307" s="613"/>
      <c r="AL307" s="613"/>
      <c r="AM307" s="613"/>
      <c r="AT307" s="613"/>
      <c r="AU307" s="613"/>
      <c r="CH307" s="611"/>
      <c r="CI307" s="611"/>
      <c r="CO307" s="695"/>
      <c r="CP307" s="645"/>
      <c r="CQ307" s="618"/>
      <c r="CR307" s="618"/>
      <c r="CS307" s="618"/>
      <c r="CT307" s="626"/>
      <c r="CU307" s="626"/>
      <c r="CV307" s="626"/>
      <c r="CW307" s="646"/>
      <c r="CX307" s="646"/>
      <c r="CY307" s="625"/>
      <c r="CZ307" s="625"/>
      <c r="DA307" s="625"/>
      <c r="DB307" s="625"/>
      <c r="DC307" s="645"/>
      <c r="DD307" s="645"/>
      <c r="DE307" s="645"/>
      <c r="DF307" s="645"/>
      <c r="DG307" s="645"/>
      <c r="DH307" s="645"/>
      <c r="DI307" s="645"/>
      <c r="DJ307" s="645"/>
      <c r="DK307" s="645"/>
      <c r="DL307" s="645"/>
      <c r="DM307" s="645"/>
      <c r="DN307" s="645"/>
      <c r="DO307" s="645"/>
      <c r="DP307" s="645"/>
      <c r="DQ307" s="645"/>
      <c r="DR307" s="645"/>
      <c r="DS307" s="645"/>
      <c r="DT307" s="645"/>
      <c r="DU307" s="645"/>
      <c r="DV307" s="645"/>
      <c r="DW307" s="645"/>
      <c r="DX307" s="645"/>
      <c r="DY307" s="645"/>
      <c r="DZ307" s="645"/>
      <c r="EA307" s="645"/>
      <c r="EB307" s="645"/>
      <c r="EC307" s="645"/>
      <c r="ED307" s="645"/>
      <c r="EE307" s="645"/>
      <c r="EF307" s="645"/>
      <c r="EG307" s="645"/>
      <c r="EH307" s="645"/>
      <c r="EI307" s="645"/>
      <c r="EJ307" s="645"/>
      <c r="EK307" s="645"/>
      <c r="EL307" s="645"/>
      <c r="EM307" s="645"/>
      <c r="EN307" s="645"/>
      <c r="EO307" s="645"/>
      <c r="EP307" s="645"/>
      <c r="EQ307" s="645"/>
      <c r="ER307" s="645"/>
      <c r="ES307" s="645"/>
      <c r="ET307" s="645"/>
      <c r="EU307" s="645"/>
      <c r="EV307" s="645"/>
      <c r="EW307" s="645"/>
      <c r="EX307" s="645"/>
      <c r="EY307" s="645"/>
      <c r="EZ307" s="645"/>
      <c r="FA307" s="645"/>
      <c r="FB307" s="645"/>
      <c r="FC307" s="645"/>
      <c r="FD307" s="645"/>
      <c r="FE307" s="645"/>
      <c r="FF307" s="645"/>
      <c r="FG307" s="645"/>
      <c r="FH307" s="645"/>
      <c r="FI307" s="645"/>
      <c r="FJ307" s="645"/>
      <c r="FK307" s="645"/>
      <c r="FL307" s="645"/>
      <c r="FM307" s="645"/>
      <c r="FN307" s="645"/>
      <c r="FO307" s="645"/>
      <c r="FP307" s="645"/>
      <c r="FQ307" s="645"/>
      <c r="FR307" s="645"/>
      <c r="FS307" s="645"/>
      <c r="FT307" s="645"/>
      <c r="FU307" s="645"/>
      <c r="FV307" s="645"/>
      <c r="FW307" s="645"/>
      <c r="FX307" s="645"/>
      <c r="FY307" s="645"/>
      <c r="FZ307" s="645"/>
      <c r="GA307" s="645"/>
      <c r="GB307" s="645"/>
      <c r="GC307" s="645"/>
      <c r="GD307" s="645"/>
      <c r="GE307" s="645"/>
      <c r="GF307" s="645"/>
      <c r="GG307" s="645"/>
      <c r="GH307" s="645"/>
      <c r="GI307" s="645"/>
      <c r="GJ307" s="645"/>
      <c r="GK307" s="645"/>
      <c r="GL307" s="645"/>
      <c r="GM307" s="645"/>
      <c r="GN307" s="645"/>
      <c r="GO307" s="645"/>
      <c r="GP307" s="645"/>
      <c r="GQ307" s="645"/>
      <c r="GR307" s="645"/>
      <c r="GS307" s="645"/>
      <c r="GT307" s="645"/>
      <c r="GU307" s="645"/>
      <c r="GV307" s="645"/>
      <c r="GW307" s="645"/>
      <c r="GX307" s="645"/>
      <c r="GY307" s="645"/>
      <c r="GZ307" s="645"/>
      <c r="HA307" s="645"/>
      <c r="HB307" s="645"/>
      <c r="HC307" s="645"/>
      <c r="HD307" s="645"/>
      <c r="HE307" s="645"/>
      <c r="HF307" s="645"/>
      <c r="HG307" s="645"/>
      <c r="HH307" s="645"/>
      <c r="HI307" s="645"/>
      <c r="HJ307" s="645"/>
      <c r="HK307" s="645"/>
      <c r="HL307" s="645"/>
      <c r="HM307" s="645"/>
      <c r="HN307" s="645"/>
      <c r="HO307" s="645"/>
      <c r="HP307" s="645"/>
      <c r="HQ307" s="645"/>
      <c r="HR307" s="645">
        <v>0.152</v>
      </c>
      <c r="HS307" s="645">
        <f t="shared" si="794"/>
        <v>1020.5714285714286</v>
      </c>
      <c r="HT307" s="645">
        <f t="shared" si="795"/>
        <v>1</v>
      </c>
      <c r="HU307" s="618">
        <f t="shared" si="796"/>
        <v>3.8722095917737271</v>
      </c>
      <c r="HV307" s="618"/>
      <c r="HW307" s="618">
        <f t="shared" si="781"/>
        <v>30.501462379681307</v>
      </c>
      <c r="HX307" s="618">
        <f t="shared" si="797"/>
        <v>3.5755217002523434</v>
      </c>
      <c r="HY307" s="618">
        <f t="shared" si="798"/>
        <v>0.152</v>
      </c>
      <c r="HZ307" s="618"/>
      <c r="IA307" s="618"/>
      <c r="IB307" s="618">
        <f t="shared" si="782"/>
        <v>25.000350341399081</v>
      </c>
      <c r="IC307" s="618">
        <f t="shared" si="783"/>
        <v>1E-3</v>
      </c>
      <c r="ID307" s="618"/>
      <c r="IE307" s="618">
        <f t="shared" si="784"/>
        <v>0</v>
      </c>
      <c r="IF307" s="618">
        <f t="shared" si="785"/>
        <v>40.704999999999998</v>
      </c>
      <c r="IG307" s="618"/>
      <c r="IH307" s="618">
        <f t="shared" si="786"/>
        <v>0</v>
      </c>
      <c r="II307" s="618">
        <f t="shared" si="787"/>
        <v>40.704999999999998</v>
      </c>
      <c r="IJ307" s="618"/>
      <c r="IK307" s="618">
        <f t="shared" si="788"/>
        <v>0</v>
      </c>
      <c r="IL307" s="618">
        <f t="shared" si="789"/>
        <v>40.704999999999998</v>
      </c>
      <c r="IM307" s="618"/>
      <c r="IN307" s="618">
        <f t="shared" si="790"/>
        <v>0</v>
      </c>
      <c r="IO307" s="618">
        <f t="shared" si="791"/>
        <v>40.704999999999998</v>
      </c>
      <c r="IP307" s="618"/>
      <c r="IQ307" s="618">
        <f t="shared" si="792"/>
        <v>0</v>
      </c>
      <c r="IR307" s="618">
        <f t="shared" si="793"/>
        <v>40.704999999999998</v>
      </c>
      <c r="IS307" s="645"/>
      <c r="IT307" s="645"/>
      <c r="IU307" s="645"/>
      <c r="IV307" s="645"/>
      <c r="IW307" s="645"/>
      <c r="IX307" s="645"/>
      <c r="IY307" s="645"/>
      <c r="IZ307" s="645"/>
      <c r="JA307" s="645"/>
      <c r="JB307" s="645"/>
      <c r="JC307" s="645"/>
      <c r="JD307" s="645"/>
      <c r="JE307" s="645"/>
      <c r="JF307" s="645"/>
      <c r="JG307" s="645"/>
      <c r="JH307" s="645"/>
      <c r="JI307" s="645"/>
      <c r="JJ307" s="645"/>
      <c r="JK307" s="645"/>
      <c r="JL307" s="645"/>
      <c r="JM307" s="645"/>
      <c r="JN307" s="645"/>
      <c r="JO307" s="645"/>
      <c r="JP307" s="645"/>
      <c r="JQ307" s="645"/>
      <c r="JR307" s="645"/>
      <c r="JS307" s="645"/>
      <c r="JT307" s="645"/>
      <c r="JU307" s="645"/>
      <c r="JV307" s="653"/>
    </row>
    <row r="308" spans="1:282" s="612" customFormat="1">
      <c r="A308" s="611"/>
      <c r="U308" s="613"/>
      <c r="V308" s="613"/>
      <c r="AC308" s="613"/>
      <c r="AD308" s="613"/>
      <c r="AL308" s="613"/>
      <c r="AM308" s="613"/>
      <c r="AT308" s="613"/>
      <c r="AU308" s="613"/>
      <c r="CH308" s="611"/>
      <c r="CI308" s="611"/>
      <c r="CO308" s="695"/>
      <c r="CP308" s="645"/>
      <c r="CQ308" s="618"/>
      <c r="CR308" s="618"/>
      <c r="CS308" s="618"/>
      <c r="CT308" s="626"/>
      <c r="CU308" s="626"/>
      <c r="CV308" s="626"/>
      <c r="CW308" s="646"/>
      <c r="CX308" s="646"/>
      <c r="CY308" s="625"/>
      <c r="CZ308" s="625"/>
      <c r="DA308" s="625"/>
      <c r="DB308" s="625"/>
      <c r="DC308" s="645"/>
      <c r="DD308" s="645"/>
      <c r="DE308" s="645"/>
      <c r="DF308" s="645"/>
      <c r="DG308" s="645"/>
      <c r="DH308" s="645"/>
      <c r="DI308" s="645"/>
      <c r="DJ308" s="645"/>
      <c r="DK308" s="645"/>
      <c r="DL308" s="645"/>
      <c r="DM308" s="645"/>
      <c r="DN308" s="645"/>
      <c r="DO308" s="645"/>
      <c r="DP308" s="645"/>
      <c r="DQ308" s="645"/>
      <c r="DR308" s="645"/>
      <c r="DS308" s="645"/>
      <c r="DT308" s="645"/>
      <c r="DU308" s="645"/>
      <c r="DV308" s="645"/>
      <c r="DW308" s="645"/>
      <c r="DX308" s="645"/>
      <c r="DY308" s="645"/>
      <c r="DZ308" s="645"/>
      <c r="EA308" s="645"/>
      <c r="EB308" s="645"/>
      <c r="EC308" s="645"/>
      <c r="ED308" s="645"/>
      <c r="EE308" s="645"/>
      <c r="EF308" s="645"/>
      <c r="EG308" s="645"/>
      <c r="EH308" s="645"/>
      <c r="EI308" s="645"/>
      <c r="EJ308" s="645"/>
      <c r="EK308" s="645"/>
      <c r="EL308" s="645"/>
      <c r="EM308" s="645"/>
      <c r="EN308" s="645"/>
      <c r="EO308" s="645"/>
      <c r="EP308" s="645"/>
      <c r="EQ308" s="645"/>
      <c r="ER308" s="645"/>
      <c r="ES308" s="645"/>
      <c r="ET308" s="645"/>
      <c r="EU308" s="645"/>
      <c r="EV308" s="645"/>
      <c r="EW308" s="645"/>
      <c r="EX308" s="645"/>
      <c r="EY308" s="645"/>
      <c r="EZ308" s="645"/>
      <c r="FA308" s="645"/>
      <c r="FB308" s="645"/>
      <c r="FC308" s="645"/>
      <c r="FD308" s="645"/>
      <c r="FE308" s="645"/>
      <c r="FF308" s="645"/>
      <c r="FG308" s="645"/>
      <c r="FH308" s="645"/>
      <c r="FI308" s="645"/>
      <c r="FJ308" s="645"/>
      <c r="FK308" s="645"/>
      <c r="FL308" s="645"/>
      <c r="FM308" s="645"/>
      <c r="FN308" s="645"/>
      <c r="FO308" s="645"/>
      <c r="FP308" s="645"/>
      <c r="FQ308" s="645"/>
      <c r="FR308" s="645"/>
      <c r="FS308" s="645"/>
      <c r="FT308" s="645"/>
      <c r="FU308" s="645"/>
      <c r="FV308" s="645"/>
      <c r="FW308" s="645"/>
      <c r="FX308" s="645"/>
      <c r="FY308" s="645"/>
      <c r="FZ308" s="645"/>
      <c r="GA308" s="645"/>
      <c r="GB308" s="645"/>
      <c r="GC308" s="645"/>
      <c r="GD308" s="645"/>
      <c r="GE308" s="645"/>
      <c r="GF308" s="645"/>
      <c r="GG308" s="645"/>
      <c r="GH308" s="645"/>
      <c r="GI308" s="645"/>
      <c r="GJ308" s="645"/>
      <c r="GK308" s="645"/>
      <c r="GL308" s="645"/>
      <c r="GM308" s="645"/>
      <c r="GN308" s="645"/>
      <c r="GO308" s="645"/>
      <c r="GP308" s="645"/>
      <c r="GQ308" s="645"/>
      <c r="GR308" s="645"/>
      <c r="GS308" s="645"/>
      <c r="GT308" s="645"/>
      <c r="GU308" s="645"/>
      <c r="GV308" s="645"/>
      <c r="GW308" s="645"/>
      <c r="GX308" s="645"/>
      <c r="GY308" s="645"/>
      <c r="GZ308" s="645"/>
      <c r="HA308" s="645"/>
      <c r="HB308" s="645"/>
      <c r="HC308" s="645"/>
      <c r="HD308" s="645"/>
      <c r="HE308" s="645"/>
      <c r="HF308" s="645"/>
      <c r="HG308" s="645"/>
      <c r="HH308" s="645"/>
      <c r="HI308" s="645"/>
      <c r="HJ308" s="645"/>
      <c r="HK308" s="645"/>
      <c r="HL308" s="645"/>
      <c r="HM308" s="645"/>
      <c r="HN308" s="645"/>
      <c r="HO308" s="645"/>
      <c r="HP308" s="645"/>
      <c r="HQ308" s="645"/>
      <c r="HR308" s="645">
        <v>0.1525</v>
      </c>
      <c r="HS308" s="645">
        <f t="shared" si="794"/>
        <v>1023.9285714285714</v>
      </c>
      <c r="HT308" s="645">
        <f t="shared" si="795"/>
        <v>1</v>
      </c>
      <c r="HU308" s="618">
        <f t="shared" si="796"/>
        <v>3.8849486357473522</v>
      </c>
      <c r="HV308" s="618"/>
      <c r="HW308" s="618">
        <f t="shared" si="781"/>
        <v>30.483372937238762</v>
      </c>
      <c r="HX308" s="618">
        <f t="shared" si="797"/>
        <v>3.5863086177054515</v>
      </c>
      <c r="HY308" s="618">
        <f t="shared" si="798"/>
        <v>0.1525</v>
      </c>
      <c r="HZ308" s="618"/>
      <c r="IA308" s="618"/>
      <c r="IB308" s="618">
        <f t="shared" si="782"/>
        <v>25.000350341399081</v>
      </c>
      <c r="IC308" s="618">
        <f t="shared" si="783"/>
        <v>1E-3</v>
      </c>
      <c r="ID308" s="618"/>
      <c r="IE308" s="618">
        <f t="shared" si="784"/>
        <v>0</v>
      </c>
      <c r="IF308" s="618">
        <f t="shared" si="785"/>
        <v>40.704999999999998</v>
      </c>
      <c r="IG308" s="618"/>
      <c r="IH308" s="618">
        <f t="shared" si="786"/>
        <v>0</v>
      </c>
      <c r="II308" s="618">
        <f t="shared" si="787"/>
        <v>40.704999999999998</v>
      </c>
      <c r="IJ308" s="618"/>
      <c r="IK308" s="618">
        <f t="shared" si="788"/>
        <v>0</v>
      </c>
      <c r="IL308" s="618">
        <f t="shared" si="789"/>
        <v>40.704999999999998</v>
      </c>
      <c r="IM308" s="618"/>
      <c r="IN308" s="618">
        <f t="shared" si="790"/>
        <v>0</v>
      </c>
      <c r="IO308" s="618">
        <f t="shared" si="791"/>
        <v>40.704999999999998</v>
      </c>
      <c r="IP308" s="618"/>
      <c r="IQ308" s="618">
        <f t="shared" si="792"/>
        <v>0</v>
      </c>
      <c r="IR308" s="618">
        <f t="shared" si="793"/>
        <v>40.704999999999998</v>
      </c>
      <c r="IS308" s="645"/>
      <c r="IT308" s="645"/>
      <c r="IU308" s="645"/>
      <c r="IV308" s="645"/>
      <c r="IW308" s="645"/>
      <c r="IX308" s="645"/>
      <c r="IY308" s="645"/>
      <c r="IZ308" s="645"/>
      <c r="JA308" s="645"/>
      <c r="JB308" s="645"/>
      <c r="JC308" s="645"/>
      <c r="JD308" s="645"/>
      <c r="JE308" s="645"/>
      <c r="JF308" s="645"/>
      <c r="JG308" s="645"/>
      <c r="JH308" s="645"/>
      <c r="JI308" s="645"/>
      <c r="JJ308" s="645"/>
      <c r="JK308" s="645"/>
      <c r="JL308" s="645"/>
      <c r="JM308" s="645"/>
      <c r="JN308" s="645"/>
      <c r="JO308" s="645"/>
      <c r="JP308" s="645"/>
      <c r="JQ308" s="645"/>
      <c r="JR308" s="645"/>
      <c r="JS308" s="645"/>
      <c r="JT308" s="645"/>
      <c r="JU308" s="645"/>
      <c r="JV308" s="653"/>
    </row>
    <row r="309" spans="1:282" s="612" customFormat="1">
      <c r="A309" s="611"/>
      <c r="U309" s="613"/>
      <c r="V309" s="613"/>
      <c r="AC309" s="613"/>
      <c r="AD309" s="613"/>
      <c r="AL309" s="613"/>
      <c r="AM309" s="613"/>
      <c r="AT309" s="613"/>
      <c r="AU309" s="613"/>
      <c r="CH309" s="611"/>
      <c r="CI309" s="611"/>
      <c r="CO309" s="695"/>
      <c r="CP309" s="645"/>
      <c r="CQ309" s="618"/>
      <c r="CR309" s="618"/>
      <c r="CS309" s="618"/>
      <c r="CT309" s="626"/>
      <c r="CU309" s="626"/>
      <c r="CV309" s="626"/>
      <c r="CW309" s="646"/>
      <c r="CX309" s="646"/>
      <c r="CY309" s="625"/>
      <c r="CZ309" s="625"/>
      <c r="DA309" s="625"/>
      <c r="DB309" s="625"/>
      <c r="DC309" s="645"/>
      <c r="DD309" s="645"/>
      <c r="DE309" s="645"/>
      <c r="DF309" s="645"/>
      <c r="DG309" s="645"/>
      <c r="DH309" s="645"/>
      <c r="DI309" s="645"/>
      <c r="DJ309" s="645"/>
      <c r="DK309" s="645"/>
      <c r="DL309" s="645"/>
      <c r="DM309" s="645"/>
      <c r="DN309" s="645"/>
      <c r="DO309" s="645"/>
      <c r="DP309" s="645"/>
      <c r="DQ309" s="645"/>
      <c r="DR309" s="645"/>
      <c r="DS309" s="645"/>
      <c r="DT309" s="645"/>
      <c r="DU309" s="645"/>
      <c r="DV309" s="645"/>
      <c r="DW309" s="645"/>
      <c r="DX309" s="645"/>
      <c r="DY309" s="645"/>
      <c r="DZ309" s="645"/>
      <c r="EA309" s="645"/>
      <c r="EB309" s="645"/>
      <c r="EC309" s="645"/>
      <c r="ED309" s="645"/>
      <c r="EE309" s="645"/>
      <c r="EF309" s="645"/>
      <c r="EG309" s="645"/>
      <c r="EH309" s="645"/>
      <c r="EI309" s="645"/>
      <c r="EJ309" s="645"/>
      <c r="EK309" s="645"/>
      <c r="EL309" s="645"/>
      <c r="EM309" s="645"/>
      <c r="EN309" s="645"/>
      <c r="EO309" s="645"/>
      <c r="EP309" s="645"/>
      <c r="EQ309" s="645"/>
      <c r="ER309" s="645"/>
      <c r="ES309" s="645"/>
      <c r="ET309" s="645"/>
      <c r="EU309" s="645"/>
      <c r="EV309" s="645"/>
      <c r="EW309" s="645"/>
      <c r="EX309" s="645"/>
      <c r="EY309" s="645"/>
      <c r="EZ309" s="645"/>
      <c r="FA309" s="645"/>
      <c r="FB309" s="645"/>
      <c r="FC309" s="645"/>
      <c r="FD309" s="645"/>
      <c r="FE309" s="645"/>
      <c r="FF309" s="645"/>
      <c r="FG309" s="645"/>
      <c r="FH309" s="645"/>
      <c r="FI309" s="645"/>
      <c r="FJ309" s="645"/>
      <c r="FK309" s="645"/>
      <c r="FL309" s="645"/>
      <c r="FM309" s="645"/>
      <c r="FN309" s="645"/>
      <c r="FO309" s="645"/>
      <c r="FP309" s="645"/>
      <c r="FQ309" s="645"/>
      <c r="FR309" s="645"/>
      <c r="FS309" s="645"/>
      <c r="FT309" s="645"/>
      <c r="FU309" s="645"/>
      <c r="FV309" s="645"/>
      <c r="FW309" s="645"/>
      <c r="FX309" s="645"/>
      <c r="FY309" s="645"/>
      <c r="FZ309" s="645"/>
      <c r="GA309" s="645"/>
      <c r="GB309" s="645"/>
      <c r="GC309" s="645"/>
      <c r="GD309" s="645"/>
      <c r="GE309" s="645"/>
      <c r="GF309" s="645"/>
      <c r="GG309" s="645"/>
      <c r="GH309" s="645"/>
      <c r="GI309" s="645"/>
      <c r="GJ309" s="645"/>
      <c r="GK309" s="645"/>
      <c r="GL309" s="645"/>
      <c r="GM309" s="645"/>
      <c r="GN309" s="645"/>
      <c r="GO309" s="645"/>
      <c r="GP309" s="645"/>
      <c r="GQ309" s="645"/>
      <c r="GR309" s="645"/>
      <c r="GS309" s="645"/>
      <c r="GT309" s="645"/>
      <c r="GU309" s="645"/>
      <c r="GV309" s="645"/>
      <c r="GW309" s="645"/>
      <c r="GX309" s="645"/>
      <c r="GY309" s="645"/>
      <c r="GZ309" s="645"/>
      <c r="HA309" s="645"/>
      <c r="HB309" s="645"/>
      <c r="HC309" s="645"/>
      <c r="HD309" s="645"/>
      <c r="HE309" s="645"/>
      <c r="HF309" s="645"/>
      <c r="HG309" s="645"/>
      <c r="HH309" s="645"/>
      <c r="HI309" s="645"/>
      <c r="HJ309" s="645"/>
      <c r="HK309" s="645"/>
      <c r="HL309" s="645"/>
      <c r="HM309" s="645"/>
      <c r="HN309" s="645"/>
      <c r="HO309" s="645"/>
      <c r="HP309" s="645"/>
      <c r="HQ309" s="645"/>
      <c r="HR309" s="645">
        <v>0.153</v>
      </c>
      <c r="HS309" s="645">
        <f t="shared" si="794"/>
        <v>1027.2857142857142</v>
      </c>
      <c r="HT309" s="645">
        <f t="shared" si="795"/>
        <v>1</v>
      </c>
      <c r="HU309" s="618">
        <f t="shared" si="796"/>
        <v>3.8976876797209772</v>
      </c>
      <c r="HV309" s="618"/>
      <c r="HW309" s="618">
        <f t="shared" si="781"/>
        <v>30.465283494796211</v>
      </c>
      <c r="HX309" s="618">
        <f t="shared" si="797"/>
        <v>3.5970891339862612</v>
      </c>
      <c r="HY309" s="618">
        <f t="shared" si="798"/>
        <v>0.153</v>
      </c>
      <c r="HZ309" s="618"/>
      <c r="IA309" s="618"/>
      <c r="IB309" s="618">
        <f t="shared" si="782"/>
        <v>25.000350341399081</v>
      </c>
      <c r="IC309" s="618">
        <f t="shared" si="783"/>
        <v>1E-3</v>
      </c>
      <c r="ID309" s="618"/>
      <c r="IE309" s="618">
        <f t="shared" si="784"/>
        <v>0</v>
      </c>
      <c r="IF309" s="618">
        <f t="shared" si="785"/>
        <v>40.704999999999998</v>
      </c>
      <c r="IG309" s="618"/>
      <c r="IH309" s="618">
        <f t="shared" si="786"/>
        <v>0</v>
      </c>
      <c r="II309" s="618">
        <f t="shared" si="787"/>
        <v>40.704999999999998</v>
      </c>
      <c r="IJ309" s="618"/>
      <c r="IK309" s="618">
        <f t="shared" si="788"/>
        <v>0</v>
      </c>
      <c r="IL309" s="618">
        <f t="shared" si="789"/>
        <v>40.704999999999998</v>
      </c>
      <c r="IM309" s="618"/>
      <c r="IN309" s="618">
        <f t="shared" si="790"/>
        <v>0</v>
      </c>
      <c r="IO309" s="618">
        <f t="shared" si="791"/>
        <v>40.704999999999998</v>
      </c>
      <c r="IP309" s="618"/>
      <c r="IQ309" s="618">
        <f t="shared" si="792"/>
        <v>0</v>
      </c>
      <c r="IR309" s="618">
        <f t="shared" si="793"/>
        <v>40.704999999999998</v>
      </c>
      <c r="IS309" s="645"/>
      <c r="IT309" s="645"/>
      <c r="IU309" s="645"/>
      <c r="IV309" s="645"/>
      <c r="IW309" s="645"/>
      <c r="IX309" s="645"/>
      <c r="IY309" s="645"/>
      <c r="IZ309" s="645"/>
      <c r="JA309" s="645"/>
      <c r="JB309" s="645"/>
      <c r="JC309" s="645"/>
      <c r="JD309" s="645"/>
      <c r="JE309" s="645"/>
      <c r="JF309" s="645"/>
      <c r="JG309" s="645"/>
      <c r="JH309" s="645"/>
      <c r="JI309" s="645"/>
      <c r="JJ309" s="645"/>
      <c r="JK309" s="645"/>
      <c r="JL309" s="645"/>
      <c r="JM309" s="645"/>
      <c r="JN309" s="645"/>
      <c r="JO309" s="645"/>
      <c r="JP309" s="645"/>
      <c r="JQ309" s="645"/>
      <c r="JR309" s="645"/>
      <c r="JS309" s="645"/>
      <c r="JT309" s="645"/>
      <c r="JU309" s="645"/>
      <c r="JV309" s="653"/>
    </row>
    <row r="310" spans="1:282" s="612" customFormat="1">
      <c r="A310" s="611"/>
      <c r="U310" s="613"/>
      <c r="V310" s="613"/>
      <c r="AC310" s="613"/>
      <c r="AD310" s="613"/>
      <c r="AL310" s="613"/>
      <c r="AM310" s="613"/>
      <c r="AT310" s="613"/>
      <c r="AU310" s="613"/>
      <c r="CH310" s="611"/>
      <c r="CI310" s="611"/>
      <c r="CO310" s="695"/>
      <c r="CP310" s="645"/>
      <c r="CQ310" s="618"/>
      <c r="CR310" s="618"/>
      <c r="CS310" s="618"/>
      <c r="CT310" s="626"/>
      <c r="CU310" s="626"/>
      <c r="CV310" s="626"/>
      <c r="CW310" s="646"/>
      <c r="CX310" s="646"/>
      <c r="CY310" s="625"/>
      <c r="CZ310" s="625"/>
      <c r="DA310" s="625"/>
      <c r="DB310" s="625"/>
      <c r="DC310" s="645"/>
      <c r="DD310" s="645"/>
      <c r="DE310" s="645"/>
      <c r="DF310" s="645"/>
      <c r="DG310" s="645"/>
      <c r="DH310" s="645"/>
      <c r="DI310" s="645"/>
      <c r="DJ310" s="645"/>
      <c r="DK310" s="645"/>
      <c r="DL310" s="645"/>
      <c r="DM310" s="645"/>
      <c r="DN310" s="645"/>
      <c r="DO310" s="645"/>
      <c r="DP310" s="645"/>
      <c r="DQ310" s="645"/>
      <c r="DR310" s="645"/>
      <c r="DS310" s="645"/>
      <c r="DT310" s="645"/>
      <c r="DU310" s="645"/>
      <c r="DV310" s="645"/>
      <c r="DW310" s="645"/>
      <c r="DX310" s="645"/>
      <c r="DY310" s="645"/>
      <c r="DZ310" s="645"/>
      <c r="EA310" s="645"/>
      <c r="EB310" s="645"/>
      <c r="EC310" s="645"/>
      <c r="ED310" s="645"/>
      <c r="EE310" s="645"/>
      <c r="EF310" s="645"/>
      <c r="EG310" s="645"/>
      <c r="EH310" s="645"/>
      <c r="EI310" s="645"/>
      <c r="EJ310" s="645"/>
      <c r="EK310" s="645"/>
      <c r="EL310" s="645"/>
      <c r="EM310" s="645"/>
      <c r="EN310" s="645"/>
      <c r="EO310" s="645"/>
      <c r="EP310" s="645"/>
      <c r="EQ310" s="645"/>
      <c r="ER310" s="645"/>
      <c r="ES310" s="645"/>
      <c r="ET310" s="645"/>
      <c r="EU310" s="645"/>
      <c r="EV310" s="645"/>
      <c r="EW310" s="645"/>
      <c r="EX310" s="645"/>
      <c r="EY310" s="645"/>
      <c r="EZ310" s="645"/>
      <c r="FA310" s="645"/>
      <c r="FB310" s="645"/>
      <c r="FC310" s="645"/>
      <c r="FD310" s="645"/>
      <c r="FE310" s="645"/>
      <c r="FF310" s="645"/>
      <c r="FG310" s="645"/>
      <c r="FH310" s="645"/>
      <c r="FI310" s="645"/>
      <c r="FJ310" s="645"/>
      <c r="FK310" s="645"/>
      <c r="FL310" s="645"/>
      <c r="FM310" s="645"/>
      <c r="FN310" s="645"/>
      <c r="FO310" s="645"/>
      <c r="FP310" s="645"/>
      <c r="FQ310" s="645"/>
      <c r="FR310" s="645"/>
      <c r="FS310" s="645"/>
      <c r="FT310" s="645"/>
      <c r="FU310" s="645"/>
      <c r="FV310" s="645"/>
      <c r="FW310" s="645"/>
      <c r="FX310" s="645"/>
      <c r="FY310" s="645"/>
      <c r="FZ310" s="645"/>
      <c r="GA310" s="645"/>
      <c r="GB310" s="645"/>
      <c r="GC310" s="645"/>
      <c r="GD310" s="645"/>
      <c r="GE310" s="645"/>
      <c r="GF310" s="645"/>
      <c r="GG310" s="645"/>
      <c r="GH310" s="645"/>
      <c r="GI310" s="645"/>
      <c r="GJ310" s="645"/>
      <c r="GK310" s="645"/>
      <c r="GL310" s="645"/>
      <c r="GM310" s="645"/>
      <c r="GN310" s="645"/>
      <c r="GO310" s="645"/>
      <c r="GP310" s="645"/>
      <c r="GQ310" s="645"/>
      <c r="GR310" s="645"/>
      <c r="GS310" s="645"/>
      <c r="GT310" s="645"/>
      <c r="GU310" s="645"/>
      <c r="GV310" s="645"/>
      <c r="GW310" s="645"/>
      <c r="GX310" s="645"/>
      <c r="GY310" s="645"/>
      <c r="GZ310" s="645"/>
      <c r="HA310" s="645"/>
      <c r="HB310" s="645"/>
      <c r="HC310" s="645"/>
      <c r="HD310" s="645"/>
      <c r="HE310" s="645"/>
      <c r="HF310" s="645"/>
      <c r="HG310" s="645"/>
      <c r="HH310" s="645"/>
      <c r="HI310" s="645"/>
      <c r="HJ310" s="645"/>
      <c r="HK310" s="645"/>
      <c r="HL310" s="645"/>
      <c r="HM310" s="645"/>
      <c r="HN310" s="645"/>
      <c r="HO310" s="645"/>
      <c r="HP310" s="645"/>
      <c r="HQ310" s="645"/>
      <c r="HR310" s="645">
        <v>0.1535</v>
      </c>
      <c r="HS310" s="645">
        <f t="shared" si="794"/>
        <v>1030.6428571428571</v>
      </c>
      <c r="HT310" s="645">
        <f t="shared" si="795"/>
        <v>1</v>
      </c>
      <c r="HU310" s="618">
        <f t="shared" si="796"/>
        <v>3.9104267236946022</v>
      </c>
      <c r="HV310" s="618"/>
      <c r="HW310" s="618">
        <f t="shared" si="781"/>
        <v>30.447194052353666</v>
      </c>
      <c r="HX310" s="618">
        <f t="shared" si="797"/>
        <v>3.6078632490947729</v>
      </c>
      <c r="HY310" s="618">
        <f t="shared" si="798"/>
        <v>0.1535</v>
      </c>
      <c r="HZ310" s="618"/>
      <c r="IA310" s="618"/>
      <c r="IB310" s="618">
        <f t="shared" si="782"/>
        <v>25.000350341399081</v>
      </c>
      <c r="IC310" s="618">
        <f t="shared" si="783"/>
        <v>1E-3</v>
      </c>
      <c r="ID310" s="618"/>
      <c r="IE310" s="618">
        <f t="shared" si="784"/>
        <v>0</v>
      </c>
      <c r="IF310" s="618">
        <f t="shared" si="785"/>
        <v>40.704999999999998</v>
      </c>
      <c r="IG310" s="618"/>
      <c r="IH310" s="618">
        <f t="shared" si="786"/>
        <v>0</v>
      </c>
      <c r="II310" s="618">
        <f t="shared" si="787"/>
        <v>40.704999999999998</v>
      </c>
      <c r="IJ310" s="618"/>
      <c r="IK310" s="618">
        <f t="shared" si="788"/>
        <v>0</v>
      </c>
      <c r="IL310" s="618">
        <f t="shared" si="789"/>
        <v>40.704999999999998</v>
      </c>
      <c r="IM310" s="618"/>
      <c r="IN310" s="618">
        <f t="shared" si="790"/>
        <v>0</v>
      </c>
      <c r="IO310" s="618">
        <f t="shared" si="791"/>
        <v>40.704999999999998</v>
      </c>
      <c r="IP310" s="618"/>
      <c r="IQ310" s="618">
        <f t="shared" si="792"/>
        <v>0</v>
      </c>
      <c r="IR310" s="618">
        <f t="shared" si="793"/>
        <v>40.704999999999998</v>
      </c>
      <c r="IS310" s="645"/>
      <c r="IT310" s="645"/>
      <c r="IU310" s="645"/>
      <c r="IV310" s="645"/>
      <c r="IW310" s="645"/>
      <c r="IX310" s="645"/>
      <c r="IY310" s="645"/>
      <c r="IZ310" s="645"/>
      <c r="JA310" s="645"/>
      <c r="JB310" s="645"/>
      <c r="JC310" s="645"/>
      <c r="JD310" s="645"/>
      <c r="JE310" s="645"/>
      <c r="JF310" s="645"/>
      <c r="JG310" s="645"/>
      <c r="JH310" s="645"/>
      <c r="JI310" s="645"/>
      <c r="JJ310" s="645"/>
      <c r="JK310" s="645"/>
      <c r="JL310" s="645"/>
      <c r="JM310" s="645"/>
      <c r="JN310" s="645"/>
      <c r="JO310" s="645"/>
      <c r="JP310" s="645"/>
      <c r="JQ310" s="645"/>
      <c r="JR310" s="645"/>
      <c r="JS310" s="645"/>
      <c r="JT310" s="645"/>
      <c r="JU310" s="645"/>
      <c r="JV310" s="653"/>
    </row>
    <row r="311" spans="1:282" s="612" customFormat="1">
      <c r="A311" s="611"/>
      <c r="U311" s="613"/>
      <c r="V311" s="613"/>
      <c r="AC311" s="613"/>
      <c r="AD311" s="613"/>
      <c r="AL311" s="613"/>
      <c r="AM311" s="613"/>
      <c r="AT311" s="613"/>
      <c r="AU311" s="613"/>
      <c r="CH311" s="611"/>
      <c r="CI311" s="611"/>
      <c r="CO311" s="695"/>
      <c r="CP311" s="645"/>
      <c r="CQ311" s="618"/>
      <c r="CR311" s="618"/>
      <c r="CS311" s="618"/>
      <c r="CT311" s="626"/>
      <c r="CU311" s="626"/>
      <c r="CV311" s="626"/>
      <c r="CW311" s="646"/>
      <c r="CX311" s="646"/>
      <c r="CY311" s="625"/>
      <c r="CZ311" s="625"/>
      <c r="DA311" s="625"/>
      <c r="DB311" s="625"/>
      <c r="DC311" s="645"/>
      <c r="DD311" s="645"/>
      <c r="DE311" s="645"/>
      <c r="DF311" s="645"/>
      <c r="DG311" s="645"/>
      <c r="DH311" s="645"/>
      <c r="DI311" s="645"/>
      <c r="DJ311" s="645"/>
      <c r="DK311" s="645"/>
      <c r="DL311" s="645"/>
      <c r="DM311" s="645"/>
      <c r="DN311" s="645"/>
      <c r="DO311" s="645"/>
      <c r="DP311" s="645"/>
      <c r="DQ311" s="645"/>
      <c r="DR311" s="645"/>
      <c r="DS311" s="645"/>
      <c r="DT311" s="645"/>
      <c r="DU311" s="645"/>
      <c r="DV311" s="645"/>
      <c r="DW311" s="645"/>
      <c r="DX311" s="645"/>
      <c r="DY311" s="645"/>
      <c r="DZ311" s="645"/>
      <c r="EA311" s="645"/>
      <c r="EB311" s="645"/>
      <c r="EC311" s="645"/>
      <c r="ED311" s="645"/>
      <c r="EE311" s="645"/>
      <c r="EF311" s="645"/>
      <c r="EG311" s="645"/>
      <c r="EH311" s="645"/>
      <c r="EI311" s="645"/>
      <c r="EJ311" s="645"/>
      <c r="EK311" s="645"/>
      <c r="EL311" s="645"/>
      <c r="EM311" s="645"/>
      <c r="EN311" s="645"/>
      <c r="EO311" s="645"/>
      <c r="EP311" s="645"/>
      <c r="EQ311" s="645"/>
      <c r="ER311" s="645"/>
      <c r="ES311" s="645"/>
      <c r="ET311" s="645"/>
      <c r="EU311" s="645"/>
      <c r="EV311" s="645"/>
      <c r="EW311" s="645"/>
      <c r="EX311" s="645"/>
      <c r="EY311" s="645"/>
      <c r="EZ311" s="645"/>
      <c r="FA311" s="645"/>
      <c r="FB311" s="645"/>
      <c r="FC311" s="645"/>
      <c r="FD311" s="645"/>
      <c r="FE311" s="645"/>
      <c r="FF311" s="645"/>
      <c r="FG311" s="645"/>
      <c r="FH311" s="645"/>
      <c r="FI311" s="645"/>
      <c r="FJ311" s="645"/>
      <c r="FK311" s="645"/>
      <c r="FL311" s="645"/>
      <c r="FM311" s="645"/>
      <c r="FN311" s="645"/>
      <c r="FO311" s="645"/>
      <c r="FP311" s="645"/>
      <c r="FQ311" s="645"/>
      <c r="FR311" s="645"/>
      <c r="FS311" s="645"/>
      <c r="FT311" s="645"/>
      <c r="FU311" s="645"/>
      <c r="FV311" s="645"/>
      <c r="FW311" s="645"/>
      <c r="FX311" s="645"/>
      <c r="FY311" s="645"/>
      <c r="FZ311" s="645"/>
      <c r="GA311" s="645"/>
      <c r="GB311" s="645"/>
      <c r="GC311" s="645"/>
      <c r="GD311" s="645"/>
      <c r="GE311" s="645"/>
      <c r="GF311" s="645"/>
      <c r="GG311" s="645"/>
      <c r="GH311" s="645"/>
      <c r="GI311" s="645"/>
      <c r="GJ311" s="645"/>
      <c r="GK311" s="645"/>
      <c r="GL311" s="645"/>
      <c r="GM311" s="645"/>
      <c r="GN311" s="645"/>
      <c r="GO311" s="645"/>
      <c r="GP311" s="645"/>
      <c r="GQ311" s="645"/>
      <c r="GR311" s="645"/>
      <c r="GS311" s="645"/>
      <c r="GT311" s="645"/>
      <c r="GU311" s="645"/>
      <c r="GV311" s="645"/>
      <c r="GW311" s="645"/>
      <c r="GX311" s="645"/>
      <c r="GY311" s="645"/>
      <c r="GZ311" s="645"/>
      <c r="HA311" s="645"/>
      <c r="HB311" s="645"/>
      <c r="HC311" s="645"/>
      <c r="HD311" s="645"/>
      <c r="HE311" s="645"/>
      <c r="HF311" s="645"/>
      <c r="HG311" s="645"/>
      <c r="HH311" s="645"/>
      <c r="HI311" s="645"/>
      <c r="HJ311" s="645"/>
      <c r="HK311" s="645"/>
      <c r="HL311" s="645"/>
      <c r="HM311" s="645"/>
      <c r="HN311" s="645"/>
      <c r="HO311" s="645"/>
      <c r="HP311" s="645"/>
      <c r="HQ311" s="645"/>
      <c r="HR311" s="645">
        <v>0.154</v>
      </c>
      <c r="HS311" s="645">
        <f t="shared" si="794"/>
        <v>1034</v>
      </c>
      <c r="HT311" s="645">
        <f t="shared" si="795"/>
        <v>1</v>
      </c>
      <c r="HU311" s="618">
        <f t="shared" si="796"/>
        <v>3.9231657676682272</v>
      </c>
      <c r="HV311" s="618"/>
      <c r="HW311" s="618">
        <f t="shared" si="781"/>
        <v>30.429104609911118</v>
      </c>
      <c r="HX311" s="618">
        <f t="shared" si="797"/>
        <v>3.6186309630309865</v>
      </c>
      <c r="HY311" s="618">
        <f t="shared" si="798"/>
        <v>0.154</v>
      </c>
      <c r="HZ311" s="618"/>
      <c r="IA311" s="618"/>
      <c r="IB311" s="618">
        <f t="shared" si="782"/>
        <v>25.000350341399081</v>
      </c>
      <c r="IC311" s="618">
        <f t="shared" si="783"/>
        <v>1E-3</v>
      </c>
      <c r="ID311" s="618"/>
      <c r="IE311" s="618">
        <f t="shared" si="784"/>
        <v>0</v>
      </c>
      <c r="IF311" s="618">
        <f t="shared" si="785"/>
        <v>40.704999999999998</v>
      </c>
      <c r="IG311" s="618"/>
      <c r="IH311" s="618">
        <f t="shared" si="786"/>
        <v>0</v>
      </c>
      <c r="II311" s="618">
        <f t="shared" si="787"/>
        <v>40.704999999999998</v>
      </c>
      <c r="IJ311" s="618"/>
      <c r="IK311" s="618">
        <f t="shared" si="788"/>
        <v>0</v>
      </c>
      <c r="IL311" s="618">
        <f t="shared" si="789"/>
        <v>40.704999999999998</v>
      </c>
      <c r="IM311" s="618"/>
      <c r="IN311" s="618">
        <f t="shared" si="790"/>
        <v>0</v>
      </c>
      <c r="IO311" s="618">
        <f t="shared" si="791"/>
        <v>40.704999999999998</v>
      </c>
      <c r="IP311" s="618"/>
      <c r="IQ311" s="618">
        <f t="shared" si="792"/>
        <v>0</v>
      </c>
      <c r="IR311" s="618">
        <f t="shared" si="793"/>
        <v>40.704999999999998</v>
      </c>
      <c r="IS311" s="645"/>
      <c r="IT311" s="645"/>
      <c r="IU311" s="645"/>
      <c r="IV311" s="645"/>
      <c r="IW311" s="645"/>
      <c r="IX311" s="645"/>
      <c r="IY311" s="645"/>
      <c r="IZ311" s="645"/>
      <c r="JA311" s="645"/>
      <c r="JB311" s="645"/>
      <c r="JC311" s="645"/>
      <c r="JD311" s="645"/>
      <c r="JE311" s="645"/>
      <c r="JF311" s="645"/>
      <c r="JG311" s="645"/>
      <c r="JH311" s="645"/>
      <c r="JI311" s="645"/>
      <c r="JJ311" s="645"/>
      <c r="JK311" s="645"/>
      <c r="JL311" s="645"/>
      <c r="JM311" s="645"/>
      <c r="JN311" s="645"/>
      <c r="JO311" s="645"/>
      <c r="JP311" s="645"/>
      <c r="JQ311" s="645"/>
      <c r="JR311" s="645"/>
      <c r="JS311" s="645"/>
      <c r="JT311" s="645"/>
      <c r="JU311" s="645"/>
      <c r="JV311" s="653"/>
    </row>
    <row r="312" spans="1:282" s="612" customFormat="1">
      <c r="A312" s="611"/>
      <c r="U312" s="613"/>
      <c r="V312" s="613"/>
      <c r="AC312" s="613"/>
      <c r="AD312" s="613"/>
      <c r="AL312" s="613"/>
      <c r="AM312" s="613"/>
      <c r="AT312" s="613"/>
      <c r="AU312" s="613"/>
      <c r="CH312" s="611"/>
      <c r="CI312" s="611"/>
      <c r="CO312" s="695"/>
      <c r="CP312" s="645"/>
      <c r="CQ312" s="618"/>
      <c r="CR312" s="618"/>
      <c r="CS312" s="618"/>
      <c r="CT312" s="626"/>
      <c r="CU312" s="626"/>
      <c r="CV312" s="626"/>
      <c r="CW312" s="646"/>
      <c r="CX312" s="646"/>
      <c r="CY312" s="625"/>
      <c r="CZ312" s="625"/>
      <c r="DA312" s="625"/>
      <c r="DB312" s="625"/>
      <c r="DC312" s="645"/>
      <c r="DD312" s="645"/>
      <c r="DE312" s="645"/>
      <c r="DF312" s="645"/>
      <c r="DG312" s="645"/>
      <c r="DH312" s="645"/>
      <c r="DI312" s="645"/>
      <c r="DJ312" s="645"/>
      <c r="DK312" s="645"/>
      <c r="DL312" s="645"/>
      <c r="DM312" s="645"/>
      <c r="DN312" s="645"/>
      <c r="DO312" s="645"/>
      <c r="DP312" s="645"/>
      <c r="DQ312" s="645"/>
      <c r="DR312" s="645"/>
      <c r="DS312" s="645"/>
      <c r="DT312" s="645"/>
      <c r="DU312" s="645"/>
      <c r="DV312" s="645"/>
      <c r="DW312" s="645"/>
      <c r="DX312" s="645"/>
      <c r="DY312" s="645"/>
      <c r="DZ312" s="645"/>
      <c r="EA312" s="645"/>
      <c r="EB312" s="645"/>
      <c r="EC312" s="645"/>
      <c r="ED312" s="645"/>
      <c r="EE312" s="645"/>
      <c r="EF312" s="645"/>
      <c r="EG312" s="645"/>
      <c r="EH312" s="645"/>
      <c r="EI312" s="645"/>
      <c r="EJ312" s="645"/>
      <c r="EK312" s="645"/>
      <c r="EL312" s="645"/>
      <c r="EM312" s="645"/>
      <c r="EN312" s="645"/>
      <c r="EO312" s="645"/>
      <c r="EP312" s="645"/>
      <c r="EQ312" s="645"/>
      <c r="ER312" s="645"/>
      <c r="ES312" s="645"/>
      <c r="ET312" s="645"/>
      <c r="EU312" s="645"/>
      <c r="EV312" s="645"/>
      <c r="EW312" s="645"/>
      <c r="EX312" s="645"/>
      <c r="EY312" s="645"/>
      <c r="EZ312" s="645"/>
      <c r="FA312" s="645"/>
      <c r="FB312" s="645"/>
      <c r="FC312" s="645"/>
      <c r="FD312" s="645"/>
      <c r="FE312" s="645"/>
      <c r="FF312" s="645"/>
      <c r="FG312" s="645"/>
      <c r="FH312" s="645"/>
      <c r="FI312" s="645"/>
      <c r="FJ312" s="645"/>
      <c r="FK312" s="645"/>
      <c r="FL312" s="645"/>
      <c r="FM312" s="645"/>
      <c r="FN312" s="645"/>
      <c r="FO312" s="645"/>
      <c r="FP312" s="645"/>
      <c r="FQ312" s="645"/>
      <c r="FR312" s="645"/>
      <c r="FS312" s="645"/>
      <c r="FT312" s="645"/>
      <c r="FU312" s="645"/>
      <c r="FV312" s="645"/>
      <c r="FW312" s="645"/>
      <c r="FX312" s="645"/>
      <c r="FY312" s="645"/>
      <c r="FZ312" s="645"/>
      <c r="GA312" s="645"/>
      <c r="GB312" s="645"/>
      <c r="GC312" s="645"/>
      <c r="GD312" s="645"/>
      <c r="GE312" s="645"/>
      <c r="GF312" s="645"/>
      <c r="GG312" s="645"/>
      <c r="GH312" s="645"/>
      <c r="GI312" s="645"/>
      <c r="GJ312" s="645"/>
      <c r="GK312" s="645"/>
      <c r="GL312" s="645"/>
      <c r="GM312" s="645"/>
      <c r="GN312" s="645"/>
      <c r="GO312" s="645"/>
      <c r="GP312" s="645"/>
      <c r="GQ312" s="645"/>
      <c r="GR312" s="645"/>
      <c r="GS312" s="645"/>
      <c r="GT312" s="645"/>
      <c r="GU312" s="645"/>
      <c r="GV312" s="645"/>
      <c r="GW312" s="645"/>
      <c r="GX312" s="645"/>
      <c r="GY312" s="645"/>
      <c r="GZ312" s="645"/>
      <c r="HA312" s="645"/>
      <c r="HB312" s="645"/>
      <c r="HC312" s="645"/>
      <c r="HD312" s="645"/>
      <c r="HE312" s="645"/>
      <c r="HF312" s="645"/>
      <c r="HG312" s="645"/>
      <c r="HH312" s="645"/>
      <c r="HI312" s="645"/>
      <c r="HJ312" s="645"/>
      <c r="HK312" s="645"/>
      <c r="HL312" s="645"/>
      <c r="HM312" s="645"/>
      <c r="HN312" s="645"/>
      <c r="HO312" s="645"/>
      <c r="HP312" s="645"/>
      <c r="HQ312" s="645"/>
      <c r="HR312" s="645">
        <v>0.1545</v>
      </c>
      <c r="HS312" s="645">
        <f t="shared" si="794"/>
        <v>1037.3571428571429</v>
      </c>
      <c r="HT312" s="645">
        <f t="shared" si="795"/>
        <v>1</v>
      </c>
      <c r="HU312" s="618">
        <f t="shared" si="796"/>
        <v>3.9359048116418522</v>
      </c>
      <c r="HV312" s="618"/>
      <c r="HW312" s="618">
        <f t="shared" si="781"/>
        <v>30.41101516746857</v>
      </c>
      <c r="HX312" s="618">
        <f t="shared" si="797"/>
        <v>3.6293922757949018</v>
      </c>
      <c r="HY312" s="618">
        <f t="shared" si="798"/>
        <v>0.1545</v>
      </c>
      <c r="HZ312" s="618"/>
      <c r="IA312" s="618"/>
      <c r="IB312" s="618">
        <f t="shared" si="782"/>
        <v>25.000350341399081</v>
      </c>
      <c r="IC312" s="618">
        <f t="shared" si="783"/>
        <v>1E-3</v>
      </c>
      <c r="ID312" s="618"/>
      <c r="IE312" s="618">
        <f t="shared" si="784"/>
        <v>0</v>
      </c>
      <c r="IF312" s="618">
        <f t="shared" si="785"/>
        <v>40.704999999999998</v>
      </c>
      <c r="IG312" s="618"/>
      <c r="IH312" s="618">
        <f t="shared" si="786"/>
        <v>0</v>
      </c>
      <c r="II312" s="618">
        <f t="shared" si="787"/>
        <v>40.704999999999998</v>
      </c>
      <c r="IJ312" s="618"/>
      <c r="IK312" s="618">
        <f t="shared" si="788"/>
        <v>0</v>
      </c>
      <c r="IL312" s="618">
        <f t="shared" si="789"/>
        <v>40.704999999999998</v>
      </c>
      <c r="IM312" s="618"/>
      <c r="IN312" s="618">
        <f t="shared" si="790"/>
        <v>0</v>
      </c>
      <c r="IO312" s="618">
        <f t="shared" si="791"/>
        <v>40.704999999999998</v>
      </c>
      <c r="IP312" s="618"/>
      <c r="IQ312" s="618">
        <f t="shared" si="792"/>
        <v>0</v>
      </c>
      <c r="IR312" s="618">
        <f t="shared" si="793"/>
        <v>40.704999999999998</v>
      </c>
      <c r="IS312" s="645"/>
      <c r="IT312" s="645"/>
      <c r="IU312" s="645"/>
      <c r="IV312" s="645"/>
      <c r="IW312" s="645"/>
      <c r="IX312" s="645"/>
      <c r="IY312" s="645"/>
      <c r="IZ312" s="645"/>
      <c r="JA312" s="645"/>
      <c r="JB312" s="645"/>
      <c r="JC312" s="645"/>
      <c r="JD312" s="645"/>
      <c r="JE312" s="645"/>
      <c r="JF312" s="645"/>
      <c r="JG312" s="645"/>
      <c r="JH312" s="645"/>
      <c r="JI312" s="645"/>
      <c r="JJ312" s="645"/>
      <c r="JK312" s="645"/>
      <c r="JL312" s="645"/>
      <c r="JM312" s="645"/>
      <c r="JN312" s="645"/>
      <c r="JO312" s="645"/>
      <c r="JP312" s="645"/>
      <c r="JQ312" s="645"/>
      <c r="JR312" s="645"/>
      <c r="JS312" s="645"/>
      <c r="JT312" s="645"/>
      <c r="JU312" s="645"/>
      <c r="JV312" s="653"/>
    </row>
    <row r="313" spans="1:282" s="612" customFormat="1">
      <c r="A313" s="611"/>
      <c r="U313" s="613"/>
      <c r="V313" s="613"/>
      <c r="AC313" s="613"/>
      <c r="AD313" s="613"/>
      <c r="AL313" s="613"/>
      <c r="AM313" s="613"/>
      <c r="AT313" s="613"/>
      <c r="AU313" s="613"/>
      <c r="CH313" s="611"/>
      <c r="CI313" s="611"/>
      <c r="CO313" s="695"/>
      <c r="CP313" s="645"/>
      <c r="CQ313" s="618"/>
      <c r="CR313" s="618"/>
      <c r="CS313" s="618"/>
      <c r="CT313" s="626"/>
      <c r="CU313" s="626"/>
      <c r="CV313" s="626"/>
      <c r="CW313" s="646"/>
      <c r="CX313" s="646"/>
      <c r="CY313" s="625"/>
      <c r="CZ313" s="625"/>
      <c r="DA313" s="625"/>
      <c r="DB313" s="625"/>
      <c r="DC313" s="645"/>
      <c r="DD313" s="645"/>
      <c r="DE313" s="645"/>
      <c r="DF313" s="645"/>
      <c r="DG313" s="645"/>
      <c r="DH313" s="645"/>
      <c r="DI313" s="645"/>
      <c r="DJ313" s="645"/>
      <c r="DK313" s="645"/>
      <c r="DL313" s="645"/>
      <c r="DM313" s="645"/>
      <c r="DN313" s="645"/>
      <c r="DO313" s="645"/>
      <c r="DP313" s="645"/>
      <c r="DQ313" s="645"/>
      <c r="DR313" s="645"/>
      <c r="DS313" s="645"/>
      <c r="DT313" s="645"/>
      <c r="DU313" s="645"/>
      <c r="DV313" s="645"/>
      <c r="DW313" s="645"/>
      <c r="DX313" s="645"/>
      <c r="DY313" s="645"/>
      <c r="DZ313" s="645"/>
      <c r="EA313" s="645"/>
      <c r="EB313" s="645"/>
      <c r="EC313" s="645"/>
      <c r="ED313" s="645"/>
      <c r="EE313" s="645"/>
      <c r="EF313" s="645"/>
      <c r="EG313" s="645"/>
      <c r="EH313" s="645"/>
      <c r="EI313" s="645"/>
      <c r="EJ313" s="645"/>
      <c r="EK313" s="645"/>
      <c r="EL313" s="645"/>
      <c r="EM313" s="645"/>
      <c r="EN313" s="645"/>
      <c r="EO313" s="645"/>
      <c r="EP313" s="645"/>
      <c r="EQ313" s="645"/>
      <c r="ER313" s="645"/>
      <c r="ES313" s="645"/>
      <c r="ET313" s="645"/>
      <c r="EU313" s="645"/>
      <c r="EV313" s="645"/>
      <c r="EW313" s="645"/>
      <c r="EX313" s="645"/>
      <c r="EY313" s="645"/>
      <c r="EZ313" s="645"/>
      <c r="FA313" s="645"/>
      <c r="FB313" s="645"/>
      <c r="FC313" s="645"/>
      <c r="FD313" s="645"/>
      <c r="FE313" s="645"/>
      <c r="FF313" s="645"/>
      <c r="FG313" s="645"/>
      <c r="FH313" s="645"/>
      <c r="FI313" s="645"/>
      <c r="FJ313" s="645"/>
      <c r="FK313" s="645"/>
      <c r="FL313" s="645"/>
      <c r="FM313" s="645"/>
      <c r="FN313" s="645"/>
      <c r="FO313" s="645"/>
      <c r="FP313" s="645"/>
      <c r="FQ313" s="645"/>
      <c r="FR313" s="645"/>
      <c r="FS313" s="645"/>
      <c r="FT313" s="645"/>
      <c r="FU313" s="645"/>
      <c r="FV313" s="645"/>
      <c r="FW313" s="645"/>
      <c r="FX313" s="645"/>
      <c r="FY313" s="645"/>
      <c r="FZ313" s="645"/>
      <c r="GA313" s="645"/>
      <c r="GB313" s="645"/>
      <c r="GC313" s="645"/>
      <c r="GD313" s="645"/>
      <c r="GE313" s="645"/>
      <c r="GF313" s="645"/>
      <c r="GG313" s="645"/>
      <c r="GH313" s="645"/>
      <c r="GI313" s="645"/>
      <c r="GJ313" s="645"/>
      <c r="GK313" s="645"/>
      <c r="GL313" s="645"/>
      <c r="GM313" s="645"/>
      <c r="GN313" s="645"/>
      <c r="GO313" s="645"/>
      <c r="GP313" s="645"/>
      <c r="GQ313" s="645"/>
      <c r="GR313" s="645"/>
      <c r="GS313" s="645"/>
      <c r="GT313" s="645"/>
      <c r="GU313" s="645"/>
      <c r="GV313" s="645"/>
      <c r="GW313" s="645"/>
      <c r="GX313" s="645"/>
      <c r="GY313" s="645"/>
      <c r="GZ313" s="645"/>
      <c r="HA313" s="645"/>
      <c r="HB313" s="645"/>
      <c r="HC313" s="645"/>
      <c r="HD313" s="645"/>
      <c r="HE313" s="645"/>
      <c r="HF313" s="645"/>
      <c r="HG313" s="645"/>
      <c r="HH313" s="645"/>
      <c r="HI313" s="645"/>
      <c r="HJ313" s="645"/>
      <c r="HK313" s="645"/>
      <c r="HL313" s="645"/>
      <c r="HM313" s="645"/>
      <c r="HN313" s="645"/>
      <c r="HO313" s="645"/>
      <c r="HP313" s="645"/>
      <c r="HQ313" s="645"/>
      <c r="HR313" s="645">
        <v>0.155</v>
      </c>
      <c r="HS313" s="645">
        <f t="shared" si="794"/>
        <v>1040.7142857142858</v>
      </c>
      <c r="HT313" s="645">
        <f t="shared" si="795"/>
        <v>1</v>
      </c>
      <c r="HU313" s="618">
        <f t="shared" si="796"/>
        <v>3.9486438556154773</v>
      </c>
      <c r="HV313" s="618"/>
      <c r="HW313" s="618">
        <f t="shared" si="781"/>
        <v>30.392925725026021</v>
      </c>
      <c r="HX313" s="618">
        <f t="shared" si="797"/>
        <v>3.640147187386519</v>
      </c>
      <c r="HY313" s="618">
        <f t="shared" si="798"/>
        <v>0.155</v>
      </c>
      <c r="HZ313" s="618"/>
      <c r="IA313" s="618"/>
      <c r="IB313" s="618">
        <f t="shared" si="782"/>
        <v>25.000350341399081</v>
      </c>
      <c r="IC313" s="618">
        <f t="shared" si="783"/>
        <v>1E-3</v>
      </c>
      <c r="ID313" s="618"/>
      <c r="IE313" s="618">
        <f t="shared" si="784"/>
        <v>0</v>
      </c>
      <c r="IF313" s="618">
        <f t="shared" si="785"/>
        <v>40.704999999999998</v>
      </c>
      <c r="IG313" s="618"/>
      <c r="IH313" s="618">
        <f t="shared" si="786"/>
        <v>0</v>
      </c>
      <c r="II313" s="618">
        <f t="shared" si="787"/>
        <v>40.704999999999998</v>
      </c>
      <c r="IJ313" s="618"/>
      <c r="IK313" s="618">
        <f t="shared" si="788"/>
        <v>0</v>
      </c>
      <c r="IL313" s="618">
        <f t="shared" si="789"/>
        <v>40.704999999999998</v>
      </c>
      <c r="IM313" s="618"/>
      <c r="IN313" s="618">
        <f t="shared" si="790"/>
        <v>0</v>
      </c>
      <c r="IO313" s="618">
        <f t="shared" si="791"/>
        <v>40.704999999999998</v>
      </c>
      <c r="IP313" s="618"/>
      <c r="IQ313" s="618">
        <f t="shared" si="792"/>
        <v>0</v>
      </c>
      <c r="IR313" s="618">
        <f t="shared" si="793"/>
        <v>40.704999999999998</v>
      </c>
      <c r="IS313" s="645"/>
      <c r="IT313" s="645"/>
      <c r="IU313" s="645"/>
      <c r="IV313" s="645"/>
      <c r="IW313" s="645"/>
      <c r="IX313" s="645"/>
      <c r="IY313" s="645"/>
      <c r="IZ313" s="645"/>
      <c r="JA313" s="645"/>
      <c r="JB313" s="645"/>
      <c r="JC313" s="645"/>
      <c r="JD313" s="645"/>
      <c r="JE313" s="645"/>
      <c r="JF313" s="645"/>
      <c r="JG313" s="645"/>
      <c r="JH313" s="645"/>
      <c r="JI313" s="645"/>
      <c r="JJ313" s="645"/>
      <c r="JK313" s="645"/>
      <c r="JL313" s="645"/>
      <c r="JM313" s="645"/>
      <c r="JN313" s="645"/>
      <c r="JO313" s="645"/>
      <c r="JP313" s="645"/>
      <c r="JQ313" s="645"/>
      <c r="JR313" s="645"/>
      <c r="JS313" s="645"/>
      <c r="JT313" s="645"/>
      <c r="JU313" s="645"/>
      <c r="JV313" s="653"/>
    </row>
    <row r="314" spans="1:282" s="612" customFormat="1">
      <c r="A314" s="611"/>
      <c r="U314" s="613"/>
      <c r="V314" s="613"/>
      <c r="AC314" s="613"/>
      <c r="AD314" s="613"/>
      <c r="AL314" s="613"/>
      <c r="AM314" s="613"/>
      <c r="AT314" s="613"/>
      <c r="AU314" s="613"/>
      <c r="CH314" s="611"/>
      <c r="CI314" s="611"/>
      <c r="CO314" s="695"/>
      <c r="CP314" s="645"/>
      <c r="CQ314" s="618"/>
      <c r="CR314" s="618"/>
      <c r="CS314" s="618"/>
      <c r="CT314" s="626"/>
      <c r="CU314" s="626"/>
      <c r="CV314" s="626"/>
      <c r="CW314" s="646"/>
      <c r="CX314" s="646"/>
      <c r="CY314" s="625"/>
      <c r="CZ314" s="625"/>
      <c r="DA314" s="625"/>
      <c r="DB314" s="625"/>
      <c r="DC314" s="645"/>
      <c r="DD314" s="645"/>
      <c r="DE314" s="645"/>
      <c r="DF314" s="645"/>
      <c r="DG314" s="645"/>
      <c r="DH314" s="645"/>
      <c r="DI314" s="645"/>
      <c r="DJ314" s="645"/>
      <c r="DK314" s="645"/>
      <c r="DL314" s="645"/>
      <c r="DM314" s="645"/>
      <c r="DN314" s="645"/>
      <c r="DO314" s="645"/>
      <c r="DP314" s="645"/>
      <c r="DQ314" s="645"/>
      <c r="DR314" s="645"/>
      <c r="DS314" s="645"/>
      <c r="DT314" s="645"/>
      <c r="DU314" s="645"/>
      <c r="DV314" s="645"/>
      <c r="DW314" s="645"/>
      <c r="DX314" s="645"/>
      <c r="DY314" s="645"/>
      <c r="DZ314" s="645"/>
      <c r="EA314" s="645"/>
      <c r="EB314" s="645"/>
      <c r="EC314" s="645"/>
      <c r="ED314" s="645"/>
      <c r="EE314" s="645"/>
      <c r="EF314" s="645"/>
      <c r="EG314" s="645"/>
      <c r="EH314" s="645"/>
      <c r="EI314" s="645"/>
      <c r="EJ314" s="645"/>
      <c r="EK314" s="645"/>
      <c r="EL314" s="645"/>
      <c r="EM314" s="645"/>
      <c r="EN314" s="645"/>
      <c r="EO314" s="645"/>
      <c r="EP314" s="645"/>
      <c r="EQ314" s="645"/>
      <c r="ER314" s="645"/>
      <c r="ES314" s="645"/>
      <c r="ET314" s="645"/>
      <c r="EU314" s="645"/>
      <c r="EV314" s="645"/>
      <c r="EW314" s="645"/>
      <c r="EX314" s="645"/>
      <c r="EY314" s="645"/>
      <c r="EZ314" s="645"/>
      <c r="FA314" s="645"/>
      <c r="FB314" s="645"/>
      <c r="FC314" s="645"/>
      <c r="FD314" s="645"/>
      <c r="FE314" s="645"/>
      <c r="FF314" s="645"/>
      <c r="FG314" s="645"/>
      <c r="FH314" s="645"/>
      <c r="FI314" s="645"/>
      <c r="FJ314" s="645"/>
      <c r="FK314" s="645"/>
      <c r="FL314" s="645"/>
      <c r="FM314" s="645"/>
      <c r="FN314" s="645"/>
      <c r="FO314" s="645"/>
      <c r="FP314" s="645"/>
      <c r="FQ314" s="645"/>
      <c r="FR314" s="645"/>
      <c r="FS314" s="645"/>
      <c r="FT314" s="645"/>
      <c r="FU314" s="645"/>
      <c r="FV314" s="645"/>
      <c r="FW314" s="645"/>
      <c r="FX314" s="645"/>
      <c r="FY314" s="645"/>
      <c r="FZ314" s="645"/>
      <c r="GA314" s="645"/>
      <c r="GB314" s="645"/>
      <c r="GC314" s="645"/>
      <c r="GD314" s="645"/>
      <c r="GE314" s="645"/>
      <c r="GF314" s="645"/>
      <c r="GG314" s="645"/>
      <c r="GH314" s="645"/>
      <c r="GI314" s="645"/>
      <c r="GJ314" s="645"/>
      <c r="GK314" s="645"/>
      <c r="GL314" s="645"/>
      <c r="GM314" s="645"/>
      <c r="GN314" s="645"/>
      <c r="GO314" s="645"/>
      <c r="GP314" s="645"/>
      <c r="GQ314" s="645"/>
      <c r="GR314" s="645"/>
      <c r="GS314" s="645"/>
      <c r="GT314" s="645"/>
      <c r="GU314" s="645"/>
      <c r="GV314" s="645"/>
      <c r="GW314" s="645"/>
      <c r="GX314" s="645"/>
      <c r="GY314" s="645"/>
      <c r="GZ314" s="645"/>
      <c r="HA314" s="645"/>
      <c r="HB314" s="645"/>
      <c r="HC314" s="645"/>
      <c r="HD314" s="645"/>
      <c r="HE314" s="645"/>
      <c r="HF314" s="645"/>
      <c r="HG314" s="645"/>
      <c r="HH314" s="645"/>
      <c r="HI314" s="645"/>
      <c r="HJ314" s="645"/>
      <c r="HK314" s="645"/>
      <c r="HL314" s="645"/>
      <c r="HM314" s="645"/>
      <c r="HN314" s="645"/>
      <c r="HO314" s="645"/>
      <c r="HP314" s="645"/>
      <c r="HQ314" s="645"/>
      <c r="HR314" s="645">
        <v>0.1555</v>
      </c>
      <c r="HS314" s="645">
        <f t="shared" si="794"/>
        <v>1044.0714285714287</v>
      </c>
      <c r="HT314" s="645">
        <f t="shared" si="795"/>
        <v>1</v>
      </c>
      <c r="HU314" s="618">
        <f t="shared" si="796"/>
        <v>3.9613828995891023</v>
      </c>
      <c r="HV314" s="618"/>
      <c r="HW314" s="618">
        <f t="shared" si="781"/>
        <v>30.374836282583473</v>
      </c>
      <c r="HX314" s="618">
        <f t="shared" si="797"/>
        <v>3.6508956978058382</v>
      </c>
      <c r="HY314" s="618">
        <f t="shared" si="798"/>
        <v>0.1555</v>
      </c>
      <c r="HZ314" s="618"/>
      <c r="IA314" s="618"/>
      <c r="IB314" s="618">
        <f t="shared" si="782"/>
        <v>25.000350341399081</v>
      </c>
      <c r="IC314" s="618">
        <f t="shared" si="783"/>
        <v>1E-3</v>
      </c>
      <c r="ID314" s="618"/>
      <c r="IE314" s="618">
        <f t="shared" si="784"/>
        <v>0</v>
      </c>
      <c r="IF314" s="618">
        <f t="shared" si="785"/>
        <v>40.704999999999998</v>
      </c>
      <c r="IG314" s="618"/>
      <c r="IH314" s="618">
        <f t="shared" si="786"/>
        <v>0</v>
      </c>
      <c r="II314" s="618">
        <f t="shared" si="787"/>
        <v>40.704999999999998</v>
      </c>
      <c r="IJ314" s="618"/>
      <c r="IK314" s="618">
        <f t="shared" si="788"/>
        <v>0</v>
      </c>
      <c r="IL314" s="618">
        <f t="shared" si="789"/>
        <v>40.704999999999998</v>
      </c>
      <c r="IM314" s="618"/>
      <c r="IN314" s="618">
        <f t="shared" si="790"/>
        <v>0</v>
      </c>
      <c r="IO314" s="618">
        <f t="shared" si="791"/>
        <v>40.704999999999998</v>
      </c>
      <c r="IP314" s="618"/>
      <c r="IQ314" s="618">
        <f t="shared" si="792"/>
        <v>0</v>
      </c>
      <c r="IR314" s="618">
        <f t="shared" si="793"/>
        <v>40.704999999999998</v>
      </c>
      <c r="IS314" s="645"/>
      <c r="IT314" s="645"/>
      <c r="IU314" s="645"/>
      <c r="IV314" s="645"/>
      <c r="IW314" s="645"/>
      <c r="IX314" s="645"/>
      <c r="IY314" s="645"/>
      <c r="IZ314" s="645"/>
      <c r="JA314" s="645"/>
      <c r="JB314" s="645"/>
      <c r="JC314" s="645"/>
      <c r="JD314" s="645"/>
      <c r="JE314" s="645"/>
      <c r="JF314" s="645"/>
      <c r="JG314" s="645"/>
      <c r="JH314" s="645"/>
      <c r="JI314" s="645"/>
      <c r="JJ314" s="645"/>
      <c r="JK314" s="645"/>
      <c r="JL314" s="645"/>
      <c r="JM314" s="645"/>
      <c r="JN314" s="645"/>
      <c r="JO314" s="645"/>
      <c r="JP314" s="645"/>
      <c r="JQ314" s="645"/>
      <c r="JR314" s="645"/>
      <c r="JS314" s="645"/>
      <c r="JT314" s="645"/>
      <c r="JU314" s="645"/>
      <c r="JV314" s="653"/>
    </row>
    <row r="315" spans="1:282" s="612" customFormat="1">
      <c r="A315" s="611"/>
      <c r="U315" s="613"/>
      <c r="V315" s="613"/>
      <c r="AC315" s="613"/>
      <c r="AD315" s="613"/>
      <c r="AL315" s="613"/>
      <c r="AM315" s="613"/>
      <c r="AT315" s="613"/>
      <c r="AU315" s="613"/>
      <c r="CH315" s="611"/>
      <c r="CI315" s="611"/>
      <c r="CO315" s="695"/>
      <c r="CP315" s="645"/>
      <c r="CQ315" s="618"/>
      <c r="CR315" s="618"/>
      <c r="CS315" s="618"/>
      <c r="CT315" s="626"/>
      <c r="CU315" s="626"/>
      <c r="CV315" s="626"/>
      <c r="CW315" s="646"/>
      <c r="CX315" s="646"/>
      <c r="CY315" s="625"/>
      <c r="CZ315" s="625"/>
      <c r="DA315" s="625"/>
      <c r="DB315" s="625"/>
      <c r="DC315" s="645"/>
      <c r="DD315" s="645"/>
      <c r="DE315" s="645"/>
      <c r="DF315" s="645"/>
      <c r="DG315" s="645"/>
      <c r="DH315" s="645"/>
      <c r="DI315" s="645"/>
      <c r="DJ315" s="645"/>
      <c r="DK315" s="645"/>
      <c r="DL315" s="645"/>
      <c r="DM315" s="645"/>
      <c r="DN315" s="645"/>
      <c r="DO315" s="645"/>
      <c r="DP315" s="645"/>
      <c r="DQ315" s="645"/>
      <c r="DR315" s="645"/>
      <c r="DS315" s="645"/>
      <c r="DT315" s="645"/>
      <c r="DU315" s="645"/>
      <c r="DV315" s="645"/>
      <c r="DW315" s="645"/>
      <c r="DX315" s="645"/>
      <c r="DY315" s="645"/>
      <c r="DZ315" s="645"/>
      <c r="EA315" s="645"/>
      <c r="EB315" s="645"/>
      <c r="EC315" s="645"/>
      <c r="ED315" s="645"/>
      <c r="EE315" s="645"/>
      <c r="EF315" s="645"/>
      <c r="EG315" s="645"/>
      <c r="EH315" s="645"/>
      <c r="EI315" s="645"/>
      <c r="EJ315" s="645"/>
      <c r="EK315" s="645"/>
      <c r="EL315" s="645"/>
      <c r="EM315" s="645"/>
      <c r="EN315" s="645"/>
      <c r="EO315" s="645"/>
      <c r="EP315" s="645"/>
      <c r="EQ315" s="645"/>
      <c r="ER315" s="645"/>
      <c r="ES315" s="645"/>
      <c r="ET315" s="645"/>
      <c r="EU315" s="645"/>
      <c r="EV315" s="645"/>
      <c r="EW315" s="645"/>
      <c r="EX315" s="645"/>
      <c r="EY315" s="645"/>
      <c r="EZ315" s="645"/>
      <c r="FA315" s="645"/>
      <c r="FB315" s="645"/>
      <c r="FC315" s="645"/>
      <c r="FD315" s="645"/>
      <c r="FE315" s="645"/>
      <c r="FF315" s="645"/>
      <c r="FG315" s="645"/>
      <c r="FH315" s="645"/>
      <c r="FI315" s="645"/>
      <c r="FJ315" s="645"/>
      <c r="FK315" s="645"/>
      <c r="FL315" s="645"/>
      <c r="FM315" s="645"/>
      <c r="FN315" s="645"/>
      <c r="FO315" s="645"/>
      <c r="FP315" s="645"/>
      <c r="FQ315" s="645"/>
      <c r="FR315" s="645"/>
      <c r="FS315" s="645"/>
      <c r="FT315" s="645"/>
      <c r="FU315" s="645"/>
      <c r="FV315" s="645"/>
      <c r="FW315" s="645"/>
      <c r="FX315" s="645"/>
      <c r="FY315" s="645"/>
      <c r="FZ315" s="645"/>
      <c r="GA315" s="645"/>
      <c r="GB315" s="645"/>
      <c r="GC315" s="645"/>
      <c r="GD315" s="645"/>
      <c r="GE315" s="645"/>
      <c r="GF315" s="645"/>
      <c r="GG315" s="645"/>
      <c r="GH315" s="645"/>
      <c r="GI315" s="645"/>
      <c r="GJ315" s="645"/>
      <c r="GK315" s="645"/>
      <c r="GL315" s="645"/>
      <c r="GM315" s="645"/>
      <c r="GN315" s="645"/>
      <c r="GO315" s="645"/>
      <c r="GP315" s="645"/>
      <c r="GQ315" s="645"/>
      <c r="GR315" s="645"/>
      <c r="GS315" s="645"/>
      <c r="GT315" s="645"/>
      <c r="GU315" s="645"/>
      <c r="GV315" s="645"/>
      <c r="GW315" s="645"/>
      <c r="GX315" s="645"/>
      <c r="GY315" s="645"/>
      <c r="GZ315" s="645"/>
      <c r="HA315" s="645"/>
      <c r="HB315" s="645"/>
      <c r="HC315" s="645"/>
      <c r="HD315" s="645"/>
      <c r="HE315" s="645"/>
      <c r="HF315" s="645"/>
      <c r="HG315" s="645"/>
      <c r="HH315" s="645"/>
      <c r="HI315" s="645"/>
      <c r="HJ315" s="645"/>
      <c r="HK315" s="645"/>
      <c r="HL315" s="645"/>
      <c r="HM315" s="645"/>
      <c r="HN315" s="645"/>
      <c r="HO315" s="645"/>
      <c r="HP315" s="645"/>
      <c r="HQ315" s="645"/>
      <c r="HR315" s="645">
        <v>0.156</v>
      </c>
      <c r="HS315" s="645">
        <f t="shared" si="794"/>
        <v>1047.4285714285713</v>
      </c>
      <c r="HT315" s="645">
        <f t="shared" si="795"/>
        <v>1</v>
      </c>
      <c r="HU315" s="618">
        <f t="shared" si="796"/>
        <v>3.9741219435627273</v>
      </c>
      <c r="HV315" s="618"/>
      <c r="HW315" s="618">
        <f t="shared" si="781"/>
        <v>30.356746840140929</v>
      </c>
      <c r="HX315" s="618">
        <f t="shared" si="797"/>
        <v>3.661637807052859</v>
      </c>
      <c r="HY315" s="618">
        <f t="shared" si="798"/>
        <v>0.156</v>
      </c>
      <c r="HZ315" s="618"/>
      <c r="IA315" s="618"/>
      <c r="IB315" s="618">
        <f t="shared" si="782"/>
        <v>25.000350341399081</v>
      </c>
      <c r="IC315" s="618">
        <f t="shared" si="783"/>
        <v>1E-3</v>
      </c>
      <c r="ID315" s="618"/>
      <c r="IE315" s="618">
        <f t="shared" si="784"/>
        <v>0</v>
      </c>
      <c r="IF315" s="618">
        <f t="shared" si="785"/>
        <v>40.704999999999998</v>
      </c>
      <c r="IG315" s="618"/>
      <c r="IH315" s="618">
        <f t="shared" si="786"/>
        <v>0</v>
      </c>
      <c r="II315" s="618">
        <f t="shared" si="787"/>
        <v>40.704999999999998</v>
      </c>
      <c r="IJ315" s="618"/>
      <c r="IK315" s="618">
        <f t="shared" si="788"/>
        <v>0</v>
      </c>
      <c r="IL315" s="618">
        <f t="shared" si="789"/>
        <v>40.704999999999998</v>
      </c>
      <c r="IM315" s="618"/>
      <c r="IN315" s="618">
        <f t="shared" si="790"/>
        <v>0</v>
      </c>
      <c r="IO315" s="618">
        <f t="shared" si="791"/>
        <v>40.704999999999998</v>
      </c>
      <c r="IP315" s="618"/>
      <c r="IQ315" s="618">
        <f t="shared" si="792"/>
        <v>0</v>
      </c>
      <c r="IR315" s="618">
        <f t="shared" si="793"/>
        <v>40.704999999999998</v>
      </c>
      <c r="IS315" s="645"/>
      <c r="IT315" s="645"/>
      <c r="IU315" s="645"/>
      <c r="IV315" s="645"/>
      <c r="IW315" s="645"/>
      <c r="IX315" s="645"/>
      <c r="IY315" s="645"/>
      <c r="IZ315" s="645"/>
      <c r="JA315" s="645"/>
      <c r="JB315" s="645"/>
      <c r="JC315" s="645"/>
      <c r="JD315" s="645"/>
      <c r="JE315" s="645"/>
      <c r="JF315" s="645"/>
      <c r="JG315" s="645"/>
      <c r="JH315" s="645"/>
      <c r="JI315" s="645"/>
      <c r="JJ315" s="645"/>
      <c r="JK315" s="645"/>
      <c r="JL315" s="645"/>
      <c r="JM315" s="645"/>
      <c r="JN315" s="645"/>
      <c r="JO315" s="645"/>
      <c r="JP315" s="645"/>
      <c r="JQ315" s="645"/>
      <c r="JR315" s="645"/>
      <c r="JS315" s="645"/>
      <c r="JT315" s="645"/>
      <c r="JU315" s="645"/>
      <c r="JV315" s="653"/>
    </row>
    <row r="316" spans="1:282" s="612" customFormat="1">
      <c r="A316" s="611"/>
      <c r="U316" s="613"/>
      <c r="V316" s="613"/>
      <c r="AC316" s="613"/>
      <c r="AD316" s="613"/>
      <c r="AL316" s="613"/>
      <c r="AM316" s="613"/>
      <c r="AT316" s="613"/>
      <c r="AU316" s="613"/>
      <c r="CH316" s="611"/>
      <c r="CI316" s="611"/>
      <c r="CO316" s="695"/>
      <c r="CP316" s="645"/>
      <c r="CQ316" s="618"/>
      <c r="CR316" s="618"/>
      <c r="CS316" s="618"/>
      <c r="CT316" s="626"/>
      <c r="CU316" s="626"/>
      <c r="CV316" s="626"/>
      <c r="CW316" s="646"/>
      <c r="CX316" s="646"/>
      <c r="CY316" s="625"/>
      <c r="CZ316" s="625"/>
      <c r="DA316" s="625"/>
      <c r="DB316" s="625"/>
      <c r="DC316" s="645"/>
      <c r="DD316" s="645"/>
      <c r="DE316" s="645"/>
      <c r="DF316" s="645"/>
      <c r="DG316" s="645"/>
      <c r="DH316" s="645"/>
      <c r="DI316" s="645"/>
      <c r="DJ316" s="645"/>
      <c r="DK316" s="645"/>
      <c r="DL316" s="645"/>
      <c r="DM316" s="645"/>
      <c r="DN316" s="645"/>
      <c r="DO316" s="645"/>
      <c r="DP316" s="645"/>
      <c r="DQ316" s="645"/>
      <c r="DR316" s="645"/>
      <c r="DS316" s="645"/>
      <c r="DT316" s="645"/>
      <c r="DU316" s="645"/>
      <c r="DV316" s="645"/>
      <c r="DW316" s="645"/>
      <c r="DX316" s="645"/>
      <c r="DY316" s="645"/>
      <c r="DZ316" s="645"/>
      <c r="EA316" s="645"/>
      <c r="EB316" s="645"/>
      <c r="EC316" s="645"/>
      <c r="ED316" s="645"/>
      <c r="EE316" s="645"/>
      <c r="EF316" s="645"/>
      <c r="EG316" s="645"/>
      <c r="EH316" s="645"/>
      <c r="EI316" s="645"/>
      <c r="EJ316" s="645"/>
      <c r="EK316" s="645"/>
      <c r="EL316" s="645"/>
      <c r="EM316" s="645"/>
      <c r="EN316" s="645"/>
      <c r="EO316" s="645"/>
      <c r="EP316" s="645"/>
      <c r="EQ316" s="645"/>
      <c r="ER316" s="645"/>
      <c r="ES316" s="645"/>
      <c r="ET316" s="645"/>
      <c r="EU316" s="645"/>
      <c r="EV316" s="645"/>
      <c r="EW316" s="645"/>
      <c r="EX316" s="645"/>
      <c r="EY316" s="645"/>
      <c r="EZ316" s="645"/>
      <c r="FA316" s="645"/>
      <c r="FB316" s="645"/>
      <c r="FC316" s="645"/>
      <c r="FD316" s="645"/>
      <c r="FE316" s="645"/>
      <c r="FF316" s="645"/>
      <c r="FG316" s="645"/>
      <c r="FH316" s="645"/>
      <c r="FI316" s="645"/>
      <c r="FJ316" s="645"/>
      <c r="FK316" s="645"/>
      <c r="FL316" s="645"/>
      <c r="FM316" s="645"/>
      <c r="FN316" s="645"/>
      <c r="FO316" s="645"/>
      <c r="FP316" s="645"/>
      <c r="FQ316" s="645"/>
      <c r="FR316" s="645"/>
      <c r="FS316" s="645"/>
      <c r="FT316" s="645"/>
      <c r="FU316" s="645"/>
      <c r="FV316" s="645"/>
      <c r="FW316" s="645"/>
      <c r="FX316" s="645"/>
      <c r="FY316" s="645"/>
      <c r="FZ316" s="645"/>
      <c r="GA316" s="645"/>
      <c r="GB316" s="645"/>
      <c r="GC316" s="645"/>
      <c r="GD316" s="645"/>
      <c r="GE316" s="645"/>
      <c r="GF316" s="645"/>
      <c r="GG316" s="645"/>
      <c r="GH316" s="645"/>
      <c r="GI316" s="645"/>
      <c r="GJ316" s="645"/>
      <c r="GK316" s="645"/>
      <c r="GL316" s="645"/>
      <c r="GM316" s="645"/>
      <c r="GN316" s="645"/>
      <c r="GO316" s="645"/>
      <c r="GP316" s="645"/>
      <c r="GQ316" s="645"/>
      <c r="GR316" s="645"/>
      <c r="GS316" s="645"/>
      <c r="GT316" s="645"/>
      <c r="GU316" s="645"/>
      <c r="GV316" s="645"/>
      <c r="GW316" s="645"/>
      <c r="GX316" s="645"/>
      <c r="GY316" s="645"/>
      <c r="GZ316" s="645"/>
      <c r="HA316" s="645"/>
      <c r="HB316" s="645"/>
      <c r="HC316" s="645"/>
      <c r="HD316" s="645"/>
      <c r="HE316" s="645"/>
      <c r="HF316" s="645"/>
      <c r="HG316" s="645"/>
      <c r="HH316" s="645"/>
      <c r="HI316" s="645"/>
      <c r="HJ316" s="645"/>
      <c r="HK316" s="645"/>
      <c r="HL316" s="645"/>
      <c r="HM316" s="645"/>
      <c r="HN316" s="645"/>
      <c r="HO316" s="645"/>
      <c r="HP316" s="645"/>
      <c r="HQ316" s="645"/>
      <c r="HR316" s="645">
        <v>0.1565</v>
      </c>
      <c r="HS316" s="645">
        <f t="shared" si="794"/>
        <v>1050.7857142857142</v>
      </c>
      <c r="HT316" s="645">
        <f t="shared" si="795"/>
        <v>1</v>
      </c>
      <c r="HU316" s="618">
        <f t="shared" si="796"/>
        <v>3.9868609875363523</v>
      </c>
      <c r="HV316" s="618"/>
      <c r="HW316" s="618">
        <f t="shared" si="781"/>
        <v>30.33865739769838</v>
      </c>
      <c r="HX316" s="618">
        <f t="shared" si="797"/>
        <v>3.6723735151275818</v>
      </c>
      <c r="HY316" s="618">
        <f t="shared" si="798"/>
        <v>0.1565</v>
      </c>
      <c r="HZ316" s="618"/>
      <c r="IA316" s="618"/>
      <c r="IB316" s="618">
        <f t="shared" si="782"/>
        <v>25.000350341399081</v>
      </c>
      <c r="IC316" s="618">
        <f t="shared" si="783"/>
        <v>1E-3</v>
      </c>
      <c r="ID316" s="618"/>
      <c r="IE316" s="618">
        <f t="shared" si="784"/>
        <v>0</v>
      </c>
      <c r="IF316" s="618">
        <f t="shared" si="785"/>
        <v>40.704999999999998</v>
      </c>
      <c r="IG316" s="618"/>
      <c r="IH316" s="618">
        <f t="shared" si="786"/>
        <v>0</v>
      </c>
      <c r="II316" s="618">
        <f t="shared" si="787"/>
        <v>40.704999999999998</v>
      </c>
      <c r="IJ316" s="618"/>
      <c r="IK316" s="618">
        <f t="shared" si="788"/>
        <v>0</v>
      </c>
      <c r="IL316" s="618">
        <f t="shared" si="789"/>
        <v>40.704999999999998</v>
      </c>
      <c r="IM316" s="618"/>
      <c r="IN316" s="618">
        <f t="shared" si="790"/>
        <v>0</v>
      </c>
      <c r="IO316" s="618">
        <f t="shared" si="791"/>
        <v>40.704999999999998</v>
      </c>
      <c r="IP316" s="618"/>
      <c r="IQ316" s="618">
        <f t="shared" si="792"/>
        <v>0</v>
      </c>
      <c r="IR316" s="618">
        <f t="shared" si="793"/>
        <v>40.704999999999998</v>
      </c>
      <c r="IS316" s="645"/>
      <c r="IT316" s="645"/>
      <c r="IU316" s="645"/>
      <c r="IV316" s="645"/>
      <c r="IW316" s="645"/>
      <c r="IX316" s="645"/>
      <c r="IY316" s="645"/>
      <c r="IZ316" s="645"/>
      <c r="JA316" s="645"/>
      <c r="JB316" s="645"/>
      <c r="JC316" s="645"/>
      <c r="JD316" s="645"/>
      <c r="JE316" s="645"/>
      <c r="JF316" s="645"/>
      <c r="JG316" s="645"/>
      <c r="JH316" s="645"/>
      <c r="JI316" s="645"/>
      <c r="JJ316" s="645"/>
      <c r="JK316" s="645"/>
      <c r="JL316" s="645"/>
      <c r="JM316" s="645"/>
      <c r="JN316" s="645"/>
      <c r="JO316" s="645"/>
      <c r="JP316" s="645"/>
      <c r="JQ316" s="645"/>
      <c r="JR316" s="645"/>
      <c r="JS316" s="645"/>
      <c r="JT316" s="645"/>
      <c r="JU316" s="645"/>
      <c r="JV316" s="653"/>
    </row>
    <row r="317" spans="1:282" s="612" customFormat="1">
      <c r="A317" s="611"/>
      <c r="U317" s="613"/>
      <c r="V317" s="613"/>
      <c r="AC317" s="613"/>
      <c r="AD317" s="613"/>
      <c r="AL317" s="613"/>
      <c r="AM317" s="613"/>
      <c r="AT317" s="613"/>
      <c r="AU317" s="613"/>
      <c r="CH317" s="611"/>
      <c r="CI317" s="611"/>
      <c r="CO317" s="695"/>
      <c r="CP317" s="645"/>
      <c r="CQ317" s="618"/>
      <c r="CR317" s="618"/>
      <c r="CS317" s="618"/>
      <c r="CT317" s="626"/>
      <c r="CU317" s="626"/>
      <c r="CV317" s="626"/>
      <c r="CW317" s="646"/>
      <c r="CX317" s="646"/>
      <c r="CY317" s="625"/>
      <c r="CZ317" s="625"/>
      <c r="DA317" s="625"/>
      <c r="DB317" s="625"/>
      <c r="DC317" s="645"/>
      <c r="DD317" s="645"/>
      <c r="DE317" s="645"/>
      <c r="DF317" s="645"/>
      <c r="DG317" s="645"/>
      <c r="DH317" s="645"/>
      <c r="DI317" s="645"/>
      <c r="DJ317" s="645"/>
      <c r="DK317" s="645"/>
      <c r="DL317" s="645"/>
      <c r="DM317" s="645"/>
      <c r="DN317" s="645"/>
      <c r="DO317" s="645"/>
      <c r="DP317" s="645"/>
      <c r="DQ317" s="645"/>
      <c r="DR317" s="645"/>
      <c r="DS317" s="645"/>
      <c r="DT317" s="645"/>
      <c r="DU317" s="645"/>
      <c r="DV317" s="645"/>
      <c r="DW317" s="645"/>
      <c r="DX317" s="645"/>
      <c r="DY317" s="645"/>
      <c r="DZ317" s="645"/>
      <c r="EA317" s="645"/>
      <c r="EB317" s="645"/>
      <c r="EC317" s="645"/>
      <c r="ED317" s="645"/>
      <c r="EE317" s="645"/>
      <c r="EF317" s="645"/>
      <c r="EG317" s="645"/>
      <c r="EH317" s="645"/>
      <c r="EI317" s="645"/>
      <c r="EJ317" s="645"/>
      <c r="EK317" s="645"/>
      <c r="EL317" s="645"/>
      <c r="EM317" s="645"/>
      <c r="EN317" s="645"/>
      <c r="EO317" s="645"/>
      <c r="EP317" s="645"/>
      <c r="EQ317" s="645"/>
      <c r="ER317" s="645"/>
      <c r="ES317" s="645"/>
      <c r="ET317" s="645"/>
      <c r="EU317" s="645"/>
      <c r="EV317" s="645"/>
      <c r="EW317" s="645"/>
      <c r="EX317" s="645"/>
      <c r="EY317" s="645"/>
      <c r="EZ317" s="645"/>
      <c r="FA317" s="645"/>
      <c r="FB317" s="645"/>
      <c r="FC317" s="645"/>
      <c r="FD317" s="645"/>
      <c r="FE317" s="645"/>
      <c r="FF317" s="645"/>
      <c r="FG317" s="645"/>
      <c r="FH317" s="645"/>
      <c r="FI317" s="645"/>
      <c r="FJ317" s="645"/>
      <c r="FK317" s="645"/>
      <c r="FL317" s="645"/>
      <c r="FM317" s="645"/>
      <c r="FN317" s="645"/>
      <c r="FO317" s="645"/>
      <c r="FP317" s="645"/>
      <c r="FQ317" s="645"/>
      <c r="FR317" s="645"/>
      <c r="FS317" s="645"/>
      <c r="FT317" s="645"/>
      <c r="FU317" s="645"/>
      <c r="FV317" s="645"/>
      <c r="FW317" s="645"/>
      <c r="FX317" s="645"/>
      <c r="FY317" s="645"/>
      <c r="FZ317" s="645"/>
      <c r="GA317" s="645"/>
      <c r="GB317" s="645"/>
      <c r="GC317" s="645"/>
      <c r="GD317" s="645"/>
      <c r="GE317" s="645"/>
      <c r="GF317" s="645"/>
      <c r="GG317" s="645"/>
      <c r="GH317" s="645"/>
      <c r="GI317" s="645"/>
      <c r="GJ317" s="645"/>
      <c r="GK317" s="645"/>
      <c r="GL317" s="645"/>
      <c r="GM317" s="645"/>
      <c r="GN317" s="645"/>
      <c r="GO317" s="645"/>
      <c r="GP317" s="645"/>
      <c r="GQ317" s="645"/>
      <c r="GR317" s="645"/>
      <c r="GS317" s="645"/>
      <c r="GT317" s="645"/>
      <c r="GU317" s="645"/>
      <c r="GV317" s="645"/>
      <c r="GW317" s="645"/>
      <c r="GX317" s="645"/>
      <c r="GY317" s="645"/>
      <c r="GZ317" s="645"/>
      <c r="HA317" s="645"/>
      <c r="HB317" s="645"/>
      <c r="HC317" s="645"/>
      <c r="HD317" s="645"/>
      <c r="HE317" s="645"/>
      <c r="HF317" s="645"/>
      <c r="HG317" s="645"/>
      <c r="HH317" s="645"/>
      <c r="HI317" s="645"/>
      <c r="HJ317" s="645"/>
      <c r="HK317" s="645"/>
      <c r="HL317" s="645"/>
      <c r="HM317" s="645"/>
      <c r="HN317" s="645"/>
      <c r="HO317" s="645"/>
      <c r="HP317" s="645"/>
      <c r="HQ317" s="645"/>
      <c r="HR317" s="645">
        <v>0.157</v>
      </c>
      <c r="HS317" s="645">
        <f t="shared" si="794"/>
        <v>1054.1428571428571</v>
      </c>
      <c r="HT317" s="645">
        <f t="shared" si="795"/>
        <v>1</v>
      </c>
      <c r="HU317" s="618">
        <f t="shared" si="796"/>
        <v>3.9996000315099773</v>
      </c>
      <c r="HV317" s="618"/>
      <c r="HW317" s="618">
        <f t="shared" si="781"/>
        <v>30.320567955255832</v>
      </c>
      <c r="HX317" s="618">
        <f t="shared" si="797"/>
        <v>3.6831028220300062</v>
      </c>
      <c r="HY317" s="618">
        <f t="shared" si="798"/>
        <v>0.157</v>
      </c>
      <c r="HZ317" s="618"/>
      <c r="IA317" s="618"/>
      <c r="IB317" s="618">
        <f t="shared" si="782"/>
        <v>25.000350341399081</v>
      </c>
      <c r="IC317" s="618">
        <f t="shared" si="783"/>
        <v>1E-3</v>
      </c>
      <c r="ID317" s="618"/>
      <c r="IE317" s="618">
        <f t="shared" si="784"/>
        <v>0</v>
      </c>
      <c r="IF317" s="618">
        <f t="shared" si="785"/>
        <v>40.704999999999998</v>
      </c>
      <c r="IG317" s="618"/>
      <c r="IH317" s="618">
        <f t="shared" si="786"/>
        <v>0</v>
      </c>
      <c r="II317" s="618">
        <f t="shared" si="787"/>
        <v>40.704999999999998</v>
      </c>
      <c r="IJ317" s="618"/>
      <c r="IK317" s="618">
        <f t="shared" si="788"/>
        <v>0</v>
      </c>
      <c r="IL317" s="618">
        <f t="shared" si="789"/>
        <v>40.704999999999998</v>
      </c>
      <c r="IM317" s="618"/>
      <c r="IN317" s="618">
        <f t="shared" si="790"/>
        <v>0</v>
      </c>
      <c r="IO317" s="618">
        <f t="shared" si="791"/>
        <v>40.704999999999998</v>
      </c>
      <c r="IP317" s="618"/>
      <c r="IQ317" s="618">
        <f t="shared" si="792"/>
        <v>0</v>
      </c>
      <c r="IR317" s="618">
        <f t="shared" si="793"/>
        <v>40.704999999999998</v>
      </c>
      <c r="IS317" s="645"/>
      <c r="IT317" s="645"/>
      <c r="IU317" s="645"/>
      <c r="IV317" s="645"/>
      <c r="IW317" s="645"/>
      <c r="IX317" s="645"/>
      <c r="IY317" s="645"/>
      <c r="IZ317" s="645"/>
      <c r="JA317" s="645"/>
      <c r="JB317" s="645"/>
      <c r="JC317" s="645"/>
      <c r="JD317" s="645"/>
      <c r="JE317" s="645"/>
      <c r="JF317" s="645"/>
      <c r="JG317" s="645"/>
      <c r="JH317" s="645"/>
      <c r="JI317" s="645"/>
      <c r="JJ317" s="645"/>
      <c r="JK317" s="645"/>
      <c r="JL317" s="645"/>
      <c r="JM317" s="645"/>
      <c r="JN317" s="645"/>
      <c r="JO317" s="645"/>
      <c r="JP317" s="645"/>
      <c r="JQ317" s="645"/>
      <c r="JR317" s="645"/>
      <c r="JS317" s="645"/>
      <c r="JT317" s="645"/>
      <c r="JU317" s="645"/>
      <c r="JV317" s="653"/>
    </row>
    <row r="318" spans="1:282" s="612" customFormat="1">
      <c r="A318" s="611"/>
      <c r="U318" s="613"/>
      <c r="V318" s="613"/>
      <c r="AC318" s="613"/>
      <c r="AD318" s="613"/>
      <c r="AL318" s="613"/>
      <c r="AM318" s="613"/>
      <c r="AT318" s="613"/>
      <c r="AU318" s="613"/>
      <c r="CH318" s="611"/>
      <c r="CI318" s="611"/>
      <c r="CO318" s="695"/>
      <c r="CP318" s="645"/>
      <c r="CQ318" s="618"/>
      <c r="CR318" s="618"/>
      <c r="CS318" s="618"/>
      <c r="CT318" s="626"/>
      <c r="CU318" s="626"/>
      <c r="CV318" s="626"/>
      <c r="CW318" s="646"/>
      <c r="CX318" s="646"/>
      <c r="CY318" s="625"/>
      <c r="CZ318" s="625"/>
      <c r="DA318" s="625"/>
      <c r="DB318" s="625"/>
      <c r="DC318" s="645"/>
      <c r="DD318" s="645"/>
      <c r="DE318" s="645"/>
      <c r="DF318" s="645"/>
      <c r="DG318" s="645"/>
      <c r="DH318" s="645"/>
      <c r="DI318" s="645"/>
      <c r="DJ318" s="645"/>
      <c r="DK318" s="645"/>
      <c r="DL318" s="645"/>
      <c r="DM318" s="645"/>
      <c r="DN318" s="645"/>
      <c r="DO318" s="645"/>
      <c r="DP318" s="645"/>
      <c r="DQ318" s="645"/>
      <c r="DR318" s="645"/>
      <c r="DS318" s="645"/>
      <c r="DT318" s="645"/>
      <c r="DU318" s="645"/>
      <c r="DV318" s="645"/>
      <c r="DW318" s="645"/>
      <c r="DX318" s="645"/>
      <c r="DY318" s="645"/>
      <c r="DZ318" s="645"/>
      <c r="EA318" s="645"/>
      <c r="EB318" s="645"/>
      <c r="EC318" s="645"/>
      <c r="ED318" s="645"/>
      <c r="EE318" s="645"/>
      <c r="EF318" s="645"/>
      <c r="EG318" s="645"/>
      <c r="EH318" s="645"/>
      <c r="EI318" s="645"/>
      <c r="EJ318" s="645"/>
      <c r="EK318" s="645"/>
      <c r="EL318" s="645"/>
      <c r="EM318" s="645"/>
      <c r="EN318" s="645"/>
      <c r="EO318" s="645"/>
      <c r="EP318" s="645"/>
      <c r="EQ318" s="645"/>
      <c r="ER318" s="645"/>
      <c r="ES318" s="645"/>
      <c r="ET318" s="645"/>
      <c r="EU318" s="645"/>
      <c r="EV318" s="645"/>
      <c r="EW318" s="645"/>
      <c r="EX318" s="645"/>
      <c r="EY318" s="645"/>
      <c r="EZ318" s="645"/>
      <c r="FA318" s="645"/>
      <c r="FB318" s="645"/>
      <c r="FC318" s="645"/>
      <c r="FD318" s="645"/>
      <c r="FE318" s="645"/>
      <c r="FF318" s="645"/>
      <c r="FG318" s="645"/>
      <c r="FH318" s="645"/>
      <c r="FI318" s="645"/>
      <c r="FJ318" s="645"/>
      <c r="FK318" s="645"/>
      <c r="FL318" s="645"/>
      <c r="FM318" s="645"/>
      <c r="FN318" s="645"/>
      <c r="FO318" s="645"/>
      <c r="FP318" s="645"/>
      <c r="FQ318" s="645"/>
      <c r="FR318" s="645"/>
      <c r="FS318" s="645"/>
      <c r="FT318" s="645"/>
      <c r="FU318" s="645"/>
      <c r="FV318" s="645"/>
      <c r="FW318" s="645"/>
      <c r="FX318" s="645"/>
      <c r="FY318" s="645"/>
      <c r="FZ318" s="645"/>
      <c r="GA318" s="645"/>
      <c r="GB318" s="645"/>
      <c r="GC318" s="645"/>
      <c r="GD318" s="645"/>
      <c r="GE318" s="645"/>
      <c r="GF318" s="645"/>
      <c r="GG318" s="645"/>
      <c r="GH318" s="645"/>
      <c r="GI318" s="645"/>
      <c r="GJ318" s="645"/>
      <c r="GK318" s="645"/>
      <c r="GL318" s="645"/>
      <c r="GM318" s="645"/>
      <c r="GN318" s="645"/>
      <c r="GO318" s="645"/>
      <c r="GP318" s="645"/>
      <c r="GQ318" s="645"/>
      <c r="GR318" s="645"/>
      <c r="GS318" s="645"/>
      <c r="GT318" s="645"/>
      <c r="GU318" s="645"/>
      <c r="GV318" s="645"/>
      <c r="GW318" s="645"/>
      <c r="GX318" s="645"/>
      <c r="GY318" s="645"/>
      <c r="GZ318" s="645"/>
      <c r="HA318" s="645"/>
      <c r="HB318" s="645"/>
      <c r="HC318" s="645"/>
      <c r="HD318" s="645"/>
      <c r="HE318" s="645"/>
      <c r="HF318" s="645"/>
      <c r="HG318" s="645"/>
      <c r="HH318" s="645"/>
      <c r="HI318" s="645"/>
      <c r="HJ318" s="645"/>
      <c r="HK318" s="645"/>
      <c r="HL318" s="645"/>
      <c r="HM318" s="645"/>
      <c r="HN318" s="645"/>
      <c r="HO318" s="645"/>
      <c r="HP318" s="645"/>
      <c r="HQ318" s="645"/>
      <c r="HR318" s="645">
        <v>0.1575</v>
      </c>
      <c r="HS318" s="645">
        <f t="shared" si="794"/>
        <v>1057.5</v>
      </c>
      <c r="HT318" s="645">
        <f t="shared" si="795"/>
        <v>1</v>
      </c>
      <c r="HU318" s="618">
        <f t="shared" si="796"/>
        <v>4.0123390754836024</v>
      </c>
      <c r="HV318" s="618"/>
      <c r="HW318" s="618">
        <f t="shared" si="781"/>
        <v>30.302478512813284</v>
      </c>
      <c r="HX318" s="618">
        <f t="shared" si="797"/>
        <v>3.6938257277601325</v>
      </c>
      <c r="HY318" s="618">
        <f t="shared" si="798"/>
        <v>0.1575</v>
      </c>
      <c r="HZ318" s="618"/>
      <c r="IA318" s="618"/>
      <c r="IB318" s="618">
        <f t="shared" si="782"/>
        <v>25.000350341399081</v>
      </c>
      <c r="IC318" s="618">
        <f t="shared" si="783"/>
        <v>1E-3</v>
      </c>
      <c r="ID318" s="618"/>
      <c r="IE318" s="618">
        <f t="shared" si="784"/>
        <v>0</v>
      </c>
      <c r="IF318" s="618">
        <f t="shared" si="785"/>
        <v>40.704999999999998</v>
      </c>
      <c r="IG318" s="618"/>
      <c r="IH318" s="618">
        <f t="shared" si="786"/>
        <v>0</v>
      </c>
      <c r="II318" s="618">
        <f t="shared" si="787"/>
        <v>40.704999999999998</v>
      </c>
      <c r="IJ318" s="618"/>
      <c r="IK318" s="618">
        <f t="shared" si="788"/>
        <v>0</v>
      </c>
      <c r="IL318" s="618">
        <f t="shared" si="789"/>
        <v>40.704999999999998</v>
      </c>
      <c r="IM318" s="618"/>
      <c r="IN318" s="618">
        <f t="shared" si="790"/>
        <v>0</v>
      </c>
      <c r="IO318" s="618">
        <f t="shared" si="791"/>
        <v>40.704999999999998</v>
      </c>
      <c r="IP318" s="618"/>
      <c r="IQ318" s="618">
        <f t="shared" si="792"/>
        <v>0</v>
      </c>
      <c r="IR318" s="618">
        <f t="shared" si="793"/>
        <v>40.704999999999998</v>
      </c>
      <c r="IS318" s="645"/>
      <c r="IT318" s="645"/>
      <c r="IU318" s="645"/>
      <c r="IV318" s="645"/>
      <c r="IW318" s="645"/>
      <c r="IX318" s="645"/>
      <c r="IY318" s="645"/>
      <c r="IZ318" s="645"/>
      <c r="JA318" s="645"/>
      <c r="JB318" s="645"/>
      <c r="JC318" s="645"/>
      <c r="JD318" s="645"/>
      <c r="JE318" s="645"/>
      <c r="JF318" s="645"/>
      <c r="JG318" s="645"/>
      <c r="JH318" s="645"/>
      <c r="JI318" s="645"/>
      <c r="JJ318" s="645"/>
      <c r="JK318" s="645"/>
      <c r="JL318" s="645"/>
      <c r="JM318" s="645"/>
      <c r="JN318" s="645"/>
      <c r="JO318" s="645"/>
      <c r="JP318" s="645"/>
      <c r="JQ318" s="645"/>
      <c r="JR318" s="645"/>
      <c r="JS318" s="645"/>
      <c r="JT318" s="645"/>
      <c r="JU318" s="645"/>
      <c r="JV318" s="653"/>
    </row>
    <row r="319" spans="1:282" s="612" customFormat="1">
      <c r="A319" s="611"/>
      <c r="U319" s="613"/>
      <c r="V319" s="613"/>
      <c r="AC319" s="613"/>
      <c r="AD319" s="613"/>
      <c r="AL319" s="613"/>
      <c r="AM319" s="613"/>
      <c r="AT319" s="613"/>
      <c r="AU319" s="613"/>
      <c r="CH319" s="611"/>
      <c r="CI319" s="611"/>
      <c r="CO319" s="695"/>
      <c r="CP319" s="645"/>
      <c r="CQ319" s="618"/>
      <c r="CR319" s="618"/>
      <c r="CS319" s="618"/>
      <c r="CT319" s="626"/>
      <c r="CU319" s="626"/>
      <c r="CV319" s="626"/>
      <c r="CW319" s="646"/>
      <c r="CX319" s="646"/>
      <c r="CY319" s="625"/>
      <c r="CZ319" s="625"/>
      <c r="DA319" s="625"/>
      <c r="DB319" s="625"/>
      <c r="DC319" s="645"/>
      <c r="DD319" s="645"/>
      <c r="DE319" s="645"/>
      <c r="DF319" s="645"/>
      <c r="DG319" s="645"/>
      <c r="DH319" s="645"/>
      <c r="DI319" s="645"/>
      <c r="DJ319" s="645"/>
      <c r="DK319" s="645"/>
      <c r="DL319" s="645"/>
      <c r="DM319" s="645"/>
      <c r="DN319" s="645"/>
      <c r="DO319" s="645"/>
      <c r="DP319" s="645"/>
      <c r="DQ319" s="645"/>
      <c r="DR319" s="645"/>
      <c r="DS319" s="645"/>
      <c r="DT319" s="645"/>
      <c r="DU319" s="645"/>
      <c r="DV319" s="645"/>
      <c r="DW319" s="645"/>
      <c r="DX319" s="645"/>
      <c r="DY319" s="645"/>
      <c r="DZ319" s="645"/>
      <c r="EA319" s="645"/>
      <c r="EB319" s="645"/>
      <c r="EC319" s="645"/>
      <c r="ED319" s="645"/>
      <c r="EE319" s="645"/>
      <c r="EF319" s="645"/>
      <c r="EG319" s="645"/>
      <c r="EH319" s="645"/>
      <c r="EI319" s="645"/>
      <c r="EJ319" s="645"/>
      <c r="EK319" s="645"/>
      <c r="EL319" s="645"/>
      <c r="EM319" s="645"/>
      <c r="EN319" s="645"/>
      <c r="EO319" s="645"/>
      <c r="EP319" s="645"/>
      <c r="EQ319" s="645"/>
      <c r="ER319" s="645"/>
      <c r="ES319" s="645"/>
      <c r="ET319" s="645"/>
      <c r="EU319" s="645"/>
      <c r="EV319" s="645"/>
      <c r="EW319" s="645"/>
      <c r="EX319" s="645"/>
      <c r="EY319" s="645"/>
      <c r="EZ319" s="645"/>
      <c r="FA319" s="645"/>
      <c r="FB319" s="645"/>
      <c r="FC319" s="645"/>
      <c r="FD319" s="645"/>
      <c r="FE319" s="645"/>
      <c r="FF319" s="645"/>
      <c r="FG319" s="645"/>
      <c r="FH319" s="645"/>
      <c r="FI319" s="645"/>
      <c r="FJ319" s="645"/>
      <c r="FK319" s="645"/>
      <c r="FL319" s="645"/>
      <c r="FM319" s="645"/>
      <c r="FN319" s="645"/>
      <c r="FO319" s="645"/>
      <c r="FP319" s="645"/>
      <c r="FQ319" s="645"/>
      <c r="FR319" s="645"/>
      <c r="FS319" s="645"/>
      <c r="FT319" s="645"/>
      <c r="FU319" s="645"/>
      <c r="FV319" s="645"/>
      <c r="FW319" s="645"/>
      <c r="FX319" s="645"/>
      <c r="FY319" s="645"/>
      <c r="FZ319" s="645"/>
      <c r="GA319" s="645"/>
      <c r="GB319" s="645"/>
      <c r="GC319" s="645"/>
      <c r="GD319" s="645"/>
      <c r="GE319" s="645"/>
      <c r="GF319" s="645"/>
      <c r="GG319" s="645"/>
      <c r="GH319" s="645"/>
      <c r="GI319" s="645"/>
      <c r="GJ319" s="645"/>
      <c r="GK319" s="645"/>
      <c r="GL319" s="645"/>
      <c r="GM319" s="645"/>
      <c r="GN319" s="645"/>
      <c r="GO319" s="645"/>
      <c r="GP319" s="645"/>
      <c r="GQ319" s="645"/>
      <c r="GR319" s="645"/>
      <c r="GS319" s="645"/>
      <c r="GT319" s="645"/>
      <c r="GU319" s="645"/>
      <c r="GV319" s="645"/>
      <c r="GW319" s="645"/>
      <c r="GX319" s="645"/>
      <c r="GY319" s="645"/>
      <c r="GZ319" s="645"/>
      <c r="HA319" s="645"/>
      <c r="HB319" s="645"/>
      <c r="HC319" s="645"/>
      <c r="HD319" s="645"/>
      <c r="HE319" s="645"/>
      <c r="HF319" s="645"/>
      <c r="HG319" s="645"/>
      <c r="HH319" s="645"/>
      <c r="HI319" s="645"/>
      <c r="HJ319" s="645"/>
      <c r="HK319" s="645"/>
      <c r="HL319" s="645"/>
      <c r="HM319" s="645"/>
      <c r="HN319" s="645"/>
      <c r="HO319" s="645"/>
      <c r="HP319" s="645"/>
      <c r="HQ319" s="645"/>
      <c r="HR319" s="645">
        <v>0.158</v>
      </c>
      <c r="HS319" s="645">
        <f t="shared" si="794"/>
        <v>1060.8571428571429</v>
      </c>
      <c r="HT319" s="645">
        <f t="shared" si="795"/>
        <v>1</v>
      </c>
      <c r="HU319" s="618">
        <f t="shared" si="796"/>
        <v>4.0250781194572269</v>
      </c>
      <c r="HV319" s="618"/>
      <c r="HW319" s="618">
        <f t="shared" si="781"/>
        <v>30.284389070370736</v>
      </c>
      <c r="HX319" s="618">
        <f t="shared" si="797"/>
        <v>3.7045422323179609</v>
      </c>
      <c r="HY319" s="618">
        <f t="shared" si="798"/>
        <v>0.158</v>
      </c>
      <c r="HZ319" s="618"/>
      <c r="IA319" s="618"/>
      <c r="IB319" s="618">
        <f t="shared" si="782"/>
        <v>25.000350341399081</v>
      </c>
      <c r="IC319" s="618">
        <f t="shared" si="783"/>
        <v>1E-3</v>
      </c>
      <c r="ID319" s="618"/>
      <c r="IE319" s="618">
        <f t="shared" si="784"/>
        <v>0</v>
      </c>
      <c r="IF319" s="618">
        <f t="shared" si="785"/>
        <v>40.704999999999998</v>
      </c>
      <c r="IG319" s="618"/>
      <c r="IH319" s="618">
        <f t="shared" si="786"/>
        <v>0</v>
      </c>
      <c r="II319" s="618">
        <f t="shared" si="787"/>
        <v>40.704999999999998</v>
      </c>
      <c r="IJ319" s="618"/>
      <c r="IK319" s="618">
        <f t="shared" si="788"/>
        <v>0</v>
      </c>
      <c r="IL319" s="618">
        <f t="shared" si="789"/>
        <v>40.704999999999998</v>
      </c>
      <c r="IM319" s="618"/>
      <c r="IN319" s="618">
        <f t="shared" si="790"/>
        <v>0</v>
      </c>
      <c r="IO319" s="618">
        <f t="shared" si="791"/>
        <v>40.704999999999998</v>
      </c>
      <c r="IP319" s="618"/>
      <c r="IQ319" s="618">
        <f t="shared" si="792"/>
        <v>0</v>
      </c>
      <c r="IR319" s="618">
        <f t="shared" si="793"/>
        <v>40.704999999999998</v>
      </c>
      <c r="IS319" s="645"/>
      <c r="IT319" s="645"/>
      <c r="IU319" s="645"/>
      <c r="IV319" s="645"/>
      <c r="IW319" s="645"/>
      <c r="IX319" s="645"/>
      <c r="IY319" s="645"/>
      <c r="IZ319" s="645"/>
      <c r="JA319" s="645"/>
      <c r="JB319" s="645"/>
      <c r="JC319" s="645"/>
      <c r="JD319" s="645"/>
      <c r="JE319" s="645"/>
      <c r="JF319" s="645"/>
      <c r="JG319" s="645"/>
      <c r="JH319" s="645"/>
      <c r="JI319" s="645"/>
      <c r="JJ319" s="645"/>
      <c r="JK319" s="645"/>
      <c r="JL319" s="645"/>
      <c r="JM319" s="645"/>
      <c r="JN319" s="645"/>
      <c r="JO319" s="645"/>
      <c r="JP319" s="645"/>
      <c r="JQ319" s="645"/>
      <c r="JR319" s="645"/>
      <c r="JS319" s="645"/>
      <c r="JT319" s="645"/>
      <c r="JU319" s="645"/>
      <c r="JV319" s="653"/>
    </row>
    <row r="320" spans="1:282" s="612" customFormat="1">
      <c r="A320" s="611"/>
      <c r="U320" s="613"/>
      <c r="V320" s="613"/>
      <c r="AC320" s="613"/>
      <c r="AD320" s="613"/>
      <c r="AL320" s="613"/>
      <c r="AM320" s="613"/>
      <c r="AT320" s="613"/>
      <c r="AU320" s="613"/>
      <c r="CH320" s="611"/>
      <c r="CI320" s="611"/>
      <c r="CO320" s="695"/>
      <c r="CP320" s="645"/>
      <c r="CQ320" s="618"/>
      <c r="CR320" s="618"/>
      <c r="CS320" s="618"/>
      <c r="CT320" s="626"/>
      <c r="CU320" s="626"/>
      <c r="CV320" s="626"/>
      <c r="CW320" s="646"/>
      <c r="CX320" s="646"/>
      <c r="CY320" s="625"/>
      <c r="CZ320" s="625"/>
      <c r="DA320" s="625"/>
      <c r="DB320" s="625"/>
      <c r="DC320" s="645"/>
      <c r="DD320" s="645"/>
      <c r="DE320" s="645"/>
      <c r="DF320" s="645"/>
      <c r="DG320" s="645"/>
      <c r="DH320" s="645"/>
      <c r="DI320" s="645"/>
      <c r="DJ320" s="645"/>
      <c r="DK320" s="645"/>
      <c r="DL320" s="645"/>
      <c r="DM320" s="645"/>
      <c r="DN320" s="645"/>
      <c r="DO320" s="645"/>
      <c r="DP320" s="645"/>
      <c r="DQ320" s="645"/>
      <c r="DR320" s="645"/>
      <c r="DS320" s="645"/>
      <c r="DT320" s="645"/>
      <c r="DU320" s="645"/>
      <c r="DV320" s="645"/>
      <c r="DW320" s="645"/>
      <c r="DX320" s="645"/>
      <c r="DY320" s="645"/>
      <c r="DZ320" s="645"/>
      <c r="EA320" s="645"/>
      <c r="EB320" s="645"/>
      <c r="EC320" s="645"/>
      <c r="ED320" s="645"/>
      <c r="EE320" s="645"/>
      <c r="EF320" s="645"/>
      <c r="EG320" s="645"/>
      <c r="EH320" s="645"/>
      <c r="EI320" s="645"/>
      <c r="EJ320" s="645"/>
      <c r="EK320" s="645"/>
      <c r="EL320" s="645"/>
      <c r="EM320" s="645"/>
      <c r="EN320" s="645"/>
      <c r="EO320" s="645"/>
      <c r="EP320" s="645"/>
      <c r="EQ320" s="645"/>
      <c r="ER320" s="645"/>
      <c r="ES320" s="645"/>
      <c r="ET320" s="645"/>
      <c r="EU320" s="645"/>
      <c r="EV320" s="645"/>
      <c r="EW320" s="645"/>
      <c r="EX320" s="645"/>
      <c r="EY320" s="645"/>
      <c r="EZ320" s="645"/>
      <c r="FA320" s="645"/>
      <c r="FB320" s="645"/>
      <c r="FC320" s="645"/>
      <c r="FD320" s="645"/>
      <c r="FE320" s="645"/>
      <c r="FF320" s="645"/>
      <c r="FG320" s="645"/>
      <c r="FH320" s="645"/>
      <c r="FI320" s="645"/>
      <c r="FJ320" s="645"/>
      <c r="FK320" s="645"/>
      <c r="FL320" s="645"/>
      <c r="FM320" s="645"/>
      <c r="FN320" s="645"/>
      <c r="FO320" s="645"/>
      <c r="FP320" s="645"/>
      <c r="FQ320" s="645"/>
      <c r="FR320" s="645"/>
      <c r="FS320" s="645"/>
      <c r="FT320" s="645"/>
      <c r="FU320" s="645"/>
      <c r="FV320" s="645"/>
      <c r="FW320" s="645"/>
      <c r="FX320" s="645"/>
      <c r="FY320" s="645"/>
      <c r="FZ320" s="645"/>
      <c r="GA320" s="645"/>
      <c r="GB320" s="645"/>
      <c r="GC320" s="645"/>
      <c r="GD320" s="645"/>
      <c r="GE320" s="645"/>
      <c r="GF320" s="645"/>
      <c r="GG320" s="645"/>
      <c r="GH320" s="645"/>
      <c r="GI320" s="645"/>
      <c r="GJ320" s="645"/>
      <c r="GK320" s="645"/>
      <c r="GL320" s="645"/>
      <c r="GM320" s="645"/>
      <c r="GN320" s="645"/>
      <c r="GO320" s="645"/>
      <c r="GP320" s="645"/>
      <c r="GQ320" s="645"/>
      <c r="GR320" s="645"/>
      <c r="GS320" s="645"/>
      <c r="GT320" s="645"/>
      <c r="GU320" s="645"/>
      <c r="GV320" s="645"/>
      <c r="GW320" s="645"/>
      <c r="GX320" s="645"/>
      <c r="GY320" s="645"/>
      <c r="GZ320" s="645"/>
      <c r="HA320" s="645"/>
      <c r="HB320" s="645"/>
      <c r="HC320" s="645"/>
      <c r="HD320" s="645"/>
      <c r="HE320" s="645"/>
      <c r="HF320" s="645"/>
      <c r="HG320" s="645"/>
      <c r="HH320" s="645"/>
      <c r="HI320" s="645"/>
      <c r="HJ320" s="645"/>
      <c r="HK320" s="645"/>
      <c r="HL320" s="645"/>
      <c r="HM320" s="645"/>
      <c r="HN320" s="645"/>
      <c r="HO320" s="645"/>
      <c r="HP320" s="645"/>
      <c r="HQ320" s="645"/>
      <c r="HR320" s="645">
        <v>0.1585</v>
      </c>
      <c r="HS320" s="645">
        <f t="shared" si="794"/>
        <v>1064.2142857142858</v>
      </c>
      <c r="HT320" s="645">
        <f t="shared" si="795"/>
        <v>1</v>
      </c>
      <c r="HU320" s="618">
        <f t="shared" si="796"/>
        <v>4.0378171634308515</v>
      </c>
      <c r="HV320" s="618"/>
      <c r="HW320" s="618">
        <f t="shared" si="781"/>
        <v>30.266299627928191</v>
      </c>
      <c r="HX320" s="618">
        <f t="shared" si="797"/>
        <v>3.7152523357034908</v>
      </c>
      <c r="HY320" s="618">
        <f t="shared" si="798"/>
        <v>0.1585</v>
      </c>
      <c r="HZ320" s="618"/>
      <c r="IA320" s="618"/>
      <c r="IB320" s="618">
        <f t="shared" si="782"/>
        <v>25.000350341399081</v>
      </c>
      <c r="IC320" s="618">
        <f t="shared" si="783"/>
        <v>1E-3</v>
      </c>
      <c r="ID320" s="618"/>
      <c r="IE320" s="618">
        <f t="shared" si="784"/>
        <v>0</v>
      </c>
      <c r="IF320" s="618">
        <f t="shared" si="785"/>
        <v>40.704999999999998</v>
      </c>
      <c r="IG320" s="618"/>
      <c r="IH320" s="618">
        <f t="shared" si="786"/>
        <v>0</v>
      </c>
      <c r="II320" s="618">
        <f t="shared" si="787"/>
        <v>40.704999999999998</v>
      </c>
      <c r="IJ320" s="618"/>
      <c r="IK320" s="618">
        <f t="shared" si="788"/>
        <v>0</v>
      </c>
      <c r="IL320" s="618">
        <f t="shared" si="789"/>
        <v>40.704999999999998</v>
      </c>
      <c r="IM320" s="618"/>
      <c r="IN320" s="618">
        <f t="shared" si="790"/>
        <v>0</v>
      </c>
      <c r="IO320" s="618">
        <f t="shared" si="791"/>
        <v>40.704999999999998</v>
      </c>
      <c r="IP320" s="618"/>
      <c r="IQ320" s="618">
        <f t="shared" si="792"/>
        <v>0</v>
      </c>
      <c r="IR320" s="618">
        <f t="shared" si="793"/>
        <v>40.704999999999998</v>
      </c>
      <c r="IS320" s="645"/>
      <c r="IT320" s="645"/>
      <c r="IU320" s="645"/>
      <c r="IV320" s="645"/>
      <c r="IW320" s="645"/>
      <c r="IX320" s="645"/>
      <c r="IY320" s="645"/>
      <c r="IZ320" s="645"/>
      <c r="JA320" s="645"/>
      <c r="JB320" s="645"/>
      <c r="JC320" s="645"/>
      <c r="JD320" s="645"/>
      <c r="JE320" s="645"/>
      <c r="JF320" s="645"/>
      <c r="JG320" s="645"/>
      <c r="JH320" s="645"/>
      <c r="JI320" s="645"/>
      <c r="JJ320" s="645"/>
      <c r="JK320" s="645"/>
      <c r="JL320" s="645"/>
      <c r="JM320" s="645"/>
      <c r="JN320" s="645"/>
      <c r="JO320" s="645"/>
      <c r="JP320" s="645"/>
      <c r="JQ320" s="645"/>
      <c r="JR320" s="645"/>
      <c r="JS320" s="645"/>
      <c r="JT320" s="645"/>
      <c r="JU320" s="645"/>
      <c r="JV320" s="653"/>
    </row>
    <row r="321" spans="1:282" s="612" customFormat="1">
      <c r="A321" s="611"/>
      <c r="U321" s="613"/>
      <c r="V321" s="613"/>
      <c r="AC321" s="613"/>
      <c r="AD321" s="613"/>
      <c r="AL321" s="613"/>
      <c r="AM321" s="613"/>
      <c r="AT321" s="613"/>
      <c r="AU321" s="613"/>
      <c r="CH321" s="611"/>
      <c r="CI321" s="611"/>
      <c r="CO321" s="695"/>
      <c r="CP321" s="645"/>
      <c r="CQ321" s="618"/>
      <c r="CR321" s="618"/>
      <c r="CS321" s="618"/>
      <c r="CT321" s="626"/>
      <c r="CU321" s="626"/>
      <c r="CV321" s="626"/>
      <c r="CW321" s="646"/>
      <c r="CX321" s="646"/>
      <c r="CY321" s="625"/>
      <c r="CZ321" s="625"/>
      <c r="DA321" s="625"/>
      <c r="DB321" s="625"/>
      <c r="DC321" s="645"/>
      <c r="DD321" s="645"/>
      <c r="DE321" s="645"/>
      <c r="DF321" s="645"/>
      <c r="DG321" s="645"/>
      <c r="DH321" s="645"/>
      <c r="DI321" s="645"/>
      <c r="DJ321" s="645"/>
      <c r="DK321" s="645"/>
      <c r="DL321" s="645"/>
      <c r="DM321" s="645"/>
      <c r="DN321" s="645"/>
      <c r="DO321" s="645"/>
      <c r="DP321" s="645"/>
      <c r="DQ321" s="645"/>
      <c r="DR321" s="645"/>
      <c r="DS321" s="645"/>
      <c r="DT321" s="645"/>
      <c r="DU321" s="645"/>
      <c r="DV321" s="645"/>
      <c r="DW321" s="645"/>
      <c r="DX321" s="645"/>
      <c r="DY321" s="645"/>
      <c r="DZ321" s="645"/>
      <c r="EA321" s="645"/>
      <c r="EB321" s="645"/>
      <c r="EC321" s="645"/>
      <c r="ED321" s="645"/>
      <c r="EE321" s="645"/>
      <c r="EF321" s="645"/>
      <c r="EG321" s="645"/>
      <c r="EH321" s="645"/>
      <c r="EI321" s="645"/>
      <c r="EJ321" s="645"/>
      <c r="EK321" s="645"/>
      <c r="EL321" s="645"/>
      <c r="EM321" s="645"/>
      <c r="EN321" s="645"/>
      <c r="EO321" s="645"/>
      <c r="EP321" s="645"/>
      <c r="EQ321" s="645"/>
      <c r="ER321" s="645"/>
      <c r="ES321" s="645"/>
      <c r="ET321" s="645"/>
      <c r="EU321" s="645"/>
      <c r="EV321" s="645"/>
      <c r="EW321" s="645"/>
      <c r="EX321" s="645"/>
      <c r="EY321" s="645"/>
      <c r="EZ321" s="645"/>
      <c r="FA321" s="645"/>
      <c r="FB321" s="645"/>
      <c r="FC321" s="645"/>
      <c r="FD321" s="645"/>
      <c r="FE321" s="645"/>
      <c r="FF321" s="645"/>
      <c r="FG321" s="645"/>
      <c r="FH321" s="645"/>
      <c r="FI321" s="645"/>
      <c r="FJ321" s="645"/>
      <c r="FK321" s="645"/>
      <c r="FL321" s="645"/>
      <c r="FM321" s="645"/>
      <c r="FN321" s="645"/>
      <c r="FO321" s="645"/>
      <c r="FP321" s="645"/>
      <c r="FQ321" s="645"/>
      <c r="FR321" s="645"/>
      <c r="FS321" s="645"/>
      <c r="FT321" s="645"/>
      <c r="FU321" s="645"/>
      <c r="FV321" s="645"/>
      <c r="FW321" s="645"/>
      <c r="FX321" s="645"/>
      <c r="FY321" s="645"/>
      <c r="FZ321" s="645"/>
      <c r="GA321" s="645"/>
      <c r="GB321" s="645"/>
      <c r="GC321" s="645"/>
      <c r="GD321" s="645"/>
      <c r="GE321" s="645"/>
      <c r="GF321" s="645"/>
      <c r="GG321" s="645"/>
      <c r="GH321" s="645"/>
      <c r="GI321" s="645"/>
      <c r="GJ321" s="645"/>
      <c r="GK321" s="645"/>
      <c r="GL321" s="645"/>
      <c r="GM321" s="645"/>
      <c r="GN321" s="645"/>
      <c r="GO321" s="645"/>
      <c r="GP321" s="645"/>
      <c r="GQ321" s="645"/>
      <c r="GR321" s="645"/>
      <c r="GS321" s="645"/>
      <c r="GT321" s="645"/>
      <c r="GU321" s="645"/>
      <c r="GV321" s="645"/>
      <c r="GW321" s="645"/>
      <c r="GX321" s="645"/>
      <c r="GY321" s="645"/>
      <c r="GZ321" s="645"/>
      <c r="HA321" s="645"/>
      <c r="HB321" s="645"/>
      <c r="HC321" s="645"/>
      <c r="HD321" s="645"/>
      <c r="HE321" s="645"/>
      <c r="HF321" s="645"/>
      <c r="HG321" s="645"/>
      <c r="HH321" s="645"/>
      <c r="HI321" s="645"/>
      <c r="HJ321" s="645"/>
      <c r="HK321" s="645"/>
      <c r="HL321" s="645"/>
      <c r="HM321" s="645"/>
      <c r="HN321" s="645"/>
      <c r="HO321" s="645"/>
      <c r="HP321" s="645"/>
      <c r="HQ321" s="645"/>
      <c r="HR321" s="645">
        <v>0.159</v>
      </c>
      <c r="HS321" s="645">
        <f t="shared" si="794"/>
        <v>1067.5714285714287</v>
      </c>
      <c r="HT321" s="645">
        <f t="shared" si="795"/>
        <v>1</v>
      </c>
      <c r="HU321" s="618">
        <f t="shared" si="796"/>
        <v>4.0505562074044761</v>
      </c>
      <c r="HV321" s="618"/>
      <c r="HW321" s="618">
        <f t="shared" si="781"/>
        <v>30.248210185485643</v>
      </c>
      <c r="HX321" s="618">
        <f t="shared" si="797"/>
        <v>3.7259560379167227</v>
      </c>
      <c r="HY321" s="618">
        <f t="shared" si="798"/>
        <v>0.159</v>
      </c>
      <c r="HZ321" s="618"/>
      <c r="IA321" s="618"/>
      <c r="IB321" s="618">
        <f t="shared" si="782"/>
        <v>25.000350341399081</v>
      </c>
      <c r="IC321" s="618">
        <f t="shared" si="783"/>
        <v>1E-3</v>
      </c>
      <c r="ID321" s="618"/>
      <c r="IE321" s="618">
        <f t="shared" si="784"/>
        <v>0</v>
      </c>
      <c r="IF321" s="618">
        <f t="shared" si="785"/>
        <v>40.704999999999998</v>
      </c>
      <c r="IG321" s="618"/>
      <c r="IH321" s="618">
        <f t="shared" si="786"/>
        <v>0</v>
      </c>
      <c r="II321" s="618">
        <f t="shared" si="787"/>
        <v>40.704999999999998</v>
      </c>
      <c r="IJ321" s="618"/>
      <c r="IK321" s="618">
        <f t="shared" si="788"/>
        <v>0</v>
      </c>
      <c r="IL321" s="618">
        <f t="shared" si="789"/>
        <v>40.704999999999998</v>
      </c>
      <c r="IM321" s="618"/>
      <c r="IN321" s="618">
        <f t="shared" si="790"/>
        <v>0</v>
      </c>
      <c r="IO321" s="618">
        <f t="shared" si="791"/>
        <v>40.704999999999998</v>
      </c>
      <c r="IP321" s="618"/>
      <c r="IQ321" s="618">
        <f t="shared" si="792"/>
        <v>0</v>
      </c>
      <c r="IR321" s="618">
        <f t="shared" si="793"/>
        <v>40.704999999999998</v>
      </c>
      <c r="IS321" s="645"/>
      <c r="IT321" s="645"/>
      <c r="IU321" s="645"/>
      <c r="IV321" s="645"/>
      <c r="IW321" s="645"/>
      <c r="IX321" s="645"/>
      <c r="IY321" s="645"/>
      <c r="IZ321" s="645"/>
      <c r="JA321" s="645"/>
      <c r="JB321" s="645"/>
      <c r="JC321" s="645"/>
      <c r="JD321" s="645"/>
      <c r="JE321" s="645"/>
      <c r="JF321" s="645"/>
      <c r="JG321" s="645"/>
      <c r="JH321" s="645"/>
      <c r="JI321" s="645"/>
      <c r="JJ321" s="645"/>
      <c r="JK321" s="645"/>
      <c r="JL321" s="645"/>
      <c r="JM321" s="645"/>
      <c r="JN321" s="645"/>
      <c r="JO321" s="645"/>
      <c r="JP321" s="645"/>
      <c r="JQ321" s="645"/>
      <c r="JR321" s="645"/>
      <c r="JS321" s="645"/>
      <c r="JT321" s="645"/>
      <c r="JU321" s="645"/>
      <c r="JV321" s="653"/>
    </row>
    <row r="322" spans="1:282" s="612" customFormat="1">
      <c r="A322" s="611"/>
      <c r="U322" s="613"/>
      <c r="V322" s="613"/>
      <c r="AC322" s="613"/>
      <c r="AD322" s="613"/>
      <c r="AL322" s="613"/>
      <c r="AM322" s="613"/>
      <c r="AT322" s="613"/>
      <c r="AU322" s="613"/>
      <c r="CH322" s="611"/>
      <c r="CI322" s="611"/>
      <c r="CO322" s="695"/>
      <c r="CP322" s="645"/>
      <c r="CQ322" s="618"/>
      <c r="CR322" s="618"/>
      <c r="CS322" s="618"/>
      <c r="CT322" s="626"/>
      <c r="CU322" s="626"/>
      <c r="CV322" s="626"/>
      <c r="CW322" s="646"/>
      <c r="CX322" s="646"/>
      <c r="CY322" s="625"/>
      <c r="CZ322" s="625"/>
      <c r="DA322" s="625"/>
      <c r="DB322" s="625"/>
      <c r="DC322" s="645"/>
      <c r="DD322" s="645"/>
      <c r="DE322" s="645"/>
      <c r="DF322" s="645"/>
      <c r="DG322" s="645"/>
      <c r="DH322" s="645"/>
      <c r="DI322" s="645"/>
      <c r="DJ322" s="645"/>
      <c r="DK322" s="645"/>
      <c r="DL322" s="645"/>
      <c r="DM322" s="645"/>
      <c r="DN322" s="645"/>
      <c r="DO322" s="645"/>
      <c r="DP322" s="645"/>
      <c r="DQ322" s="645"/>
      <c r="DR322" s="645"/>
      <c r="DS322" s="645"/>
      <c r="DT322" s="645"/>
      <c r="DU322" s="645"/>
      <c r="DV322" s="645"/>
      <c r="DW322" s="645"/>
      <c r="DX322" s="645"/>
      <c r="DY322" s="645"/>
      <c r="DZ322" s="645"/>
      <c r="EA322" s="645"/>
      <c r="EB322" s="645"/>
      <c r="EC322" s="645"/>
      <c r="ED322" s="645"/>
      <c r="EE322" s="645"/>
      <c r="EF322" s="645"/>
      <c r="EG322" s="645"/>
      <c r="EH322" s="645"/>
      <c r="EI322" s="645"/>
      <c r="EJ322" s="645"/>
      <c r="EK322" s="645"/>
      <c r="EL322" s="645"/>
      <c r="EM322" s="645"/>
      <c r="EN322" s="645"/>
      <c r="EO322" s="645"/>
      <c r="EP322" s="645"/>
      <c r="EQ322" s="645"/>
      <c r="ER322" s="645"/>
      <c r="ES322" s="645"/>
      <c r="ET322" s="645"/>
      <c r="EU322" s="645"/>
      <c r="EV322" s="645"/>
      <c r="EW322" s="645"/>
      <c r="EX322" s="645"/>
      <c r="EY322" s="645"/>
      <c r="EZ322" s="645"/>
      <c r="FA322" s="645"/>
      <c r="FB322" s="645"/>
      <c r="FC322" s="645"/>
      <c r="FD322" s="645"/>
      <c r="FE322" s="645"/>
      <c r="FF322" s="645"/>
      <c r="FG322" s="645"/>
      <c r="FH322" s="645"/>
      <c r="FI322" s="645"/>
      <c r="FJ322" s="645"/>
      <c r="FK322" s="645"/>
      <c r="FL322" s="645"/>
      <c r="FM322" s="645"/>
      <c r="FN322" s="645"/>
      <c r="FO322" s="645"/>
      <c r="FP322" s="645"/>
      <c r="FQ322" s="645"/>
      <c r="FR322" s="645"/>
      <c r="FS322" s="645"/>
      <c r="FT322" s="645"/>
      <c r="FU322" s="645"/>
      <c r="FV322" s="645"/>
      <c r="FW322" s="645"/>
      <c r="FX322" s="645"/>
      <c r="FY322" s="645"/>
      <c r="FZ322" s="645"/>
      <c r="GA322" s="645"/>
      <c r="GB322" s="645"/>
      <c r="GC322" s="645"/>
      <c r="GD322" s="645"/>
      <c r="GE322" s="645"/>
      <c r="GF322" s="645"/>
      <c r="GG322" s="645"/>
      <c r="GH322" s="645"/>
      <c r="GI322" s="645"/>
      <c r="GJ322" s="645"/>
      <c r="GK322" s="645"/>
      <c r="GL322" s="645"/>
      <c r="GM322" s="645"/>
      <c r="GN322" s="645"/>
      <c r="GO322" s="645"/>
      <c r="GP322" s="645"/>
      <c r="GQ322" s="645"/>
      <c r="GR322" s="645"/>
      <c r="GS322" s="645"/>
      <c r="GT322" s="645"/>
      <c r="GU322" s="645"/>
      <c r="GV322" s="645"/>
      <c r="GW322" s="645"/>
      <c r="GX322" s="645"/>
      <c r="GY322" s="645"/>
      <c r="GZ322" s="645"/>
      <c r="HA322" s="645"/>
      <c r="HB322" s="645"/>
      <c r="HC322" s="645"/>
      <c r="HD322" s="645"/>
      <c r="HE322" s="645"/>
      <c r="HF322" s="645"/>
      <c r="HG322" s="645"/>
      <c r="HH322" s="645"/>
      <c r="HI322" s="645"/>
      <c r="HJ322" s="645"/>
      <c r="HK322" s="645"/>
      <c r="HL322" s="645"/>
      <c r="HM322" s="645"/>
      <c r="HN322" s="645"/>
      <c r="HO322" s="645"/>
      <c r="HP322" s="645"/>
      <c r="HQ322" s="645"/>
      <c r="HR322" s="645">
        <v>0.1595</v>
      </c>
      <c r="HS322" s="645">
        <f t="shared" si="794"/>
        <v>1070.9285714285713</v>
      </c>
      <c r="HT322" s="645">
        <f t="shared" si="795"/>
        <v>1</v>
      </c>
      <c r="HU322" s="618">
        <f t="shared" si="796"/>
        <v>4.0632952513781007</v>
      </c>
      <c r="HV322" s="618"/>
      <c r="HW322" s="618">
        <f t="shared" si="781"/>
        <v>30.230120743043098</v>
      </c>
      <c r="HX322" s="618">
        <f t="shared" si="797"/>
        <v>3.7366533389576566</v>
      </c>
      <c r="HY322" s="618">
        <f t="shared" si="798"/>
        <v>0.1595</v>
      </c>
      <c r="HZ322" s="618"/>
      <c r="IA322" s="618"/>
      <c r="IB322" s="618">
        <f t="shared" si="782"/>
        <v>25.000350341399081</v>
      </c>
      <c r="IC322" s="618">
        <f t="shared" si="783"/>
        <v>1E-3</v>
      </c>
      <c r="ID322" s="618"/>
      <c r="IE322" s="618">
        <f t="shared" si="784"/>
        <v>0</v>
      </c>
      <c r="IF322" s="618">
        <f t="shared" si="785"/>
        <v>40.704999999999998</v>
      </c>
      <c r="IG322" s="618"/>
      <c r="IH322" s="618">
        <f t="shared" si="786"/>
        <v>0</v>
      </c>
      <c r="II322" s="618">
        <f t="shared" si="787"/>
        <v>40.704999999999998</v>
      </c>
      <c r="IJ322" s="618"/>
      <c r="IK322" s="618">
        <f t="shared" si="788"/>
        <v>0</v>
      </c>
      <c r="IL322" s="618">
        <f t="shared" si="789"/>
        <v>40.704999999999998</v>
      </c>
      <c r="IM322" s="618"/>
      <c r="IN322" s="618">
        <f t="shared" si="790"/>
        <v>0</v>
      </c>
      <c r="IO322" s="618">
        <f t="shared" si="791"/>
        <v>40.704999999999998</v>
      </c>
      <c r="IP322" s="618"/>
      <c r="IQ322" s="618">
        <f t="shared" si="792"/>
        <v>0</v>
      </c>
      <c r="IR322" s="618">
        <f t="shared" si="793"/>
        <v>40.704999999999998</v>
      </c>
      <c r="IS322" s="645"/>
      <c r="IT322" s="645"/>
      <c r="IU322" s="645"/>
      <c r="IV322" s="645"/>
      <c r="IW322" s="645"/>
      <c r="IX322" s="645"/>
      <c r="IY322" s="645"/>
      <c r="IZ322" s="645"/>
      <c r="JA322" s="645"/>
      <c r="JB322" s="645"/>
      <c r="JC322" s="645"/>
      <c r="JD322" s="645"/>
      <c r="JE322" s="645"/>
      <c r="JF322" s="645"/>
      <c r="JG322" s="645"/>
      <c r="JH322" s="645"/>
      <c r="JI322" s="645"/>
      <c r="JJ322" s="645"/>
      <c r="JK322" s="645"/>
      <c r="JL322" s="645"/>
      <c r="JM322" s="645"/>
      <c r="JN322" s="645"/>
      <c r="JO322" s="645"/>
      <c r="JP322" s="645"/>
      <c r="JQ322" s="645"/>
      <c r="JR322" s="645"/>
      <c r="JS322" s="645"/>
      <c r="JT322" s="645"/>
      <c r="JU322" s="645"/>
      <c r="JV322" s="653"/>
    </row>
    <row r="323" spans="1:282" s="612" customFormat="1">
      <c r="A323" s="611"/>
      <c r="U323" s="613"/>
      <c r="V323" s="613"/>
      <c r="AC323" s="613"/>
      <c r="AD323" s="613"/>
      <c r="AL323" s="613"/>
      <c r="AM323" s="613"/>
      <c r="AT323" s="613"/>
      <c r="AU323" s="613"/>
      <c r="CH323" s="611"/>
      <c r="CI323" s="611"/>
      <c r="CO323" s="695"/>
      <c r="CP323" s="645"/>
      <c r="CQ323" s="618"/>
      <c r="CR323" s="618"/>
      <c r="CS323" s="618"/>
      <c r="CT323" s="626"/>
      <c r="CU323" s="626"/>
      <c r="CV323" s="626"/>
      <c r="CW323" s="646"/>
      <c r="CX323" s="646"/>
      <c r="CY323" s="625"/>
      <c r="CZ323" s="625"/>
      <c r="DA323" s="625"/>
      <c r="DB323" s="625"/>
      <c r="DC323" s="645"/>
      <c r="DD323" s="645"/>
      <c r="DE323" s="645"/>
      <c r="DF323" s="645"/>
      <c r="DG323" s="645"/>
      <c r="DH323" s="645"/>
      <c r="DI323" s="645"/>
      <c r="DJ323" s="645"/>
      <c r="DK323" s="645"/>
      <c r="DL323" s="645"/>
      <c r="DM323" s="645"/>
      <c r="DN323" s="645"/>
      <c r="DO323" s="645"/>
      <c r="DP323" s="645"/>
      <c r="DQ323" s="645"/>
      <c r="DR323" s="645"/>
      <c r="DS323" s="645"/>
      <c r="DT323" s="645"/>
      <c r="DU323" s="645"/>
      <c r="DV323" s="645"/>
      <c r="DW323" s="645"/>
      <c r="DX323" s="645"/>
      <c r="DY323" s="645"/>
      <c r="DZ323" s="645"/>
      <c r="EA323" s="645"/>
      <c r="EB323" s="645"/>
      <c r="EC323" s="645"/>
      <c r="ED323" s="645"/>
      <c r="EE323" s="645"/>
      <c r="EF323" s="645"/>
      <c r="EG323" s="645"/>
      <c r="EH323" s="645"/>
      <c r="EI323" s="645"/>
      <c r="EJ323" s="645"/>
      <c r="EK323" s="645"/>
      <c r="EL323" s="645"/>
      <c r="EM323" s="645"/>
      <c r="EN323" s="645"/>
      <c r="EO323" s="645"/>
      <c r="EP323" s="645"/>
      <c r="EQ323" s="645"/>
      <c r="ER323" s="645"/>
      <c r="ES323" s="645"/>
      <c r="ET323" s="645"/>
      <c r="EU323" s="645"/>
      <c r="EV323" s="645"/>
      <c r="EW323" s="645"/>
      <c r="EX323" s="645"/>
      <c r="EY323" s="645"/>
      <c r="EZ323" s="645"/>
      <c r="FA323" s="645"/>
      <c r="FB323" s="645"/>
      <c r="FC323" s="645"/>
      <c r="FD323" s="645"/>
      <c r="FE323" s="645"/>
      <c r="FF323" s="645"/>
      <c r="FG323" s="645"/>
      <c r="FH323" s="645"/>
      <c r="FI323" s="645"/>
      <c r="FJ323" s="645"/>
      <c r="FK323" s="645"/>
      <c r="FL323" s="645"/>
      <c r="FM323" s="645"/>
      <c r="FN323" s="645"/>
      <c r="FO323" s="645"/>
      <c r="FP323" s="645"/>
      <c r="FQ323" s="645"/>
      <c r="FR323" s="645"/>
      <c r="FS323" s="645"/>
      <c r="FT323" s="645"/>
      <c r="FU323" s="645"/>
      <c r="FV323" s="645"/>
      <c r="FW323" s="645"/>
      <c r="FX323" s="645"/>
      <c r="FY323" s="645"/>
      <c r="FZ323" s="645"/>
      <c r="GA323" s="645"/>
      <c r="GB323" s="645"/>
      <c r="GC323" s="645"/>
      <c r="GD323" s="645"/>
      <c r="GE323" s="645"/>
      <c r="GF323" s="645"/>
      <c r="GG323" s="645"/>
      <c r="GH323" s="645"/>
      <c r="GI323" s="645"/>
      <c r="GJ323" s="645"/>
      <c r="GK323" s="645"/>
      <c r="GL323" s="645"/>
      <c r="GM323" s="645"/>
      <c r="GN323" s="645"/>
      <c r="GO323" s="645"/>
      <c r="GP323" s="645"/>
      <c r="GQ323" s="645"/>
      <c r="GR323" s="645"/>
      <c r="GS323" s="645"/>
      <c r="GT323" s="645"/>
      <c r="GU323" s="645"/>
      <c r="GV323" s="645"/>
      <c r="GW323" s="645"/>
      <c r="GX323" s="645"/>
      <c r="GY323" s="645"/>
      <c r="GZ323" s="645"/>
      <c r="HA323" s="645"/>
      <c r="HB323" s="645"/>
      <c r="HC323" s="645"/>
      <c r="HD323" s="645"/>
      <c r="HE323" s="645"/>
      <c r="HF323" s="645"/>
      <c r="HG323" s="645"/>
      <c r="HH323" s="645"/>
      <c r="HI323" s="645"/>
      <c r="HJ323" s="645"/>
      <c r="HK323" s="645"/>
      <c r="HL323" s="645"/>
      <c r="HM323" s="645"/>
      <c r="HN323" s="645"/>
      <c r="HO323" s="645"/>
      <c r="HP323" s="645"/>
      <c r="HQ323" s="645"/>
      <c r="HR323" s="645">
        <v>0.16</v>
      </c>
      <c r="HS323" s="645">
        <f t="shared" si="794"/>
        <v>1074.2857142857142</v>
      </c>
      <c r="HT323" s="645">
        <f t="shared" si="795"/>
        <v>1</v>
      </c>
      <c r="HU323" s="618">
        <f t="shared" si="796"/>
        <v>4.0760342953517252</v>
      </c>
      <c r="HV323" s="618"/>
      <c r="HW323" s="618">
        <f t="shared" si="781"/>
        <v>30.21203130060055</v>
      </c>
      <c r="HX323" s="618">
        <f t="shared" si="797"/>
        <v>3.7473442388262921</v>
      </c>
      <c r="HY323" s="618">
        <f t="shared" si="798"/>
        <v>0.16</v>
      </c>
      <c r="HZ323" s="618"/>
      <c r="IA323" s="618"/>
      <c r="IB323" s="618">
        <f t="shared" si="782"/>
        <v>25.000350341399081</v>
      </c>
      <c r="IC323" s="618">
        <f t="shared" si="783"/>
        <v>1E-3</v>
      </c>
      <c r="ID323" s="618"/>
      <c r="IE323" s="618">
        <f t="shared" si="784"/>
        <v>0</v>
      </c>
      <c r="IF323" s="618">
        <f t="shared" si="785"/>
        <v>40.704999999999998</v>
      </c>
      <c r="IG323" s="618"/>
      <c r="IH323" s="618">
        <f t="shared" si="786"/>
        <v>0</v>
      </c>
      <c r="II323" s="618">
        <f t="shared" si="787"/>
        <v>40.704999999999998</v>
      </c>
      <c r="IJ323" s="618"/>
      <c r="IK323" s="618">
        <f t="shared" si="788"/>
        <v>0</v>
      </c>
      <c r="IL323" s="618">
        <f t="shared" si="789"/>
        <v>40.704999999999998</v>
      </c>
      <c r="IM323" s="618"/>
      <c r="IN323" s="618">
        <f t="shared" si="790"/>
        <v>0</v>
      </c>
      <c r="IO323" s="618">
        <f t="shared" si="791"/>
        <v>40.704999999999998</v>
      </c>
      <c r="IP323" s="618"/>
      <c r="IQ323" s="618">
        <f t="shared" si="792"/>
        <v>0</v>
      </c>
      <c r="IR323" s="618">
        <f t="shared" si="793"/>
        <v>40.704999999999998</v>
      </c>
      <c r="IS323" s="645"/>
      <c r="IT323" s="645"/>
      <c r="IU323" s="645"/>
      <c r="IV323" s="645"/>
      <c r="IW323" s="645"/>
      <c r="IX323" s="645"/>
      <c r="IY323" s="645"/>
      <c r="IZ323" s="645"/>
      <c r="JA323" s="645"/>
      <c r="JB323" s="645"/>
      <c r="JC323" s="645"/>
      <c r="JD323" s="645"/>
      <c r="JE323" s="645"/>
      <c r="JF323" s="645"/>
      <c r="JG323" s="645"/>
      <c r="JH323" s="645"/>
      <c r="JI323" s="645"/>
      <c r="JJ323" s="645"/>
      <c r="JK323" s="645"/>
      <c r="JL323" s="645"/>
      <c r="JM323" s="645"/>
      <c r="JN323" s="645"/>
      <c r="JO323" s="645"/>
      <c r="JP323" s="645"/>
      <c r="JQ323" s="645"/>
      <c r="JR323" s="645"/>
      <c r="JS323" s="645"/>
      <c r="JT323" s="645"/>
      <c r="JU323" s="645"/>
      <c r="JV323" s="653"/>
    </row>
    <row r="324" spans="1:282" s="612" customFormat="1">
      <c r="A324" s="611"/>
      <c r="U324" s="613"/>
      <c r="V324" s="613"/>
      <c r="AC324" s="613"/>
      <c r="AD324" s="613"/>
      <c r="AL324" s="613"/>
      <c r="AM324" s="613"/>
      <c r="AT324" s="613"/>
      <c r="AU324" s="613"/>
      <c r="CH324" s="611"/>
      <c r="CI324" s="611"/>
      <c r="CO324" s="695"/>
      <c r="CP324" s="645"/>
      <c r="CQ324" s="618"/>
      <c r="CR324" s="618"/>
      <c r="CS324" s="618"/>
      <c r="CT324" s="626"/>
      <c r="CU324" s="626"/>
      <c r="CV324" s="626"/>
      <c r="CW324" s="646"/>
      <c r="CX324" s="646"/>
      <c r="CY324" s="625"/>
      <c r="CZ324" s="625"/>
      <c r="DA324" s="625"/>
      <c r="DB324" s="625"/>
      <c r="DC324" s="645"/>
      <c r="DD324" s="645"/>
      <c r="DE324" s="645"/>
      <c r="DF324" s="645"/>
      <c r="DG324" s="645"/>
      <c r="DH324" s="645"/>
      <c r="DI324" s="645"/>
      <c r="DJ324" s="645"/>
      <c r="DK324" s="645"/>
      <c r="DL324" s="645"/>
      <c r="DM324" s="645"/>
      <c r="DN324" s="645"/>
      <c r="DO324" s="645"/>
      <c r="DP324" s="645"/>
      <c r="DQ324" s="645"/>
      <c r="DR324" s="645"/>
      <c r="DS324" s="645"/>
      <c r="DT324" s="645"/>
      <c r="DU324" s="645"/>
      <c r="DV324" s="645"/>
      <c r="DW324" s="645"/>
      <c r="DX324" s="645"/>
      <c r="DY324" s="645"/>
      <c r="DZ324" s="645"/>
      <c r="EA324" s="645"/>
      <c r="EB324" s="645"/>
      <c r="EC324" s="645"/>
      <c r="ED324" s="645"/>
      <c r="EE324" s="645"/>
      <c r="EF324" s="645"/>
      <c r="EG324" s="645"/>
      <c r="EH324" s="645"/>
      <c r="EI324" s="645"/>
      <c r="EJ324" s="645"/>
      <c r="EK324" s="645"/>
      <c r="EL324" s="645"/>
      <c r="EM324" s="645"/>
      <c r="EN324" s="645"/>
      <c r="EO324" s="645"/>
      <c r="EP324" s="645"/>
      <c r="EQ324" s="645"/>
      <c r="ER324" s="645"/>
      <c r="ES324" s="645"/>
      <c r="ET324" s="645"/>
      <c r="EU324" s="645"/>
      <c r="EV324" s="645"/>
      <c r="EW324" s="645"/>
      <c r="EX324" s="645"/>
      <c r="EY324" s="645"/>
      <c r="EZ324" s="645"/>
      <c r="FA324" s="645"/>
      <c r="FB324" s="645"/>
      <c r="FC324" s="645"/>
      <c r="FD324" s="645"/>
      <c r="FE324" s="645"/>
      <c r="FF324" s="645"/>
      <c r="FG324" s="645"/>
      <c r="FH324" s="645"/>
      <c r="FI324" s="645"/>
      <c r="FJ324" s="645"/>
      <c r="FK324" s="645"/>
      <c r="FL324" s="645"/>
      <c r="FM324" s="645"/>
      <c r="FN324" s="645"/>
      <c r="FO324" s="645"/>
      <c r="FP324" s="645"/>
      <c r="FQ324" s="645"/>
      <c r="FR324" s="645"/>
      <c r="FS324" s="645"/>
      <c r="FT324" s="645"/>
      <c r="FU324" s="645"/>
      <c r="FV324" s="645"/>
      <c r="FW324" s="645"/>
      <c r="FX324" s="645"/>
      <c r="FY324" s="645"/>
      <c r="FZ324" s="645"/>
      <c r="GA324" s="645"/>
      <c r="GB324" s="645"/>
      <c r="GC324" s="645"/>
      <c r="GD324" s="645"/>
      <c r="GE324" s="645"/>
      <c r="GF324" s="645"/>
      <c r="GG324" s="645"/>
      <c r="GH324" s="645"/>
      <c r="GI324" s="645"/>
      <c r="GJ324" s="645"/>
      <c r="GK324" s="645"/>
      <c r="GL324" s="645"/>
      <c r="GM324" s="645"/>
      <c r="GN324" s="645"/>
      <c r="GO324" s="645"/>
      <c r="GP324" s="645"/>
      <c r="GQ324" s="645"/>
      <c r="GR324" s="645"/>
      <c r="GS324" s="645"/>
      <c r="GT324" s="645"/>
      <c r="GU324" s="645"/>
      <c r="GV324" s="645"/>
      <c r="GW324" s="645"/>
      <c r="GX324" s="645"/>
      <c r="GY324" s="645"/>
      <c r="GZ324" s="645"/>
      <c r="HA324" s="645"/>
      <c r="HB324" s="645"/>
      <c r="HC324" s="645"/>
      <c r="HD324" s="645"/>
      <c r="HE324" s="645"/>
      <c r="HF324" s="645"/>
      <c r="HG324" s="645"/>
      <c r="HH324" s="645"/>
      <c r="HI324" s="645"/>
      <c r="HJ324" s="645"/>
      <c r="HK324" s="645"/>
      <c r="HL324" s="645"/>
      <c r="HM324" s="645"/>
      <c r="HN324" s="645"/>
      <c r="HO324" s="645"/>
      <c r="HP324" s="645"/>
      <c r="HQ324" s="645"/>
      <c r="HR324" s="645">
        <v>0.1605</v>
      </c>
      <c r="HS324" s="645">
        <f t="shared" si="794"/>
        <v>1077.6428571428571</v>
      </c>
      <c r="HT324" s="645">
        <f t="shared" si="795"/>
        <v>1</v>
      </c>
      <c r="HU324" s="618">
        <f t="shared" si="796"/>
        <v>4.0887733393253498</v>
      </c>
      <c r="HV324" s="618"/>
      <c r="HW324" s="618">
        <f t="shared" ref="HW324:HW387" si="799">$HW$3-(HU324*$AQ$36)</f>
        <v>30.193941858158006</v>
      </c>
      <c r="HX324" s="618">
        <f t="shared" si="797"/>
        <v>3.7580287375226296</v>
      </c>
      <c r="HY324" s="618">
        <f t="shared" si="798"/>
        <v>0.1605</v>
      </c>
      <c r="HZ324" s="618"/>
      <c r="IA324" s="618"/>
      <c r="IB324" s="618">
        <f t="shared" ref="IB324:IB387" si="800">IF(AND(HX324&lt;$IB$1,HY324&lt;$IC$1,$AY$31),(HX324*1000)*IF($D$45&lt;0,-1,1),IB323)</f>
        <v>25.000350341399081</v>
      </c>
      <c r="IC324" s="618">
        <f t="shared" ref="IC324:IC387" si="801">IF(AND(HX324&lt;$IB$1,HY324&lt;$IC$1,$AY$31),HY324,IC323)</f>
        <v>1E-3</v>
      </c>
      <c r="ID324" s="618"/>
      <c r="IE324" s="618">
        <f t="shared" ref="IE324:IE387" si="802">IF(AND(HX324&lt;$IE$1,HY324&lt;$IF$1,$AY$31),(HX324*1000)*IF($H$45&lt;0,-1,1),IE323)</f>
        <v>0</v>
      </c>
      <c r="IF324" s="618">
        <f t="shared" ref="IF324:IF387" si="803">IF(AND(HX324&lt;$IE$1,HY324&lt;$IF$1,$AY$31),HY324+$IF$3,IF323)</f>
        <v>40.704999999999998</v>
      </c>
      <c r="IG324" s="618"/>
      <c r="IH324" s="618">
        <f t="shared" ref="IH324:IH387" si="804">IF(AND(HX324&lt;$IH$1,HY324&lt;$II$1,$AY$31),(HX324*1000)*IF($L$45&lt;0,-1,1),IH323)</f>
        <v>0</v>
      </c>
      <c r="II324" s="618">
        <f t="shared" ref="II324:II387" si="805">IF(AND(HX324&lt;$IH$1,HY324&lt;$II$1,$AY$31),HY324+$II$3,II323)</f>
        <v>40.704999999999998</v>
      </c>
      <c r="IJ324" s="618"/>
      <c r="IK324" s="618">
        <f t="shared" ref="IK324:IK387" si="806">IF(AND(HX324&lt;$IK$1,HY324&lt;$IL$1,$AY$31),(HX324*1000)*IF($P$45&lt;0,-1,1),IK323)</f>
        <v>0</v>
      </c>
      <c r="IL324" s="618">
        <f t="shared" ref="IL324:IL387" si="807">IF(AND(HX324&lt;$IK$1,HY324&lt;$IL$1,$AY$31),HY324+$IL$3,IL323)</f>
        <v>40.704999999999998</v>
      </c>
      <c r="IM324" s="618"/>
      <c r="IN324" s="618">
        <f t="shared" ref="IN324:IN387" si="808">IF(AND(HX324&lt;$IN$1,HY324&lt;$IO$1,$AY$31),(HX324*1000)*IF($T$45&lt;0,-1,1),IN323)</f>
        <v>0</v>
      </c>
      <c r="IO324" s="618">
        <f t="shared" ref="IO324:IO387" si="809">IF(AND(HX324&lt;$IN$1,HY324&lt;$IO$1,$AY$31),HY324+$IO$3,IO323)</f>
        <v>40.704999999999998</v>
      </c>
      <c r="IP324" s="618"/>
      <c r="IQ324" s="618">
        <f t="shared" ref="IQ324:IQ387" si="810">IF(AND(HX324&lt;$IQ$1,HY324&lt;$IR$1,$AY$31),(HX324*1000)*IF($X$45&lt;0,-1,1),IQ323)</f>
        <v>0</v>
      </c>
      <c r="IR324" s="618">
        <f t="shared" ref="IR324:IR387" si="811">IF(AND(HX324&lt;$IQ$1,HY324&lt;$IR$1,$AY$31),HY324+$IR$3,IR323)</f>
        <v>40.704999999999998</v>
      </c>
      <c r="IS324" s="645"/>
      <c r="IT324" s="645"/>
      <c r="IU324" s="645"/>
      <c r="IV324" s="645"/>
      <c r="IW324" s="645"/>
      <c r="IX324" s="645"/>
      <c r="IY324" s="645"/>
      <c r="IZ324" s="645"/>
      <c r="JA324" s="645"/>
      <c r="JB324" s="645"/>
      <c r="JC324" s="645"/>
      <c r="JD324" s="645"/>
      <c r="JE324" s="645"/>
      <c r="JF324" s="645"/>
      <c r="JG324" s="645"/>
      <c r="JH324" s="645"/>
      <c r="JI324" s="645"/>
      <c r="JJ324" s="645"/>
      <c r="JK324" s="645"/>
      <c r="JL324" s="645"/>
      <c r="JM324" s="645"/>
      <c r="JN324" s="645"/>
      <c r="JO324" s="645"/>
      <c r="JP324" s="645"/>
      <c r="JQ324" s="645"/>
      <c r="JR324" s="645"/>
      <c r="JS324" s="645"/>
      <c r="JT324" s="645"/>
      <c r="JU324" s="645"/>
      <c r="JV324" s="653"/>
    </row>
    <row r="325" spans="1:282" s="612" customFormat="1">
      <c r="A325" s="611"/>
      <c r="U325" s="613"/>
      <c r="V325" s="613"/>
      <c r="AC325" s="613"/>
      <c r="AD325" s="613"/>
      <c r="AL325" s="613"/>
      <c r="AM325" s="613"/>
      <c r="AT325" s="613"/>
      <c r="AU325" s="613"/>
      <c r="CH325" s="611"/>
      <c r="CI325" s="611"/>
      <c r="CO325" s="695"/>
      <c r="CP325" s="645"/>
      <c r="CQ325" s="618"/>
      <c r="CR325" s="618"/>
      <c r="CS325" s="618"/>
      <c r="CT325" s="626"/>
      <c r="CU325" s="626"/>
      <c r="CV325" s="626"/>
      <c r="CW325" s="646"/>
      <c r="CX325" s="646"/>
      <c r="CY325" s="625"/>
      <c r="CZ325" s="625"/>
      <c r="DA325" s="625"/>
      <c r="DB325" s="625"/>
      <c r="DC325" s="645"/>
      <c r="DD325" s="645"/>
      <c r="DE325" s="645"/>
      <c r="DF325" s="645"/>
      <c r="DG325" s="645"/>
      <c r="DH325" s="645"/>
      <c r="DI325" s="645"/>
      <c r="DJ325" s="645"/>
      <c r="DK325" s="645"/>
      <c r="DL325" s="645"/>
      <c r="DM325" s="645"/>
      <c r="DN325" s="645"/>
      <c r="DO325" s="645"/>
      <c r="DP325" s="645"/>
      <c r="DQ325" s="645"/>
      <c r="DR325" s="645"/>
      <c r="DS325" s="645"/>
      <c r="DT325" s="645"/>
      <c r="DU325" s="645"/>
      <c r="DV325" s="645"/>
      <c r="DW325" s="645"/>
      <c r="DX325" s="645"/>
      <c r="DY325" s="645"/>
      <c r="DZ325" s="645"/>
      <c r="EA325" s="645"/>
      <c r="EB325" s="645"/>
      <c r="EC325" s="645"/>
      <c r="ED325" s="645"/>
      <c r="EE325" s="645"/>
      <c r="EF325" s="645"/>
      <c r="EG325" s="645"/>
      <c r="EH325" s="645"/>
      <c r="EI325" s="645"/>
      <c r="EJ325" s="645"/>
      <c r="EK325" s="645"/>
      <c r="EL325" s="645"/>
      <c r="EM325" s="645"/>
      <c r="EN325" s="645"/>
      <c r="EO325" s="645"/>
      <c r="EP325" s="645"/>
      <c r="EQ325" s="645"/>
      <c r="ER325" s="645"/>
      <c r="ES325" s="645"/>
      <c r="ET325" s="645"/>
      <c r="EU325" s="645"/>
      <c r="EV325" s="645"/>
      <c r="EW325" s="645"/>
      <c r="EX325" s="645"/>
      <c r="EY325" s="645"/>
      <c r="EZ325" s="645"/>
      <c r="FA325" s="645"/>
      <c r="FB325" s="645"/>
      <c r="FC325" s="645"/>
      <c r="FD325" s="645"/>
      <c r="FE325" s="645"/>
      <c r="FF325" s="645"/>
      <c r="FG325" s="645"/>
      <c r="FH325" s="645"/>
      <c r="FI325" s="645"/>
      <c r="FJ325" s="645"/>
      <c r="FK325" s="645"/>
      <c r="FL325" s="645"/>
      <c r="FM325" s="645"/>
      <c r="FN325" s="645"/>
      <c r="FO325" s="645"/>
      <c r="FP325" s="645"/>
      <c r="FQ325" s="645"/>
      <c r="FR325" s="645"/>
      <c r="FS325" s="645"/>
      <c r="FT325" s="645"/>
      <c r="FU325" s="645"/>
      <c r="FV325" s="645"/>
      <c r="FW325" s="645"/>
      <c r="FX325" s="645"/>
      <c r="FY325" s="645"/>
      <c r="FZ325" s="645"/>
      <c r="GA325" s="645"/>
      <c r="GB325" s="645"/>
      <c r="GC325" s="645"/>
      <c r="GD325" s="645"/>
      <c r="GE325" s="645"/>
      <c r="GF325" s="645"/>
      <c r="GG325" s="645"/>
      <c r="GH325" s="645"/>
      <c r="GI325" s="645"/>
      <c r="GJ325" s="645"/>
      <c r="GK325" s="645"/>
      <c r="GL325" s="645"/>
      <c r="GM325" s="645"/>
      <c r="GN325" s="645"/>
      <c r="GO325" s="645"/>
      <c r="GP325" s="645"/>
      <c r="GQ325" s="645"/>
      <c r="GR325" s="645"/>
      <c r="GS325" s="645"/>
      <c r="GT325" s="645"/>
      <c r="GU325" s="645"/>
      <c r="GV325" s="645"/>
      <c r="GW325" s="645"/>
      <c r="GX325" s="645"/>
      <c r="GY325" s="645"/>
      <c r="GZ325" s="645"/>
      <c r="HA325" s="645"/>
      <c r="HB325" s="645"/>
      <c r="HC325" s="645"/>
      <c r="HD325" s="645"/>
      <c r="HE325" s="645"/>
      <c r="HF325" s="645"/>
      <c r="HG325" s="645"/>
      <c r="HH325" s="645"/>
      <c r="HI325" s="645"/>
      <c r="HJ325" s="645"/>
      <c r="HK325" s="645"/>
      <c r="HL325" s="645"/>
      <c r="HM325" s="645"/>
      <c r="HN325" s="645"/>
      <c r="HO325" s="645"/>
      <c r="HP325" s="645"/>
      <c r="HQ325" s="645"/>
      <c r="HR325" s="645">
        <v>0.161</v>
      </c>
      <c r="HS325" s="645">
        <f t="shared" si="794"/>
        <v>1081</v>
      </c>
      <c r="HT325" s="645">
        <f t="shared" si="795"/>
        <v>1</v>
      </c>
      <c r="HU325" s="618">
        <f t="shared" si="796"/>
        <v>4.1015123832989744</v>
      </c>
      <c r="HV325" s="618"/>
      <c r="HW325" s="618">
        <f t="shared" si="799"/>
        <v>30.175852415715458</v>
      </c>
      <c r="HX325" s="618">
        <f t="shared" si="797"/>
        <v>3.7687068350466686</v>
      </c>
      <c r="HY325" s="618">
        <f t="shared" si="798"/>
        <v>0.161</v>
      </c>
      <c r="HZ325" s="618"/>
      <c r="IA325" s="618"/>
      <c r="IB325" s="618">
        <f t="shared" si="800"/>
        <v>25.000350341399081</v>
      </c>
      <c r="IC325" s="618">
        <f t="shared" si="801"/>
        <v>1E-3</v>
      </c>
      <c r="ID325" s="618"/>
      <c r="IE325" s="618">
        <f t="shared" si="802"/>
        <v>0</v>
      </c>
      <c r="IF325" s="618">
        <f t="shared" si="803"/>
        <v>40.704999999999998</v>
      </c>
      <c r="IG325" s="618"/>
      <c r="IH325" s="618">
        <f t="shared" si="804"/>
        <v>0</v>
      </c>
      <c r="II325" s="618">
        <f t="shared" si="805"/>
        <v>40.704999999999998</v>
      </c>
      <c r="IJ325" s="618"/>
      <c r="IK325" s="618">
        <f t="shared" si="806"/>
        <v>0</v>
      </c>
      <c r="IL325" s="618">
        <f t="shared" si="807"/>
        <v>40.704999999999998</v>
      </c>
      <c r="IM325" s="618"/>
      <c r="IN325" s="618">
        <f t="shared" si="808"/>
        <v>0</v>
      </c>
      <c r="IO325" s="618">
        <f t="shared" si="809"/>
        <v>40.704999999999998</v>
      </c>
      <c r="IP325" s="618"/>
      <c r="IQ325" s="618">
        <f t="shared" si="810"/>
        <v>0</v>
      </c>
      <c r="IR325" s="618">
        <f t="shared" si="811"/>
        <v>40.704999999999998</v>
      </c>
      <c r="IS325" s="645"/>
      <c r="IT325" s="645"/>
      <c r="IU325" s="645"/>
      <c r="IV325" s="645"/>
      <c r="IW325" s="645"/>
      <c r="IX325" s="645"/>
      <c r="IY325" s="645"/>
      <c r="IZ325" s="645"/>
      <c r="JA325" s="645"/>
      <c r="JB325" s="645"/>
      <c r="JC325" s="645"/>
      <c r="JD325" s="645"/>
      <c r="JE325" s="645"/>
      <c r="JF325" s="645"/>
      <c r="JG325" s="645"/>
      <c r="JH325" s="645"/>
      <c r="JI325" s="645"/>
      <c r="JJ325" s="645"/>
      <c r="JK325" s="645"/>
      <c r="JL325" s="645"/>
      <c r="JM325" s="645"/>
      <c r="JN325" s="645"/>
      <c r="JO325" s="645"/>
      <c r="JP325" s="645"/>
      <c r="JQ325" s="645"/>
      <c r="JR325" s="645"/>
      <c r="JS325" s="645"/>
      <c r="JT325" s="645"/>
      <c r="JU325" s="645"/>
      <c r="JV325" s="653"/>
    </row>
    <row r="326" spans="1:282" s="612" customFormat="1">
      <c r="A326" s="611"/>
      <c r="U326" s="613"/>
      <c r="V326" s="613"/>
      <c r="AC326" s="613"/>
      <c r="AD326" s="613"/>
      <c r="AL326" s="613"/>
      <c r="AM326" s="613"/>
      <c r="AT326" s="613"/>
      <c r="AU326" s="613"/>
      <c r="CH326" s="611"/>
      <c r="CI326" s="611"/>
      <c r="CO326" s="695"/>
      <c r="CP326" s="645"/>
      <c r="CQ326" s="618"/>
      <c r="CR326" s="618"/>
      <c r="CS326" s="618"/>
      <c r="CT326" s="626"/>
      <c r="CU326" s="626"/>
      <c r="CV326" s="626"/>
      <c r="CW326" s="646"/>
      <c r="CX326" s="646"/>
      <c r="CY326" s="625"/>
      <c r="CZ326" s="625"/>
      <c r="DA326" s="625"/>
      <c r="DB326" s="625"/>
      <c r="DC326" s="645"/>
      <c r="DD326" s="645"/>
      <c r="DE326" s="645"/>
      <c r="DF326" s="645"/>
      <c r="DG326" s="645"/>
      <c r="DH326" s="645"/>
      <c r="DI326" s="645"/>
      <c r="DJ326" s="645"/>
      <c r="DK326" s="645"/>
      <c r="DL326" s="645"/>
      <c r="DM326" s="645"/>
      <c r="DN326" s="645"/>
      <c r="DO326" s="645"/>
      <c r="DP326" s="645"/>
      <c r="DQ326" s="645"/>
      <c r="DR326" s="645"/>
      <c r="DS326" s="645"/>
      <c r="DT326" s="645"/>
      <c r="DU326" s="645"/>
      <c r="DV326" s="645"/>
      <c r="DW326" s="645"/>
      <c r="DX326" s="645"/>
      <c r="DY326" s="645"/>
      <c r="DZ326" s="645"/>
      <c r="EA326" s="645"/>
      <c r="EB326" s="645"/>
      <c r="EC326" s="645"/>
      <c r="ED326" s="645"/>
      <c r="EE326" s="645"/>
      <c r="EF326" s="645"/>
      <c r="EG326" s="645"/>
      <c r="EH326" s="645"/>
      <c r="EI326" s="645"/>
      <c r="EJ326" s="645"/>
      <c r="EK326" s="645"/>
      <c r="EL326" s="645"/>
      <c r="EM326" s="645"/>
      <c r="EN326" s="645"/>
      <c r="EO326" s="645"/>
      <c r="EP326" s="645"/>
      <c r="EQ326" s="645"/>
      <c r="ER326" s="645"/>
      <c r="ES326" s="645"/>
      <c r="ET326" s="645"/>
      <c r="EU326" s="645"/>
      <c r="EV326" s="645"/>
      <c r="EW326" s="645"/>
      <c r="EX326" s="645"/>
      <c r="EY326" s="645"/>
      <c r="EZ326" s="645"/>
      <c r="FA326" s="645"/>
      <c r="FB326" s="645"/>
      <c r="FC326" s="645"/>
      <c r="FD326" s="645"/>
      <c r="FE326" s="645"/>
      <c r="FF326" s="645"/>
      <c r="FG326" s="645"/>
      <c r="FH326" s="645"/>
      <c r="FI326" s="645"/>
      <c r="FJ326" s="645"/>
      <c r="FK326" s="645"/>
      <c r="FL326" s="645"/>
      <c r="FM326" s="645"/>
      <c r="FN326" s="645"/>
      <c r="FO326" s="645"/>
      <c r="FP326" s="645"/>
      <c r="FQ326" s="645"/>
      <c r="FR326" s="645"/>
      <c r="FS326" s="645"/>
      <c r="FT326" s="645"/>
      <c r="FU326" s="645"/>
      <c r="FV326" s="645"/>
      <c r="FW326" s="645"/>
      <c r="FX326" s="645"/>
      <c r="FY326" s="645"/>
      <c r="FZ326" s="645"/>
      <c r="GA326" s="645"/>
      <c r="GB326" s="645"/>
      <c r="GC326" s="645"/>
      <c r="GD326" s="645"/>
      <c r="GE326" s="645"/>
      <c r="GF326" s="645"/>
      <c r="GG326" s="645"/>
      <c r="GH326" s="645"/>
      <c r="GI326" s="645"/>
      <c r="GJ326" s="645"/>
      <c r="GK326" s="645"/>
      <c r="GL326" s="645"/>
      <c r="GM326" s="645"/>
      <c r="GN326" s="645"/>
      <c r="GO326" s="645"/>
      <c r="GP326" s="645"/>
      <c r="GQ326" s="645"/>
      <c r="GR326" s="645"/>
      <c r="GS326" s="645"/>
      <c r="GT326" s="645"/>
      <c r="GU326" s="645"/>
      <c r="GV326" s="645"/>
      <c r="GW326" s="645"/>
      <c r="GX326" s="645"/>
      <c r="GY326" s="645"/>
      <c r="GZ326" s="645"/>
      <c r="HA326" s="645"/>
      <c r="HB326" s="645"/>
      <c r="HC326" s="645"/>
      <c r="HD326" s="645"/>
      <c r="HE326" s="645"/>
      <c r="HF326" s="645"/>
      <c r="HG326" s="645"/>
      <c r="HH326" s="645"/>
      <c r="HI326" s="645"/>
      <c r="HJ326" s="645"/>
      <c r="HK326" s="645"/>
      <c r="HL326" s="645"/>
      <c r="HM326" s="645"/>
      <c r="HN326" s="645"/>
      <c r="HO326" s="645"/>
      <c r="HP326" s="645"/>
      <c r="HQ326" s="645"/>
      <c r="HR326" s="645">
        <v>0.1615</v>
      </c>
      <c r="HS326" s="645">
        <f t="shared" ref="HS326:HS389" si="812">HR326/$AQ$43</f>
        <v>1084.3571428571429</v>
      </c>
      <c r="HT326" s="645">
        <f t="shared" ref="HT326:HT389" si="813">1-EXP(-HS326)</f>
        <v>1</v>
      </c>
      <c r="HU326" s="618">
        <f t="shared" si="796"/>
        <v>4.114251427272599</v>
      </c>
      <c r="HV326" s="618"/>
      <c r="HW326" s="618">
        <f t="shared" si="799"/>
        <v>30.157762973272909</v>
      </c>
      <c r="HX326" s="618">
        <f t="shared" si="797"/>
        <v>3.7793785313984096</v>
      </c>
      <c r="HY326" s="618">
        <f t="shared" si="798"/>
        <v>0.1615</v>
      </c>
      <c r="HZ326" s="618"/>
      <c r="IA326" s="618"/>
      <c r="IB326" s="618">
        <f t="shared" si="800"/>
        <v>25.000350341399081</v>
      </c>
      <c r="IC326" s="618">
        <f t="shared" si="801"/>
        <v>1E-3</v>
      </c>
      <c r="ID326" s="618"/>
      <c r="IE326" s="618">
        <f t="shared" si="802"/>
        <v>0</v>
      </c>
      <c r="IF326" s="618">
        <f t="shared" si="803"/>
        <v>40.704999999999998</v>
      </c>
      <c r="IG326" s="618"/>
      <c r="IH326" s="618">
        <f t="shared" si="804"/>
        <v>0</v>
      </c>
      <c r="II326" s="618">
        <f t="shared" si="805"/>
        <v>40.704999999999998</v>
      </c>
      <c r="IJ326" s="618"/>
      <c r="IK326" s="618">
        <f t="shared" si="806"/>
        <v>0</v>
      </c>
      <c r="IL326" s="618">
        <f t="shared" si="807"/>
        <v>40.704999999999998</v>
      </c>
      <c r="IM326" s="618"/>
      <c r="IN326" s="618">
        <f t="shared" si="808"/>
        <v>0</v>
      </c>
      <c r="IO326" s="618">
        <f t="shared" si="809"/>
        <v>40.704999999999998</v>
      </c>
      <c r="IP326" s="618"/>
      <c r="IQ326" s="618">
        <f t="shared" si="810"/>
        <v>0</v>
      </c>
      <c r="IR326" s="618">
        <f t="shared" si="811"/>
        <v>40.704999999999998</v>
      </c>
      <c r="IS326" s="645"/>
      <c r="IT326" s="645"/>
      <c r="IU326" s="645"/>
      <c r="IV326" s="645"/>
      <c r="IW326" s="645"/>
      <c r="IX326" s="645"/>
      <c r="IY326" s="645"/>
      <c r="IZ326" s="645"/>
      <c r="JA326" s="645"/>
      <c r="JB326" s="645"/>
      <c r="JC326" s="645"/>
      <c r="JD326" s="645"/>
      <c r="JE326" s="645"/>
      <c r="JF326" s="645"/>
      <c r="JG326" s="645"/>
      <c r="JH326" s="645"/>
      <c r="JI326" s="645"/>
      <c r="JJ326" s="645"/>
      <c r="JK326" s="645"/>
      <c r="JL326" s="645"/>
      <c r="JM326" s="645"/>
      <c r="JN326" s="645"/>
      <c r="JO326" s="645"/>
      <c r="JP326" s="645"/>
      <c r="JQ326" s="645"/>
      <c r="JR326" s="645"/>
      <c r="JS326" s="645"/>
      <c r="JT326" s="645"/>
      <c r="JU326" s="645"/>
      <c r="JV326" s="653"/>
    </row>
    <row r="327" spans="1:282" s="612" customFormat="1">
      <c r="A327" s="611"/>
      <c r="U327" s="613"/>
      <c r="V327" s="613"/>
      <c r="AC327" s="613"/>
      <c r="AD327" s="613"/>
      <c r="AL327" s="613"/>
      <c r="AM327" s="613"/>
      <c r="AT327" s="613"/>
      <c r="AU327" s="613"/>
      <c r="CH327" s="611"/>
      <c r="CI327" s="611"/>
      <c r="CO327" s="695"/>
      <c r="CP327" s="645"/>
      <c r="CQ327" s="618"/>
      <c r="CR327" s="618"/>
      <c r="CS327" s="618"/>
      <c r="CT327" s="626"/>
      <c r="CU327" s="626"/>
      <c r="CV327" s="626"/>
      <c r="CW327" s="646"/>
      <c r="CX327" s="646"/>
      <c r="CY327" s="625"/>
      <c r="CZ327" s="625"/>
      <c r="DA327" s="625"/>
      <c r="DB327" s="625"/>
      <c r="DC327" s="645"/>
      <c r="DD327" s="645"/>
      <c r="DE327" s="645"/>
      <c r="DF327" s="645"/>
      <c r="DG327" s="645"/>
      <c r="DH327" s="645"/>
      <c r="DI327" s="645"/>
      <c r="DJ327" s="645"/>
      <c r="DK327" s="645"/>
      <c r="DL327" s="645"/>
      <c r="DM327" s="645"/>
      <c r="DN327" s="645"/>
      <c r="DO327" s="645"/>
      <c r="DP327" s="645"/>
      <c r="DQ327" s="645"/>
      <c r="DR327" s="645"/>
      <c r="DS327" s="645"/>
      <c r="DT327" s="645"/>
      <c r="DU327" s="645"/>
      <c r="DV327" s="645"/>
      <c r="DW327" s="645"/>
      <c r="DX327" s="645"/>
      <c r="DY327" s="645"/>
      <c r="DZ327" s="645"/>
      <c r="EA327" s="645"/>
      <c r="EB327" s="645"/>
      <c r="EC327" s="645"/>
      <c r="ED327" s="645"/>
      <c r="EE327" s="645"/>
      <c r="EF327" s="645"/>
      <c r="EG327" s="645"/>
      <c r="EH327" s="645"/>
      <c r="EI327" s="645"/>
      <c r="EJ327" s="645"/>
      <c r="EK327" s="645"/>
      <c r="EL327" s="645"/>
      <c r="EM327" s="645"/>
      <c r="EN327" s="645"/>
      <c r="EO327" s="645"/>
      <c r="EP327" s="645"/>
      <c r="EQ327" s="645"/>
      <c r="ER327" s="645"/>
      <c r="ES327" s="645"/>
      <c r="ET327" s="645"/>
      <c r="EU327" s="645"/>
      <c r="EV327" s="645"/>
      <c r="EW327" s="645"/>
      <c r="EX327" s="645"/>
      <c r="EY327" s="645"/>
      <c r="EZ327" s="645"/>
      <c r="FA327" s="645"/>
      <c r="FB327" s="645"/>
      <c r="FC327" s="645"/>
      <c r="FD327" s="645"/>
      <c r="FE327" s="645"/>
      <c r="FF327" s="645"/>
      <c r="FG327" s="645"/>
      <c r="FH327" s="645"/>
      <c r="FI327" s="645"/>
      <c r="FJ327" s="645"/>
      <c r="FK327" s="645"/>
      <c r="FL327" s="645"/>
      <c r="FM327" s="645"/>
      <c r="FN327" s="645"/>
      <c r="FO327" s="645"/>
      <c r="FP327" s="645"/>
      <c r="FQ327" s="645"/>
      <c r="FR327" s="645"/>
      <c r="FS327" s="645"/>
      <c r="FT327" s="645"/>
      <c r="FU327" s="645"/>
      <c r="FV327" s="645"/>
      <c r="FW327" s="645"/>
      <c r="FX327" s="645"/>
      <c r="FY327" s="645"/>
      <c r="FZ327" s="645"/>
      <c r="GA327" s="645"/>
      <c r="GB327" s="645"/>
      <c r="GC327" s="645"/>
      <c r="GD327" s="645"/>
      <c r="GE327" s="645"/>
      <c r="GF327" s="645"/>
      <c r="GG327" s="645"/>
      <c r="GH327" s="645"/>
      <c r="GI327" s="645"/>
      <c r="GJ327" s="645"/>
      <c r="GK327" s="645"/>
      <c r="GL327" s="645"/>
      <c r="GM327" s="645"/>
      <c r="GN327" s="645"/>
      <c r="GO327" s="645"/>
      <c r="GP327" s="645"/>
      <c r="GQ327" s="645"/>
      <c r="GR327" s="645"/>
      <c r="GS327" s="645"/>
      <c r="GT327" s="645"/>
      <c r="GU327" s="645"/>
      <c r="GV327" s="645"/>
      <c r="GW327" s="645"/>
      <c r="GX327" s="645"/>
      <c r="GY327" s="645"/>
      <c r="GZ327" s="645"/>
      <c r="HA327" s="645"/>
      <c r="HB327" s="645"/>
      <c r="HC327" s="645"/>
      <c r="HD327" s="645"/>
      <c r="HE327" s="645"/>
      <c r="HF327" s="645"/>
      <c r="HG327" s="645"/>
      <c r="HH327" s="645"/>
      <c r="HI327" s="645"/>
      <c r="HJ327" s="645"/>
      <c r="HK327" s="645"/>
      <c r="HL327" s="645"/>
      <c r="HM327" s="645"/>
      <c r="HN327" s="645"/>
      <c r="HO327" s="645"/>
      <c r="HP327" s="645"/>
      <c r="HQ327" s="645"/>
      <c r="HR327" s="645">
        <v>0.16200000000000001</v>
      </c>
      <c r="HS327" s="645">
        <f t="shared" si="812"/>
        <v>1087.7142857142858</v>
      </c>
      <c r="HT327" s="645">
        <f t="shared" si="813"/>
        <v>1</v>
      </c>
      <c r="HU327" s="618">
        <f t="shared" si="796"/>
        <v>4.1269904712462235</v>
      </c>
      <c r="HV327" s="618"/>
      <c r="HW327" s="618">
        <f t="shared" si="799"/>
        <v>30.139673530830365</v>
      </c>
      <c r="HX327" s="618">
        <f t="shared" si="797"/>
        <v>3.7900438265778527</v>
      </c>
      <c r="HY327" s="618">
        <f t="shared" si="798"/>
        <v>0.16200000000000001</v>
      </c>
      <c r="HZ327" s="618"/>
      <c r="IA327" s="618"/>
      <c r="IB327" s="618">
        <f t="shared" si="800"/>
        <v>25.000350341399081</v>
      </c>
      <c r="IC327" s="618">
        <f t="shared" si="801"/>
        <v>1E-3</v>
      </c>
      <c r="ID327" s="618"/>
      <c r="IE327" s="618">
        <f t="shared" si="802"/>
        <v>0</v>
      </c>
      <c r="IF327" s="618">
        <f t="shared" si="803"/>
        <v>40.704999999999998</v>
      </c>
      <c r="IG327" s="618"/>
      <c r="IH327" s="618">
        <f t="shared" si="804"/>
        <v>0</v>
      </c>
      <c r="II327" s="618">
        <f t="shared" si="805"/>
        <v>40.704999999999998</v>
      </c>
      <c r="IJ327" s="618"/>
      <c r="IK327" s="618">
        <f t="shared" si="806"/>
        <v>0</v>
      </c>
      <c r="IL327" s="618">
        <f t="shared" si="807"/>
        <v>40.704999999999998</v>
      </c>
      <c r="IM327" s="618"/>
      <c r="IN327" s="618">
        <f t="shared" si="808"/>
        <v>0</v>
      </c>
      <c r="IO327" s="618">
        <f t="shared" si="809"/>
        <v>40.704999999999998</v>
      </c>
      <c r="IP327" s="618"/>
      <c r="IQ327" s="618">
        <f t="shared" si="810"/>
        <v>0</v>
      </c>
      <c r="IR327" s="618">
        <f t="shared" si="811"/>
        <v>40.704999999999998</v>
      </c>
      <c r="IS327" s="645"/>
      <c r="IT327" s="645"/>
      <c r="IU327" s="645"/>
      <c r="IV327" s="645"/>
      <c r="IW327" s="645"/>
      <c r="IX327" s="645"/>
      <c r="IY327" s="645"/>
      <c r="IZ327" s="645"/>
      <c r="JA327" s="645"/>
      <c r="JB327" s="645"/>
      <c r="JC327" s="645"/>
      <c r="JD327" s="645"/>
      <c r="JE327" s="645"/>
      <c r="JF327" s="645"/>
      <c r="JG327" s="645"/>
      <c r="JH327" s="645"/>
      <c r="JI327" s="645"/>
      <c r="JJ327" s="645"/>
      <c r="JK327" s="645"/>
      <c r="JL327" s="645"/>
      <c r="JM327" s="645"/>
      <c r="JN327" s="645"/>
      <c r="JO327" s="645"/>
      <c r="JP327" s="645"/>
      <c r="JQ327" s="645"/>
      <c r="JR327" s="645"/>
      <c r="JS327" s="645"/>
      <c r="JT327" s="645"/>
      <c r="JU327" s="645"/>
      <c r="JV327" s="653"/>
    </row>
    <row r="328" spans="1:282" s="612" customFormat="1">
      <c r="A328" s="611"/>
      <c r="U328" s="613"/>
      <c r="V328" s="613"/>
      <c r="AC328" s="613"/>
      <c r="AD328" s="613"/>
      <c r="AL328" s="613"/>
      <c r="AM328" s="613"/>
      <c r="AT328" s="613"/>
      <c r="AU328" s="613"/>
      <c r="CH328" s="611"/>
      <c r="CI328" s="611"/>
      <c r="CO328" s="695"/>
      <c r="CP328" s="645"/>
      <c r="CQ328" s="618"/>
      <c r="CR328" s="618"/>
      <c r="CS328" s="618"/>
      <c r="CT328" s="626"/>
      <c r="CU328" s="626"/>
      <c r="CV328" s="626"/>
      <c r="CW328" s="646"/>
      <c r="CX328" s="646"/>
      <c r="CY328" s="625"/>
      <c r="CZ328" s="625"/>
      <c r="DA328" s="625"/>
      <c r="DB328" s="625"/>
      <c r="DC328" s="645"/>
      <c r="DD328" s="645"/>
      <c r="DE328" s="645"/>
      <c r="DF328" s="645"/>
      <c r="DG328" s="645"/>
      <c r="DH328" s="645"/>
      <c r="DI328" s="645"/>
      <c r="DJ328" s="645"/>
      <c r="DK328" s="645"/>
      <c r="DL328" s="645"/>
      <c r="DM328" s="645"/>
      <c r="DN328" s="645"/>
      <c r="DO328" s="645"/>
      <c r="DP328" s="645"/>
      <c r="DQ328" s="645"/>
      <c r="DR328" s="645"/>
      <c r="DS328" s="645"/>
      <c r="DT328" s="645"/>
      <c r="DU328" s="645"/>
      <c r="DV328" s="645"/>
      <c r="DW328" s="645"/>
      <c r="DX328" s="645"/>
      <c r="DY328" s="645"/>
      <c r="DZ328" s="645"/>
      <c r="EA328" s="645"/>
      <c r="EB328" s="645"/>
      <c r="EC328" s="645"/>
      <c r="ED328" s="645"/>
      <c r="EE328" s="645"/>
      <c r="EF328" s="645"/>
      <c r="EG328" s="645"/>
      <c r="EH328" s="645"/>
      <c r="EI328" s="645"/>
      <c r="EJ328" s="645"/>
      <c r="EK328" s="645"/>
      <c r="EL328" s="645"/>
      <c r="EM328" s="645"/>
      <c r="EN328" s="645"/>
      <c r="EO328" s="645"/>
      <c r="EP328" s="645"/>
      <c r="EQ328" s="645"/>
      <c r="ER328" s="645"/>
      <c r="ES328" s="645"/>
      <c r="ET328" s="645"/>
      <c r="EU328" s="645"/>
      <c r="EV328" s="645"/>
      <c r="EW328" s="645"/>
      <c r="EX328" s="645"/>
      <c r="EY328" s="645"/>
      <c r="EZ328" s="645"/>
      <c r="FA328" s="645"/>
      <c r="FB328" s="645"/>
      <c r="FC328" s="645"/>
      <c r="FD328" s="645"/>
      <c r="FE328" s="645"/>
      <c r="FF328" s="645"/>
      <c r="FG328" s="645"/>
      <c r="FH328" s="645"/>
      <c r="FI328" s="645"/>
      <c r="FJ328" s="645"/>
      <c r="FK328" s="645"/>
      <c r="FL328" s="645"/>
      <c r="FM328" s="645"/>
      <c r="FN328" s="645"/>
      <c r="FO328" s="645"/>
      <c r="FP328" s="645"/>
      <c r="FQ328" s="645"/>
      <c r="FR328" s="645"/>
      <c r="FS328" s="645"/>
      <c r="FT328" s="645"/>
      <c r="FU328" s="645"/>
      <c r="FV328" s="645"/>
      <c r="FW328" s="645"/>
      <c r="FX328" s="645"/>
      <c r="FY328" s="645"/>
      <c r="FZ328" s="645"/>
      <c r="GA328" s="645"/>
      <c r="GB328" s="645"/>
      <c r="GC328" s="645"/>
      <c r="GD328" s="645"/>
      <c r="GE328" s="645"/>
      <c r="GF328" s="645"/>
      <c r="GG328" s="645"/>
      <c r="GH328" s="645"/>
      <c r="GI328" s="645"/>
      <c r="GJ328" s="645"/>
      <c r="GK328" s="645"/>
      <c r="GL328" s="645"/>
      <c r="GM328" s="645"/>
      <c r="GN328" s="645"/>
      <c r="GO328" s="645"/>
      <c r="GP328" s="645"/>
      <c r="GQ328" s="645"/>
      <c r="GR328" s="645"/>
      <c r="GS328" s="645"/>
      <c r="GT328" s="645"/>
      <c r="GU328" s="645"/>
      <c r="GV328" s="645"/>
      <c r="GW328" s="645"/>
      <c r="GX328" s="645"/>
      <c r="GY328" s="645"/>
      <c r="GZ328" s="645"/>
      <c r="HA328" s="645"/>
      <c r="HB328" s="645"/>
      <c r="HC328" s="645"/>
      <c r="HD328" s="645"/>
      <c r="HE328" s="645"/>
      <c r="HF328" s="645"/>
      <c r="HG328" s="645"/>
      <c r="HH328" s="645"/>
      <c r="HI328" s="645"/>
      <c r="HJ328" s="645"/>
      <c r="HK328" s="645"/>
      <c r="HL328" s="645"/>
      <c r="HM328" s="645"/>
      <c r="HN328" s="645"/>
      <c r="HO328" s="645"/>
      <c r="HP328" s="645"/>
      <c r="HQ328" s="645"/>
      <c r="HR328" s="645">
        <v>0.16250000000000001</v>
      </c>
      <c r="HS328" s="645">
        <f t="shared" si="812"/>
        <v>1091.0714285714287</v>
      </c>
      <c r="HT328" s="645">
        <f t="shared" si="813"/>
        <v>1</v>
      </c>
      <c r="HU328" s="618">
        <f t="shared" si="796"/>
        <v>4.1397295152198481</v>
      </c>
      <c r="HV328" s="618"/>
      <c r="HW328" s="618">
        <f t="shared" si="799"/>
        <v>30.121584088387817</v>
      </c>
      <c r="HX328" s="618">
        <f t="shared" si="797"/>
        <v>3.8007027205849973</v>
      </c>
      <c r="HY328" s="618">
        <f t="shared" si="798"/>
        <v>0.16250000000000001</v>
      </c>
      <c r="HZ328" s="618"/>
      <c r="IA328" s="618"/>
      <c r="IB328" s="618">
        <f t="shared" si="800"/>
        <v>25.000350341399081</v>
      </c>
      <c r="IC328" s="618">
        <f t="shared" si="801"/>
        <v>1E-3</v>
      </c>
      <c r="ID328" s="618"/>
      <c r="IE328" s="618">
        <f t="shared" si="802"/>
        <v>0</v>
      </c>
      <c r="IF328" s="618">
        <f t="shared" si="803"/>
        <v>40.704999999999998</v>
      </c>
      <c r="IG328" s="618"/>
      <c r="IH328" s="618">
        <f t="shared" si="804"/>
        <v>0</v>
      </c>
      <c r="II328" s="618">
        <f t="shared" si="805"/>
        <v>40.704999999999998</v>
      </c>
      <c r="IJ328" s="618"/>
      <c r="IK328" s="618">
        <f t="shared" si="806"/>
        <v>0</v>
      </c>
      <c r="IL328" s="618">
        <f t="shared" si="807"/>
        <v>40.704999999999998</v>
      </c>
      <c r="IM328" s="618"/>
      <c r="IN328" s="618">
        <f t="shared" si="808"/>
        <v>0</v>
      </c>
      <c r="IO328" s="618">
        <f t="shared" si="809"/>
        <v>40.704999999999998</v>
      </c>
      <c r="IP328" s="618"/>
      <c r="IQ328" s="618">
        <f t="shared" si="810"/>
        <v>0</v>
      </c>
      <c r="IR328" s="618">
        <f t="shared" si="811"/>
        <v>40.704999999999998</v>
      </c>
      <c r="IS328" s="645"/>
      <c r="IT328" s="645"/>
      <c r="IU328" s="645"/>
      <c r="IV328" s="645"/>
      <c r="IW328" s="645"/>
      <c r="IX328" s="645"/>
      <c r="IY328" s="645"/>
      <c r="IZ328" s="645"/>
      <c r="JA328" s="645"/>
      <c r="JB328" s="645"/>
      <c r="JC328" s="645"/>
      <c r="JD328" s="645"/>
      <c r="JE328" s="645"/>
      <c r="JF328" s="645"/>
      <c r="JG328" s="645"/>
      <c r="JH328" s="645"/>
      <c r="JI328" s="645"/>
      <c r="JJ328" s="645"/>
      <c r="JK328" s="645"/>
      <c r="JL328" s="645"/>
      <c r="JM328" s="645"/>
      <c r="JN328" s="645"/>
      <c r="JO328" s="645"/>
      <c r="JP328" s="645"/>
      <c r="JQ328" s="645"/>
      <c r="JR328" s="645"/>
      <c r="JS328" s="645"/>
      <c r="JT328" s="645"/>
      <c r="JU328" s="645"/>
      <c r="JV328" s="653"/>
    </row>
    <row r="329" spans="1:282" s="612" customFormat="1">
      <c r="A329" s="611"/>
      <c r="U329" s="613"/>
      <c r="V329" s="613"/>
      <c r="AC329" s="613"/>
      <c r="AD329" s="613"/>
      <c r="AL329" s="613"/>
      <c r="AM329" s="613"/>
      <c r="AT329" s="613"/>
      <c r="AU329" s="613"/>
      <c r="CH329" s="611"/>
      <c r="CI329" s="611"/>
      <c r="CO329" s="695"/>
      <c r="CP329" s="645"/>
      <c r="CQ329" s="618"/>
      <c r="CR329" s="618"/>
      <c r="CS329" s="618"/>
      <c r="CT329" s="626"/>
      <c r="CU329" s="626"/>
      <c r="CV329" s="626"/>
      <c r="CW329" s="646"/>
      <c r="CX329" s="646"/>
      <c r="CY329" s="625"/>
      <c r="CZ329" s="625"/>
      <c r="DA329" s="625"/>
      <c r="DB329" s="625"/>
      <c r="DC329" s="645"/>
      <c r="DD329" s="645"/>
      <c r="DE329" s="645"/>
      <c r="DF329" s="645"/>
      <c r="DG329" s="645"/>
      <c r="DH329" s="645"/>
      <c r="DI329" s="645"/>
      <c r="DJ329" s="645"/>
      <c r="DK329" s="645"/>
      <c r="DL329" s="645"/>
      <c r="DM329" s="645"/>
      <c r="DN329" s="645"/>
      <c r="DO329" s="645"/>
      <c r="DP329" s="645"/>
      <c r="DQ329" s="645"/>
      <c r="DR329" s="645"/>
      <c r="DS329" s="645"/>
      <c r="DT329" s="645"/>
      <c r="DU329" s="645"/>
      <c r="DV329" s="645"/>
      <c r="DW329" s="645"/>
      <c r="DX329" s="645"/>
      <c r="DY329" s="645"/>
      <c r="DZ329" s="645"/>
      <c r="EA329" s="645"/>
      <c r="EB329" s="645"/>
      <c r="EC329" s="645"/>
      <c r="ED329" s="645"/>
      <c r="EE329" s="645"/>
      <c r="EF329" s="645"/>
      <c r="EG329" s="645"/>
      <c r="EH329" s="645"/>
      <c r="EI329" s="645"/>
      <c r="EJ329" s="645"/>
      <c r="EK329" s="645"/>
      <c r="EL329" s="645"/>
      <c r="EM329" s="645"/>
      <c r="EN329" s="645"/>
      <c r="EO329" s="645"/>
      <c r="EP329" s="645"/>
      <c r="EQ329" s="645"/>
      <c r="ER329" s="645"/>
      <c r="ES329" s="645"/>
      <c r="ET329" s="645"/>
      <c r="EU329" s="645"/>
      <c r="EV329" s="645"/>
      <c r="EW329" s="645"/>
      <c r="EX329" s="645"/>
      <c r="EY329" s="645"/>
      <c r="EZ329" s="645"/>
      <c r="FA329" s="645"/>
      <c r="FB329" s="645"/>
      <c r="FC329" s="645"/>
      <c r="FD329" s="645"/>
      <c r="FE329" s="645"/>
      <c r="FF329" s="645"/>
      <c r="FG329" s="645"/>
      <c r="FH329" s="645"/>
      <c r="FI329" s="645"/>
      <c r="FJ329" s="645"/>
      <c r="FK329" s="645"/>
      <c r="FL329" s="645"/>
      <c r="FM329" s="645"/>
      <c r="FN329" s="645"/>
      <c r="FO329" s="645"/>
      <c r="FP329" s="645"/>
      <c r="FQ329" s="645"/>
      <c r="FR329" s="645"/>
      <c r="FS329" s="645"/>
      <c r="FT329" s="645"/>
      <c r="FU329" s="645"/>
      <c r="FV329" s="645"/>
      <c r="FW329" s="645"/>
      <c r="FX329" s="645"/>
      <c r="FY329" s="645"/>
      <c r="FZ329" s="645"/>
      <c r="GA329" s="645"/>
      <c r="GB329" s="645"/>
      <c r="GC329" s="645"/>
      <c r="GD329" s="645"/>
      <c r="GE329" s="645"/>
      <c r="GF329" s="645"/>
      <c r="GG329" s="645"/>
      <c r="GH329" s="645"/>
      <c r="GI329" s="645"/>
      <c r="GJ329" s="645"/>
      <c r="GK329" s="645"/>
      <c r="GL329" s="645"/>
      <c r="GM329" s="645"/>
      <c r="GN329" s="645"/>
      <c r="GO329" s="645"/>
      <c r="GP329" s="645"/>
      <c r="GQ329" s="645"/>
      <c r="GR329" s="645"/>
      <c r="GS329" s="645"/>
      <c r="GT329" s="645"/>
      <c r="GU329" s="645"/>
      <c r="GV329" s="645"/>
      <c r="GW329" s="645"/>
      <c r="GX329" s="645"/>
      <c r="GY329" s="645"/>
      <c r="GZ329" s="645"/>
      <c r="HA329" s="645"/>
      <c r="HB329" s="645"/>
      <c r="HC329" s="645"/>
      <c r="HD329" s="645"/>
      <c r="HE329" s="645"/>
      <c r="HF329" s="645"/>
      <c r="HG329" s="645"/>
      <c r="HH329" s="645"/>
      <c r="HI329" s="645"/>
      <c r="HJ329" s="645"/>
      <c r="HK329" s="645"/>
      <c r="HL329" s="645"/>
      <c r="HM329" s="645"/>
      <c r="HN329" s="645"/>
      <c r="HO329" s="645"/>
      <c r="HP329" s="645"/>
      <c r="HQ329" s="645"/>
      <c r="HR329" s="645">
        <v>0.16300000000000001</v>
      </c>
      <c r="HS329" s="645">
        <f t="shared" si="812"/>
        <v>1094.4285714285716</v>
      </c>
      <c r="HT329" s="645">
        <f t="shared" si="813"/>
        <v>1</v>
      </c>
      <c r="HU329" s="618">
        <f t="shared" si="796"/>
        <v>4.1524685591934727</v>
      </c>
      <c r="HV329" s="618"/>
      <c r="HW329" s="618">
        <f t="shared" si="799"/>
        <v>30.103494645945268</v>
      </c>
      <c r="HX329" s="618">
        <f t="shared" si="797"/>
        <v>3.8113552134198438</v>
      </c>
      <c r="HY329" s="618">
        <f t="shared" si="798"/>
        <v>0.16300000000000001</v>
      </c>
      <c r="HZ329" s="618"/>
      <c r="IA329" s="618"/>
      <c r="IB329" s="618">
        <f t="shared" si="800"/>
        <v>25.000350341399081</v>
      </c>
      <c r="IC329" s="618">
        <f t="shared" si="801"/>
        <v>1E-3</v>
      </c>
      <c r="ID329" s="618"/>
      <c r="IE329" s="618">
        <f t="shared" si="802"/>
        <v>0</v>
      </c>
      <c r="IF329" s="618">
        <f t="shared" si="803"/>
        <v>40.704999999999998</v>
      </c>
      <c r="IG329" s="618"/>
      <c r="IH329" s="618">
        <f t="shared" si="804"/>
        <v>0</v>
      </c>
      <c r="II329" s="618">
        <f t="shared" si="805"/>
        <v>40.704999999999998</v>
      </c>
      <c r="IJ329" s="618"/>
      <c r="IK329" s="618">
        <f t="shared" si="806"/>
        <v>0</v>
      </c>
      <c r="IL329" s="618">
        <f t="shared" si="807"/>
        <v>40.704999999999998</v>
      </c>
      <c r="IM329" s="618"/>
      <c r="IN329" s="618">
        <f t="shared" si="808"/>
        <v>0</v>
      </c>
      <c r="IO329" s="618">
        <f t="shared" si="809"/>
        <v>40.704999999999998</v>
      </c>
      <c r="IP329" s="618"/>
      <c r="IQ329" s="618">
        <f t="shared" si="810"/>
        <v>0</v>
      </c>
      <c r="IR329" s="618">
        <f t="shared" si="811"/>
        <v>40.704999999999998</v>
      </c>
      <c r="IS329" s="645"/>
      <c r="IT329" s="645"/>
      <c r="IU329" s="645"/>
      <c r="IV329" s="645"/>
      <c r="IW329" s="645"/>
      <c r="IX329" s="645"/>
      <c r="IY329" s="645"/>
      <c r="IZ329" s="645"/>
      <c r="JA329" s="645"/>
      <c r="JB329" s="645"/>
      <c r="JC329" s="645"/>
      <c r="JD329" s="645"/>
      <c r="JE329" s="645"/>
      <c r="JF329" s="645"/>
      <c r="JG329" s="645"/>
      <c r="JH329" s="645"/>
      <c r="JI329" s="645"/>
      <c r="JJ329" s="645"/>
      <c r="JK329" s="645"/>
      <c r="JL329" s="645"/>
      <c r="JM329" s="645"/>
      <c r="JN329" s="645"/>
      <c r="JO329" s="645"/>
      <c r="JP329" s="645"/>
      <c r="JQ329" s="645"/>
      <c r="JR329" s="645"/>
      <c r="JS329" s="645"/>
      <c r="JT329" s="645"/>
      <c r="JU329" s="645"/>
      <c r="JV329" s="653"/>
    </row>
    <row r="330" spans="1:282" s="612" customFormat="1">
      <c r="A330" s="611"/>
      <c r="U330" s="613"/>
      <c r="V330" s="613"/>
      <c r="AC330" s="613"/>
      <c r="AD330" s="613"/>
      <c r="AL330" s="613"/>
      <c r="AM330" s="613"/>
      <c r="AT330" s="613"/>
      <c r="AU330" s="613"/>
      <c r="CH330" s="611"/>
      <c r="CI330" s="611"/>
      <c r="CO330" s="695"/>
      <c r="CP330" s="645"/>
      <c r="CQ330" s="618"/>
      <c r="CR330" s="618"/>
      <c r="CS330" s="618"/>
      <c r="CT330" s="626"/>
      <c r="CU330" s="626"/>
      <c r="CV330" s="626"/>
      <c r="CW330" s="646"/>
      <c r="CX330" s="646"/>
      <c r="CY330" s="625"/>
      <c r="CZ330" s="625"/>
      <c r="DA330" s="625"/>
      <c r="DB330" s="625"/>
      <c r="DC330" s="645"/>
      <c r="DD330" s="645"/>
      <c r="DE330" s="645"/>
      <c r="DF330" s="645"/>
      <c r="DG330" s="645"/>
      <c r="DH330" s="645"/>
      <c r="DI330" s="645"/>
      <c r="DJ330" s="645"/>
      <c r="DK330" s="645"/>
      <c r="DL330" s="645"/>
      <c r="DM330" s="645"/>
      <c r="DN330" s="645"/>
      <c r="DO330" s="645"/>
      <c r="DP330" s="645"/>
      <c r="DQ330" s="645"/>
      <c r="DR330" s="645"/>
      <c r="DS330" s="645"/>
      <c r="DT330" s="645"/>
      <c r="DU330" s="645"/>
      <c r="DV330" s="645"/>
      <c r="DW330" s="645"/>
      <c r="DX330" s="645"/>
      <c r="DY330" s="645"/>
      <c r="DZ330" s="645"/>
      <c r="EA330" s="645"/>
      <c r="EB330" s="645"/>
      <c r="EC330" s="645"/>
      <c r="ED330" s="645"/>
      <c r="EE330" s="645"/>
      <c r="EF330" s="645"/>
      <c r="EG330" s="645"/>
      <c r="EH330" s="645"/>
      <c r="EI330" s="645"/>
      <c r="EJ330" s="645"/>
      <c r="EK330" s="645"/>
      <c r="EL330" s="645"/>
      <c r="EM330" s="645"/>
      <c r="EN330" s="645"/>
      <c r="EO330" s="645"/>
      <c r="EP330" s="645"/>
      <c r="EQ330" s="645"/>
      <c r="ER330" s="645"/>
      <c r="ES330" s="645"/>
      <c r="ET330" s="645"/>
      <c r="EU330" s="645"/>
      <c r="EV330" s="645"/>
      <c r="EW330" s="645"/>
      <c r="EX330" s="645"/>
      <c r="EY330" s="645"/>
      <c r="EZ330" s="645"/>
      <c r="FA330" s="645"/>
      <c r="FB330" s="645"/>
      <c r="FC330" s="645"/>
      <c r="FD330" s="645"/>
      <c r="FE330" s="645"/>
      <c r="FF330" s="645"/>
      <c r="FG330" s="645"/>
      <c r="FH330" s="645"/>
      <c r="FI330" s="645"/>
      <c r="FJ330" s="645"/>
      <c r="FK330" s="645"/>
      <c r="FL330" s="645"/>
      <c r="FM330" s="645"/>
      <c r="FN330" s="645"/>
      <c r="FO330" s="645"/>
      <c r="FP330" s="645"/>
      <c r="FQ330" s="645"/>
      <c r="FR330" s="645"/>
      <c r="FS330" s="645"/>
      <c r="FT330" s="645"/>
      <c r="FU330" s="645"/>
      <c r="FV330" s="645"/>
      <c r="FW330" s="645"/>
      <c r="FX330" s="645"/>
      <c r="FY330" s="645"/>
      <c r="FZ330" s="645"/>
      <c r="GA330" s="645"/>
      <c r="GB330" s="645"/>
      <c r="GC330" s="645"/>
      <c r="GD330" s="645"/>
      <c r="GE330" s="645"/>
      <c r="GF330" s="645"/>
      <c r="GG330" s="645"/>
      <c r="GH330" s="645"/>
      <c r="GI330" s="645"/>
      <c r="GJ330" s="645"/>
      <c r="GK330" s="645"/>
      <c r="GL330" s="645"/>
      <c r="GM330" s="645"/>
      <c r="GN330" s="645"/>
      <c r="GO330" s="645"/>
      <c r="GP330" s="645"/>
      <c r="GQ330" s="645"/>
      <c r="GR330" s="645"/>
      <c r="GS330" s="645"/>
      <c r="GT330" s="645"/>
      <c r="GU330" s="645"/>
      <c r="GV330" s="645"/>
      <c r="GW330" s="645"/>
      <c r="GX330" s="645"/>
      <c r="GY330" s="645"/>
      <c r="GZ330" s="645"/>
      <c r="HA330" s="645"/>
      <c r="HB330" s="645"/>
      <c r="HC330" s="645"/>
      <c r="HD330" s="645"/>
      <c r="HE330" s="645"/>
      <c r="HF330" s="645"/>
      <c r="HG330" s="645"/>
      <c r="HH330" s="645"/>
      <c r="HI330" s="645"/>
      <c r="HJ330" s="645"/>
      <c r="HK330" s="645"/>
      <c r="HL330" s="645"/>
      <c r="HM330" s="645"/>
      <c r="HN330" s="645"/>
      <c r="HO330" s="645"/>
      <c r="HP330" s="645"/>
      <c r="HQ330" s="645"/>
      <c r="HR330" s="645">
        <v>0.16350000000000001</v>
      </c>
      <c r="HS330" s="645">
        <f t="shared" si="812"/>
        <v>1097.7857142857142</v>
      </c>
      <c r="HT330" s="645">
        <f t="shared" si="813"/>
        <v>1</v>
      </c>
      <c r="HU330" s="618">
        <f t="shared" si="796"/>
        <v>4.1652076031670973</v>
      </c>
      <c r="HV330" s="618"/>
      <c r="HW330" s="618">
        <f t="shared" si="799"/>
        <v>30.085405203502724</v>
      </c>
      <c r="HX330" s="618">
        <f t="shared" si="797"/>
        <v>3.8220013050823924</v>
      </c>
      <c r="HY330" s="618">
        <f t="shared" si="798"/>
        <v>0.16350000000000001</v>
      </c>
      <c r="HZ330" s="618"/>
      <c r="IA330" s="618"/>
      <c r="IB330" s="618">
        <f t="shared" si="800"/>
        <v>25.000350341399081</v>
      </c>
      <c r="IC330" s="618">
        <f t="shared" si="801"/>
        <v>1E-3</v>
      </c>
      <c r="ID330" s="618"/>
      <c r="IE330" s="618">
        <f t="shared" si="802"/>
        <v>0</v>
      </c>
      <c r="IF330" s="618">
        <f t="shared" si="803"/>
        <v>40.704999999999998</v>
      </c>
      <c r="IG330" s="618"/>
      <c r="IH330" s="618">
        <f t="shared" si="804"/>
        <v>0</v>
      </c>
      <c r="II330" s="618">
        <f t="shared" si="805"/>
        <v>40.704999999999998</v>
      </c>
      <c r="IJ330" s="618"/>
      <c r="IK330" s="618">
        <f t="shared" si="806"/>
        <v>0</v>
      </c>
      <c r="IL330" s="618">
        <f t="shared" si="807"/>
        <v>40.704999999999998</v>
      </c>
      <c r="IM330" s="618"/>
      <c r="IN330" s="618">
        <f t="shared" si="808"/>
        <v>0</v>
      </c>
      <c r="IO330" s="618">
        <f t="shared" si="809"/>
        <v>40.704999999999998</v>
      </c>
      <c r="IP330" s="618"/>
      <c r="IQ330" s="618">
        <f t="shared" si="810"/>
        <v>0</v>
      </c>
      <c r="IR330" s="618">
        <f t="shared" si="811"/>
        <v>40.704999999999998</v>
      </c>
      <c r="IS330" s="645"/>
      <c r="IT330" s="645"/>
      <c r="IU330" s="645"/>
      <c r="IV330" s="645"/>
      <c r="IW330" s="645"/>
      <c r="IX330" s="645"/>
      <c r="IY330" s="645"/>
      <c r="IZ330" s="645"/>
      <c r="JA330" s="645"/>
      <c r="JB330" s="645"/>
      <c r="JC330" s="645"/>
      <c r="JD330" s="645"/>
      <c r="JE330" s="645"/>
      <c r="JF330" s="645"/>
      <c r="JG330" s="645"/>
      <c r="JH330" s="645"/>
      <c r="JI330" s="645"/>
      <c r="JJ330" s="645"/>
      <c r="JK330" s="645"/>
      <c r="JL330" s="645"/>
      <c r="JM330" s="645"/>
      <c r="JN330" s="645"/>
      <c r="JO330" s="645"/>
      <c r="JP330" s="645"/>
      <c r="JQ330" s="645"/>
      <c r="JR330" s="645"/>
      <c r="JS330" s="645"/>
      <c r="JT330" s="645"/>
      <c r="JU330" s="645"/>
      <c r="JV330" s="653"/>
    </row>
    <row r="331" spans="1:282" s="612" customFormat="1">
      <c r="A331" s="611"/>
      <c r="U331" s="613"/>
      <c r="V331" s="613"/>
      <c r="AC331" s="613"/>
      <c r="AD331" s="613"/>
      <c r="AL331" s="613"/>
      <c r="AM331" s="613"/>
      <c r="AT331" s="613"/>
      <c r="AU331" s="613"/>
      <c r="CH331" s="611"/>
      <c r="CI331" s="611"/>
      <c r="CO331" s="695"/>
      <c r="CP331" s="645"/>
      <c r="CQ331" s="618"/>
      <c r="CR331" s="618"/>
      <c r="CS331" s="618"/>
      <c r="CT331" s="626"/>
      <c r="CU331" s="626"/>
      <c r="CV331" s="626"/>
      <c r="CW331" s="646"/>
      <c r="CX331" s="646"/>
      <c r="CY331" s="625"/>
      <c r="CZ331" s="625"/>
      <c r="DA331" s="625"/>
      <c r="DB331" s="625"/>
      <c r="DC331" s="645"/>
      <c r="DD331" s="645"/>
      <c r="DE331" s="645"/>
      <c r="DF331" s="645"/>
      <c r="DG331" s="645"/>
      <c r="DH331" s="645"/>
      <c r="DI331" s="645"/>
      <c r="DJ331" s="645"/>
      <c r="DK331" s="645"/>
      <c r="DL331" s="645"/>
      <c r="DM331" s="645"/>
      <c r="DN331" s="645"/>
      <c r="DO331" s="645"/>
      <c r="DP331" s="645"/>
      <c r="DQ331" s="645"/>
      <c r="DR331" s="645"/>
      <c r="DS331" s="645"/>
      <c r="DT331" s="645"/>
      <c r="DU331" s="645"/>
      <c r="DV331" s="645"/>
      <c r="DW331" s="645"/>
      <c r="DX331" s="645"/>
      <c r="DY331" s="645"/>
      <c r="DZ331" s="645"/>
      <c r="EA331" s="645"/>
      <c r="EB331" s="645"/>
      <c r="EC331" s="645"/>
      <c r="ED331" s="645"/>
      <c r="EE331" s="645"/>
      <c r="EF331" s="645"/>
      <c r="EG331" s="645"/>
      <c r="EH331" s="645"/>
      <c r="EI331" s="645"/>
      <c r="EJ331" s="645"/>
      <c r="EK331" s="645"/>
      <c r="EL331" s="645"/>
      <c r="EM331" s="645"/>
      <c r="EN331" s="645"/>
      <c r="EO331" s="645"/>
      <c r="EP331" s="645"/>
      <c r="EQ331" s="645"/>
      <c r="ER331" s="645"/>
      <c r="ES331" s="645"/>
      <c r="ET331" s="645"/>
      <c r="EU331" s="645"/>
      <c r="EV331" s="645"/>
      <c r="EW331" s="645"/>
      <c r="EX331" s="645"/>
      <c r="EY331" s="645"/>
      <c r="EZ331" s="645"/>
      <c r="FA331" s="645"/>
      <c r="FB331" s="645"/>
      <c r="FC331" s="645"/>
      <c r="FD331" s="645"/>
      <c r="FE331" s="645"/>
      <c r="FF331" s="645"/>
      <c r="FG331" s="645"/>
      <c r="FH331" s="645"/>
      <c r="FI331" s="645"/>
      <c r="FJ331" s="645"/>
      <c r="FK331" s="645"/>
      <c r="FL331" s="645"/>
      <c r="FM331" s="645"/>
      <c r="FN331" s="645"/>
      <c r="FO331" s="645"/>
      <c r="FP331" s="645"/>
      <c r="FQ331" s="645"/>
      <c r="FR331" s="645"/>
      <c r="FS331" s="645"/>
      <c r="FT331" s="645"/>
      <c r="FU331" s="645"/>
      <c r="FV331" s="645"/>
      <c r="FW331" s="645"/>
      <c r="FX331" s="645"/>
      <c r="FY331" s="645"/>
      <c r="FZ331" s="645"/>
      <c r="GA331" s="645"/>
      <c r="GB331" s="645"/>
      <c r="GC331" s="645"/>
      <c r="GD331" s="645"/>
      <c r="GE331" s="645"/>
      <c r="GF331" s="645"/>
      <c r="GG331" s="645"/>
      <c r="GH331" s="645"/>
      <c r="GI331" s="645"/>
      <c r="GJ331" s="645"/>
      <c r="GK331" s="645"/>
      <c r="GL331" s="645"/>
      <c r="GM331" s="645"/>
      <c r="GN331" s="645"/>
      <c r="GO331" s="645"/>
      <c r="GP331" s="645"/>
      <c r="GQ331" s="645"/>
      <c r="GR331" s="645"/>
      <c r="GS331" s="645"/>
      <c r="GT331" s="645"/>
      <c r="GU331" s="645"/>
      <c r="GV331" s="645"/>
      <c r="GW331" s="645"/>
      <c r="GX331" s="645"/>
      <c r="GY331" s="645"/>
      <c r="GZ331" s="645"/>
      <c r="HA331" s="645"/>
      <c r="HB331" s="645"/>
      <c r="HC331" s="645"/>
      <c r="HD331" s="645"/>
      <c r="HE331" s="645"/>
      <c r="HF331" s="645"/>
      <c r="HG331" s="645"/>
      <c r="HH331" s="645"/>
      <c r="HI331" s="645"/>
      <c r="HJ331" s="645"/>
      <c r="HK331" s="645"/>
      <c r="HL331" s="645"/>
      <c r="HM331" s="645"/>
      <c r="HN331" s="645"/>
      <c r="HO331" s="645"/>
      <c r="HP331" s="645"/>
      <c r="HQ331" s="645"/>
      <c r="HR331" s="645">
        <v>0.16400000000000001</v>
      </c>
      <c r="HS331" s="645">
        <f t="shared" si="812"/>
        <v>1101.1428571428571</v>
      </c>
      <c r="HT331" s="645">
        <f t="shared" si="813"/>
        <v>1</v>
      </c>
      <c r="HU331" s="618">
        <f t="shared" si="796"/>
        <v>4.1779466471407218</v>
      </c>
      <c r="HV331" s="618"/>
      <c r="HW331" s="618">
        <f t="shared" si="799"/>
        <v>30.067315761060176</v>
      </c>
      <c r="HX331" s="618">
        <f t="shared" si="797"/>
        <v>3.8326409955726426</v>
      </c>
      <c r="HY331" s="618">
        <f t="shared" si="798"/>
        <v>0.16400000000000001</v>
      </c>
      <c r="HZ331" s="618"/>
      <c r="IA331" s="618"/>
      <c r="IB331" s="618">
        <f t="shared" si="800"/>
        <v>25.000350341399081</v>
      </c>
      <c r="IC331" s="618">
        <f t="shared" si="801"/>
        <v>1E-3</v>
      </c>
      <c r="ID331" s="618"/>
      <c r="IE331" s="618">
        <f t="shared" si="802"/>
        <v>0</v>
      </c>
      <c r="IF331" s="618">
        <f t="shared" si="803"/>
        <v>40.704999999999998</v>
      </c>
      <c r="IG331" s="618"/>
      <c r="IH331" s="618">
        <f t="shared" si="804"/>
        <v>0</v>
      </c>
      <c r="II331" s="618">
        <f t="shared" si="805"/>
        <v>40.704999999999998</v>
      </c>
      <c r="IJ331" s="618"/>
      <c r="IK331" s="618">
        <f t="shared" si="806"/>
        <v>0</v>
      </c>
      <c r="IL331" s="618">
        <f t="shared" si="807"/>
        <v>40.704999999999998</v>
      </c>
      <c r="IM331" s="618"/>
      <c r="IN331" s="618">
        <f t="shared" si="808"/>
        <v>0</v>
      </c>
      <c r="IO331" s="618">
        <f t="shared" si="809"/>
        <v>40.704999999999998</v>
      </c>
      <c r="IP331" s="618"/>
      <c r="IQ331" s="618">
        <f t="shared" si="810"/>
        <v>0</v>
      </c>
      <c r="IR331" s="618">
        <f t="shared" si="811"/>
        <v>40.704999999999998</v>
      </c>
      <c r="IS331" s="645"/>
      <c r="IT331" s="645"/>
      <c r="IU331" s="645"/>
      <c r="IV331" s="645"/>
      <c r="IW331" s="645"/>
      <c r="IX331" s="645"/>
      <c r="IY331" s="645"/>
      <c r="IZ331" s="645"/>
      <c r="JA331" s="645"/>
      <c r="JB331" s="645"/>
      <c r="JC331" s="645"/>
      <c r="JD331" s="645"/>
      <c r="JE331" s="645"/>
      <c r="JF331" s="645"/>
      <c r="JG331" s="645"/>
      <c r="JH331" s="645"/>
      <c r="JI331" s="645"/>
      <c r="JJ331" s="645"/>
      <c r="JK331" s="645"/>
      <c r="JL331" s="645"/>
      <c r="JM331" s="645"/>
      <c r="JN331" s="645"/>
      <c r="JO331" s="645"/>
      <c r="JP331" s="645"/>
      <c r="JQ331" s="645"/>
      <c r="JR331" s="645"/>
      <c r="JS331" s="645"/>
      <c r="JT331" s="645"/>
      <c r="JU331" s="645"/>
      <c r="JV331" s="653"/>
    </row>
    <row r="332" spans="1:282" s="612" customFormat="1">
      <c r="A332" s="611"/>
      <c r="U332" s="613"/>
      <c r="V332" s="613"/>
      <c r="AC332" s="613"/>
      <c r="AD332" s="613"/>
      <c r="AL332" s="613"/>
      <c r="AM332" s="613"/>
      <c r="AT332" s="613"/>
      <c r="AU332" s="613"/>
      <c r="CH332" s="611"/>
      <c r="CI332" s="611"/>
      <c r="CO332" s="695"/>
      <c r="CP332" s="645"/>
      <c r="CQ332" s="618"/>
      <c r="CR332" s="618"/>
      <c r="CS332" s="618"/>
      <c r="CT332" s="626"/>
      <c r="CU332" s="626"/>
      <c r="CV332" s="626"/>
      <c r="CW332" s="646"/>
      <c r="CX332" s="646"/>
      <c r="CY332" s="625"/>
      <c r="CZ332" s="625"/>
      <c r="DA332" s="625"/>
      <c r="DB332" s="625"/>
      <c r="DC332" s="645"/>
      <c r="DD332" s="645"/>
      <c r="DE332" s="645"/>
      <c r="DF332" s="645"/>
      <c r="DG332" s="645"/>
      <c r="DH332" s="645"/>
      <c r="DI332" s="645"/>
      <c r="DJ332" s="645"/>
      <c r="DK332" s="645"/>
      <c r="DL332" s="645"/>
      <c r="DM332" s="645"/>
      <c r="DN332" s="645"/>
      <c r="DO332" s="645"/>
      <c r="DP332" s="645"/>
      <c r="DQ332" s="645"/>
      <c r="DR332" s="645"/>
      <c r="DS332" s="645"/>
      <c r="DT332" s="645"/>
      <c r="DU332" s="645"/>
      <c r="DV332" s="645"/>
      <c r="DW332" s="645"/>
      <c r="DX332" s="645"/>
      <c r="DY332" s="645"/>
      <c r="DZ332" s="645"/>
      <c r="EA332" s="645"/>
      <c r="EB332" s="645"/>
      <c r="EC332" s="645"/>
      <c r="ED332" s="645"/>
      <c r="EE332" s="645"/>
      <c r="EF332" s="645"/>
      <c r="EG332" s="645"/>
      <c r="EH332" s="645"/>
      <c r="EI332" s="645"/>
      <c r="EJ332" s="645"/>
      <c r="EK332" s="645"/>
      <c r="EL332" s="645"/>
      <c r="EM332" s="645"/>
      <c r="EN332" s="645"/>
      <c r="EO332" s="645"/>
      <c r="EP332" s="645"/>
      <c r="EQ332" s="645"/>
      <c r="ER332" s="645"/>
      <c r="ES332" s="645"/>
      <c r="ET332" s="645"/>
      <c r="EU332" s="645"/>
      <c r="EV332" s="645"/>
      <c r="EW332" s="645"/>
      <c r="EX332" s="645"/>
      <c r="EY332" s="645"/>
      <c r="EZ332" s="645"/>
      <c r="FA332" s="645"/>
      <c r="FB332" s="645"/>
      <c r="FC332" s="645"/>
      <c r="FD332" s="645"/>
      <c r="FE332" s="645"/>
      <c r="FF332" s="645"/>
      <c r="FG332" s="645"/>
      <c r="FH332" s="645"/>
      <c r="FI332" s="645"/>
      <c r="FJ332" s="645"/>
      <c r="FK332" s="645"/>
      <c r="FL332" s="645"/>
      <c r="FM332" s="645"/>
      <c r="FN332" s="645"/>
      <c r="FO332" s="645"/>
      <c r="FP332" s="645"/>
      <c r="FQ332" s="645"/>
      <c r="FR332" s="645"/>
      <c r="FS332" s="645"/>
      <c r="FT332" s="645"/>
      <c r="FU332" s="645"/>
      <c r="FV332" s="645"/>
      <c r="FW332" s="645"/>
      <c r="FX332" s="645"/>
      <c r="FY332" s="645"/>
      <c r="FZ332" s="645"/>
      <c r="GA332" s="645"/>
      <c r="GB332" s="645"/>
      <c r="GC332" s="645"/>
      <c r="GD332" s="645"/>
      <c r="GE332" s="645"/>
      <c r="GF332" s="645"/>
      <c r="GG332" s="645"/>
      <c r="GH332" s="645"/>
      <c r="GI332" s="645"/>
      <c r="GJ332" s="645"/>
      <c r="GK332" s="645"/>
      <c r="GL332" s="645"/>
      <c r="GM332" s="645"/>
      <c r="GN332" s="645"/>
      <c r="GO332" s="645"/>
      <c r="GP332" s="645"/>
      <c r="GQ332" s="645"/>
      <c r="GR332" s="645"/>
      <c r="GS332" s="645"/>
      <c r="GT332" s="645"/>
      <c r="GU332" s="645"/>
      <c r="GV332" s="645"/>
      <c r="GW332" s="645"/>
      <c r="GX332" s="645"/>
      <c r="GY332" s="645"/>
      <c r="GZ332" s="645"/>
      <c r="HA332" s="645"/>
      <c r="HB332" s="645"/>
      <c r="HC332" s="645"/>
      <c r="HD332" s="645"/>
      <c r="HE332" s="645"/>
      <c r="HF332" s="645"/>
      <c r="HG332" s="645"/>
      <c r="HH332" s="645"/>
      <c r="HI332" s="645"/>
      <c r="HJ332" s="645"/>
      <c r="HK332" s="645"/>
      <c r="HL332" s="645"/>
      <c r="HM332" s="645"/>
      <c r="HN332" s="645"/>
      <c r="HO332" s="645"/>
      <c r="HP332" s="645"/>
      <c r="HQ332" s="645"/>
      <c r="HR332" s="645">
        <v>0.16450000000000001</v>
      </c>
      <c r="HS332" s="645">
        <f t="shared" si="812"/>
        <v>1104.5</v>
      </c>
      <c r="HT332" s="645">
        <f t="shared" si="813"/>
        <v>1</v>
      </c>
      <c r="HU332" s="618">
        <f t="shared" si="796"/>
        <v>4.1906856911143464</v>
      </c>
      <c r="HV332" s="618"/>
      <c r="HW332" s="618">
        <f t="shared" si="799"/>
        <v>30.049226318617627</v>
      </c>
      <c r="HX332" s="618">
        <f t="shared" si="797"/>
        <v>3.8432742848905947</v>
      </c>
      <c r="HY332" s="618">
        <f t="shared" si="798"/>
        <v>0.16450000000000001</v>
      </c>
      <c r="HZ332" s="618"/>
      <c r="IA332" s="618"/>
      <c r="IB332" s="618">
        <f t="shared" si="800"/>
        <v>25.000350341399081</v>
      </c>
      <c r="IC332" s="618">
        <f t="shared" si="801"/>
        <v>1E-3</v>
      </c>
      <c r="ID332" s="618"/>
      <c r="IE332" s="618">
        <f t="shared" si="802"/>
        <v>0</v>
      </c>
      <c r="IF332" s="618">
        <f t="shared" si="803"/>
        <v>40.704999999999998</v>
      </c>
      <c r="IG332" s="618"/>
      <c r="IH332" s="618">
        <f t="shared" si="804"/>
        <v>0</v>
      </c>
      <c r="II332" s="618">
        <f t="shared" si="805"/>
        <v>40.704999999999998</v>
      </c>
      <c r="IJ332" s="618"/>
      <c r="IK332" s="618">
        <f t="shared" si="806"/>
        <v>0</v>
      </c>
      <c r="IL332" s="618">
        <f t="shared" si="807"/>
        <v>40.704999999999998</v>
      </c>
      <c r="IM332" s="618"/>
      <c r="IN332" s="618">
        <f t="shared" si="808"/>
        <v>0</v>
      </c>
      <c r="IO332" s="618">
        <f t="shared" si="809"/>
        <v>40.704999999999998</v>
      </c>
      <c r="IP332" s="618"/>
      <c r="IQ332" s="618">
        <f t="shared" si="810"/>
        <v>0</v>
      </c>
      <c r="IR332" s="618">
        <f t="shared" si="811"/>
        <v>40.704999999999998</v>
      </c>
      <c r="IS332" s="645"/>
      <c r="IT332" s="645"/>
      <c r="IU332" s="645"/>
      <c r="IV332" s="645"/>
      <c r="IW332" s="645"/>
      <c r="IX332" s="645"/>
      <c r="IY332" s="645"/>
      <c r="IZ332" s="645"/>
      <c r="JA332" s="645"/>
      <c r="JB332" s="645"/>
      <c r="JC332" s="645"/>
      <c r="JD332" s="645"/>
      <c r="JE332" s="645"/>
      <c r="JF332" s="645"/>
      <c r="JG332" s="645"/>
      <c r="JH332" s="645"/>
      <c r="JI332" s="645"/>
      <c r="JJ332" s="645"/>
      <c r="JK332" s="645"/>
      <c r="JL332" s="645"/>
      <c r="JM332" s="645"/>
      <c r="JN332" s="645"/>
      <c r="JO332" s="645"/>
      <c r="JP332" s="645"/>
      <c r="JQ332" s="645"/>
      <c r="JR332" s="645"/>
      <c r="JS332" s="645"/>
      <c r="JT332" s="645"/>
      <c r="JU332" s="645"/>
      <c r="JV332" s="653"/>
    </row>
    <row r="333" spans="1:282" s="612" customFormat="1">
      <c r="A333" s="611"/>
      <c r="U333" s="613"/>
      <c r="V333" s="613"/>
      <c r="AC333" s="613"/>
      <c r="AD333" s="613"/>
      <c r="AL333" s="613"/>
      <c r="AM333" s="613"/>
      <c r="AT333" s="613"/>
      <c r="AU333" s="613"/>
      <c r="CH333" s="611"/>
      <c r="CI333" s="611"/>
      <c r="CO333" s="695"/>
      <c r="CP333" s="645"/>
      <c r="CQ333" s="618"/>
      <c r="CR333" s="618"/>
      <c r="CS333" s="618"/>
      <c r="CT333" s="626"/>
      <c r="CU333" s="626"/>
      <c r="CV333" s="626"/>
      <c r="CW333" s="646"/>
      <c r="CX333" s="646"/>
      <c r="CY333" s="625"/>
      <c r="CZ333" s="625"/>
      <c r="DA333" s="625"/>
      <c r="DB333" s="625"/>
      <c r="DC333" s="645"/>
      <c r="DD333" s="645"/>
      <c r="DE333" s="645"/>
      <c r="DF333" s="645"/>
      <c r="DG333" s="645"/>
      <c r="DH333" s="645"/>
      <c r="DI333" s="645"/>
      <c r="DJ333" s="645"/>
      <c r="DK333" s="645"/>
      <c r="DL333" s="645"/>
      <c r="DM333" s="645"/>
      <c r="DN333" s="645"/>
      <c r="DO333" s="645"/>
      <c r="DP333" s="645"/>
      <c r="DQ333" s="645"/>
      <c r="DR333" s="645"/>
      <c r="DS333" s="645"/>
      <c r="DT333" s="645"/>
      <c r="DU333" s="645"/>
      <c r="DV333" s="645"/>
      <c r="DW333" s="645"/>
      <c r="DX333" s="645"/>
      <c r="DY333" s="645"/>
      <c r="DZ333" s="645"/>
      <c r="EA333" s="645"/>
      <c r="EB333" s="645"/>
      <c r="EC333" s="645"/>
      <c r="ED333" s="645"/>
      <c r="EE333" s="645"/>
      <c r="EF333" s="645"/>
      <c r="EG333" s="645"/>
      <c r="EH333" s="645"/>
      <c r="EI333" s="645"/>
      <c r="EJ333" s="645"/>
      <c r="EK333" s="645"/>
      <c r="EL333" s="645"/>
      <c r="EM333" s="645"/>
      <c r="EN333" s="645"/>
      <c r="EO333" s="645"/>
      <c r="EP333" s="645"/>
      <c r="EQ333" s="645"/>
      <c r="ER333" s="645"/>
      <c r="ES333" s="645"/>
      <c r="ET333" s="645"/>
      <c r="EU333" s="645"/>
      <c r="EV333" s="645"/>
      <c r="EW333" s="645"/>
      <c r="EX333" s="645"/>
      <c r="EY333" s="645"/>
      <c r="EZ333" s="645"/>
      <c r="FA333" s="645"/>
      <c r="FB333" s="645"/>
      <c r="FC333" s="645"/>
      <c r="FD333" s="645"/>
      <c r="FE333" s="645"/>
      <c r="FF333" s="645"/>
      <c r="FG333" s="645"/>
      <c r="FH333" s="645"/>
      <c r="FI333" s="645"/>
      <c r="FJ333" s="645"/>
      <c r="FK333" s="645"/>
      <c r="FL333" s="645"/>
      <c r="FM333" s="645"/>
      <c r="FN333" s="645"/>
      <c r="FO333" s="645"/>
      <c r="FP333" s="645"/>
      <c r="FQ333" s="645"/>
      <c r="FR333" s="645"/>
      <c r="FS333" s="645"/>
      <c r="FT333" s="645"/>
      <c r="FU333" s="645"/>
      <c r="FV333" s="645"/>
      <c r="FW333" s="645"/>
      <c r="FX333" s="645"/>
      <c r="FY333" s="645"/>
      <c r="FZ333" s="645"/>
      <c r="GA333" s="645"/>
      <c r="GB333" s="645"/>
      <c r="GC333" s="645"/>
      <c r="GD333" s="645"/>
      <c r="GE333" s="645"/>
      <c r="GF333" s="645"/>
      <c r="GG333" s="645"/>
      <c r="GH333" s="645"/>
      <c r="GI333" s="645"/>
      <c r="GJ333" s="645"/>
      <c r="GK333" s="645"/>
      <c r="GL333" s="645"/>
      <c r="GM333" s="645"/>
      <c r="GN333" s="645"/>
      <c r="GO333" s="645"/>
      <c r="GP333" s="645"/>
      <c r="GQ333" s="645"/>
      <c r="GR333" s="645"/>
      <c r="GS333" s="645"/>
      <c r="GT333" s="645"/>
      <c r="GU333" s="645"/>
      <c r="GV333" s="645"/>
      <c r="GW333" s="645"/>
      <c r="GX333" s="645"/>
      <c r="GY333" s="645"/>
      <c r="GZ333" s="645"/>
      <c r="HA333" s="645"/>
      <c r="HB333" s="645"/>
      <c r="HC333" s="645"/>
      <c r="HD333" s="645"/>
      <c r="HE333" s="645"/>
      <c r="HF333" s="645"/>
      <c r="HG333" s="645"/>
      <c r="HH333" s="645"/>
      <c r="HI333" s="645"/>
      <c r="HJ333" s="645"/>
      <c r="HK333" s="645"/>
      <c r="HL333" s="645"/>
      <c r="HM333" s="645"/>
      <c r="HN333" s="645"/>
      <c r="HO333" s="645"/>
      <c r="HP333" s="645"/>
      <c r="HQ333" s="645"/>
      <c r="HR333" s="645">
        <v>0.16500000000000001</v>
      </c>
      <c r="HS333" s="645">
        <f t="shared" si="812"/>
        <v>1107.8571428571429</v>
      </c>
      <c r="HT333" s="645">
        <f t="shared" si="813"/>
        <v>1</v>
      </c>
      <c r="HU333" s="618">
        <f t="shared" si="796"/>
        <v>4.203424735087971</v>
      </c>
      <c r="HV333" s="618"/>
      <c r="HW333" s="618">
        <f t="shared" si="799"/>
        <v>30.031136876175083</v>
      </c>
      <c r="HX333" s="618">
        <f t="shared" si="797"/>
        <v>3.8539011730362485</v>
      </c>
      <c r="HY333" s="618">
        <f t="shared" si="798"/>
        <v>0.16500000000000001</v>
      </c>
      <c r="HZ333" s="618"/>
      <c r="IA333" s="618"/>
      <c r="IB333" s="618">
        <f t="shared" si="800"/>
        <v>25.000350341399081</v>
      </c>
      <c r="IC333" s="618">
        <f t="shared" si="801"/>
        <v>1E-3</v>
      </c>
      <c r="ID333" s="618"/>
      <c r="IE333" s="618">
        <f t="shared" si="802"/>
        <v>0</v>
      </c>
      <c r="IF333" s="618">
        <f t="shared" si="803"/>
        <v>40.704999999999998</v>
      </c>
      <c r="IG333" s="618"/>
      <c r="IH333" s="618">
        <f t="shared" si="804"/>
        <v>0</v>
      </c>
      <c r="II333" s="618">
        <f t="shared" si="805"/>
        <v>40.704999999999998</v>
      </c>
      <c r="IJ333" s="618"/>
      <c r="IK333" s="618">
        <f t="shared" si="806"/>
        <v>0</v>
      </c>
      <c r="IL333" s="618">
        <f t="shared" si="807"/>
        <v>40.704999999999998</v>
      </c>
      <c r="IM333" s="618"/>
      <c r="IN333" s="618">
        <f t="shared" si="808"/>
        <v>0</v>
      </c>
      <c r="IO333" s="618">
        <f t="shared" si="809"/>
        <v>40.704999999999998</v>
      </c>
      <c r="IP333" s="618"/>
      <c r="IQ333" s="618">
        <f t="shared" si="810"/>
        <v>0</v>
      </c>
      <c r="IR333" s="618">
        <f t="shared" si="811"/>
        <v>40.704999999999998</v>
      </c>
      <c r="IS333" s="645"/>
      <c r="IT333" s="645"/>
      <c r="IU333" s="645"/>
      <c r="IV333" s="645"/>
      <c r="IW333" s="645"/>
      <c r="IX333" s="645"/>
      <c r="IY333" s="645"/>
      <c r="IZ333" s="645"/>
      <c r="JA333" s="645"/>
      <c r="JB333" s="645"/>
      <c r="JC333" s="645"/>
      <c r="JD333" s="645"/>
      <c r="JE333" s="645"/>
      <c r="JF333" s="645"/>
      <c r="JG333" s="645"/>
      <c r="JH333" s="645"/>
      <c r="JI333" s="645"/>
      <c r="JJ333" s="645"/>
      <c r="JK333" s="645"/>
      <c r="JL333" s="645"/>
      <c r="JM333" s="645"/>
      <c r="JN333" s="645"/>
      <c r="JO333" s="645"/>
      <c r="JP333" s="645"/>
      <c r="JQ333" s="645"/>
      <c r="JR333" s="645"/>
      <c r="JS333" s="645"/>
      <c r="JT333" s="645"/>
      <c r="JU333" s="645"/>
      <c r="JV333" s="653"/>
    </row>
    <row r="334" spans="1:282" s="612" customFormat="1">
      <c r="A334" s="611"/>
      <c r="U334" s="613"/>
      <c r="V334" s="613"/>
      <c r="AC334" s="613"/>
      <c r="AD334" s="613"/>
      <c r="AL334" s="613"/>
      <c r="AM334" s="613"/>
      <c r="AT334" s="613"/>
      <c r="AU334" s="613"/>
      <c r="CH334" s="611"/>
      <c r="CI334" s="611"/>
      <c r="CO334" s="695"/>
      <c r="CP334" s="645"/>
      <c r="CQ334" s="618"/>
      <c r="CR334" s="618"/>
      <c r="CS334" s="618"/>
      <c r="CT334" s="626"/>
      <c r="CU334" s="626"/>
      <c r="CV334" s="626"/>
      <c r="CW334" s="646"/>
      <c r="CX334" s="646"/>
      <c r="CY334" s="625"/>
      <c r="CZ334" s="625"/>
      <c r="DA334" s="625"/>
      <c r="DB334" s="625"/>
      <c r="DC334" s="645"/>
      <c r="DD334" s="645"/>
      <c r="DE334" s="645"/>
      <c r="DF334" s="645"/>
      <c r="DG334" s="645"/>
      <c r="DH334" s="645"/>
      <c r="DI334" s="645"/>
      <c r="DJ334" s="645"/>
      <c r="DK334" s="645"/>
      <c r="DL334" s="645"/>
      <c r="DM334" s="645"/>
      <c r="DN334" s="645"/>
      <c r="DO334" s="645"/>
      <c r="DP334" s="645"/>
      <c r="DQ334" s="645"/>
      <c r="DR334" s="645"/>
      <c r="DS334" s="645"/>
      <c r="DT334" s="645"/>
      <c r="DU334" s="645"/>
      <c r="DV334" s="645"/>
      <c r="DW334" s="645"/>
      <c r="DX334" s="645"/>
      <c r="DY334" s="645"/>
      <c r="DZ334" s="645"/>
      <c r="EA334" s="645"/>
      <c r="EB334" s="645"/>
      <c r="EC334" s="645"/>
      <c r="ED334" s="645"/>
      <c r="EE334" s="645"/>
      <c r="EF334" s="645"/>
      <c r="EG334" s="645"/>
      <c r="EH334" s="645"/>
      <c r="EI334" s="645"/>
      <c r="EJ334" s="645"/>
      <c r="EK334" s="645"/>
      <c r="EL334" s="645"/>
      <c r="EM334" s="645"/>
      <c r="EN334" s="645"/>
      <c r="EO334" s="645"/>
      <c r="EP334" s="645"/>
      <c r="EQ334" s="645"/>
      <c r="ER334" s="645"/>
      <c r="ES334" s="645"/>
      <c r="ET334" s="645"/>
      <c r="EU334" s="645"/>
      <c r="EV334" s="645"/>
      <c r="EW334" s="645"/>
      <c r="EX334" s="645"/>
      <c r="EY334" s="645"/>
      <c r="EZ334" s="645"/>
      <c r="FA334" s="645"/>
      <c r="FB334" s="645"/>
      <c r="FC334" s="645"/>
      <c r="FD334" s="645"/>
      <c r="FE334" s="645"/>
      <c r="FF334" s="645"/>
      <c r="FG334" s="645"/>
      <c r="FH334" s="645"/>
      <c r="FI334" s="645"/>
      <c r="FJ334" s="645"/>
      <c r="FK334" s="645"/>
      <c r="FL334" s="645"/>
      <c r="FM334" s="645"/>
      <c r="FN334" s="645"/>
      <c r="FO334" s="645"/>
      <c r="FP334" s="645"/>
      <c r="FQ334" s="645"/>
      <c r="FR334" s="645"/>
      <c r="FS334" s="645"/>
      <c r="FT334" s="645"/>
      <c r="FU334" s="645"/>
      <c r="FV334" s="645"/>
      <c r="FW334" s="645"/>
      <c r="FX334" s="645"/>
      <c r="FY334" s="645"/>
      <c r="FZ334" s="645"/>
      <c r="GA334" s="645"/>
      <c r="GB334" s="645"/>
      <c r="GC334" s="645"/>
      <c r="GD334" s="645"/>
      <c r="GE334" s="645"/>
      <c r="GF334" s="645"/>
      <c r="GG334" s="645"/>
      <c r="GH334" s="645"/>
      <c r="GI334" s="645"/>
      <c r="GJ334" s="645"/>
      <c r="GK334" s="645"/>
      <c r="GL334" s="645"/>
      <c r="GM334" s="645"/>
      <c r="GN334" s="645"/>
      <c r="GO334" s="645"/>
      <c r="GP334" s="645"/>
      <c r="GQ334" s="645"/>
      <c r="GR334" s="645"/>
      <c r="GS334" s="645"/>
      <c r="GT334" s="645"/>
      <c r="GU334" s="645"/>
      <c r="GV334" s="645"/>
      <c r="GW334" s="645"/>
      <c r="GX334" s="645"/>
      <c r="GY334" s="645"/>
      <c r="GZ334" s="645"/>
      <c r="HA334" s="645"/>
      <c r="HB334" s="645"/>
      <c r="HC334" s="645"/>
      <c r="HD334" s="645"/>
      <c r="HE334" s="645"/>
      <c r="HF334" s="645"/>
      <c r="HG334" s="645"/>
      <c r="HH334" s="645"/>
      <c r="HI334" s="645"/>
      <c r="HJ334" s="645"/>
      <c r="HK334" s="645"/>
      <c r="HL334" s="645"/>
      <c r="HM334" s="645"/>
      <c r="HN334" s="645"/>
      <c r="HO334" s="645"/>
      <c r="HP334" s="645"/>
      <c r="HQ334" s="645"/>
      <c r="HR334" s="645">
        <v>0.16550000000000001</v>
      </c>
      <c r="HS334" s="645">
        <f t="shared" si="812"/>
        <v>1111.2142857142858</v>
      </c>
      <c r="HT334" s="645">
        <f t="shared" si="813"/>
        <v>1</v>
      </c>
      <c r="HU334" s="618">
        <f t="shared" si="796"/>
        <v>4.2161637790615956</v>
      </c>
      <c r="HV334" s="618"/>
      <c r="HW334" s="618">
        <f t="shared" si="799"/>
        <v>30.013047433732535</v>
      </c>
      <c r="HX334" s="618">
        <f t="shared" si="797"/>
        <v>3.8645216600096042</v>
      </c>
      <c r="HY334" s="618">
        <f t="shared" si="798"/>
        <v>0.16550000000000001</v>
      </c>
      <c r="HZ334" s="618"/>
      <c r="IA334" s="618"/>
      <c r="IB334" s="618">
        <f t="shared" si="800"/>
        <v>25.000350341399081</v>
      </c>
      <c r="IC334" s="618">
        <f t="shared" si="801"/>
        <v>1E-3</v>
      </c>
      <c r="ID334" s="618"/>
      <c r="IE334" s="618">
        <f t="shared" si="802"/>
        <v>0</v>
      </c>
      <c r="IF334" s="618">
        <f t="shared" si="803"/>
        <v>40.704999999999998</v>
      </c>
      <c r="IG334" s="618"/>
      <c r="IH334" s="618">
        <f t="shared" si="804"/>
        <v>0</v>
      </c>
      <c r="II334" s="618">
        <f t="shared" si="805"/>
        <v>40.704999999999998</v>
      </c>
      <c r="IJ334" s="618"/>
      <c r="IK334" s="618">
        <f t="shared" si="806"/>
        <v>0</v>
      </c>
      <c r="IL334" s="618">
        <f t="shared" si="807"/>
        <v>40.704999999999998</v>
      </c>
      <c r="IM334" s="618"/>
      <c r="IN334" s="618">
        <f t="shared" si="808"/>
        <v>0</v>
      </c>
      <c r="IO334" s="618">
        <f t="shared" si="809"/>
        <v>40.704999999999998</v>
      </c>
      <c r="IP334" s="618"/>
      <c r="IQ334" s="618">
        <f t="shared" si="810"/>
        <v>0</v>
      </c>
      <c r="IR334" s="618">
        <f t="shared" si="811"/>
        <v>40.704999999999998</v>
      </c>
      <c r="IS334" s="645"/>
      <c r="IT334" s="645"/>
      <c r="IU334" s="645"/>
      <c r="IV334" s="645"/>
      <c r="IW334" s="645"/>
      <c r="IX334" s="645"/>
      <c r="IY334" s="645"/>
      <c r="IZ334" s="645"/>
      <c r="JA334" s="645"/>
      <c r="JB334" s="645"/>
      <c r="JC334" s="645"/>
      <c r="JD334" s="645"/>
      <c r="JE334" s="645"/>
      <c r="JF334" s="645"/>
      <c r="JG334" s="645"/>
      <c r="JH334" s="645"/>
      <c r="JI334" s="645"/>
      <c r="JJ334" s="645"/>
      <c r="JK334" s="645"/>
      <c r="JL334" s="645"/>
      <c r="JM334" s="645"/>
      <c r="JN334" s="645"/>
      <c r="JO334" s="645"/>
      <c r="JP334" s="645"/>
      <c r="JQ334" s="645"/>
      <c r="JR334" s="645"/>
      <c r="JS334" s="645"/>
      <c r="JT334" s="645"/>
      <c r="JU334" s="645"/>
      <c r="JV334" s="653"/>
    </row>
    <row r="335" spans="1:282" s="612" customFormat="1">
      <c r="A335" s="611"/>
      <c r="U335" s="613"/>
      <c r="V335" s="613"/>
      <c r="AC335" s="613"/>
      <c r="AD335" s="613"/>
      <c r="AL335" s="613"/>
      <c r="AM335" s="613"/>
      <c r="AT335" s="613"/>
      <c r="AU335" s="613"/>
      <c r="CH335" s="611"/>
      <c r="CI335" s="611"/>
      <c r="CO335" s="695"/>
      <c r="CP335" s="645"/>
      <c r="CQ335" s="618"/>
      <c r="CR335" s="618"/>
      <c r="CS335" s="618"/>
      <c r="CT335" s="626"/>
      <c r="CU335" s="626"/>
      <c r="CV335" s="626"/>
      <c r="CW335" s="646"/>
      <c r="CX335" s="646"/>
      <c r="CY335" s="625"/>
      <c r="CZ335" s="625"/>
      <c r="DA335" s="625"/>
      <c r="DB335" s="625"/>
      <c r="DC335" s="645"/>
      <c r="DD335" s="645"/>
      <c r="DE335" s="645"/>
      <c r="DF335" s="645"/>
      <c r="DG335" s="645"/>
      <c r="DH335" s="645"/>
      <c r="DI335" s="645"/>
      <c r="DJ335" s="645"/>
      <c r="DK335" s="645"/>
      <c r="DL335" s="645"/>
      <c r="DM335" s="645"/>
      <c r="DN335" s="645"/>
      <c r="DO335" s="645"/>
      <c r="DP335" s="645"/>
      <c r="DQ335" s="645"/>
      <c r="DR335" s="645"/>
      <c r="DS335" s="645"/>
      <c r="DT335" s="645"/>
      <c r="DU335" s="645"/>
      <c r="DV335" s="645"/>
      <c r="DW335" s="645"/>
      <c r="DX335" s="645"/>
      <c r="DY335" s="645"/>
      <c r="DZ335" s="645"/>
      <c r="EA335" s="645"/>
      <c r="EB335" s="645"/>
      <c r="EC335" s="645"/>
      <c r="ED335" s="645"/>
      <c r="EE335" s="645"/>
      <c r="EF335" s="645"/>
      <c r="EG335" s="645"/>
      <c r="EH335" s="645"/>
      <c r="EI335" s="645"/>
      <c r="EJ335" s="645"/>
      <c r="EK335" s="645"/>
      <c r="EL335" s="645"/>
      <c r="EM335" s="645"/>
      <c r="EN335" s="645"/>
      <c r="EO335" s="645"/>
      <c r="EP335" s="645"/>
      <c r="EQ335" s="645"/>
      <c r="ER335" s="645"/>
      <c r="ES335" s="645"/>
      <c r="ET335" s="645"/>
      <c r="EU335" s="645"/>
      <c r="EV335" s="645"/>
      <c r="EW335" s="645"/>
      <c r="EX335" s="645"/>
      <c r="EY335" s="645"/>
      <c r="EZ335" s="645"/>
      <c r="FA335" s="645"/>
      <c r="FB335" s="645"/>
      <c r="FC335" s="645"/>
      <c r="FD335" s="645"/>
      <c r="FE335" s="645"/>
      <c r="FF335" s="645"/>
      <c r="FG335" s="645"/>
      <c r="FH335" s="645"/>
      <c r="FI335" s="645"/>
      <c r="FJ335" s="645"/>
      <c r="FK335" s="645"/>
      <c r="FL335" s="645"/>
      <c r="FM335" s="645"/>
      <c r="FN335" s="645"/>
      <c r="FO335" s="645"/>
      <c r="FP335" s="645"/>
      <c r="FQ335" s="645"/>
      <c r="FR335" s="645"/>
      <c r="FS335" s="645"/>
      <c r="FT335" s="645"/>
      <c r="FU335" s="645"/>
      <c r="FV335" s="645"/>
      <c r="FW335" s="645"/>
      <c r="FX335" s="645"/>
      <c r="FY335" s="645"/>
      <c r="FZ335" s="645"/>
      <c r="GA335" s="645"/>
      <c r="GB335" s="645"/>
      <c r="GC335" s="645"/>
      <c r="GD335" s="645"/>
      <c r="GE335" s="645"/>
      <c r="GF335" s="645"/>
      <c r="GG335" s="645"/>
      <c r="GH335" s="645"/>
      <c r="GI335" s="645"/>
      <c r="GJ335" s="645"/>
      <c r="GK335" s="645"/>
      <c r="GL335" s="645"/>
      <c r="GM335" s="645"/>
      <c r="GN335" s="645"/>
      <c r="GO335" s="645"/>
      <c r="GP335" s="645"/>
      <c r="GQ335" s="645"/>
      <c r="GR335" s="645"/>
      <c r="GS335" s="645"/>
      <c r="GT335" s="645"/>
      <c r="GU335" s="645"/>
      <c r="GV335" s="645"/>
      <c r="GW335" s="645"/>
      <c r="GX335" s="645"/>
      <c r="GY335" s="645"/>
      <c r="GZ335" s="645"/>
      <c r="HA335" s="645"/>
      <c r="HB335" s="645"/>
      <c r="HC335" s="645"/>
      <c r="HD335" s="645"/>
      <c r="HE335" s="645"/>
      <c r="HF335" s="645"/>
      <c r="HG335" s="645"/>
      <c r="HH335" s="645"/>
      <c r="HI335" s="645"/>
      <c r="HJ335" s="645"/>
      <c r="HK335" s="645"/>
      <c r="HL335" s="645"/>
      <c r="HM335" s="645"/>
      <c r="HN335" s="645"/>
      <c r="HO335" s="645"/>
      <c r="HP335" s="645"/>
      <c r="HQ335" s="645"/>
      <c r="HR335" s="645">
        <v>0.16600000000000001</v>
      </c>
      <c r="HS335" s="645">
        <f t="shared" si="812"/>
        <v>1114.5714285714287</v>
      </c>
      <c r="HT335" s="645">
        <f t="shared" si="813"/>
        <v>1</v>
      </c>
      <c r="HU335" s="618">
        <f t="shared" si="796"/>
        <v>4.2289028230352201</v>
      </c>
      <c r="HV335" s="618"/>
      <c r="HW335" s="618">
        <f t="shared" si="799"/>
        <v>29.994957991289986</v>
      </c>
      <c r="HX335" s="618">
        <f t="shared" si="797"/>
        <v>3.8751357458106619</v>
      </c>
      <c r="HY335" s="618">
        <f t="shared" si="798"/>
        <v>0.16600000000000001</v>
      </c>
      <c r="HZ335" s="618"/>
      <c r="IA335" s="618"/>
      <c r="IB335" s="618">
        <f t="shared" si="800"/>
        <v>25.000350341399081</v>
      </c>
      <c r="IC335" s="618">
        <f t="shared" si="801"/>
        <v>1E-3</v>
      </c>
      <c r="ID335" s="618"/>
      <c r="IE335" s="618">
        <f t="shared" si="802"/>
        <v>0</v>
      </c>
      <c r="IF335" s="618">
        <f t="shared" si="803"/>
        <v>40.704999999999998</v>
      </c>
      <c r="IG335" s="618"/>
      <c r="IH335" s="618">
        <f t="shared" si="804"/>
        <v>0</v>
      </c>
      <c r="II335" s="618">
        <f t="shared" si="805"/>
        <v>40.704999999999998</v>
      </c>
      <c r="IJ335" s="618"/>
      <c r="IK335" s="618">
        <f t="shared" si="806"/>
        <v>0</v>
      </c>
      <c r="IL335" s="618">
        <f t="shared" si="807"/>
        <v>40.704999999999998</v>
      </c>
      <c r="IM335" s="618"/>
      <c r="IN335" s="618">
        <f t="shared" si="808"/>
        <v>0</v>
      </c>
      <c r="IO335" s="618">
        <f t="shared" si="809"/>
        <v>40.704999999999998</v>
      </c>
      <c r="IP335" s="618"/>
      <c r="IQ335" s="618">
        <f t="shared" si="810"/>
        <v>0</v>
      </c>
      <c r="IR335" s="618">
        <f t="shared" si="811"/>
        <v>40.704999999999998</v>
      </c>
      <c r="IS335" s="645"/>
      <c r="IT335" s="645"/>
      <c r="IU335" s="645"/>
      <c r="IV335" s="645"/>
      <c r="IW335" s="645"/>
      <c r="IX335" s="645"/>
      <c r="IY335" s="645"/>
      <c r="IZ335" s="645"/>
      <c r="JA335" s="645"/>
      <c r="JB335" s="645"/>
      <c r="JC335" s="645"/>
      <c r="JD335" s="645"/>
      <c r="JE335" s="645"/>
      <c r="JF335" s="645"/>
      <c r="JG335" s="645"/>
      <c r="JH335" s="645"/>
      <c r="JI335" s="645"/>
      <c r="JJ335" s="645"/>
      <c r="JK335" s="645"/>
      <c r="JL335" s="645"/>
      <c r="JM335" s="645"/>
      <c r="JN335" s="645"/>
      <c r="JO335" s="645"/>
      <c r="JP335" s="645"/>
      <c r="JQ335" s="645"/>
      <c r="JR335" s="645"/>
      <c r="JS335" s="645"/>
      <c r="JT335" s="645"/>
      <c r="JU335" s="645"/>
      <c r="JV335" s="653"/>
    </row>
    <row r="336" spans="1:282" s="612" customFormat="1">
      <c r="A336" s="611"/>
      <c r="U336" s="613"/>
      <c r="V336" s="613"/>
      <c r="AC336" s="613"/>
      <c r="AD336" s="613"/>
      <c r="AL336" s="613"/>
      <c r="AM336" s="613"/>
      <c r="AT336" s="613"/>
      <c r="AU336" s="613"/>
      <c r="CH336" s="611"/>
      <c r="CI336" s="611"/>
      <c r="CO336" s="695"/>
      <c r="CP336" s="645"/>
      <c r="CQ336" s="618"/>
      <c r="CR336" s="618"/>
      <c r="CS336" s="618"/>
      <c r="CT336" s="626"/>
      <c r="CU336" s="626"/>
      <c r="CV336" s="626"/>
      <c r="CW336" s="646"/>
      <c r="CX336" s="646"/>
      <c r="CY336" s="625"/>
      <c r="CZ336" s="625"/>
      <c r="DA336" s="625"/>
      <c r="DB336" s="625"/>
      <c r="DC336" s="645"/>
      <c r="DD336" s="645"/>
      <c r="DE336" s="645"/>
      <c r="DF336" s="645"/>
      <c r="DG336" s="645"/>
      <c r="DH336" s="645"/>
      <c r="DI336" s="645"/>
      <c r="DJ336" s="645"/>
      <c r="DK336" s="645"/>
      <c r="DL336" s="645"/>
      <c r="DM336" s="645"/>
      <c r="DN336" s="645"/>
      <c r="DO336" s="645"/>
      <c r="DP336" s="645"/>
      <c r="DQ336" s="645"/>
      <c r="DR336" s="645"/>
      <c r="DS336" s="645"/>
      <c r="DT336" s="645"/>
      <c r="DU336" s="645"/>
      <c r="DV336" s="645"/>
      <c r="DW336" s="645"/>
      <c r="DX336" s="645"/>
      <c r="DY336" s="645"/>
      <c r="DZ336" s="645"/>
      <c r="EA336" s="645"/>
      <c r="EB336" s="645"/>
      <c r="EC336" s="645"/>
      <c r="ED336" s="645"/>
      <c r="EE336" s="645"/>
      <c r="EF336" s="645"/>
      <c r="EG336" s="645"/>
      <c r="EH336" s="645"/>
      <c r="EI336" s="645"/>
      <c r="EJ336" s="645"/>
      <c r="EK336" s="645"/>
      <c r="EL336" s="645"/>
      <c r="EM336" s="645"/>
      <c r="EN336" s="645"/>
      <c r="EO336" s="645"/>
      <c r="EP336" s="645"/>
      <c r="EQ336" s="645"/>
      <c r="ER336" s="645"/>
      <c r="ES336" s="645"/>
      <c r="ET336" s="645"/>
      <c r="EU336" s="645"/>
      <c r="EV336" s="645"/>
      <c r="EW336" s="645"/>
      <c r="EX336" s="645"/>
      <c r="EY336" s="645"/>
      <c r="EZ336" s="645"/>
      <c r="FA336" s="645"/>
      <c r="FB336" s="645"/>
      <c r="FC336" s="645"/>
      <c r="FD336" s="645"/>
      <c r="FE336" s="645"/>
      <c r="FF336" s="645"/>
      <c r="FG336" s="645"/>
      <c r="FH336" s="645"/>
      <c r="FI336" s="645"/>
      <c r="FJ336" s="645"/>
      <c r="FK336" s="645"/>
      <c r="FL336" s="645"/>
      <c r="FM336" s="645"/>
      <c r="FN336" s="645"/>
      <c r="FO336" s="645"/>
      <c r="FP336" s="645"/>
      <c r="FQ336" s="645"/>
      <c r="FR336" s="645"/>
      <c r="FS336" s="645"/>
      <c r="FT336" s="645"/>
      <c r="FU336" s="645"/>
      <c r="FV336" s="645"/>
      <c r="FW336" s="645"/>
      <c r="FX336" s="645"/>
      <c r="FY336" s="645"/>
      <c r="FZ336" s="645"/>
      <c r="GA336" s="645"/>
      <c r="GB336" s="645"/>
      <c r="GC336" s="645"/>
      <c r="GD336" s="645"/>
      <c r="GE336" s="645"/>
      <c r="GF336" s="645"/>
      <c r="GG336" s="645"/>
      <c r="GH336" s="645"/>
      <c r="GI336" s="645"/>
      <c r="GJ336" s="645"/>
      <c r="GK336" s="645"/>
      <c r="GL336" s="645"/>
      <c r="GM336" s="645"/>
      <c r="GN336" s="645"/>
      <c r="GO336" s="645"/>
      <c r="GP336" s="645"/>
      <c r="GQ336" s="645"/>
      <c r="GR336" s="645"/>
      <c r="GS336" s="645"/>
      <c r="GT336" s="645"/>
      <c r="GU336" s="645"/>
      <c r="GV336" s="645"/>
      <c r="GW336" s="645"/>
      <c r="GX336" s="645"/>
      <c r="GY336" s="645"/>
      <c r="GZ336" s="645"/>
      <c r="HA336" s="645"/>
      <c r="HB336" s="645"/>
      <c r="HC336" s="645"/>
      <c r="HD336" s="645"/>
      <c r="HE336" s="645"/>
      <c r="HF336" s="645"/>
      <c r="HG336" s="645"/>
      <c r="HH336" s="645"/>
      <c r="HI336" s="645"/>
      <c r="HJ336" s="645"/>
      <c r="HK336" s="645"/>
      <c r="HL336" s="645"/>
      <c r="HM336" s="645"/>
      <c r="HN336" s="645"/>
      <c r="HO336" s="645"/>
      <c r="HP336" s="645"/>
      <c r="HQ336" s="645"/>
      <c r="HR336" s="645">
        <v>0.16650000000000001</v>
      </c>
      <c r="HS336" s="645">
        <f t="shared" si="812"/>
        <v>1117.9285714285716</v>
      </c>
      <c r="HT336" s="645">
        <f t="shared" si="813"/>
        <v>1</v>
      </c>
      <c r="HU336" s="618">
        <f t="shared" si="796"/>
        <v>4.2416418670088447</v>
      </c>
      <c r="HV336" s="618"/>
      <c r="HW336" s="618">
        <f t="shared" si="799"/>
        <v>29.976868548847442</v>
      </c>
      <c r="HX336" s="618">
        <f t="shared" si="797"/>
        <v>3.8857434304394212</v>
      </c>
      <c r="HY336" s="618">
        <f t="shared" si="798"/>
        <v>0.16650000000000001</v>
      </c>
      <c r="HZ336" s="618"/>
      <c r="IA336" s="618"/>
      <c r="IB336" s="618">
        <f t="shared" si="800"/>
        <v>25.000350341399081</v>
      </c>
      <c r="IC336" s="618">
        <f t="shared" si="801"/>
        <v>1E-3</v>
      </c>
      <c r="ID336" s="618"/>
      <c r="IE336" s="618">
        <f t="shared" si="802"/>
        <v>0</v>
      </c>
      <c r="IF336" s="618">
        <f t="shared" si="803"/>
        <v>40.704999999999998</v>
      </c>
      <c r="IG336" s="618"/>
      <c r="IH336" s="618">
        <f t="shared" si="804"/>
        <v>0</v>
      </c>
      <c r="II336" s="618">
        <f t="shared" si="805"/>
        <v>40.704999999999998</v>
      </c>
      <c r="IJ336" s="618"/>
      <c r="IK336" s="618">
        <f t="shared" si="806"/>
        <v>0</v>
      </c>
      <c r="IL336" s="618">
        <f t="shared" si="807"/>
        <v>40.704999999999998</v>
      </c>
      <c r="IM336" s="618"/>
      <c r="IN336" s="618">
        <f t="shared" si="808"/>
        <v>0</v>
      </c>
      <c r="IO336" s="618">
        <f t="shared" si="809"/>
        <v>40.704999999999998</v>
      </c>
      <c r="IP336" s="618"/>
      <c r="IQ336" s="618">
        <f t="shared" si="810"/>
        <v>0</v>
      </c>
      <c r="IR336" s="618">
        <f t="shared" si="811"/>
        <v>40.704999999999998</v>
      </c>
      <c r="IS336" s="645"/>
      <c r="IT336" s="645"/>
      <c r="IU336" s="645"/>
      <c r="IV336" s="645"/>
      <c r="IW336" s="645"/>
      <c r="IX336" s="645"/>
      <c r="IY336" s="645"/>
      <c r="IZ336" s="645"/>
      <c r="JA336" s="645"/>
      <c r="JB336" s="645"/>
      <c r="JC336" s="645"/>
      <c r="JD336" s="645"/>
      <c r="JE336" s="645"/>
      <c r="JF336" s="645"/>
      <c r="JG336" s="645"/>
      <c r="JH336" s="645"/>
      <c r="JI336" s="645"/>
      <c r="JJ336" s="645"/>
      <c r="JK336" s="645"/>
      <c r="JL336" s="645"/>
      <c r="JM336" s="645"/>
      <c r="JN336" s="645"/>
      <c r="JO336" s="645"/>
      <c r="JP336" s="645"/>
      <c r="JQ336" s="645"/>
      <c r="JR336" s="645"/>
      <c r="JS336" s="645"/>
      <c r="JT336" s="645"/>
      <c r="JU336" s="645"/>
      <c r="JV336" s="653"/>
    </row>
    <row r="337" spans="1:282" s="612" customFormat="1">
      <c r="A337" s="611"/>
      <c r="U337" s="613"/>
      <c r="V337" s="613"/>
      <c r="AC337" s="613"/>
      <c r="AD337" s="613"/>
      <c r="AL337" s="613"/>
      <c r="AM337" s="613"/>
      <c r="AT337" s="613"/>
      <c r="AU337" s="613"/>
      <c r="CH337" s="611"/>
      <c r="CI337" s="611"/>
      <c r="CO337" s="695"/>
      <c r="CP337" s="645"/>
      <c r="CQ337" s="618"/>
      <c r="CR337" s="618"/>
      <c r="CS337" s="618"/>
      <c r="CT337" s="626"/>
      <c r="CU337" s="626"/>
      <c r="CV337" s="626"/>
      <c r="CW337" s="646"/>
      <c r="CX337" s="646"/>
      <c r="CY337" s="625"/>
      <c r="CZ337" s="625"/>
      <c r="DA337" s="625"/>
      <c r="DB337" s="625"/>
      <c r="DC337" s="645"/>
      <c r="DD337" s="645"/>
      <c r="DE337" s="645"/>
      <c r="DF337" s="645"/>
      <c r="DG337" s="645"/>
      <c r="DH337" s="645"/>
      <c r="DI337" s="645"/>
      <c r="DJ337" s="645"/>
      <c r="DK337" s="645"/>
      <c r="DL337" s="645"/>
      <c r="DM337" s="645"/>
      <c r="DN337" s="645"/>
      <c r="DO337" s="645"/>
      <c r="DP337" s="645"/>
      <c r="DQ337" s="645"/>
      <c r="DR337" s="645"/>
      <c r="DS337" s="645"/>
      <c r="DT337" s="645"/>
      <c r="DU337" s="645"/>
      <c r="DV337" s="645"/>
      <c r="DW337" s="645"/>
      <c r="DX337" s="645"/>
      <c r="DY337" s="645"/>
      <c r="DZ337" s="645"/>
      <c r="EA337" s="645"/>
      <c r="EB337" s="645"/>
      <c r="EC337" s="645"/>
      <c r="ED337" s="645"/>
      <c r="EE337" s="645"/>
      <c r="EF337" s="645"/>
      <c r="EG337" s="645"/>
      <c r="EH337" s="645"/>
      <c r="EI337" s="645"/>
      <c r="EJ337" s="645"/>
      <c r="EK337" s="645"/>
      <c r="EL337" s="645"/>
      <c r="EM337" s="645"/>
      <c r="EN337" s="645"/>
      <c r="EO337" s="645"/>
      <c r="EP337" s="645"/>
      <c r="EQ337" s="645"/>
      <c r="ER337" s="645"/>
      <c r="ES337" s="645"/>
      <c r="ET337" s="645"/>
      <c r="EU337" s="645"/>
      <c r="EV337" s="645"/>
      <c r="EW337" s="645"/>
      <c r="EX337" s="645"/>
      <c r="EY337" s="645"/>
      <c r="EZ337" s="645"/>
      <c r="FA337" s="645"/>
      <c r="FB337" s="645"/>
      <c r="FC337" s="645"/>
      <c r="FD337" s="645"/>
      <c r="FE337" s="645"/>
      <c r="FF337" s="645"/>
      <c r="FG337" s="645"/>
      <c r="FH337" s="645"/>
      <c r="FI337" s="645"/>
      <c r="FJ337" s="645"/>
      <c r="FK337" s="645"/>
      <c r="FL337" s="645"/>
      <c r="FM337" s="645"/>
      <c r="FN337" s="645"/>
      <c r="FO337" s="645"/>
      <c r="FP337" s="645"/>
      <c r="FQ337" s="645"/>
      <c r="FR337" s="645"/>
      <c r="FS337" s="645"/>
      <c r="FT337" s="645"/>
      <c r="FU337" s="645"/>
      <c r="FV337" s="645"/>
      <c r="FW337" s="645"/>
      <c r="FX337" s="645"/>
      <c r="FY337" s="645"/>
      <c r="FZ337" s="645"/>
      <c r="GA337" s="645"/>
      <c r="GB337" s="645"/>
      <c r="GC337" s="645"/>
      <c r="GD337" s="645"/>
      <c r="GE337" s="645"/>
      <c r="GF337" s="645"/>
      <c r="GG337" s="645"/>
      <c r="GH337" s="645"/>
      <c r="GI337" s="645"/>
      <c r="GJ337" s="645"/>
      <c r="GK337" s="645"/>
      <c r="GL337" s="645"/>
      <c r="GM337" s="645"/>
      <c r="GN337" s="645"/>
      <c r="GO337" s="645"/>
      <c r="GP337" s="645"/>
      <c r="GQ337" s="645"/>
      <c r="GR337" s="645"/>
      <c r="GS337" s="645"/>
      <c r="GT337" s="645"/>
      <c r="GU337" s="645"/>
      <c r="GV337" s="645"/>
      <c r="GW337" s="645"/>
      <c r="GX337" s="645"/>
      <c r="GY337" s="645"/>
      <c r="GZ337" s="645"/>
      <c r="HA337" s="645"/>
      <c r="HB337" s="645"/>
      <c r="HC337" s="645"/>
      <c r="HD337" s="645"/>
      <c r="HE337" s="645"/>
      <c r="HF337" s="645"/>
      <c r="HG337" s="645"/>
      <c r="HH337" s="645"/>
      <c r="HI337" s="645"/>
      <c r="HJ337" s="645"/>
      <c r="HK337" s="645"/>
      <c r="HL337" s="645"/>
      <c r="HM337" s="645"/>
      <c r="HN337" s="645"/>
      <c r="HO337" s="645"/>
      <c r="HP337" s="645"/>
      <c r="HQ337" s="645"/>
      <c r="HR337" s="645">
        <v>0.16700000000000001</v>
      </c>
      <c r="HS337" s="645">
        <f t="shared" si="812"/>
        <v>1121.2857142857144</v>
      </c>
      <c r="HT337" s="645">
        <f t="shared" si="813"/>
        <v>1</v>
      </c>
      <c r="HU337" s="618">
        <f t="shared" si="796"/>
        <v>4.2543809109824693</v>
      </c>
      <c r="HV337" s="618"/>
      <c r="HW337" s="618">
        <f t="shared" si="799"/>
        <v>29.958779106404894</v>
      </c>
      <c r="HX337" s="618">
        <f t="shared" si="797"/>
        <v>3.8963447138958824</v>
      </c>
      <c r="HY337" s="618">
        <f t="shared" si="798"/>
        <v>0.16700000000000001</v>
      </c>
      <c r="HZ337" s="618"/>
      <c r="IA337" s="618"/>
      <c r="IB337" s="618">
        <f t="shared" si="800"/>
        <v>25.000350341399081</v>
      </c>
      <c r="IC337" s="618">
        <f t="shared" si="801"/>
        <v>1E-3</v>
      </c>
      <c r="ID337" s="618"/>
      <c r="IE337" s="618">
        <f t="shared" si="802"/>
        <v>0</v>
      </c>
      <c r="IF337" s="618">
        <f t="shared" si="803"/>
        <v>40.704999999999998</v>
      </c>
      <c r="IG337" s="618"/>
      <c r="IH337" s="618">
        <f t="shared" si="804"/>
        <v>0</v>
      </c>
      <c r="II337" s="618">
        <f t="shared" si="805"/>
        <v>40.704999999999998</v>
      </c>
      <c r="IJ337" s="618"/>
      <c r="IK337" s="618">
        <f t="shared" si="806"/>
        <v>0</v>
      </c>
      <c r="IL337" s="618">
        <f t="shared" si="807"/>
        <v>40.704999999999998</v>
      </c>
      <c r="IM337" s="618"/>
      <c r="IN337" s="618">
        <f t="shared" si="808"/>
        <v>0</v>
      </c>
      <c r="IO337" s="618">
        <f t="shared" si="809"/>
        <v>40.704999999999998</v>
      </c>
      <c r="IP337" s="618"/>
      <c r="IQ337" s="618">
        <f t="shared" si="810"/>
        <v>0</v>
      </c>
      <c r="IR337" s="618">
        <f t="shared" si="811"/>
        <v>40.704999999999998</v>
      </c>
      <c r="IS337" s="645"/>
      <c r="IT337" s="645"/>
      <c r="IU337" s="645"/>
      <c r="IV337" s="645"/>
      <c r="IW337" s="645"/>
      <c r="IX337" s="645"/>
      <c r="IY337" s="645"/>
      <c r="IZ337" s="645"/>
      <c r="JA337" s="645"/>
      <c r="JB337" s="645"/>
      <c r="JC337" s="645"/>
      <c r="JD337" s="645"/>
      <c r="JE337" s="645"/>
      <c r="JF337" s="645"/>
      <c r="JG337" s="645"/>
      <c r="JH337" s="645"/>
      <c r="JI337" s="645"/>
      <c r="JJ337" s="645"/>
      <c r="JK337" s="645"/>
      <c r="JL337" s="645"/>
      <c r="JM337" s="645"/>
      <c r="JN337" s="645"/>
      <c r="JO337" s="645"/>
      <c r="JP337" s="645"/>
      <c r="JQ337" s="645"/>
      <c r="JR337" s="645"/>
      <c r="JS337" s="645"/>
      <c r="JT337" s="645"/>
      <c r="JU337" s="645"/>
      <c r="JV337" s="653"/>
    </row>
    <row r="338" spans="1:282" s="612" customFormat="1">
      <c r="A338" s="611"/>
      <c r="U338" s="613"/>
      <c r="V338" s="613"/>
      <c r="AC338" s="613"/>
      <c r="AD338" s="613"/>
      <c r="AL338" s="613"/>
      <c r="AM338" s="613"/>
      <c r="AT338" s="613"/>
      <c r="AU338" s="613"/>
      <c r="CH338" s="611"/>
      <c r="CI338" s="611"/>
      <c r="CO338" s="695"/>
      <c r="CP338" s="645"/>
      <c r="CQ338" s="618"/>
      <c r="CR338" s="618"/>
      <c r="CS338" s="618"/>
      <c r="CT338" s="626"/>
      <c r="CU338" s="626"/>
      <c r="CV338" s="626"/>
      <c r="CW338" s="646"/>
      <c r="CX338" s="646"/>
      <c r="CY338" s="625"/>
      <c r="CZ338" s="625"/>
      <c r="DA338" s="625"/>
      <c r="DB338" s="625"/>
      <c r="DC338" s="645"/>
      <c r="DD338" s="645"/>
      <c r="DE338" s="645"/>
      <c r="DF338" s="645"/>
      <c r="DG338" s="645"/>
      <c r="DH338" s="645"/>
      <c r="DI338" s="645"/>
      <c r="DJ338" s="645"/>
      <c r="DK338" s="645"/>
      <c r="DL338" s="645"/>
      <c r="DM338" s="645"/>
      <c r="DN338" s="645"/>
      <c r="DO338" s="645"/>
      <c r="DP338" s="645"/>
      <c r="DQ338" s="645"/>
      <c r="DR338" s="645"/>
      <c r="DS338" s="645"/>
      <c r="DT338" s="645"/>
      <c r="DU338" s="645"/>
      <c r="DV338" s="645"/>
      <c r="DW338" s="645"/>
      <c r="DX338" s="645"/>
      <c r="DY338" s="645"/>
      <c r="DZ338" s="645"/>
      <c r="EA338" s="645"/>
      <c r="EB338" s="645"/>
      <c r="EC338" s="645"/>
      <c r="ED338" s="645"/>
      <c r="EE338" s="645"/>
      <c r="EF338" s="645"/>
      <c r="EG338" s="645"/>
      <c r="EH338" s="645"/>
      <c r="EI338" s="645"/>
      <c r="EJ338" s="645"/>
      <c r="EK338" s="645"/>
      <c r="EL338" s="645"/>
      <c r="EM338" s="645"/>
      <c r="EN338" s="645"/>
      <c r="EO338" s="645"/>
      <c r="EP338" s="645"/>
      <c r="EQ338" s="645"/>
      <c r="ER338" s="645"/>
      <c r="ES338" s="645"/>
      <c r="ET338" s="645"/>
      <c r="EU338" s="645"/>
      <c r="EV338" s="645"/>
      <c r="EW338" s="645"/>
      <c r="EX338" s="645"/>
      <c r="EY338" s="645"/>
      <c r="EZ338" s="645"/>
      <c r="FA338" s="645"/>
      <c r="FB338" s="645"/>
      <c r="FC338" s="645"/>
      <c r="FD338" s="645"/>
      <c r="FE338" s="645"/>
      <c r="FF338" s="645"/>
      <c r="FG338" s="645"/>
      <c r="FH338" s="645"/>
      <c r="FI338" s="645"/>
      <c r="FJ338" s="645"/>
      <c r="FK338" s="645"/>
      <c r="FL338" s="645"/>
      <c r="FM338" s="645"/>
      <c r="FN338" s="645"/>
      <c r="FO338" s="645"/>
      <c r="FP338" s="645"/>
      <c r="FQ338" s="645"/>
      <c r="FR338" s="645"/>
      <c r="FS338" s="645"/>
      <c r="FT338" s="645"/>
      <c r="FU338" s="645"/>
      <c r="FV338" s="645"/>
      <c r="FW338" s="645"/>
      <c r="FX338" s="645"/>
      <c r="FY338" s="645"/>
      <c r="FZ338" s="645"/>
      <c r="GA338" s="645"/>
      <c r="GB338" s="645"/>
      <c r="GC338" s="645"/>
      <c r="GD338" s="645"/>
      <c r="GE338" s="645"/>
      <c r="GF338" s="645"/>
      <c r="GG338" s="645"/>
      <c r="GH338" s="645"/>
      <c r="GI338" s="645"/>
      <c r="GJ338" s="645"/>
      <c r="GK338" s="645"/>
      <c r="GL338" s="645"/>
      <c r="GM338" s="645"/>
      <c r="GN338" s="645"/>
      <c r="GO338" s="645"/>
      <c r="GP338" s="645"/>
      <c r="GQ338" s="645"/>
      <c r="GR338" s="645"/>
      <c r="GS338" s="645"/>
      <c r="GT338" s="645"/>
      <c r="GU338" s="645"/>
      <c r="GV338" s="645"/>
      <c r="GW338" s="645"/>
      <c r="GX338" s="645"/>
      <c r="GY338" s="645"/>
      <c r="GZ338" s="645"/>
      <c r="HA338" s="645"/>
      <c r="HB338" s="645"/>
      <c r="HC338" s="645"/>
      <c r="HD338" s="645"/>
      <c r="HE338" s="645"/>
      <c r="HF338" s="645"/>
      <c r="HG338" s="645"/>
      <c r="HH338" s="645"/>
      <c r="HI338" s="645"/>
      <c r="HJ338" s="645"/>
      <c r="HK338" s="645"/>
      <c r="HL338" s="645"/>
      <c r="HM338" s="645"/>
      <c r="HN338" s="645"/>
      <c r="HO338" s="645"/>
      <c r="HP338" s="645"/>
      <c r="HQ338" s="645"/>
      <c r="HR338" s="645">
        <v>0.16750000000000001</v>
      </c>
      <c r="HS338" s="645">
        <f t="shared" si="812"/>
        <v>1124.6428571428571</v>
      </c>
      <c r="HT338" s="645">
        <f t="shared" si="813"/>
        <v>1</v>
      </c>
      <c r="HU338" s="618">
        <f t="shared" si="796"/>
        <v>4.2671199549560939</v>
      </c>
      <c r="HV338" s="618"/>
      <c r="HW338" s="618">
        <f t="shared" si="799"/>
        <v>29.940689663962345</v>
      </c>
      <c r="HX338" s="618">
        <f t="shared" si="797"/>
        <v>3.9069395961800457</v>
      </c>
      <c r="HY338" s="618">
        <f t="shared" si="798"/>
        <v>0.16750000000000001</v>
      </c>
      <c r="HZ338" s="618"/>
      <c r="IA338" s="618"/>
      <c r="IB338" s="618">
        <f t="shared" si="800"/>
        <v>25.000350341399081</v>
      </c>
      <c r="IC338" s="618">
        <f t="shared" si="801"/>
        <v>1E-3</v>
      </c>
      <c r="ID338" s="618"/>
      <c r="IE338" s="618">
        <f t="shared" si="802"/>
        <v>0</v>
      </c>
      <c r="IF338" s="618">
        <f t="shared" si="803"/>
        <v>40.704999999999998</v>
      </c>
      <c r="IG338" s="618"/>
      <c r="IH338" s="618">
        <f t="shared" si="804"/>
        <v>0</v>
      </c>
      <c r="II338" s="618">
        <f t="shared" si="805"/>
        <v>40.704999999999998</v>
      </c>
      <c r="IJ338" s="618"/>
      <c r="IK338" s="618">
        <f t="shared" si="806"/>
        <v>0</v>
      </c>
      <c r="IL338" s="618">
        <f t="shared" si="807"/>
        <v>40.704999999999998</v>
      </c>
      <c r="IM338" s="618"/>
      <c r="IN338" s="618">
        <f t="shared" si="808"/>
        <v>0</v>
      </c>
      <c r="IO338" s="618">
        <f t="shared" si="809"/>
        <v>40.704999999999998</v>
      </c>
      <c r="IP338" s="618"/>
      <c r="IQ338" s="618">
        <f t="shared" si="810"/>
        <v>0</v>
      </c>
      <c r="IR338" s="618">
        <f t="shared" si="811"/>
        <v>40.704999999999998</v>
      </c>
      <c r="IS338" s="645"/>
      <c r="IT338" s="645"/>
      <c r="IU338" s="645"/>
      <c r="IV338" s="645"/>
      <c r="IW338" s="645"/>
      <c r="IX338" s="645"/>
      <c r="IY338" s="645"/>
      <c r="IZ338" s="645"/>
      <c r="JA338" s="645"/>
      <c r="JB338" s="645"/>
      <c r="JC338" s="645"/>
      <c r="JD338" s="645"/>
      <c r="JE338" s="645"/>
      <c r="JF338" s="645"/>
      <c r="JG338" s="645"/>
      <c r="JH338" s="645"/>
      <c r="JI338" s="645"/>
      <c r="JJ338" s="645"/>
      <c r="JK338" s="645"/>
      <c r="JL338" s="645"/>
      <c r="JM338" s="645"/>
      <c r="JN338" s="645"/>
      <c r="JO338" s="645"/>
      <c r="JP338" s="645"/>
      <c r="JQ338" s="645"/>
      <c r="JR338" s="645"/>
      <c r="JS338" s="645"/>
      <c r="JT338" s="645"/>
      <c r="JU338" s="645"/>
      <c r="JV338" s="653"/>
    </row>
    <row r="339" spans="1:282" s="612" customFormat="1">
      <c r="A339" s="611"/>
      <c r="U339" s="613"/>
      <c r="V339" s="613"/>
      <c r="AC339" s="613"/>
      <c r="AD339" s="613"/>
      <c r="AL339" s="613"/>
      <c r="AM339" s="613"/>
      <c r="AT339" s="613"/>
      <c r="AU339" s="613"/>
      <c r="CH339" s="611"/>
      <c r="CI339" s="611"/>
      <c r="CO339" s="695"/>
      <c r="CP339" s="645"/>
      <c r="CQ339" s="618"/>
      <c r="CR339" s="618"/>
      <c r="CS339" s="618"/>
      <c r="CT339" s="626"/>
      <c r="CU339" s="626"/>
      <c r="CV339" s="626"/>
      <c r="CW339" s="646"/>
      <c r="CX339" s="646"/>
      <c r="CY339" s="625"/>
      <c r="CZ339" s="625"/>
      <c r="DA339" s="625"/>
      <c r="DB339" s="625"/>
      <c r="DC339" s="645"/>
      <c r="DD339" s="645"/>
      <c r="DE339" s="645"/>
      <c r="DF339" s="645"/>
      <c r="DG339" s="645"/>
      <c r="DH339" s="645"/>
      <c r="DI339" s="645"/>
      <c r="DJ339" s="645"/>
      <c r="DK339" s="645"/>
      <c r="DL339" s="645"/>
      <c r="DM339" s="645"/>
      <c r="DN339" s="645"/>
      <c r="DO339" s="645"/>
      <c r="DP339" s="645"/>
      <c r="DQ339" s="645"/>
      <c r="DR339" s="645"/>
      <c r="DS339" s="645"/>
      <c r="DT339" s="645"/>
      <c r="DU339" s="645"/>
      <c r="DV339" s="645"/>
      <c r="DW339" s="645"/>
      <c r="DX339" s="645"/>
      <c r="DY339" s="645"/>
      <c r="DZ339" s="645"/>
      <c r="EA339" s="645"/>
      <c r="EB339" s="645"/>
      <c r="EC339" s="645"/>
      <c r="ED339" s="645"/>
      <c r="EE339" s="645"/>
      <c r="EF339" s="645"/>
      <c r="EG339" s="645"/>
      <c r="EH339" s="645"/>
      <c r="EI339" s="645"/>
      <c r="EJ339" s="645"/>
      <c r="EK339" s="645"/>
      <c r="EL339" s="645"/>
      <c r="EM339" s="645"/>
      <c r="EN339" s="645"/>
      <c r="EO339" s="645"/>
      <c r="EP339" s="645"/>
      <c r="EQ339" s="645"/>
      <c r="ER339" s="645"/>
      <c r="ES339" s="645"/>
      <c r="ET339" s="645"/>
      <c r="EU339" s="645"/>
      <c r="EV339" s="645"/>
      <c r="EW339" s="645"/>
      <c r="EX339" s="645"/>
      <c r="EY339" s="645"/>
      <c r="EZ339" s="645"/>
      <c r="FA339" s="645"/>
      <c r="FB339" s="645"/>
      <c r="FC339" s="645"/>
      <c r="FD339" s="645"/>
      <c r="FE339" s="645"/>
      <c r="FF339" s="645"/>
      <c r="FG339" s="645"/>
      <c r="FH339" s="645"/>
      <c r="FI339" s="645"/>
      <c r="FJ339" s="645"/>
      <c r="FK339" s="645"/>
      <c r="FL339" s="645"/>
      <c r="FM339" s="645"/>
      <c r="FN339" s="645"/>
      <c r="FO339" s="645"/>
      <c r="FP339" s="645"/>
      <c r="FQ339" s="645"/>
      <c r="FR339" s="645"/>
      <c r="FS339" s="645"/>
      <c r="FT339" s="645"/>
      <c r="FU339" s="645"/>
      <c r="FV339" s="645"/>
      <c r="FW339" s="645"/>
      <c r="FX339" s="645"/>
      <c r="FY339" s="645"/>
      <c r="FZ339" s="645"/>
      <c r="GA339" s="645"/>
      <c r="GB339" s="645"/>
      <c r="GC339" s="645"/>
      <c r="GD339" s="645"/>
      <c r="GE339" s="645"/>
      <c r="GF339" s="645"/>
      <c r="GG339" s="645"/>
      <c r="GH339" s="645"/>
      <c r="GI339" s="645"/>
      <c r="GJ339" s="645"/>
      <c r="GK339" s="645"/>
      <c r="GL339" s="645"/>
      <c r="GM339" s="645"/>
      <c r="GN339" s="645"/>
      <c r="GO339" s="645"/>
      <c r="GP339" s="645"/>
      <c r="GQ339" s="645"/>
      <c r="GR339" s="645"/>
      <c r="GS339" s="645"/>
      <c r="GT339" s="645"/>
      <c r="GU339" s="645"/>
      <c r="GV339" s="645"/>
      <c r="GW339" s="645"/>
      <c r="GX339" s="645"/>
      <c r="GY339" s="645"/>
      <c r="GZ339" s="645"/>
      <c r="HA339" s="645"/>
      <c r="HB339" s="645"/>
      <c r="HC339" s="645"/>
      <c r="HD339" s="645"/>
      <c r="HE339" s="645"/>
      <c r="HF339" s="645"/>
      <c r="HG339" s="645"/>
      <c r="HH339" s="645"/>
      <c r="HI339" s="645"/>
      <c r="HJ339" s="645"/>
      <c r="HK339" s="645"/>
      <c r="HL339" s="645"/>
      <c r="HM339" s="645"/>
      <c r="HN339" s="645"/>
      <c r="HO339" s="645"/>
      <c r="HP339" s="645"/>
      <c r="HQ339" s="645"/>
      <c r="HR339" s="645">
        <v>0.16800000000000001</v>
      </c>
      <c r="HS339" s="645">
        <f t="shared" si="812"/>
        <v>1128</v>
      </c>
      <c r="HT339" s="645">
        <f t="shared" si="813"/>
        <v>1</v>
      </c>
      <c r="HU339" s="618">
        <f t="shared" ref="HU339:HU402" si="814">(((($AQ$45*HT339)*$AQ$34)/(Mc+ML)))*(HR339-HR338)+HU338</f>
        <v>4.2798589989297184</v>
      </c>
      <c r="HV339" s="618"/>
      <c r="HW339" s="618">
        <f t="shared" si="799"/>
        <v>29.922600221519801</v>
      </c>
      <c r="HX339" s="618">
        <f t="shared" ref="HX339:HX402" si="815">IF(HW339&lt;0,HX338,(((HW339/$AQ$44*HT339)*$AQ$34)/(Mc+ML))*(HR339-HR338)+HX338)</f>
        <v>3.9175280772919105</v>
      </c>
      <c r="HY339" s="618">
        <f t="shared" ref="HY339:HY402" si="816">HR339</f>
        <v>0.16800000000000001</v>
      </c>
      <c r="HZ339" s="618"/>
      <c r="IA339" s="618"/>
      <c r="IB339" s="618">
        <f t="shared" si="800"/>
        <v>25.000350341399081</v>
      </c>
      <c r="IC339" s="618">
        <f t="shared" si="801"/>
        <v>1E-3</v>
      </c>
      <c r="ID339" s="618"/>
      <c r="IE339" s="618">
        <f t="shared" si="802"/>
        <v>0</v>
      </c>
      <c r="IF339" s="618">
        <f t="shared" si="803"/>
        <v>40.704999999999998</v>
      </c>
      <c r="IG339" s="618"/>
      <c r="IH339" s="618">
        <f t="shared" si="804"/>
        <v>0</v>
      </c>
      <c r="II339" s="618">
        <f t="shared" si="805"/>
        <v>40.704999999999998</v>
      </c>
      <c r="IJ339" s="618"/>
      <c r="IK339" s="618">
        <f t="shared" si="806"/>
        <v>0</v>
      </c>
      <c r="IL339" s="618">
        <f t="shared" si="807"/>
        <v>40.704999999999998</v>
      </c>
      <c r="IM339" s="618"/>
      <c r="IN339" s="618">
        <f t="shared" si="808"/>
        <v>0</v>
      </c>
      <c r="IO339" s="618">
        <f t="shared" si="809"/>
        <v>40.704999999999998</v>
      </c>
      <c r="IP339" s="618"/>
      <c r="IQ339" s="618">
        <f t="shared" si="810"/>
        <v>0</v>
      </c>
      <c r="IR339" s="618">
        <f t="shared" si="811"/>
        <v>40.704999999999998</v>
      </c>
      <c r="IS339" s="645"/>
      <c r="IT339" s="645"/>
      <c r="IU339" s="645"/>
      <c r="IV339" s="645"/>
      <c r="IW339" s="645"/>
      <c r="IX339" s="645"/>
      <c r="IY339" s="645"/>
      <c r="IZ339" s="645"/>
      <c r="JA339" s="645"/>
      <c r="JB339" s="645"/>
      <c r="JC339" s="645"/>
      <c r="JD339" s="645"/>
      <c r="JE339" s="645"/>
      <c r="JF339" s="645"/>
      <c r="JG339" s="645"/>
      <c r="JH339" s="645"/>
      <c r="JI339" s="645"/>
      <c r="JJ339" s="645"/>
      <c r="JK339" s="645"/>
      <c r="JL339" s="645"/>
      <c r="JM339" s="645"/>
      <c r="JN339" s="645"/>
      <c r="JO339" s="645"/>
      <c r="JP339" s="645"/>
      <c r="JQ339" s="645"/>
      <c r="JR339" s="645"/>
      <c r="JS339" s="645"/>
      <c r="JT339" s="645"/>
      <c r="JU339" s="645"/>
      <c r="JV339" s="653"/>
    </row>
    <row r="340" spans="1:282" s="612" customFormat="1">
      <c r="A340" s="611"/>
      <c r="U340" s="613"/>
      <c r="V340" s="613"/>
      <c r="AC340" s="613"/>
      <c r="AD340" s="613"/>
      <c r="AL340" s="613"/>
      <c r="AM340" s="613"/>
      <c r="AT340" s="613"/>
      <c r="AU340" s="613"/>
      <c r="CH340" s="611"/>
      <c r="CI340" s="611"/>
      <c r="CO340" s="695"/>
      <c r="CP340" s="645"/>
      <c r="CQ340" s="618"/>
      <c r="CR340" s="618"/>
      <c r="CS340" s="618"/>
      <c r="CT340" s="626"/>
      <c r="CU340" s="626"/>
      <c r="CV340" s="626"/>
      <c r="CW340" s="646"/>
      <c r="CX340" s="646"/>
      <c r="CY340" s="625"/>
      <c r="CZ340" s="625"/>
      <c r="DA340" s="625"/>
      <c r="DB340" s="625"/>
      <c r="DC340" s="645"/>
      <c r="DD340" s="645"/>
      <c r="DE340" s="645"/>
      <c r="DF340" s="645"/>
      <c r="DG340" s="645"/>
      <c r="DH340" s="645"/>
      <c r="DI340" s="645"/>
      <c r="DJ340" s="645"/>
      <c r="DK340" s="645"/>
      <c r="DL340" s="645"/>
      <c r="DM340" s="645"/>
      <c r="DN340" s="645"/>
      <c r="DO340" s="645"/>
      <c r="DP340" s="645"/>
      <c r="DQ340" s="645"/>
      <c r="DR340" s="645"/>
      <c r="DS340" s="645"/>
      <c r="DT340" s="645"/>
      <c r="DU340" s="645"/>
      <c r="DV340" s="645"/>
      <c r="DW340" s="645"/>
      <c r="DX340" s="645"/>
      <c r="DY340" s="645"/>
      <c r="DZ340" s="645"/>
      <c r="EA340" s="645"/>
      <c r="EB340" s="645"/>
      <c r="EC340" s="645"/>
      <c r="ED340" s="645"/>
      <c r="EE340" s="645"/>
      <c r="EF340" s="645"/>
      <c r="EG340" s="645"/>
      <c r="EH340" s="645"/>
      <c r="EI340" s="645"/>
      <c r="EJ340" s="645"/>
      <c r="EK340" s="645"/>
      <c r="EL340" s="645"/>
      <c r="EM340" s="645"/>
      <c r="EN340" s="645"/>
      <c r="EO340" s="645"/>
      <c r="EP340" s="645"/>
      <c r="EQ340" s="645"/>
      <c r="ER340" s="645"/>
      <c r="ES340" s="645"/>
      <c r="ET340" s="645"/>
      <c r="EU340" s="645"/>
      <c r="EV340" s="645"/>
      <c r="EW340" s="645"/>
      <c r="EX340" s="645"/>
      <c r="EY340" s="645"/>
      <c r="EZ340" s="645"/>
      <c r="FA340" s="645"/>
      <c r="FB340" s="645"/>
      <c r="FC340" s="645"/>
      <c r="FD340" s="645"/>
      <c r="FE340" s="645"/>
      <c r="FF340" s="645"/>
      <c r="FG340" s="645"/>
      <c r="FH340" s="645"/>
      <c r="FI340" s="645"/>
      <c r="FJ340" s="645"/>
      <c r="FK340" s="645"/>
      <c r="FL340" s="645"/>
      <c r="FM340" s="645"/>
      <c r="FN340" s="645"/>
      <c r="FO340" s="645"/>
      <c r="FP340" s="645"/>
      <c r="FQ340" s="645"/>
      <c r="FR340" s="645"/>
      <c r="FS340" s="645"/>
      <c r="FT340" s="645"/>
      <c r="FU340" s="645"/>
      <c r="FV340" s="645"/>
      <c r="FW340" s="645"/>
      <c r="FX340" s="645"/>
      <c r="FY340" s="645"/>
      <c r="FZ340" s="645"/>
      <c r="GA340" s="645"/>
      <c r="GB340" s="645"/>
      <c r="GC340" s="645"/>
      <c r="GD340" s="645"/>
      <c r="GE340" s="645"/>
      <c r="GF340" s="645"/>
      <c r="GG340" s="645"/>
      <c r="GH340" s="645"/>
      <c r="GI340" s="645"/>
      <c r="GJ340" s="645"/>
      <c r="GK340" s="645"/>
      <c r="GL340" s="645"/>
      <c r="GM340" s="645"/>
      <c r="GN340" s="645"/>
      <c r="GO340" s="645"/>
      <c r="GP340" s="645"/>
      <c r="GQ340" s="645"/>
      <c r="GR340" s="645"/>
      <c r="GS340" s="645"/>
      <c r="GT340" s="645"/>
      <c r="GU340" s="645"/>
      <c r="GV340" s="645"/>
      <c r="GW340" s="645"/>
      <c r="GX340" s="645"/>
      <c r="GY340" s="645"/>
      <c r="GZ340" s="645"/>
      <c r="HA340" s="645"/>
      <c r="HB340" s="645"/>
      <c r="HC340" s="645"/>
      <c r="HD340" s="645"/>
      <c r="HE340" s="645"/>
      <c r="HF340" s="645"/>
      <c r="HG340" s="645"/>
      <c r="HH340" s="645"/>
      <c r="HI340" s="645"/>
      <c r="HJ340" s="645"/>
      <c r="HK340" s="645"/>
      <c r="HL340" s="645"/>
      <c r="HM340" s="645"/>
      <c r="HN340" s="645"/>
      <c r="HO340" s="645"/>
      <c r="HP340" s="645"/>
      <c r="HQ340" s="645"/>
      <c r="HR340" s="645">
        <v>0.16850000000000001</v>
      </c>
      <c r="HS340" s="645">
        <f t="shared" si="812"/>
        <v>1131.3571428571429</v>
      </c>
      <c r="HT340" s="645">
        <f t="shared" si="813"/>
        <v>1</v>
      </c>
      <c r="HU340" s="618">
        <f t="shared" si="814"/>
        <v>4.292598042903343</v>
      </c>
      <c r="HV340" s="618"/>
      <c r="HW340" s="618">
        <f t="shared" si="799"/>
        <v>29.904510779077253</v>
      </c>
      <c r="HX340" s="618">
        <f t="shared" si="815"/>
        <v>3.9281101572314774</v>
      </c>
      <c r="HY340" s="618">
        <f t="shared" si="816"/>
        <v>0.16850000000000001</v>
      </c>
      <c r="HZ340" s="618"/>
      <c r="IA340" s="618"/>
      <c r="IB340" s="618">
        <f t="shared" si="800"/>
        <v>25.000350341399081</v>
      </c>
      <c r="IC340" s="618">
        <f t="shared" si="801"/>
        <v>1E-3</v>
      </c>
      <c r="ID340" s="618"/>
      <c r="IE340" s="618">
        <f t="shared" si="802"/>
        <v>0</v>
      </c>
      <c r="IF340" s="618">
        <f t="shared" si="803"/>
        <v>40.704999999999998</v>
      </c>
      <c r="IG340" s="618"/>
      <c r="IH340" s="618">
        <f t="shared" si="804"/>
        <v>0</v>
      </c>
      <c r="II340" s="618">
        <f t="shared" si="805"/>
        <v>40.704999999999998</v>
      </c>
      <c r="IJ340" s="618"/>
      <c r="IK340" s="618">
        <f t="shared" si="806"/>
        <v>0</v>
      </c>
      <c r="IL340" s="618">
        <f t="shared" si="807"/>
        <v>40.704999999999998</v>
      </c>
      <c r="IM340" s="618"/>
      <c r="IN340" s="618">
        <f t="shared" si="808"/>
        <v>0</v>
      </c>
      <c r="IO340" s="618">
        <f t="shared" si="809"/>
        <v>40.704999999999998</v>
      </c>
      <c r="IP340" s="618"/>
      <c r="IQ340" s="618">
        <f t="shared" si="810"/>
        <v>0</v>
      </c>
      <c r="IR340" s="618">
        <f t="shared" si="811"/>
        <v>40.704999999999998</v>
      </c>
      <c r="IS340" s="645"/>
      <c r="IT340" s="645"/>
      <c r="IU340" s="645"/>
      <c r="IV340" s="645"/>
      <c r="IW340" s="645"/>
      <c r="IX340" s="645"/>
      <c r="IY340" s="645"/>
      <c r="IZ340" s="645"/>
      <c r="JA340" s="645"/>
      <c r="JB340" s="645"/>
      <c r="JC340" s="645"/>
      <c r="JD340" s="645"/>
      <c r="JE340" s="645"/>
      <c r="JF340" s="645"/>
      <c r="JG340" s="645"/>
      <c r="JH340" s="645"/>
      <c r="JI340" s="645"/>
      <c r="JJ340" s="645"/>
      <c r="JK340" s="645"/>
      <c r="JL340" s="645"/>
      <c r="JM340" s="645"/>
      <c r="JN340" s="645"/>
      <c r="JO340" s="645"/>
      <c r="JP340" s="645"/>
      <c r="JQ340" s="645"/>
      <c r="JR340" s="645"/>
      <c r="JS340" s="645"/>
      <c r="JT340" s="645"/>
      <c r="JU340" s="645"/>
      <c r="JV340" s="653"/>
    </row>
    <row r="341" spans="1:282" s="612" customFormat="1">
      <c r="A341" s="611"/>
      <c r="U341" s="613"/>
      <c r="V341" s="613"/>
      <c r="AC341" s="613"/>
      <c r="AD341" s="613"/>
      <c r="AL341" s="613"/>
      <c r="AM341" s="613"/>
      <c r="AT341" s="613"/>
      <c r="AU341" s="613"/>
      <c r="CH341" s="611"/>
      <c r="CI341" s="611"/>
      <c r="CO341" s="695"/>
      <c r="CP341" s="645"/>
      <c r="CQ341" s="618"/>
      <c r="CR341" s="618"/>
      <c r="CS341" s="618"/>
      <c r="CT341" s="626"/>
      <c r="CU341" s="626"/>
      <c r="CV341" s="626"/>
      <c r="CW341" s="646"/>
      <c r="CX341" s="646"/>
      <c r="CY341" s="625"/>
      <c r="CZ341" s="625"/>
      <c r="DA341" s="625"/>
      <c r="DB341" s="625"/>
      <c r="DC341" s="645"/>
      <c r="DD341" s="645"/>
      <c r="DE341" s="645"/>
      <c r="DF341" s="645"/>
      <c r="DG341" s="645"/>
      <c r="DH341" s="645"/>
      <c r="DI341" s="645"/>
      <c r="DJ341" s="645"/>
      <c r="DK341" s="645"/>
      <c r="DL341" s="645"/>
      <c r="DM341" s="645"/>
      <c r="DN341" s="645"/>
      <c r="DO341" s="645"/>
      <c r="DP341" s="645"/>
      <c r="DQ341" s="645"/>
      <c r="DR341" s="645"/>
      <c r="DS341" s="645"/>
      <c r="DT341" s="645"/>
      <c r="DU341" s="645"/>
      <c r="DV341" s="645"/>
      <c r="DW341" s="645"/>
      <c r="DX341" s="645"/>
      <c r="DY341" s="645"/>
      <c r="DZ341" s="645"/>
      <c r="EA341" s="645"/>
      <c r="EB341" s="645"/>
      <c r="EC341" s="645"/>
      <c r="ED341" s="645"/>
      <c r="EE341" s="645"/>
      <c r="EF341" s="645"/>
      <c r="EG341" s="645"/>
      <c r="EH341" s="645"/>
      <c r="EI341" s="645"/>
      <c r="EJ341" s="645"/>
      <c r="EK341" s="645"/>
      <c r="EL341" s="645"/>
      <c r="EM341" s="645"/>
      <c r="EN341" s="645"/>
      <c r="EO341" s="645"/>
      <c r="EP341" s="645"/>
      <c r="EQ341" s="645"/>
      <c r="ER341" s="645"/>
      <c r="ES341" s="645"/>
      <c r="ET341" s="645"/>
      <c r="EU341" s="645"/>
      <c r="EV341" s="645"/>
      <c r="EW341" s="645"/>
      <c r="EX341" s="645"/>
      <c r="EY341" s="645"/>
      <c r="EZ341" s="645"/>
      <c r="FA341" s="645"/>
      <c r="FB341" s="645"/>
      <c r="FC341" s="645"/>
      <c r="FD341" s="645"/>
      <c r="FE341" s="645"/>
      <c r="FF341" s="645"/>
      <c r="FG341" s="645"/>
      <c r="FH341" s="645"/>
      <c r="FI341" s="645"/>
      <c r="FJ341" s="645"/>
      <c r="FK341" s="645"/>
      <c r="FL341" s="645"/>
      <c r="FM341" s="645"/>
      <c r="FN341" s="645"/>
      <c r="FO341" s="645"/>
      <c r="FP341" s="645"/>
      <c r="FQ341" s="645"/>
      <c r="FR341" s="645"/>
      <c r="FS341" s="645"/>
      <c r="FT341" s="645"/>
      <c r="FU341" s="645"/>
      <c r="FV341" s="645"/>
      <c r="FW341" s="645"/>
      <c r="FX341" s="645"/>
      <c r="FY341" s="645"/>
      <c r="FZ341" s="645"/>
      <c r="GA341" s="645"/>
      <c r="GB341" s="645"/>
      <c r="GC341" s="645"/>
      <c r="GD341" s="645"/>
      <c r="GE341" s="645"/>
      <c r="GF341" s="645"/>
      <c r="GG341" s="645"/>
      <c r="GH341" s="645"/>
      <c r="GI341" s="645"/>
      <c r="GJ341" s="645"/>
      <c r="GK341" s="645"/>
      <c r="GL341" s="645"/>
      <c r="GM341" s="645"/>
      <c r="GN341" s="645"/>
      <c r="GO341" s="645"/>
      <c r="GP341" s="645"/>
      <c r="GQ341" s="645"/>
      <c r="GR341" s="645"/>
      <c r="GS341" s="645"/>
      <c r="GT341" s="645"/>
      <c r="GU341" s="645"/>
      <c r="GV341" s="645"/>
      <c r="GW341" s="645"/>
      <c r="GX341" s="645"/>
      <c r="GY341" s="645"/>
      <c r="GZ341" s="645"/>
      <c r="HA341" s="645"/>
      <c r="HB341" s="645"/>
      <c r="HC341" s="645"/>
      <c r="HD341" s="645"/>
      <c r="HE341" s="645"/>
      <c r="HF341" s="645"/>
      <c r="HG341" s="645"/>
      <c r="HH341" s="645"/>
      <c r="HI341" s="645"/>
      <c r="HJ341" s="645"/>
      <c r="HK341" s="645"/>
      <c r="HL341" s="645"/>
      <c r="HM341" s="645"/>
      <c r="HN341" s="645"/>
      <c r="HO341" s="645"/>
      <c r="HP341" s="645"/>
      <c r="HQ341" s="645"/>
      <c r="HR341" s="645">
        <v>0.16900000000000001</v>
      </c>
      <c r="HS341" s="645">
        <f t="shared" si="812"/>
        <v>1134.7142857142858</v>
      </c>
      <c r="HT341" s="645">
        <f t="shared" si="813"/>
        <v>1</v>
      </c>
      <c r="HU341" s="618">
        <f t="shared" si="814"/>
        <v>4.3053370868769676</v>
      </c>
      <c r="HV341" s="618"/>
      <c r="HW341" s="618">
        <f t="shared" si="799"/>
        <v>29.886421336634704</v>
      </c>
      <c r="HX341" s="618">
        <f t="shared" si="815"/>
        <v>3.9386858359987458</v>
      </c>
      <c r="HY341" s="618">
        <f t="shared" si="816"/>
        <v>0.16900000000000001</v>
      </c>
      <c r="HZ341" s="618"/>
      <c r="IA341" s="618"/>
      <c r="IB341" s="618">
        <f t="shared" si="800"/>
        <v>25.000350341399081</v>
      </c>
      <c r="IC341" s="618">
        <f t="shared" si="801"/>
        <v>1E-3</v>
      </c>
      <c r="ID341" s="618"/>
      <c r="IE341" s="618">
        <f t="shared" si="802"/>
        <v>0</v>
      </c>
      <c r="IF341" s="618">
        <f t="shared" si="803"/>
        <v>40.704999999999998</v>
      </c>
      <c r="IG341" s="618"/>
      <c r="IH341" s="618">
        <f t="shared" si="804"/>
        <v>0</v>
      </c>
      <c r="II341" s="618">
        <f t="shared" si="805"/>
        <v>40.704999999999998</v>
      </c>
      <c r="IJ341" s="618"/>
      <c r="IK341" s="618">
        <f t="shared" si="806"/>
        <v>0</v>
      </c>
      <c r="IL341" s="618">
        <f t="shared" si="807"/>
        <v>40.704999999999998</v>
      </c>
      <c r="IM341" s="618"/>
      <c r="IN341" s="618">
        <f t="shared" si="808"/>
        <v>0</v>
      </c>
      <c r="IO341" s="618">
        <f t="shared" si="809"/>
        <v>40.704999999999998</v>
      </c>
      <c r="IP341" s="618"/>
      <c r="IQ341" s="618">
        <f t="shared" si="810"/>
        <v>0</v>
      </c>
      <c r="IR341" s="618">
        <f t="shared" si="811"/>
        <v>40.704999999999998</v>
      </c>
      <c r="IS341" s="645"/>
      <c r="IT341" s="645"/>
      <c r="IU341" s="645"/>
      <c r="IV341" s="645"/>
      <c r="IW341" s="645"/>
      <c r="IX341" s="645"/>
      <c r="IY341" s="645"/>
      <c r="IZ341" s="645"/>
      <c r="JA341" s="645"/>
      <c r="JB341" s="645"/>
      <c r="JC341" s="645"/>
      <c r="JD341" s="645"/>
      <c r="JE341" s="645"/>
      <c r="JF341" s="645"/>
      <c r="JG341" s="645"/>
      <c r="JH341" s="645"/>
      <c r="JI341" s="645"/>
      <c r="JJ341" s="645"/>
      <c r="JK341" s="645"/>
      <c r="JL341" s="645"/>
      <c r="JM341" s="645"/>
      <c r="JN341" s="645"/>
      <c r="JO341" s="645"/>
      <c r="JP341" s="645"/>
      <c r="JQ341" s="645"/>
      <c r="JR341" s="645"/>
      <c r="JS341" s="645"/>
      <c r="JT341" s="645"/>
      <c r="JU341" s="645"/>
      <c r="JV341" s="653"/>
    </row>
    <row r="342" spans="1:282" s="612" customFormat="1">
      <c r="A342" s="611"/>
      <c r="U342" s="613"/>
      <c r="V342" s="613"/>
      <c r="AC342" s="613"/>
      <c r="AD342" s="613"/>
      <c r="AL342" s="613"/>
      <c r="AM342" s="613"/>
      <c r="AT342" s="613"/>
      <c r="AU342" s="613"/>
      <c r="CH342" s="611"/>
      <c r="CI342" s="611"/>
      <c r="CO342" s="695"/>
      <c r="CP342" s="645"/>
      <c r="CQ342" s="618"/>
      <c r="CR342" s="618"/>
      <c r="CS342" s="618"/>
      <c r="CT342" s="626"/>
      <c r="CU342" s="626"/>
      <c r="CV342" s="626"/>
      <c r="CW342" s="646"/>
      <c r="CX342" s="646"/>
      <c r="CY342" s="625"/>
      <c r="CZ342" s="625"/>
      <c r="DA342" s="625"/>
      <c r="DB342" s="625"/>
      <c r="DC342" s="645"/>
      <c r="DD342" s="645"/>
      <c r="DE342" s="645"/>
      <c r="DF342" s="645"/>
      <c r="DG342" s="645"/>
      <c r="DH342" s="645"/>
      <c r="DI342" s="645"/>
      <c r="DJ342" s="645"/>
      <c r="DK342" s="645"/>
      <c r="DL342" s="645"/>
      <c r="DM342" s="645"/>
      <c r="DN342" s="645"/>
      <c r="DO342" s="645"/>
      <c r="DP342" s="645"/>
      <c r="DQ342" s="645"/>
      <c r="DR342" s="645"/>
      <c r="DS342" s="645"/>
      <c r="DT342" s="645"/>
      <c r="DU342" s="645"/>
      <c r="DV342" s="645"/>
      <c r="DW342" s="645"/>
      <c r="DX342" s="645"/>
      <c r="DY342" s="645"/>
      <c r="DZ342" s="645"/>
      <c r="EA342" s="645"/>
      <c r="EB342" s="645"/>
      <c r="EC342" s="645"/>
      <c r="ED342" s="645"/>
      <c r="EE342" s="645"/>
      <c r="EF342" s="645"/>
      <c r="EG342" s="645"/>
      <c r="EH342" s="645"/>
      <c r="EI342" s="645"/>
      <c r="EJ342" s="645"/>
      <c r="EK342" s="645"/>
      <c r="EL342" s="645"/>
      <c r="EM342" s="645"/>
      <c r="EN342" s="645"/>
      <c r="EO342" s="645"/>
      <c r="EP342" s="645"/>
      <c r="EQ342" s="645"/>
      <c r="ER342" s="645"/>
      <c r="ES342" s="645"/>
      <c r="ET342" s="645"/>
      <c r="EU342" s="645"/>
      <c r="EV342" s="645"/>
      <c r="EW342" s="645"/>
      <c r="EX342" s="645"/>
      <c r="EY342" s="645"/>
      <c r="EZ342" s="645"/>
      <c r="FA342" s="645"/>
      <c r="FB342" s="645"/>
      <c r="FC342" s="645"/>
      <c r="FD342" s="645"/>
      <c r="FE342" s="645"/>
      <c r="FF342" s="645"/>
      <c r="FG342" s="645"/>
      <c r="FH342" s="645"/>
      <c r="FI342" s="645"/>
      <c r="FJ342" s="645"/>
      <c r="FK342" s="645"/>
      <c r="FL342" s="645"/>
      <c r="FM342" s="645"/>
      <c r="FN342" s="645"/>
      <c r="FO342" s="645"/>
      <c r="FP342" s="645"/>
      <c r="FQ342" s="645"/>
      <c r="FR342" s="645"/>
      <c r="FS342" s="645"/>
      <c r="FT342" s="645"/>
      <c r="FU342" s="645"/>
      <c r="FV342" s="645"/>
      <c r="FW342" s="645"/>
      <c r="FX342" s="645"/>
      <c r="FY342" s="645"/>
      <c r="FZ342" s="645"/>
      <c r="GA342" s="645"/>
      <c r="GB342" s="645"/>
      <c r="GC342" s="645"/>
      <c r="GD342" s="645"/>
      <c r="GE342" s="645"/>
      <c r="GF342" s="645"/>
      <c r="GG342" s="645"/>
      <c r="GH342" s="645"/>
      <c r="GI342" s="645"/>
      <c r="GJ342" s="645"/>
      <c r="GK342" s="645"/>
      <c r="GL342" s="645"/>
      <c r="GM342" s="645"/>
      <c r="GN342" s="645"/>
      <c r="GO342" s="645"/>
      <c r="GP342" s="645"/>
      <c r="GQ342" s="645"/>
      <c r="GR342" s="645"/>
      <c r="GS342" s="645"/>
      <c r="GT342" s="645"/>
      <c r="GU342" s="645"/>
      <c r="GV342" s="645"/>
      <c r="GW342" s="645"/>
      <c r="GX342" s="645"/>
      <c r="GY342" s="645"/>
      <c r="GZ342" s="645"/>
      <c r="HA342" s="645"/>
      <c r="HB342" s="645"/>
      <c r="HC342" s="645"/>
      <c r="HD342" s="645"/>
      <c r="HE342" s="645"/>
      <c r="HF342" s="645"/>
      <c r="HG342" s="645"/>
      <c r="HH342" s="645"/>
      <c r="HI342" s="645"/>
      <c r="HJ342" s="645"/>
      <c r="HK342" s="645"/>
      <c r="HL342" s="645"/>
      <c r="HM342" s="645"/>
      <c r="HN342" s="645"/>
      <c r="HO342" s="645"/>
      <c r="HP342" s="645"/>
      <c r="HQ342" s="645"/>
      <c r="HR342" s="645">
        <v>0.16950000000000001</v>
      </c>
      <c r="HS342" s="645">
        <f t="shared" si="812"/>
        <v>1138.0714285714287</v>
      </c>
      <c r="HT342" s="645">
        <f t="shared" si="813"/>
        <v>1</v>
      </c>
      <c r="HU342" s="618">
        <f t="shared" si="814"/>
        <v>4.3180761308505922</v>
      </c>
      <c r="HV342" s="618"/>
      <c r="HW342" s="618">
        <f t="shared" si="799"/>
        <v>29.86833189419216</v>
      </c>
      <c r="HX342" s="618">
        <f t="shared" si="815"/>
        <v>3.9492551135937162</v>
      </c>
      <c r="HY342" s="618">
        <f t="shared" si="816"/>
        <v>0.16950000000000001</v>
      </c>
      <c r="HZ342" s="618"/>
      <c r="IA342" s="618"/>
      <c r="IB342" s="618">
        <f t="shared" si="800"/>
        <v>25.000350341399081</v>
      </c>
      <c r="IC342" s="618">
        <f t="shared" si="801"/>
        <v>1E-3</v>
      </c>
      <c r="ID342" s="618"/>
      <c r="IE342" s="618">
        <f t="shared" si="802"/>
        <v>0</v>
      </c>
      <c r="IF342" s="618">
        <f t="shared" si="803"/>
        <v>40.704999999999998</v>
      </c>
      <c r="IG342" s="618"/>
      <c r="IH342" s="618">
        <f t="shared" si="804"/>
        <v>0</v>
      </c>
      <c r="II342" s="618">
        <f t="shared" si="805"/>
        <v>40.704999999999998</v>
      </c>
      <c r="IJ342" s="618"/>
      <c r="IK342" s="618">
        <f t="shared" si="806"/>
        <v>0</v>
      </c>
      <c r="IL342" s="618">
        <f t="shared" si="807"/>
        <v>40.704999999999998</v>
      </c>
      <c r="IM342" s="618"/>
      <c r="IN342" s="618">
        <f t="shared" si="808"/>
        <v>0</v>
      </c>
      <c r="IO342" s="618">
        <f t="shared" si="809"/>
        <v>40.704999999999998</v>
      </c>
      <c r="IP342" s="618"/>
      <c r="IQ342" s="618">
        <f t="shared" si="810"/>
        <v>0</v>
      </c>
      <c r="IR342" s="618">
        <f t="shared" si="811"/>
        <v>40.704999999999998</v>
      </c>
      <c r="IS342" s="645"/>
      <c r="IT342" s="645"/>
      <c r="IU342" s="645"/>
      <c r="IV342" s="645"/>
      <c r="IW342" s="645"/>
      <c r="IX342" s="645"/>
      <c r="IY342" s="645"/>
      <c r="IZ342" s="645"/>
      <c r="JA342" s="645"/>
      <c r="JB342" s="645"/>
      <c r="JC342" s="645"/>
      <c r="JD342" s="645"/>
      <c r="JE342" s="645"/>
      <c r="JF342" s="645"/>
      <c r="JG342" s="645"/>
      <c r="JH342" s="645"/>
      <c r="JI342" s="645"/>
      <c r="JJ342" s="645"/>
      <c r="JK342" s="645"/>
      <c r="JL342" s="645"/>
      <c r="JM342" s="645"/>
      <c r="JN342" s="645"/>
      <c r="JO342" s="645"/>
      <c r="JP342" s="645"/>
      <c r="JQ342" s="645"/>
      <c r="JR342" s="645"/>
      <c r="JS342" s="645"/>
      <c r="JT342" s="645"/>
      <c r="JU342" s="645"/>
      <c r="JV342" s="653"/>
    </row>
    <row r="343" spans="1:282" s="612" customFormat="1">
      <c r="A343" s="611"/>
      <c r="U343" s="613"/>
      <c r="V343" s="613"/>
      <c r="AC343" s="613"/>
      <c r="AD343" s="613"/>
      <c r="AL343" s="613"/>
      <c r="AM343" s="613"/>
      <c r="AT343" s="613"/>
      <c r="AU343" s="613"/>
      <c r="CH343" s="611"/>
      <c r="CI343" s="611"/>
      <c r="CO343" s="695"/>
      <c r="CP343" s="645"/>
      <c r="CQ343" s="618"/>
      <c r="CR343" s="618"/>
      <c r="CS343" s="618"/>
      <c r="CT343" s="626"/>
      <c r="CU343" s="626"/>
      <c r="CV343" s="626"/>
      <c r="CW343" s="646"/>
      <c r="CX343" s="646"/>
      <c r="CY343" s="625"/>
      <c r="CZ343" s="625"/>
      <c r="DA343" s="625"/>
      <c r="DB343" s="625"/>
      <c r="DC343" s="645"/>
      <c r="DD343" s="645"/>
      <c r="DE343" s="645"/>
      <c r="DF343" s="645"/>
      <c r="DG343" s="645"/>
      <c r="DH343" s="645"/>
      <c r="DI343" s="645"/>
      <c r="DJ343" s="645"/>
      <c r="DK343" s="645"/>
      <c r="DL343" s="645"/>
      <c r="DM343" s="645"/>
      <c r="DN343" s="645"/>
      <c r="DO343" s="645"/>
      <c r="DP343" s="645"/>
      <c r="DQ343" s="645"/>
      <c r="DR343" s="645"/>
      <c r="DS343" s="645"/>
      <c r="DT343" s="645"/>
      <c r="DU343" s="645"/>
      <c r="DV343" s="645"/>
      <c r="DW343" s="645"/>
      <c r="DX343" s="645"/>
      <c r="DY343" s="645"/>
      <c r="DZ343" s="645"/>
      <c r="EA343" s="645"/>
      <c r="EB343" s="645"/>
      <c r="EC343" s="645"/>
      <c r="ED343" s="645"/>
      <c r="EE343" s="645"/>
      <c r="EF343" s="645"/>
      <c r="EG343" s="645"/>
      <c r="EH343" s="645"/>
      <c r="EI343" s="645"/>
      <c r="EJ343" s="645"/>
      <c r="EK343" s="645"/>
      <c r="EL343" s="645"/>
      <c r="EM343" s="645"/>
      <c r="EN343" s="645"/>
      <c r="EO343" s="645"/>
      <c r="EP343" s="645"/>
      <c r="EQ343" s="645"/>
      <c r="ER343" s="645"/>
      <c r="ES343" s="645"/>
      <c r="ET343" s="645"/>
      <c r="EU343" s="645"/>
      <c r="EV343" s="645"/>
      <c r="EW343" s="645"/>
      <c r="EX343" s="645"/>
      <c r="EY343" s="645"/>
      <c r="EZ343" s="645"/>
      <c r="FA343" s="645"/>
      <c r="FB343" s="645"/>
      <c r="FC343" s="645"/>
      <c r="FD343" s="645"/>
      <c r="FE343" s="645"/>
      <c r="FF343" s="645"/>
      <c r="FG343" s="645"/>
      <c r="FH343" s="645"/>
      <c r="FI343" s="645"/>
      <c r="FJ343" s="645"/>
      <c r="FK343" s="645"/>
      <c r="FL343" s="645"/>
      <c r="FM343" s="645"/>
      <c r="FN343" s="645"/>
      <c r="FO343" s="645"/>
      <c r="FP343" s="645"/>
      <c r="FQ343" s="645"/>
      <c r="FR343" s="645"/>
      <c r="FS343" s="645"/>
      <c r="FT343" s="645"/>
      <c r="FU343" s="645"/>
      <c r="FV343" s="645"/>
      <c r="FW343" s="645"/>
      <c r="FX343" s="645"/>
      <c r="FY343" s="645"/>
      <c r="FZ343" s="645"/>
      <c r="GA343" s="645"/>
      <c r="GB343" s="645"/>
      <c r="GC343" s="645"/>
      <c r="GD343" s="645"/>
      <c r="GE343" s="645"/>
      <c r="GF343" s="645"/>
      <c r="GG343" s="645"/>
      <c r="GH343" s="645"/>
      <c r="GI343" s="645"/>
      <c r="GJ343" s="645"/>
      <c r="GK343" s="645"/>
      <c r="GL343" s="645"/>
      <c r="GM343" s="645"/>
      <c r="GN343" s="645"/>
      <c r="GO343" s="645"/>
      <c r="GP343" s="645"/>
      <c r="GQ343" s="645"/>
      <c r="GR343" s="645"/>
      <c r="GS343" s="645"/>
      <c r="GT343" s="645"/>
      <c r="GU343" s="645"/>
      <c r="GV343" s="645"/>
      <c r="GW343" s="645"/>
      <c r="GX343" s="645"/>
      <c r="GY343" s="645"/>
      <c r="GZ343" s="645"/>
      <c r="HA343" s="645"/>
      <c r="HB343" s="645"/>
      <c r="HC343" s="645"/>
      <c r="HD343" s="645"/>
      <c r="HE343" s="645"/>
      <c r="HF343" s="645"/>
      <c r="HG343" s="645"/>
      <c r="HH343" s="645"/>
      <c r="HI343" s="645"/>
      <c r="HJ343" s="645"/>
      <c r="HK343" s="645"/>
      <c r="HL343" s="645"/>
      <c r="HM343" s="645"/>
      <c r="HN343" s="645"/>
      <c r="HO343" s="645"/>
      <c r="HP343" s="645"/>
      <c r="HQ343" s="645"/>
      <c r="HR343" s="645">
        <v>0.17</v>
      </c>
      <c r="HS343" s="645">
        <f t="shared" si="812"/>
        <v>1141.4285714285716</v>
      </c>
      <c r="HT343" s="645">
        <f t="shared" si="813"/>
        <v>1</v>
      </c>
      <c r="HU343" s="618">
        <f t="shared" si="814"/>
        <v>4.3308151748242167</v>
      </c>
      <c r="HV343" s="618"/>
      <c r="HW343" s="618">
        <f t="shared" si="799"/>
        <v>29.850242451749612</v>
      </c>
      <c r="HX343" s="618">
        <f t="shared" si="815"/>
        <v>3.9598179900163886</v>
      </c>
      <c r="HY343" s="618">
        <f t="shared" si="816"/>
        <v>0.17</v>
      </c>
      <c r="HZ343" s="618"/>
      <c r="IA343" s="618"/>
      <c r="IB343" s="618">
        <f t="shared" si="800"/>
        <v>25.000350341399081</v>
      </c>
      <c r="IC343" s="618">
        <f t="shared" si="801"/>
        <v>1E-3</v>
      </c>
      <c r="ID343" s="618"/>
      <c r="IE343" s="618">
        <f t="shared" si="802"/>
        <v>0</v>
      </c>
      <c r="IF343" s="618">
        <f t="shared" si="803"/>
        <v>40.704999999999998</v>
      </c>
      <c r="IG343" s="618"/>
      <c r="IH343" s="618">
        <f t="shared" si="804"/>
        <v>0</v>
      </c>
      <c r="II343" s="618">
        <f t="shared" si="805"/>
        <v>40.704999999999998</v>
      </c>
      <c r="IJ343" s="618"/>
      <c r="IK343" s="618">
        <f t="shared" si="806"/>
        <v>0</v>
      </c>
      <c r="IL343" s="618">
        <f t="shared" si="807"/>
        <v>40.704999999999998</v>
      </c>
      <c r="IM343" s="618"/>
      <c r="IN343" s="618">
        <f t="shared" si="808"/>
        <v>0</v>
      </c>
      <c r="IO343" s="618">
        <f t="shared" si="809"/>
        <v>40.704999999999998</v>
      </c>
      <c r="IP343" s="618"/>
      <c r="IQ343" s="618">
        <f t="shared" si="810"/>
        <v>0</v>
      </c>
      <c r="IR343" s="618">
        <f t="shared" si="811"/>
        <v>40.704999999999998</v>
      </c>
      <c r="IS343" s="645"/>
      <c r="IT343" s="645"/>
      <c r="IU343" s="645"/>
      <c r="IV343" s="645"/>
      <c r="IW343" s="645"/>
      <c r="IX343" s="645"/>
      <c r="IY343" s="645"/>
      <c r="IZ343" s="645"/>
      <c r="JA343" s="645"/>
      <c r="JB343" s="645"/>
      <c r="JC343" s="645"/>
      <c r="JD343" s="645"/>
      <c r="JE343" s="645"/>
      <c r="JF343" s="645"/>
      <c r="JG343" s="645"/>
      <c r="JH343" s="645"/>
      <c r="JI343" s="645"/>
      <c r="JJ343" s="645"/>
      <c r="JK343" s="645"/>
      <c r="JL343" s="645"/>
      <c r="JM343" s="645"/>
      <c r="JN343" s="645"/>
      <c r="JO343" s="645"/>
      <c r="JP343" s="645"/>
      <c r="JQ343" s="645"/>
      <c r="JR343" s="645"/>
      <c r="JS343" s="645"/>
      <c r="JT343" s="645"/>
      <c r="JU343" s="645"/>
      <c r="JV343" s="653"/>
    </row>
    <row r="344" spans="1:282" s="612" customFormat="1">
      <c r="A344" s="611"/>
      <c r="U344" s="613"/>
      <c r="V344" s="613"/>
      <c r="AC344" s="613"/>
      <c r="AD344" s="613"/>
      <c r="AL344" s="613"/>
      <c r="AM344" s="613"/>
      <c r="AT344" s="613"/>
      <c r="AU344" s="613"/>
      <c r="CH344" s="611"/>
      <c r="CI344" s="611"/>
      <c r="CO344" s="695"/>
      <c r="CP344" s="645"/>
      <c r="CQ344" s="618"/>
      <c r="CR344" s="618"/>
      <c r="CS344" s="618"/>
      <c r="CT344" s="626"/>
      <c r="CU344" s="626"/>
      <c r="CV344" s="626"/>
      <c r="CW344" s="646"/>
      <c r="CX344" s="646"/>
      <c r="CY344" s="625"/>
      <c r="CZ344" s="625"/>
      <c r="DA344" s="625"/>
      <c r="DB344" s="625"/>
      <c r="DC344" s="645"/>
      <c r="DD344" s="645"/>
      <c r="DE344" s="645"/>
      <c r="DF344" s="645"/>
      <c r="DG344" s="645"/>
      <c r="DH344" s="645"/>
      <c r="DI344" s="645"/>
      <c r="DJ344" s="645"/>
      <c r="DK344" s="645"/>
      <c r="DL344" s="645"/>
      <c r="DM344" s="645"/>
      <c r="DN344" s="645"/>
      <c r="DO344" s="645"/>
      <c r="DP344" s="645"/>
      <c r="DQ344" s="645"/>
      <c r="DR344" s="645"/>
      <c r="DS344" s="645"/>
      <c r="DT344" s="645"/>
      <c r="DU344" s="645"/>
      <c r="DV344" s="645"/>
      <c r="DW344" s="645"/>
      <c r="DX344" s="645"/>
      <c r="DY344" s="645"/>
      <c r="DZ344" s="645"/>
      <c r="EA344" s="645"/>
      <c r="EB344" s="645"/>
      <c r="EC344" s="645"/>
      <c r="ED344" s="645"/>
      <c r="EE344" s="645"/>
      <c r="EF344" s="645"/>
      <c r="EG344" s="645"/>
      <c r="EH344" s="645"/>
      <c r="EI344" s="645"/>
      <c r="EJ344" s="645"/>
      <c r="EK344" s="645"/>
      <c r="EL344" s="645"/>
      <c r="EM344" s="645"/>
      <c r="EN344" s="645"/>
      <c r="EO344" s="645"/>
      <c r="EP344" s="645"/>
      <c r="EQ344" s="645"/>
      <c r="ER344" s="645"/>
      <c r="ES344" s="645"/>
      <c r="ET344" s="645"/>
      <c r="EU344" s="645"/>
      <c r="EV344" s="645"/>
      <c r="EW344" s="645"/>
      <c r="EX344" s="645"/>
      <c r="EY344" s="645"/>
      <c r="EZ344" s="645"/>
      <c r="FA344" s="645"/>
      <c r="FB344" s="645"/>
      <c r="FC344" s="645"/>
      <c r="FD344" s="645"/>
      <c r="FE344" s="645"/>
      <c r="FF344" s="645"/>
      <c r="FG344" s="645"/>
      <c r="FH344" s="645"/>
      <c r="FI344" s="645"/>
      <c r="FJ344" s="645"/>
      <c r="FK344" s="645"/>
      <c r="FL344" s="645"/>
      <c r="FM344" s="645"/>
      <c r="FN344" s="645"/>
      <c r="FO344" s="645"/>
      <c r="FP344" s="645"/>
      <c r="FQ344" s="645"/>
      <c r="FR344" s="645"/>
      <c r="FS344" s="645"/>
      <c r="FT344" s="645"/>
      <c r="FU344" s="645"/>
      <c r="FV344" s="645"/>
      <c r="FW344" s="645"/>
      <c r="FX344" s="645"/>
      <c r="FY344" s="645"/>
      <c r="FZ344" s="645"/>
      <c r="GA344" s="645"/>
      <c r="GB344" s="645"/>
      <c r="GC344" s="645"/>
      <c r="GD344" s="645"/>
      <c r="GE344" s="645"/>
      <c r="GF344" s="645"/>
      <c r="GG344" s="645"/>
      <c r="GH344" s="645"/>
      <c r="GI344" s="645"/>
      <c r="GJ344" s="645"/>
      <c r="GK344" s="645"/>
      <c r="GL344" s="645"/>
      <c r="GM344" s="645"/>
      <c r="GN344" s="645"/>
      <c r="GO344" s="645"/>
      <c r="GP344" s="645"/>
      <c r="GQ344" s="645"/>
      <c r="GR344" s="645"/>
      <c r="GS344" s="645"/>
      <c r="GT344" s="645"/>
      <c r="GU344" s="645"/>
      <c r="GV344" s="645"/>
      <c r="GW344" s="645"/>
      <c r="GX344" s="645"/>
      <c r="GY344" s="645"/>
      <c r="GZ344" s="645"/>
      <c r="HA344" s="645"/>
      <c r="HB344" s="645"/>
      <c r="HC344" s="645"/>
      <c r="HD344" s="645"/>
      <c r="HE344" s="645"/>
      <c r="HF344" s="645"/>
      <c r="HG344" s="645"/>
      <c r="HH344" s="645"/>
      <c r="HI344" s="645"/>
      <c r="HJ344" s="645"/>
      <c r="HK344" s="645"/>
      <c r="HL344" s="645"/>
      <c r="HM344" s="645"/>
      <c r="HN344" s="645"/>
      <c r="HO344" s="645"/>
      <c r="HP344" s="645"/>
      <c r="HQ344" s="645"/>
      <c r="HR344" s="645">
        <v>0.17050000000000001</v>
      </c>
      <c r="HS344" s="645">
        <f t="shared" si="812"/>
        <v>1144.7857142857144</v>
      </c>
      <c r="HT344" s="645">
        <f t="shared" si="813"/>
        <v>1</v>
      </c>
      <c r="HU344" s="618">
        <f t="shared" si="814"/>
        <v>4.3435542187978413</v>
      </c>
      <c r="HV344" s="618"/>
      <c r="HW344" s="618">
        <f t="shared" si="799"/>
        <v>29.832153009307063</v>
      </c>
      <c r="HX344" s="618">
        <f t="shared" si="815"/>
        <v>3.9703744652667625</v>
      </c>
      <c r="HY344" s="618">
        <f t="shared" si="816"/>
        <v>0.17050000000000001</v>
      </c>
      <c r="HZ344" s="618"/>
      <c r="IA344" s="618"/>
      <c r="IB344" s="618">
        <f t="shared" si="800"/>
        <v>25.000350341399081</v>
      </c>
      <c r="IC344" s="618">
        <f t="shared" si="801"/>
        <v>1E-3</v>
      </c>
      <c r="ID344" s="618"/>
      <c r="IE344" s="618">
        <f t="shared" si="802"/>
        <v>0</v>
      </c>
      <c r="IF344" s="618">
        <f t="shared" si="803"/>
        <v>40.704999999999998</v>
      </c>
      <c r="IG344" s="618"/>
      <c r="IH344" s="618">
        <f t="shared" si="804"/>
        <v>0</v>
      </c>
      <c r="II344" s="618">
        <f t="shared" si="805"/>
        <v>40.704999999999998</v>
      </c>
      <c r="IJ344" s="618"/>
      <c r="IK344" s="618">
        <f t="shared" si="806"/>
        <v>0</v>
      </c>
      <c r="IL344" s="618">
        <f t="shared" si="807"/>
        <v>40.704999999999998</v>
      </c>
      <c r="IM344" s="618"/>
      <c r="IN344" s="618">
        <f t="shared" si="808"/>
        <v>0</v>
      </c>
      <c r="IO344" s="618">
        <f t="shared" si="809"/>
        <v>40.704999999999998</v>
      </c>
      <c r="IP344" s="618"/>
      <c r="IQ344" s="618">
        <f t="shared" si="810"/>
        <v>0</v>
      </c>
      <c r="IR344" s="618">
        <f t="shared" si="811"/>
        <v>40.704999999999998</v>
      </c>
      <c r="IS344" s="645"/>
      <c r="IT344" s="645"/>
      <c r="IU344" s="645"/>
      <c r="IV344" s="645"/>
      <c r="IW344" s="645"/>
      <c r="IX344" s="645"/>
      <c r="IY344" s="645"/>
      <c r="IZ344" s="645"/>
      <c r="JA344" s="645"/>
      <c r="JB344" s="645"/>
      <c r="JC344" s="645"/>
      <c r="JD344" s="645"/>
      <c r="JE344" s="645"/>
      <c r="JF344" s="645"/>
      <c r="JG344" s="645"/>
      <c r="JH344" s="645"/>
      <c r="JI344" s="645"/>
      <c r="JJ344" s="645"/>
      <c r="JK344" s="645"/>
      <c r="JL344" s="645"/>
      <c r="JM344" s="645"/>
      <c r="JN344" s="645"/>
      <c r="JO344" s="645"/>
      <c r="JP344" s="645"/>
      <c r="JQ344" s="645"/>
      <c r="JR344" s="645"/>
      <c r="JS344" s="645"/>
      <c r="JT344" s="645"/>
      <c r="JU344" s="645"/>
      <c r="JV344" s="653"/>
    </row>
    <row r="345" spans="1:282" s="612" customFormat="1">
      <c r="A345" s="611"/>
      <c r="U345" s="613"/>
      <c r="V345" s="613"/>
      <c r="AC345" s="613"/>
      <c r="AD345" s="613"/>
      <c r="AL345" s="613"/>
      <c r="AM345" s="613"/>
      <c r="AT345" s="613"/>
      <c r="AU345" s="613"/>
      <c r="CH345" s="611"/>
      <c r="CI345" s="611"/>
      <c r="CO345" s="695"/>
      <c r="CP345" s="645"/>
      <c r="CQ345" s="618"/>
      <c r="CR345" s="618"/>
      <c r="CS345" s="618"/>
      <c r="CT345" s="626"/>
      <c r="CU345" s="626"/>
      <c r="CV345" s="626"/>
      <c r="CW345" s="646"/>
      <c r="CX345" s="646"/>
      <c r="CY345" s="625"/>
      <c r="CZ345" s="625"/>
      <c r="DA345" s="625"/>
      <c r="DB345" s="625"/>
      <c r="DC345" s="645"/>
      <c r="DD345" s="645"/>
      <c r="DE345" s="645"/>
      <c r="DF345" s="645"/>
      <c r="DG345" s="645"/>
      <c r="DH345" s="645"/>
      <c r="DI345" s="645"/>
      <c r="DJ345" s="645"/>
      <c r="DK345" s="645"/>
      <c r="DL345" s="645"/>
      <c r="DM345" s="645"/>
      <c r="DN345" s="645"/>
      <c r="DO345" s="645"/>
      <c r="DP345" s="645"/>
      <c r="DQ345" s="645"/>
      <c r="DR345" s="645"/>
      <c r="DS345" s="645"/>
      <c r="DT345" s="645"/>
      <c r="DU345" s="645"/>
      <c r="DV345" s="645"/>
      <c r="DW345" s="645"/>
      <c r="DX345" s="645"/>
      <c r="DY345" s="645"/>
      <c r="DZ345" s="645"/>
      <c r="EA345" s="645"/>
      <c r="EB345" s="645"/>
      <c r="EC345" s="645"/>
      <c r="ED345" s="645"/>
      <c r="EE345" s="645"/>
      <c r="EF345" s="645"/>
      <c r="EG345" s="645"/>
      <c r="EH345" s="645"/>
      <c r="EI345" s="645"/>
      <c r="EJ345" s="645"/>
      <c r="EK345" s="645"/>
      <c r="EL345" s="645"/>
      <c r="EM345" s="645"/>
      <c r="EN345" s="645"/>
      <c r="EO345" s="645"/>
      <c r="EP345" s="645"/>
      <c r="EQ345" s="645"/>
      <c r="ER345" s="645"/>
      <c r="ES345" s="645"/>
      <c r="ET345" s="645"/>
      <c r="EU345" s="645"/>
      <c r="EV345" s="645"/>
      <c r="EW345" s="645"/>
      <c r="EX345" s="645"/>
      <c r="EY345" s="645"/>
      <c r="EZ345" s="645"/>
      <c r="FA345" s="645"/>
      <c r="FB345" s="645"/>
      <c r="FC345" s="645"/>
      <c r="FD345" s="645"/>
      <c r="FE345" s="645"/>
      <c r="FF345" s="645"/>
      <c r="FG345" s="645"/>
      <c r="FH345" s="645"/>
      <c r="FI345" s="645"/>
      <c r="FJ345" s="645"/>
      <c r="FK345" s="645"/>
      <c r="FL345" s="645"/>
      <c r="FM345" s="645"/>
      <c r="FN345" s="645"/>
      <c r="FO345" s="645"/>
      <c r="FP345" s="645"/>
      <c r="FQ345" s="645"/>
      <c r="FR345" s="645"/>
      <c r="FS345" s="645"/>
      <c r="FT345" s="645"/>
      <c r="FU345" s="645"/>
      <c r="FV345" s="645"/>
      <c r="FW345" s="645"/>
      <c r="FX345" s="645"/>
      <c r="FY345" s="645"/>
      <c r="FZ345" s="645"/>
      <c r="GA345" s="645"/>
      <c r="GB345" s="645"/>
      <c r="GC345" s="645"/>
      <c r="GD345" s="645"/>
      <c r="GE345" s="645"/>
      <c r="GF345" s="645"/>
      <c r="GG345" s="645"/>
      <c r="GH345" s="645"/>
      <c r="GI345" s="645"/>
      <c r="GJ345" s="645"/>
      <c r="GK345" s="645"/>
      <c r="GL345" s="645"/>
      <c r="GM345" s="645"/>
      <c r="GN345" s="645"/>
      <c r="GO345" s="645"/>
      <c r="GP345" s="645"/>
      <c r="GQ345" s="645"/>
      <c r="GR345" s="645"/>
      <c r="GS345" s="645"/>
      <c r="GT345" s="645"/>
      <c r="GU345" s="645"/>
      <c r="GV345" s="645"/>
      <c r="GW345" s="645"/>
      <c r="GX345" s="645"/>
      <c r="GY345" s="645"/>
      <c r="GZ345" s="645"/>
      <c r="HA345" s="645"/>
      <c r="HB345" s="645"/>
      <c r="HC345" s="645"/>
      <c r="HD345" s="645"/>
      <c r="HE345" s="645"/>
      <c r="HF345" s="645"/>
      <c r="HG345" s="645"/>
      <c r="HH345" s="645"/>
      <c r="HI345" s="645"/>
      <c r="HJ345" s="645"/>
      <c r="HK345" s="645"/>
      <c r="HL345" s="645"/>
      <c r="HM345" s="645"/>
      <c r="HN345" s="645"/>
      <c r="HO345" s="645"/>
      <c r="HP345" s="645"/>
      <c r="HQ345" s="645"/>
      <c r="HR345" s="645">
        <v>0.17100000000000001</v>
      </c>
      <c r="HS345" s="645">
        <f t="shared" si="812"/>
        <v>1148.1428571428571</v>
      </c>
      <c r="HT345" s="645">
        <f t="shared" si="813"/>
        <v>1</v>
      </c>
      <c r="HU345" s="618">
        <f t="shared" si="814"/>
        <v>4.3562932627714659</v>
      </c>
      <c r="HV345" s="618"/>
      <c r="HW345" s="618">
        <f t="shared" si="799"/>
        <v>29.814063566864519</v>
      </c>
      <c r="HX345" s="618">
        <f t="shared" si="815"/>
        <v>3.9809245393448385</v>
      </c>
      <c r="HY345" s="618">
        <f t="shared" si="816"/>
        <v>0.17100000000000001</v>
      </c>
      <c r="HZ345" s="618"/>
      <c r="IA345" s="618"/>
      <c r="IB345" s="618">
        <f t="shared" si="800"/>
        <v>25.000350341399081</v>
      </c>
      <c r="IC345" s="618">
        <f t="shared" si="801"/>
        <v>1E-3</v>
      </c>
      <c r="ID345" s="618"/>
      <c r="IE345" s="618">
        <f t="shared" si="802"/>
        <v>0</v>
      </c>
      <c r="IF345" s="618">
        <f t="shared" si="803"/>
        <v>40.704999999999998</v>
      </c>
      <c r="IG345" s="618"/>
      <c r="IH345" s="618">
        <f t="shared" si="804"/>
        <v>0</v>
      </c>
      <c r="II345" s="618">
        <f t="shared" si="805"/>
        <v>40.704999999999998</v>
      </c>
      <c r="IJ345" s="618"/>
      <c r="IK345" s="618">
        <f t="shared" si="806"/>
        <v>0</v>
      </c>
      <c r="IL345" s="618">
        <f t="shared" si="807"/>
        <v>40.704999999999998</v>
      </c>
      <c r="IM345" s="618"/>
      <c r="IN345" s="618">
        <f t="shared" si="808"/>
        <v>0</v>
      </c>
      <c r="IO345" s="618">
        <f t="shared" si="809"/>
        <v>40.704999999999998</v>
      </c>
      <c r="IP345" s="618"/>
      <c r="IQ345" s="618">
        <f t="shared" si="810"/>
        <v>0</v>
      </c>
      <c r="IR345" s="618">
        <f t="shared" si="811"/>
        <v>40.704999999999998</v>
      </c>
      <c r="IS345" s="645"/>
      <c r="IT345" s="645"/>
      <c r="IU345" s="645"/>
      <c r="IV345" s="645"/>
      <c r="IW345" s="645"/>
      <c r="IX345" s="645"/>
      <c r="IY345" s="645"/>
      <c r="IZ345" s="645"/>
      <c r="JA345" s="645"/>
      <c r="JB345" s="645"/>
      <c r="JC345" s="645"/>
      <c r="JD345" s="645"/>
      <c r="JE345" s="645"/>
      <c r="JF345" s="645"/>
      <c r="JG345" s="645"/>
      <c r="JH345" s="645"/>
      <c r="JI345" s="645"/>
      <c r="JJ345" s="645"/>
      <c r="JK345" s="645"/>
      <c r="JL345" s="645"/>
      <c r="JM345" s="645"/>
      <c r="JN345" s="645"/>
      <c r="JO345" s="645"/>
      <c r="JP345" s="645"/>
      <c r="JQ345" s="645"/>
      <c r="JR345" s="645"/>
      <c r="JS345" s="645"/>
      <c r="JT345" s="645"/>
      <c r="JU345" s="645"/>
      <c r="JV345" s="653"/>
    </row>
    <row r="346" spans="1:282" s="612" customFormat="1">
      <c r="A346" s="611"/>
      <c r="U346" s="613"/>
      <c r="V346" s="613"/>
      <c r="AC346" s="613"/>
      <c r="AD346" s="613"/>
      <c r="AL346" s="613"/>
      <c r="AM346" s="613"/>
      <c r="AT346" s="613"/>
      <c r="AU346" s="613"/>
      <c r="CH346" s="611"/>
      <c r="CI346" s="611"/>
      <c r="CO346" s="695"/>
      <c r="CP346" s="645"/>
      <c r="CQ346" s="618"/>
      <c r="CR346" s="618"/>
      <c r="CS346" s="618"/>
      <c r="CT346" s="626"/>
      <c r="CU346" s="626"/>
      <c r="CV346" s="626"/>
      <c r="CW346" s="646"/>
      <c r="CX346" s="646"/>
      <c r="CY346" s="625"/>
      <c r="CZ346" s="625"/>
      <c r="DA346" s="625"/>
      <c r="DB346" s="625"/>
      <c r="DC346" s="645"/>
      <c r="DD346" s="645"/>
      <c r="DE346" s="645"/>
      <c r="DF346" s="645"/>
      <c r="DG346" s="645"/>
      <c r="DH346" s="645"/>
      <c r="DI346" s="645"/>
      <c r="DJ346" s="645"/>
      <c r="DK346" s="645"/>
      <c r="DL346" s="645"/>
      <c r="DM346" s="645"/>
      <c r="DN346" s="645"/>
      <c r="DO346" s="645"/>
      <c r="DP346" s="645"/>
      <c r="DQ346" s="645"/>
      <c r="DR346" s="645"/>
      <c r="DS346" s="645"/>
      <c r="DT346" s="645"/>
      <c r="DU346" s="645"/>
      <c r="DV346" s="645"/>
      <c r="DW346" s="645"/>
      <c r="DX346" s="645"/>
      <c r="DY346" s="645"/>
      <c r="DZ346" s="645"/>
      <c r="EA346" s="645"/>
      <c r="EB346" s="645"/>
      <c r="EC346" s="645"/>
      <c r="ED346" s="645"/>
      <c r="EE346" s="645"/>
      <c r="EF346" s="645"/>
      <c r="EG346" s="645"/>
      <c r="EH346" s="645"/>
      <c r="EI346" s="645"/>
      <c r="EJ346" s="645"/>
      <c r="EK346" s="645"/>
      <c r="EL346" s="645"/>
      <c r="EM346" s="645"/>
      <c r="EN346" s="645"/>
      <c r="EO346" s="645"/>
      <c r="EP346" s="645"/>
      <c r="EQ346" s="645"/>
      <c r="ER346" s="645"/>
      <c r="ES346" s="645"/>
      <c r="ET346" s="645"/>
      <c r="EU346" s="645"/>
      <c r="EV346" s="645"/>
      <c r="EW346" s="645"/>
      <c r="EX346" s="645"/>
      <c r="EY346" s="645"/>
      <c r="EZ346" s="645"/>
      <c r="FA346" s="645"/>
      <c r="FB346" s="645"/>
      <c r="FC346" s="645"/>
      <c r="FD346" s="645"/>
      <c r="FE346" s="645"/>
      <c r="FF346" s="645"/>
      <c r="FG346" s="645"/>
      <c r="FH346" s="645"/>
      <c r="FI346" s="645"/>
      <c r="FJ346" s="645"/>
      <c r="FK346" s="645"/>
      <c r="FL346" s="645"/>
      <c r="FM346" s="645"/>
      <c r="FN346" s="645"/>
      <c r="FO346" s="645"/>
      <c r="FP346" s="645"/>
      <c r="FQ346" s="645"/>
      <c r="FR346" s="645"/>
      <c r="FS346" s="645"/>
      <c r="FT346" s="645"/>
      <c r="FU346" s="645"/>
      <c r="FV346" s="645"/>
      <c r="FW346" s="645"/>
      <c r="FX346" s="645"/>
      <c r="FY346" s="645"/>
      <c r="FZ346" s="645"/>
      <c r="GA346" s="645"/>
      <c r="GB346" s="645"/>
      <c r="GC346" s="645"/>
      <c r="GD346" s="645"/>
      <c r="GE346" s="645"/>
      <c r="GF346" s="645"/>
      <c r="GG346" s="645"/>
      <c r="GH346" s="645"/>
      <c r="GI346" s="645"/>
      <c r="GJ346" s="645"/>
      <c r="GK346" s="645"/>
      <c r="GL346" s="645"/>
      <c r="GM346" s="645"/>
      <c r="GN346" s="645"/>
      <c r="GO346" s="645"/>
      <c r="GP346" s="645"/>
      <c r="GQ346" s="645"/>
      <c r="GR346" s="645"/>
      <c r="GS346" s="645"/>
      <c r="GT346" s="645"/>
      <c r="GU346" s="645"/>
      <c r="GV346" s="645"/>
      <c r="GW346" s="645"/>
      <c r="GX346" s="645"/>
      <c r="GY346" s="645"/>
      <c r="GZ346" s="645"/>
      <c r="HA346" s="645"/>
      <c r="HB346" s="645"/>
      <c r="HC346" s="645"/>
      <c r="HD346" s="645"/>
      <c r="HE346" s="645"/>
      <c r="HF346" s="645"/>
      <c r="HG346" s="645"/>
      <c r="HH346" s="645"/>
      <c r="HI346" s="645"/>
      <c r="HJ346" s="645"/>
      <c r="HK346" s="645"/>
      <c r="HL346" s="645"/>
      <c r="HM346" s="645"/>
      <c r="HN346" s="645"/>
      <c r="HO346" s="645"/>
      <c r="HP346" s="645"/>
      <c r="HQ346" s="645"/>
      <c r="HR346" s="645">
        <v>0.17150000000000001</v>
      </c>
      <c r="HS346" s="645">
        <f t="shared" si="812"/>
        <v>1151.5</v>
      </c>
      <c r="HT346" s="645">
        <f t="shared" si="813"/>
        <v>1</v>
      </c>
      <c r="HU346" s="618">
        <f t="shared" si="814"/>
        <v>4.3690323067450905</v>
      </c>
      <c r="HV346" s="618"/>
      <c r="HW346" s="618">
        <f t="shared" si="799"/>
        <v>29.795974124421971</v>
      </c>
      <c r="HX346" s="618">
        <f t="shared" si="815"/>
        <v>3.991468212250616</v>
      </c>
      <c r="HY346" s="618">
        <f t="shared" si="816"/>
        <v>0.17150000000000001</v>
      </c>
      <c r="HZ346" s="618"/>
      <c r="IA346" s="618"/>
      <c r="IB346" s="618">
        <f t="shared" si="800"/>
        <v>25.000350341399081</v>
      </c>
      <c r="IC346" s="618">
        <f t="shared" si="801"/>
        <v>1E-3</v>
      </c>
      <c r="ID346" s="618"/>
      <c r="IE346" s="618">
        <f t="shared" si="802"/>
        <v>0</v>
      </c>
      <c r="IF346" s="618">
        <f t="shared" si="803"/>
        <v>40.704999999999998</v>
      </c>
      <c r="IG346" s="618"/>
      <c r="IH346" s="618">
        <f t="shared" si="804"/>
        <v>0</v>
      </c>
      <c r="II346" s="618">
        <f t="shared" si="805"/>
        <v>40.704999999999998</v>
      </c>
      <c r="IJ346" s="618"/>
      <c r="IK346" s="618">
        <f t="shared" si="806"/>
        <v>0</v>
      </c>
      <c r="IL346" s="618">
        <f t="shared" si="807"/>
        <v>40.704999999999998</v>
      </c>
      <c r="IM346" s="618"/>
      <c r="IN346" s="618">
        <f t="shared" si="808"/>
        <v>0</v>
      </c>
      <c r="IO346" s="618">
        <f t="shared" si="809"/>
        <v>40.704999999999998</v>
      </c>
      <c r="IP346" s="618"/>
      <c r="IQ346" s="618">
        <f t="shared" si="810"/>
        <v>0</v>
      </c>
      <c r="IR346" s="618">
        <f t="shared" si="811"/>
        <v>40.704999999999998</v>
      </c>
      <c r="IS346" s="645"/>
      <c r="IT346" s="645"/>
      <c r="IU346" s="645"/>
      <c r="IV346" s="645"/>
      <c r="IW346" s="645"/>
      <c r="IX346" s="645"/>
      <c r="IY346" s="645"/>
      <c r="IZ346" s="645"/>
      <c r="JA346" s="645"/>
      <c r="JB346" s="645"/>
      <c r="JC346" s="645"/>
      <c r="JD346" s="645"/>
      <c r="JE346" s="645"/>
      <c r="JF346" s="645"/>
      <c r="JG346" s="645"/>
      <c r="JH346" s="645"/>
      <c r="JI346" s="645"/>
      <c r="JJ346" s="645"/>
      <c r="JK346" s="645"/>
      <c r="JL346" s="645"/>
      <c r="JM346" s="645"/>
      <c r="JN346" s="645"/>
      <c r="JO346" s="645"/>
      <c r="JP346" s="645"/>
      <c r="JQ346" s="645"/>
      <c r="JR346" s="645"/>
      <c r="JS346" s="645"/>
      <c r="JT346" s="645"/>
      <c r="JU346" s="645"/>
      <c r="JV346" s="653"/>
    </row>
    <row r="347" spans="1:282" s="612" customFormat="1">
      <c r="A347" s="611"/>
      <c r="U347" s="613"/>
      <c r="V347" s="613"/>
      <c r="AC347" s="613"/>
      <c r="AD347" s="613"/>
      <c r="AL347" s="613"/>
      <c r="AM347" s="613"/>
      <c r="AT347" s="613"/>
      <c r="AU347" s="613"/>
      <c r="CH347" s="611"/>
      <c r="CI347" s="611"/>
      <c r="CO347" s="695"/>
      <c r="CP347" s="645"/>
      <c r="CQ347" s="618"/>
      <c r="CR347" s="618"/>
      <c r="CS347" s="618"/>
      <c r="CT347" s="626"/>
      <c r="CU347" s="626"/>
      <c r="CV347" s="626"/>
      <c r="CW347" s="646"/>
      <c r="CX347" s="646"/>
      <c r="CY347" s="625"/>
      <c r="CZ347" s="625"/>
      <c r="DA347" s="625"/>
      <c r="DB347" s="625"/>
      <c r="DC347" s="645"/>
      <c r="DD347" s="645"/>
      <c r="DE347" s="645"/>
      <c r="DF347" s="645"/>
      <c r="DG347" s="645"/>
      <c r="DH347" s="645"/>
      <c r="DI347" s="645"/>
      <c r="DJ347" s="645"/>
      <c r="DK347" s="645"/>
      <c r="DL347" s="645"/>
      <c r="DM347" s="645"/>
      <c r="DN347" s="645"/>
      <c r="DO347" s="645"/>
      <c r="DP347" s="645"/>
      <c r="DQ347" s="645"/>
      <c r="DR347" s="645"/>
      <c r="DS347" s="645"/>
      <c r="DT347" s="645"/>
      <c r="DU347" s="645"/>
      <c r="DV347" s="645"/>
      <c r="DW347" s="645"/>
      <c r="DX347" s="645"/>
      <c r="DY347" s="645"/>
      <c r="DZ347" s="645"/>
      <c r="EA347" s="645"/>
      <c r="EB347" s="645"/>
      <c r="EC347" s="645"/>
      <c r="ED347" s="645"/>
      <c r="EE347" s="645"/>
      <c r="EF347" s="645"/>
      <c r="EG347" s="645"/>
      <c r="EH347" s="645"/>
      <c r="EI347" s="645"/>
      <c r="EJ347" s="645"/>
      <c r="EK347" s="645"/>
      <c r="EL347" s="645"/>
      <c r="EM347" s="645"/>
      <c r="EN347" s="645"/>
      <c r="EO347" s="645"/>
      <c r="EP347" s="645"/>
      <c r="EQ347" s="645"/>
      <c r="ER347" s="645"/>
      <c r="ES347" s="645"/>
      <c r="ET347" s="645"/>
      <c r="EU347" s="645"/>
      <c r="EV347" s="645"/>
      <c r="EW347" s="645"/>
      <c r="EX347" s="645"/>
      <c r="EY347" s="645"/>
      <c r="EZ347" s="645"/>
      <c r="FA347" s="645"/>
      <c r="FB347" s="645"/>
      <c r="FC347" s="645"/>
      <c r="FD347" s="645"/>
      <c r="FE347" s="645"/>
      <c r="FF347" s="645"/>
      <c r="FG347" s="645"/>
      <c r="FH347" s="645"/>
      <c r="FI347" s="645"/>
      <c r="FJ347" s="645"/>
      <c r="FK347" s="645"/>
      <c r="FL347" s="645"/>
      <c r="FM347" s="645"/>
      <c r="FN347" s="645"/>
      <c r="FO347" s="645"/>
      <c r="FP347" s="645"/>
      <c r="FQ347" s="645"/>
      <c r="FR347" s="645"/>
      <c r="FS347" s="645"/>
      <c r="FT347" s="645"/>
      <c r="FU347" s="645"/>
      <c r="FV347" s="645"/>
      <c r="FW347" s="645"/>
      <c r="FX347" s="645"/>
      <c r="FY347" s="645"/>
      <c r="FZ347" s="645"/>
      <c r="GA347" s="645"/>
      <c r="GB347" s="645"/>
      <c r="GC347" s="645"/>
      <c r="GD347" s="645"/>
      <c r="GE347" s="645"/>
      <c r="GF347" s="645"/>
      <c r="GG347" s="645"/>
      <c r="GH347" s="645"/>
      <c r="GI347" s="645"/>
      <c r="GJ347" s="645"/>
      <c r="GK347" s="645"/>
      <c r="GL347" s="645"/>
      <c r="GM347" s="645"/>
      <c r="GN347" s="645"/>
      <c r="GO347" s="645"/>
      <c r="GP347" s="645"/>
      <c r="GQ347" s="645"/>
      <c r="GR347" s="645"/>
      <c r="GS347" s="645"/>
      <c r="GT347" s="645"/>
      <c r="GU347" s="645"/>
      <c r="GV347" s="645"/>
      <c r="GW347" s="645"/>
      <c r="GX347" s="645"/>
      <c r="GY347" s="645"/>
      <c r="GZ347" s="645"/>
      <c r="HA347" s="645"/>
      <c r="HB347" s="645"/>
      <c r="HC347" s="645"/>
      <c r="HD347" s="645"/>
      <c r="HE347" s="645"/>
      <c r="HF347" s="645"/>
      <c r="HG347" s="645"/>
      <c r="HH347" s="645"/>
      <c r="HI347" s="645"/>
      <c r="HJ347" s="645"/>
      <c r="HK347" s="645"/>
      <c r="HL347" s="645"/>
      <c r="HM347" s="645"/>
      <c r="HN347" s="645"/>
      <c r="HO347" s="645"/>
      <c r="HP347" s="645"/>
      <c r="HQ347" s="645"/>
      <c r="HR347" s="645">
        <v>0.17199999999999999</v>
      </c>
      <c r="HS347" s="645">
        <f t="shared" si="812"/>
        <v>1154.8571428571427</v>
      </c>
      <c r="HT347" s="645">
        <f t="shared" si="813"/>
        <v>1</v>
      </c>
      <c r="HU347" s="618">
        <f t="shared" si="814"/>
        <v>4.3817713507187142</v>
      </c>
      <c r="HV347" s="618"/>
      <c r="HW347" s="618">
        <f t="shared" si="799"/>
        <v>29.777884681979426</v>
      </c>
      <c r="HX347" s="618">
        <f t="shared" si="815"/>
        <v>4.0020054839840951</v>
      </c>
      <c r="HY347" s="618">
        <f t="shared" si="816"/>
        <v>0.17199999999999999</v>
      </c>
      <c r="HZ347" s="618"/>
      <c r="IA347" s="618"/>
      <c r="IB347" s="618">
        <f t="shared" si="800"/>
        <v>25.000350341399081</v>
      </c>
      <c r="IC347" s="618">
        <f t="shared" si="801"/>
        <v>1E-3</v>
      </c>
      <c r="ID347" s="618"/>
      <c r="IE347" s="618">
        <f t="shared" si="802"/>
        <v>0</v>
      </c>
      <c r="IF347" s="618">
        <f t="shared" si="803"/>
        <v>40.704999999999998</v>
      </c>
      <c r="IG347" s="618"/>
      <c r="IH347" s="618">
        <f t="shared" si="804"/>
        <v>0</v>
      </c>
      <c r="II347" s="618">
        <f t="shared" si="805"/>
        <v>40.704999999999998</v>
      </c>
      <c r="IJ347" s="618"/>
      <c r="IK347" s="618">
        <f t="shared" si="806"/>
        <v>0</v>
      </c>
      <c r="IL347" s="618">
        <f t="shared" si="807"/>
        <v>40.704999999999998</v>
      </c>
      <c r="IM347" s="618"/>
      <c r="IN347" s="618">
        <f t="shared" si="808"/>
        <v>0</v>
      </c>
      <c r="IO347" s="618">
        <f t="shared" si="809"/>
        <v>40.704999999999998</v>
      </c>
      <c r="IP347" s="618"/>
      <c r="IQ347" s="618">
        <f t="shared" si="810"/>
        <v>0</v>
      </c>
      <c r="IR347" s="618">
        <f t="shared" si="811"/>
        <v>40.704999999999998</v>
      </c>
      <c r="IS347" s="645"/>
      <c r="IT347" s="645"/>
      <c r="IU347" s="645"/>
      <c r="IV347" s="645"/>
      <c r="IW347" s="645"/>
      <c r="IX347" s="645"/>
      <c r="IY347" s="645"/>
      <c r="IZ347" s="645"/>
      <c r="JA347" s="645"/>
      <c r="JB347" s="645"/>
      <c r="JC347" s="645"/>
      <c r="JD347" s="645"/>
      <c r="JE347" s="645"/>
      <c r="JF347" s="645"/>
      <c r="JG347" s="645"/>
      <c r="JH347" s="645"/>
      <c r="JI347" s="645"/>
      <c r="JJ347" s="645"/>
      <c r="JK347" s="645"/>
      <c r="JL347" s="645"/>
      <c r="JM347" s="645"/>
      <c r="JN347" s="645"/>
      <c r="JO347" s="645"/>
      <c r="JP347" s="645"/>
      <c r="JQ347" s="645"/>
      <c r="JR347" s="645"/>
      <c r="JS347" s="645"/>
      <c r="JT347" s="645"/>
      <c r="JU347" s="645"/>
      <c r="JV347" s="653"/>
    </row>
    <row r="348" spans="1:282" s="612" customFormat="1">
      <c r="A348" s="611"/>
      <c r="U348" s="613"/>
      <c r="V348" s="613"/>
      <c r="AC348" s="613"/>
      <c r="AD348" s="613"/>
      <c r="AL348" s="613"/>
      <c r="AM348" s="613"/>
      <c r="AT348" s="613"/>
      <c r="AU348" s="613"/>
      <c r="CH348" s="611"/>
      <c r="CI348" s="611"/>
      <c r="CO348" s="695"/>
      <c r="CP348" s="645"/>
      <c r="CQ348" s="618"/>
      <c r="CR348" s="618"/>
      <c r="CS348" s="618"/>
      <c r="CT348" s="626"/>
      <c r="CU348" s="626"/>
      <c r="CV348" s="626"/>
      <c r="CW348" s="646"/>
      <c r="CX348" s="646"/>
      <c r="CY348" s="625"/>
      <c r="CZ348" s="625"/>
      <c r="DA348" s="625"/>
      <c r="DB348" s="625"/>
      <c r="DC348" s="645"/>
      <c r="DD348" s="645"/>
      <c r="DE348" s="645"/>
      <c r="DF348" s="645"/>
      <c r="DG348" s="645"/>
      <c r="DH348" s="645"/>
      <c r="DI348" s="645"/>
      <c r="DJ348" s="645"/>
      <c r="DK348" s="645"/>
      <c r="DL348" s="645"/>
      <c r="DM348" s="645"/>
      <c r="DN348" s="645"/>
      <c r="DO348" s="645"/>
      <c r="DP348" s="645"/>
      <c r="DQ348" s="645"/>
      <c r="DR348" s="645"/>
      <c r="DS348" s="645"/>
      <c r="DT348" s="645"/>
      <c r="DU348" s="645"/>
      <c r="DV348" s="645"/>
      <c r="DW348" s="645"/>
      <c r="DX348" s="645"/>
      <c r="DY348" s="645"/>
      <c r="DZ348" s="645"/>
      <c r="EA348" s="645"/>
      <c r="EB348" s="645"/>
      <c r="EC348" s="645"/>
      <c r="ED348" s="645"/>
      <c r="EE348" s="645"/>
      <c r="EF348" s="645"/>
      <c r="EG348" s="645"/>
      <c r="EH348" s="645"/>
      <c r="EI348" s="645"/>
      <c r="EJ348" s="645"/>
      <c r="EK348" s="645"/>
      <c r="EL348" s="645"/>
      <c r="EM348" s="645"/>
      <c r="EN348" s="645"/>
      <c r="EO348" s="645"/>
      <c r="EP348" s="645"/>
      <c r="EQ348" s="645"/>
      <c r="ER348" s="645"/>
      <c r="ES348" s="645"/>
      <c r="ET348" s="645"/>
      <c r="EU348" s="645"/>
      <c r="EV348" s="645"/>
      <c r="EW348" s="645"/>
      <c r="EX348" s="645"/>
      <c r="EY348" s="645"/>
      <c r="EZ348" s="645"/>
      <c r="FA348" s="645"/>
      <c r="FB348" s="645"/>
      <c r="FC348" s="645"/>
      <c r="FD348" s="645"/>
      <c r="FE348" s="645"/>
      <c r="FF348" s="645"/>
      <c r="FG348" s="645"/>
      <c r="FH348" s="645"/>
      <c r="FI348" s="645"/>
      <c r="FJ348" s="645"/>
      <c r="FK348" s="645"/>
      <c r="FL348" s="645"/>
      <c r="FM348" s="645"/>
      <c r="FN348" s="645"/>
      <c r="FO348" s="645"/>
      <c r="FP348" s="645"/>
      <c r="FQ348" s="645"/>
      <c r="FR348" s="645"/>
      <c r="FS348" s="645"/>
      <c r="FT348" s="645"/>
      <c r="FU348" s="645"/>
      <c r="FV348" s="645"/>
      <c r="FW348" s="645"/>
      <c r="FX348" s="645"/>
      <c r="FY348" s="645"/>
      <c r="FZ348" s="645"/>
      <c r="GA348" s="645"/>
      <c r="GB348" s="645"/>
      <c r="GC348" s="645"/>
      <c r="GD348" s="645"/>
      <c r="GE348" s="645"/>
      <c r="GF348" s="645"/>
      <c r="GG348" s="645"/>
      <c r="GH348" s="645"/>
      <c r="GI348" s="645"/>
      <c r="GJ348" s="645"/>
      <c r="GK348" s="645"/>
      <c r="GL348" s="645"/>
      <c r="GM348" s="645"/>
      <c r="GN348" s="645"/>
      <c r="GO348" s="645"/>
      <c r="GP348" s="645"/>
      <c r="GQ348" s="645"/>
      <c r="GR348" s="645"/>
      <c r="GS348" s="645"/>
      <c r="GT348" s="645"/>
      <c r="GU348" s="645"/>
      <c r="GV348" s="645"/>
      <c r="GW348" s="645"/>
      <c r="GX348" s="645"/>
      <c r="GY348" s="645"/>
      <c r="GZ348" s="645"/>
      <c r="HA348" s="645"/>
      <c r="HB348" s="645"/>
      <c r="HC348" s="645"/>
      <c r="HD348" s="645"/>
      <c r="HE348" s="645"/>
      <c r="HF348" s="645"/>
      <c r="HG348" s="645"/>
      <c r="HH348" s="645"/>
      <c r="HI348" s="645"/>
      <c r="HJ348" s="645"/>
      <c r="HK348" s="645"/>
      <c r="HL348" s="645"/>
      <c r="HM348" s="645"/>
      <c r="HN348" s="645"/>
      <c r="HO348" s="645"/>
      <c r="HP348" s="645"/>
      <c r="HQ348" s="645"/>
      <c r="HR348" s="645">
        <v>0.17249999999999999</v>
      </c>
      <c r="HS348" s="645">
        <f t="shared" si="812"/>
        <v>1158.2142857142856</v>
      </c>
      <c r="HT348" s="645">
        <f t="shared" si="813"/>
        <v>1</v>
      </c>
      <c r="HU348" s="618">
        <f t="shared" si="814"/>
        <v>4.3945103946923387</v>
      </c>
      <c r="HV348" s="618"/>
      <c r="HW348" s="618">
        <f t="shared" si="799"/>
        <v>29.759795239536878</v>
      </c>
      <c r="HX348" s="618">
        <f t="shared" si="815"/>
        <v>4.0125363545452766</v>
      </c>
      <c r="HY348" s="618">
        <f t="shared" si="816"/>
        <v>0.17249999999999999</v>
      </c>
      <c r="HZ348" s="618"/>
      <c r="IA348" s="618"/>
      <c r="IB348" s="618">
        <f t="shared" si="800"/>
        <v>25.000350341399081</v>
      </c>
      <c r="IC348" s="618">
        <f t="shared" si="801"/>
        <v>1E-3</v>
      </c>
      <c r="ID348" s="618"/>
      <c r="IE348" s="618">
        <f t="shared" si="802"/>
        <v>0</v>
      </c>
      <c r="IF348" s="618">
        <f t="shared" si="803"/>
        <v>40.704999999999998</v>
      </c>
      <c r="IG348" s="618"/>
      <c r="IH348" s="618">
        <f t="shared" si="804"/>
        <v>0</v>
      </c>
      <c r="II348" s="618">
        <f t="shared" si="805"/>
        <v>40.704999999999998</v>
      </c>
      <c r="IJ348" s="618"/>
      <c r="IK348" s="618">
        <f t="shared" si="806"/>
        <v>0</v>
      </c>
      <c r="IL348" s="618">
        <f t="shared" si="807"/>
        <v>40.704999999999998</v>
      </c>
      <c r="IM348" s="618"/>
      <c r="IN348" s="618">
        <f t="shared" si="808"/>
        <v>0</v>
      </c>
      <c r="IO348" s="618">
        <f t="shared" si="809"/>
        <v>40.704999999999998</v>
      </c>
      <c r="IP348" s="618"/>
      <c r="IQ348" s="618">
        <f t="shared" si="810"/>
        <v>0</v>
      </c>
      <c r="IR348" s="618">
        <f t="shared" si="811"/>
        <v>40.704999999999998</v>
      </c>
      <c r="IS348" s="645"/>
      <c r="IT348" s="645"/>
      <c r="IU348" s="645"/>
      <c r="IV348" s="645"/>
      <c r="IW348" s="645"/>
      <c r="IX348" s="645"/>
      <c r="IY348" s="645"/>
      <c r="IZ348" s="645"/>
      <c r="JA348" s="645"/>
      <c r="JB348" s="645"/>
      <c r="JC348" s="645"/>
      <c r="JD348" s="645"/>
      <c r="JE348" s="645"/>
      <c r="JF348" s="645"/>
      <c r="JG348" s="645"/>
      <c r="JH348" s="645"/>
      <c r="JI348" s="645"/>
      <c r="JJ348" s="645"/>
      <c r="JK348" s="645"/>
      <c r="JL348" s="645"/>
      <c r="JM348" s="645"/>
      <c r="JN348" s="645"/>
      <c r="JO348" s="645"/>
      <c r="JP348" s="645"/>
      <c r="JQ348" s="645"/>
      <c r="JR348" s="645"/>
      <c r="JS348" s="645"/>
      <c r="JT348" s="645"/>
      <c r="JU348" s="645"/>
      <c r="JV348" s="653"/>
    </row>
    <row r="349" spans="1:282" s="612" customFormat="1">
      <c r="A349" s="611"/>
      <c r="U349" s="613"/>
      <c r="V349" s="613"/>
      <c r="AC349" s="613"/>
      <c r="AD349" s="613"/>
      <c r="AL349" s="613"/>
      <c r="AM349" s="613"/>
      <c r="AT349" s="613"/>
      <c r="AU349" s="613"/>
      <c r="CH349" s="611"/>
      <c r="CI349" s="611"/>
      <c r="CO349" s="695"/>
      <c r="CP349" s="645"/>
      <c r="CQ349" s="618"/>
      <c r="CR349" s="618"/>
      <c r="CS349" s="618"/>
      <c r="CT349" s="626"/>
      <c r="CU349" s="626"/>
      <c r="CV349" s="626"/>
      <c r="CW349" s="646"/>
      <c r="CX349" s="646"/>
      <c r="CY349" s="625"/>
      <c r="CZ349" s="625"/>
      <c r="DA349" s="625"/>
      <c r="DB349" s="625"/>
      <c r="DC349" s="645"/>
      <c r="DD349" s="645"/>
      <c r="DE349" s="645"/>
      <c r="DF349" s="645"/>
      <c r="DG349" s="645"/>
      <c r="DH349" s="645"/>
      <c r="DI349" s="645"/>
      <c r="DJ349" s="645"/>
      <c r="DK349" s="645"/>
      <c r="DL349" s="645"/>
      <c r="DM349" s="645"/>
      <c r="DN349" s="645"/>
      <c r="DO349" s="645"/>
      <c r="DP349" s="645"/>
      <c r="DQ349" s="645"/>
      <c r="DR349" s="645"/>
      <c r="DS349" s="645"/>
      <c r="DT349" s="645"/>
      <c r="DU349" s="645"/>
      <c r="DV349" s="645"/>
      <c r="DW349" s="645"/>
      <c r="DX349" s="645"/>
      <c r="DY349" s="645"/>
      <c r="DZ349" s="645"/>
      <c r="EA349" s="645"/>
      <c r="EB349" s="645"/>
      <c r="EC349" s="645"/>
      <c r="ED349" s="645"/>
      <c r="EE349" s="645"/>
      <c r="EF349" s="645"/>
      <c r="EG349" s="645"/>
      <c r="EH349" s="645"/>
      <c r="EI349" s="645"/>
      <c r="EJ349" s="645"/>
      <c r="EK349" s="645"/>
      <c r="EL349" s="645"/>
      <c r="EM349" s="645"/>
      <c r="EN349" s="645"/>
      <c r="EO349" s="645"/>
      <c r="EP349" s="645"/>
      <c r="EQ349" s="645"/>
      <c r="ER349" s="645"/>
      <c r="ES349" s="645"/>
      <c r="ET349" s="645"/>
      <c r="EU349" s="645"/>
      <c r="EV349" s="645"/>
      <c r="EW349" s="645"/>
      <c r="EX349" s="645"/>
      <c r="EY349" s="645"/>
      <c r="EZ349" s="645"/>
      <c r="FA349" s="645"/>
      <c r="FB349" s="645"/>
      <c r="FC349" s="645"/>
      <c r="FD349" s="645"/>
      <c r="FE349" s="645"/>
      <c r="FF349" s="645"/>
      <c r="FG349" s="645"/>
      <c r="FH349" s="645"/>
      <c r="FI349" s="645"/>
      <c r="FJ349" s="645"/>
      <c r="FK349" s="645"/>
      <c r="FL349" s="645"/>
      <c r="FM349" s="645"/>
      <c r="FN349" s="645"/>
      <c r="FO349" s="645"/>
      <c r="FP349" s="645"/>
      <c r="FQ349" s="645"/>
      <c r="FR349" s="645"/>
      <c r="FS349" s="645"/>
      <c r="FT349" s="645"/>
      <c r="FU349" s="645"/>
      <c r="FV349" s="645"/>
      <c r="FW349" s="645"/>
      <c r="FX349" s="645"/>
      <c r="FY349" s="645"/>
      <c r="FZ349" s="645"/>
      <c r="GA349" s="645"/>
      <c r="GB349" s="645"/>
      <c r="GC349" s="645"/>
      <c r="GD349" s="645"/>
      <c r="GE349" s="645"/>
      <c r="GF349" s="645"/>
      <c r="GG349" s="645"/>
      <c r="GH349" s="645"/>
      <c r="GI349" s="645"/>
      <c r="GJ349" s="645"/>
      <c r="GK349" s="645"/>
      <c r="GL349" s="645"/>
      <c r="GM349" s="645"/>
      <c r="GN349" s="645"/>
      <c r="GO349" s="645"/>
      <c r="GP349" s="645"/>
      <c r="GQ349" s="645"/>
      <c r="GR349" s="645"/>
      <c r="GS349" s="645"/>
      <c r="GT349" s="645"/>
      <c r="GU349" s="645"/>
      <c r="GV349" s="645"/>
      <c r="GW349" s="645"/>
      <c r="GX349" s="645"/>
      <c r="GY349" s="645"/>
      <c r="GZ349" s="645"/>
      <c r="HA349" s="645"/>
      <c r="HB349" s="645"/>
      <c r="HC349" s="645"/>
      <c r="HD349" s="645"/>
      <c r="HE349" s="645"/>
      <c r="HF349" s="645"/>
      <c r="HG349" s="645"/>
      <c r="HH349" s="645"/>
      <c r="HI349" s="645"/>
      <c r="HJ349" s="645"/>
      <c r="HK349" s="645"/>
      <c r="HL349" s="645"/>
      <c r="HM349" s="645"/>
      <c r="HN349" s="645"/>
      <c r="HO349" s="645"/>
      <c r="HP349" s="645"/>
      <c r="HQ349" s="645"/>
      <c r="HR349" s="645">
        <v>0.17299999999999999</v>
      </c>
      <c r="HS349" s="645">
        <f t="shared" si="812"/>
        <v>1161.5714285714284</v>
      </c>
      <c r="HT349" s="645">
        <f t="shared" si="813"/>
        <v>1</v>
      </c>
      <c r="HU349" s="618">
        <f t="shared" si="814"/>
        <v>4.4072494386659633</v>
      </c>
      <c r="HV349" s="618"/>
      <c r="HW349" s="618">
        <f t="shared" si="799"/>
        <v>29.741705797094333</v>
      </c>
      <c r="HX349" s="618">
        <f t="shared" si="815"/>
        <v>4.0230608239341601</v>
      </c>
      <c r="HY349" s="618">
        <f t="shared" si="816"/>
        <v>0.17299999999999999</v>
      </c>
      <c r="HZ349" s="618"/>
      <c r="IA349" s="618"/>
      <c r="IB349" s="618">
        <f t="shared" si="800"/>
        <v>25.000350341399081</v>
      </c>
      <c r="IC349" s="618">
        <f t="shared" si="801"/>
        <v>1E-3</v>
      </c>
      <c r="ID349" s="618"/>
      <c r="IE349" s="618">
        <f t="shared" si="802"/>
        <v>0</v>
      </c>
      <c r="IF349" s="618">
        <f t="shared" si="803"/>
        <v>40.704999999999998</v>
      </c>
      <c r="IG349" s="618"/>
      <c r="IH349" s="618">
        <f t="shared" si="804"/>
        <v>0</v>
      </c>
      <c r="II349" s="618">
        <f t="shared" si="805"/>
        <v>40.704999999999998</v>
      </c>
      <c r="IJ349" s="618"/>
      <c r="IK349" s="618">
        <f t="shared" si="806"/>
        <v>0</v>
      </c>
      <c r="IL349" s="618">
        <f t="shared" si="807"/>
        <v>40.704999999999998</v>
      </c>
      <c r="IM349" s="618"/>
      <c r="IN349" s="618">
        <f t="shared" si="808"/>
        <v>0</v>
      </c>
      <c r="IO349" s="618">
        <f t="shared" si="809"/>
        <v>40.704999999999998</v>
      </c>
      <c r="IP349" s="618"/>
      <c r="IQ349" s="618">
        <f t="shared" si="810"/>
        <v>0</v>
      </c>
      <c r="IR349" s="618">
        <f t="shared" si="811"/>
        <v>40.704999999999998</v>
      </c>
      <c r="IS349" s="645"/>
      <c r="IT349" s="645"/>
      <c r="IU349" s="645"/>
      <c r="IV349" s="645"/>
      <c r="IW349" s="645"/>
      <c r="IX349" s="645"/>
      <c r="IY349" s="645"/>
      <c r="IZ349" s="645"/>
      <c r="JA349" s="645"/>
      <c r="JB349" s="645"/>
      <c r="JC349" s="645"/>
      <c r="JD349" s="645"/>
      <c r="JE349" s="645"/>
      <c r="JF349" s="645"/>
      <c r="JG349" s="645"/>
      <c r="JH349" s="645"/>
      <c r="JI349" s="645"/>
      <c r="JJ349" s="645"/>
      <c r="JK349" s="645"/>
      <c r="JL349" s="645"/>
      <c r="JM349" s="645"/>
      <c r="JN349" s="645"/>
      <c r="JO349" s="645"/>
      <c r="JP349" s="645"/>
      <c r="JQ349" s="645"/>
      <c r="JR349" s="645"/>
      <c r="JS349" s="645"/>
      <c r="JT349" s="645"/>
      <c r="JU349" s="645"/>
      <c r="JV349" s="653"/>
    </row>
    <row r="350" spans="1:282" s="612" customFormat="1">
      <c r="A350" s="611"/>
      <c r="U350" s="613"/>
      <c r="V350" s="613"/>
      <c r="AC350" s="613"/>
      <c r="AD350" s="613"/>
      <c r="AL350" s="613"/>
      <c r="AM350" s="613"/>
      <c r="AT350" s="613"/>
      <c r="AU350" s="613"/>
      <c r="CH350" s="611"/>
      <c r="CI350" s="611"/>
      <c r="CO350" s="695"/>
      <c r="CP350" s="645"/>
      <c r="CQ350" s="618"/>
      <c r="CR350" s="618"/>
      <c r="CS350" s="618"/>
      <c r="CT350" s="626"/>
      <c r="CU350" s="626"/>
      <c r="CV350" s="626"/>
      <c r="CW350" s="646"/>
      <c r="CX350" s="646"/>
      <c r="CY350" s="625"/>
      <c r="CZ350" s="625"/>
      <c r="DA350" s="625"/>
      <c r="DB350" s="625"/>
      <c r="DC350" s="645"/>
      <c r="DD350" s="645"/>
      <c r="DE350" s="645"/>
      <c r="DF350" s="645"/>
      <c r="DG350" s="645"/>
      <c r="DH350" s="645"/>
      <c r="DI350" s="645"/>
      <c r="DJ350" s="645"/>
      <c r="DK350" s="645"/>
      <c r="DL350" s="645"/>
      <c r="DM350" s="645"/>
      <c r="DN350" s="645"/>
      <c r="DO350" s="645"/>
      <c r="DP350" s="645"/>
      <c r="DQ350" s="645"/>
      <c r="DR350" s="645"/>
      <c r="DS350" s="645"/>
      <c r="DT350" s="645"/>
      <c r="DU350" s="645"/>
      <c r="DV350" s="645"/>
      <c r="DW350" s="645"/>
      <c r="DX350" s="645"/>
      <c r="DY350" s="645"/>
      <c r="DZ350" s="645"/>
      <c r="EA350" s="645"/>
      <c r="EB350" s="645"/>
      <c r="EC350" s="645"/>
      <c r="ED350" s="645"/>
      <c r="EE350" s="645"/>
      <c r="EF350" s="645"/>
      <c r="EG350" s="645"/>
      <c r="EH350" s="645"/>
      <c r="EI350" s="645"/>
      <c r="EJ350" s="645"/>
      <c r="EK350" s="645"/>
      <c r="EL350" s="645"/>
      <c r="EM350" s="645"/>
      <c r="EN350" s="645"/>
      <c r="EO350" s="645"/>
      <c r="EP350" s="645"/>
      <c r="EQ350" s="645"/>
      <c r="ER350" s="645"/>
      <c r="ES350" s="645"/>
      <c r="ET350" s="645"/>
      <c r="EU350" s="645"/>
      <c r="EV350" s="645"/>
      <c r="EW350" s="645"/>
      <c r="EX350" s="645"/>
      <c r="EY350" s="645"/>
      <c r="EZ350" s="645"/>
      <c r="FA350" s="645"/>
      <c r="FB350" s="645"/>
      <c r="FC350" s="645"/>
      <c r="FD350" s="645"/>
      <c r="FE350" s="645"/>
      <c r="FF350" s="645"/>
      <c r="FG350" s="645"/>
      <c r="FH350" s="645"/>
      <c r="FI350" s="645"/>
      <c r="FJ350" s="645"/>
      <c r="FK350" s="645"/>
      <c r="FL350" s="645"/>
      <c r="FM350" s="645"/>
      <c r="FN350" s="645"/>
      <c r="FO350" s="645"/>
      <c r="FP350" s="645"/>
      <c r="FQ350" s="645"/>
      <c r="FR350" s="645"/>
      <c r="FS350" s="645"/>
      <c r="FT350" s="645"/>
      <c r="FU350" s="645"/>
      <c r="FV350" s="645"/>
      <c r="FW350" s="645"/>
      <c r="FX350" s="645"/>
      <c r="FY350" s="645"/>
      <c r="FZ350" s="645"/>
      <c r="GA350" s="645"/>
      <c r="GB350" s="645"/>
      <c r="GC350" s="645"/>
      <c r="GD350" s="645"/>
      <c r="GE350" s="645"/>
      <c r="GF350" s="645"/>
      <c r="GG350" s="645"/>
      <c r="GH350" s="645"/>
      <c r="GI350" s="645"/>
      <c r="GJ350" s="645"/>
      <c r="GK350" s="645"/>
      <c r="GL350" s="645"/>
      <c r="GM350" s="645"/>
      <c r="GN350" s="645"/>
      <c r="GO350" s="645"/>
      <c r="GP350" s="645"/>
      <c r="GQ350" s="645"/>
      <c r="GR350" s="645"/>
      <c r="GS350" s="645"/>
      <c r="GT350" s="645"/>
      <c r="GU350" s="645"/>
      <c r="GV350" s="645"/>
      <c r="GW350" s="645"/>
      <c r="GX350" s="645"/>
      <c r="GY350" s="645"/>
      <c r="GZ350" s="645"/>
      <c r="HA350" s="645"/>
      <c r="HB350" s="645"/>
      <c r="HC350" s="645"/>
      <c r="HD350" s="645"/>
      <c r="HE350" s="645"/>
      <c r="HF350" s="645"/>
      <c r="HG350" s="645"/>
      <c r="HH350" s="645"/>
      <c r="HI350" s="645"/>
      <c r="HJ350" s="645"/>
      <c r="HK350" s="645"/>
      <c r="HL350" s="645"/>
      <c r="HM350" s="645"/>
      <c r="HN350" s="645"/>
      <c r="HO350" s="645"/>
      <c r="HP350" s="645"/>
      <c r="HQ350" s="645"/>
      <c r="HR350" s="645">
        <v>0.17349999999999999</v>
      </c>
      <c r="HS350" s="645">
        <f t="shared" si="812"/>
        <v>1164.9285714285713</v>
      </c>
      <c r="HT350" s="645">
        <f t="shared" si="813"/>
        <v>1</v>
      </c>
      <c r="HU350" s="618">
        <f t="shared" si="814"/>
        <v>4.4199884826395879</v>
      </c>
      <c r="HV350" s="618"/>
      <c r="HW350" s="618">
        <f t="shared" si="799"/>
        <v>29.723616354651785</v>
      </c>
      <c r="HX350" s="618">
        <f t="shared" si="815"/>
        <v>4.0335788921507447</v>
      </c>
      <c r="HY350" s="618">
        <f t="shared" si="816"/>
        <v>0.17349999999999999</v>
      </c>
      <c r="HZ350" s="618"/>
      <c r="IA350" s="618"/>
      <c r="IB350" s="618">
        <f t="shared" si="800"/>
        <v>25.000350341399081</v>
      </c>
      <c r="IC350" s="618">
        <f t="shared" si="801"/>
        <v>1E-3</v>
      </c>
      <c r="ID350" s="618"/>
      <c r="IE350" s="618">
        <f t="shared" si="802"/>
        <v>0</v>
      </c>
      <c r="IF350" s="618">
        <f t="shared" si="803"/>
        <v>40.704999999999998</v>
      </c>
      <c r="IG350" s="618"/>
      <c r="IH350" s="618">
        <f t="shared" si="804"/>
        <v>0</v>
      </c>
      <c r="II350" s="618">
        <f t="shared" si="805"/>
        <v>40.704999999999998</v>
      </c>
      <c r="IJ350" s="618"/>
      <c r="IK350" s="618">
        <f t="shared" si="806"/>
        <v>0</v>
      </c>
      <c r="IL350" s="618">
        <f t="shared" si="807"/>
        <v>40.704999999999998</v>
      </c>
      <c r="IM350" s="618"/>
      <c r="IN350" s="618">
        <f t="shared" si="808"/>
        <v>0</v>
      </c>
      <c r="IO350" s="618">
        <f t="shared" si="809"/>
        <v>40.704999999999998</v>
      </c>
      <c r="IP350" s="618"/>
      <c r="IQ350" s="618">
        <f t="shared" si="810"/>
        <v>0</v>
      </c>
      <c r="IR350" s="618">
        <f t="shared" si="811"/>
        <v>40.704999999999998</v>
      </c>
      <c r="IS350" s="645"/>
      <c r="IT350" s="645"/>
      <c r="IU350" s="645"/>
      <c r="IV350" s="645"/>
      <c r="IW350" s="645"/>
      <c r="IX350" s="645"/>
      <c r="IY350" s="645"/>
      <c r="IZ350" s="645"/>
      <c r="JA350" s="645"/>
      <c r="JB350" s="645"/>
      <c r="JC350" s="645"/>
      <c r="JD350" s="645"/>
      <c r="JE350" s="645"/>
      <c r="JF350" s="645"/>
      <c r="JG350" s="645"/>
      <c r="JH350" s="645"/>
      <c r="JI350" s="645"/>
      <c r="JJ350" s="645"/>
      <c r="JK350" s="645"/>
      <c r="JL350" s="645"/>
      <c r="JM350" s="645"/>
      <c r="JN350" s="645"/>
      <c r="JO350" s="645"/>
      <c r="JP350" s="645"/>
      <c r="JQ350" s="645"/>
      <c r="JR350" s="645"/>
      <c r="JS350" s="645"/>
      <c r="JT350" s="645"/>
      <c r="JU350" s="645"/>
      <c r="JV350" s="653"/>
    </row>
    <row r="351" spans="1:282" s="612" customFormat="1">
      <c r="A351" s="611"/>
      <c r="U351" s="613"/>
      <c r="V351" s="613"/>
      <c r="AC351" s="613"/>
      <c r="AD351" s="613"/>
      <c r="AL351" s="613"/>
      <c r="AM351" s="613"/>
      <c r="AT351" s="613"/>
      <c r="AU351" s="613"/>
      <c r="CH351" s="611"/>
      <c r="CI351" s="611"/>
      <c r="CO351" s="695"/>
      <c r="CP351" s="645"/>
      <c r="CQ351" s="618"/>
      <c r="CR351" s="618"/>
      <c r="CS351" s="618"/>
      <c r="CT351" s="626"/>
      <c r="CU351" s="626"/>
      <c r="CV351" s="626"/>
      <c r="CW351" s="646"/>
      <c r="CX351" s="646"/>
      <c r="CY351" s="625"/>
      <c r="CZ351" s="625"/>
      <c r="DA351" s="625"/>
      <c r="DB351" s="625"/>
      <c r="DC351" s="645"/>
      <c r="DD351" s="645"/>
      <c r="DE351" s="645"/>
      <c r="DF351" s="645"/>
      <c r="DG351" s="645"/>
      <c r="DH351" s="645"/>
      <c r="DI351" s="645"/>
      <c r="DJ351" s="645"/>
      <c r="DK351" s="645"/>
      <c r="DL351" s="645"/>
      <c r="DM351" s="645"/>
      <c r="DN351" s="645"/>
      <c r="DO351" s="645"/>
      <c r="DP351" s="645"/>
      <c r="DQ351" s="645"/>
      <c r="DR351" s="645"/>
      <c r="DS351" s="645"/>
      <c r="DT351" s="645"/>
      <c r="DU351" s="645"/>
      <c r="DV351" s="645"/>
      <c r="DW351" s="645"/>
      <c r="DX351" s="645"/>
      <c r="DY351" s="645"/>
      <c r="DZ351" s="645"/>
      <c r="EA351" s="645"/>
      <c r="EB351" s="645"/>
      <c r="EC351" s="645"/>
      <c r="ED351" s="645"/>
      <c r="EE351" s="645"/>
      <c r="EF351" s="645"/>
      <c r="EG351" s="645"/>
      <c r="EH351" s="645"/>
      <c r="EI351" s="645"/>
      <c r="EJ351" s="645"/>
      <c r="EK351" s="645"/>
      <c r="EL351" s="645"/>
      <c r="EM351" s="645"/>
      <c r="EN351" s="645"/>
      <c r="EO351" s="645"/>
      <c r="EP351" s="645"/>
      <c r="EQ351" s="645"/>
      <c r="ER351" s="645"/>
      <c r="ES351" s="645"/>
      <c r="ET351" s="645"/>
      <c r="EU351" s="645"/>
      <c r="EV351" s="645"/>
      <c r="EW351" s="645"/>
      <c r="EX351" s="645"/>
      <c r="EY351" s="645"/>
      <c r="EZ351" s="645"/>
      <c r="FA351" s="645"/>
      <c r="FB351" s="645"/>
      <c r="FC351" s="645"/>
      <c r="FD351" s="645"/>
      <c r="FE351" s="645"/>
      <c r="FF351" s="645"/>
      <c r="FG351" s="645"/>
      <c r="FH351" s="645"/>
      <c r="FI351" s="645"/>
      <c r="FJ351" s="645"/>
      <c r="FK351" s="645"/>
      <c r="FL351" s="645"/>
      <c r="FM351" s="645"/>
      <c r="FN351" s="645"/>
      <c r="FO351" s="645"/>
      <c r="FP351" s="645"/>
      <c r="FQ351" s="645"/>
      <c r="FR351" s="645"/>
      <c r="FS351" s="645"/>
      <c r="FT351" s="645"/>
      <c r="FU351" s="645"/>
      <c r="FV351" s="645"/>
      <c r="FW351" s="645"/>
      <c r="FX351" s="645"/>
      <c r="FY351" s="645"/>
      <c r="FZ351" s="645"/>
      <c r="GA351" s="645"/>
      <c r="GB351" s="645"/>
      <c r="GC351" s="645"/>
      <c r="GD351" s="645"/>
      <c r="GE351" s="645"/>
      <c r="GF351" s="645"/>
      <c r="GG351" s="645"/>
      <c r="GH351" s="645"/>
      <c r="GI351" s="645"/>
      <c r="GJ351" s="645"/>
      <c r="GK351" s="645"/>
      <c r="GL351" s="645"/>
      <c r="GM351" s="645"/>
      <c r="GN351" s="645"/>
      <c r="GO351" s="645"/>
      <c r="GP351" s="645"/>
      <c r="GQ351" s="645"/>
      <c r="GR351" s="645"/>
      <c r="GS351" s="645"/>
      <c r="GT351" s="645"/>
      <c r="GU351" s="645"/>
      <c r="GV351" s="645"/>
      <c r="GW351" s="645"/>
      <c r="GX351" s="645"/>
      <c r="GY351" s="645"/>
      <c r="GZ351" s="645"/>
      <c r="HA351" s="645"/>
      <c r="HB351" s="645"/>
      <c r="HC351" s="645"/>
      <c r="HD351" s="645"/>
      <c r="HE351" s="645"/>
      <c r="HF351" s="645"/>
      <c r="HG351" s="645"/>
      <c r="HH351" s="645"/>
      <c r="HI351" s="645"/>
      <c r="HJ351" s="645"/>
      <c r="HK351" s="645"/>
      <c r="HL351" s="645"/>
      <c r="HM351" s="645"/>
      <c r="HN351" s="645"/>
      <c r="HO351" s="645"/>
      <c r="HP351" s="645"/>
      <c r="HQ351" s="645"/>
      <c r="HR351" s="645">
        <v>0.17399999999999999</v>
      </c>
      <c r="HS351" s="645">
        <f t="shared" si="812"/>
        <v>1168.2857142857142</v>
      </c>
      <c r="HT351" s="645">
        <f t="shared" si="813"/>
        <v>1</v>
      </c>
      <c r="HU351" s="618">
        <f t="shared" si="814"/>
        <v>4.4327275266132125</v>
      </c>
      <c r="HV351" s="618"/>
      <c r="HW351" s="618">
        <f t="shared" si="799"/>
        <v>29.705526912209237</v>
      </c>
      <c r="HX351" s="618">
        <f t="shared" si="815"/>
        <v>4.0440905591950314</v>
      </c>
      <c r="HY351" s="618">
        <f t="shared" si="816"/>
        <v>0.17399999999999999</v>
      </c>
      <c r="HZ351" s="618"/>
      <c r="IA351" s="618"/>
      <c r="IB351" s="618">
        <f t="shared" si="800"/>
        <v>25.000350341399081</v>
      </c>
      <c r="IC351" s="618">
        <f t="shared" si="801"/>
        <v>1E-3</v>
      </c>
      <c r="ID351" s="618"/>
      <c r="IE351" s="618">
        <f t="shared" si="802"/>
        <v>0</v>
      </c>
      <c r="IF351" s="618">
        <f t="shared" si="803"/>
        <v>40.704999999999998</v>
      </c>
      <c r="IG351" s="618"/>
      <c r="IH351" s="618">
        <f t="shared" si="804"/>
        <v>0</v>
      </c>
      <c r="II351" s="618">
        <f t="shared" si="805"/>
        <v>40.704999999999998</v>
      </c>
      <c r="IJ351" s="618"/>
      <c r="IK351" s="618">
        <f t="shared" si="806"/>
        <v>0</v>
      </c>
      <c r="IL351" s="618">
        <f t="shared" si="807"/>
        <v>40.704999999999998</v>
      </c>
      <c r="IM351" s="618"/>
      <c r="IN351" s="618">
        <f t="shared" si="808"/>
        <v>0</v>
      </c>
      <c r="IO351" s="618">
        <f t="shared" si="809"/>
        <v>40.704999999999998</v>
      </c>
      <c r="IP351" s="618"/>
      <c r="IQ351" s="618">
        <f t="shared" si="810"/>
        <v>0</v>
      </c>
      <c r="IR351" s="618">
        <f t="shared" si="811"/>
        <v>40.704999999999998</v>
      </c>
      <c r="IS351" s="645"/>
      <c r="IT351" s="645"/>
      <c r="IU351" s="645"/>
      <c r="IV351" s="645"/>
      <c r="IW351" s="645"/>
      <c r="IX351" s="645"/>
      <c r="IY351" s="645"/>
      <c r="IZ351" s="645"/>
      <c r="JA351" s="645"/>
      <c r="JB351" s="645"/>
      <c r="JC351" s="645"/>
      <c r="JD351" s="645"/>
      <c r="JE351" s="645"/>
      <c r="JF351" s="645"/>
      <c r="JG351" s="645"/>
      <c r="JH351" s="645"/>
      <c r="JI351" s="645"/>
      <c r="JJ351" s="645"/>
      <c r="JK351" s="645"/>
      <c r="JL351" s="645"/>
      <c r="JM351" s="645"/>
      <c r="JN351" s="645"/>
      <c r="JO351" s="645"/>
      <c r="JP351" s="645"/>
      <c r="JQ351" s="645"/>
      <c r="JR351" s="645"/>
      <c r="JS351" s="645"/>
      <c r="JT351" s="645"/>
      <c r="JU351" s="645"/>
      <c r="JV351" s="653"/>
    </row>
    <row r="352" spans="1:282" s="612" customFormat="1">
      <c r="A352" s="611"/>
      <c r="U352" s="613"/>
      <c r="V352" s="613"/>
      <c r="AC352" s="613"/>
      <c r="AD352" s="613"/>
      <c r="AL352" s="613"/>
      <c r="AM352" s="613"/>
      <c r="AT352" s="613"/>
      <c r="AU352" s="613"/>
      <c r="CH352" s="611"/>
      <c r="CI352" s="611"/>
      <c r="CO352" s="695"/>
      <c r="CP352" s="645"/>
      <c r="CQ352" s="618"/>
      <c r="CR352" s="618"/>
      <c r="CS352" s="618"/>
      <c r="CT352" s="626"/>
      <c r="CU352" s="626"/>
      <c r="CV352" s="626"/>
      <c r="CW352" s="646"/>
      <c r="CX352" s="646"/>
      <c r="CY352" s="625"/>
      <c r="CZ352" s="625"/>
      <c r="DA352" s="625"/>
      <c r="DB352" s="625"/>
      <c r="DC352" s="645"/>
      <c r="DD352" s="645"/>
      <c r="DE352" s="645"/>
      <c r="DF352" s="645"/>
      <c r="DG352" s="645"/>
      <c r="DH352" s="645"/>
      <c r="DI352" s="645"/>
      <c r="DJ352" s="645"/>
      <c r="DK352" s="645"/>
      <c r="DL352" s="645"/>
      <c r="DM352" s="645"/>
      <c r="DN352" s="645"/>
      <c r="DO352" s="645"/>
      <c r="DP352" s="645"/>
      <c r="DQ352" s="645"/>
      <c r="DR352" s="645"/>
      <c r="DS352" s="645"/>
      <c r="DT352" s="645"/>
      <c r="DU352" s="645"/>
      <c r="DV352" s="645"/>
      <c r="DW352" s="645"/>
      <c r="DX352" s="645"/>
      <c r="DY352" s="645"/>
      <c r="DZ352" s="645"/>
      <c r="EA352" s="645"/>
      <c r="EB352" s="645"/>
      <c r="EC352" s="645"/>
      <c r="ED352" s="645"/>
      <c r="EE352" s="645"/>
      <c r="EF352" s="645"/>
      <c r="EG352" s="645"/>
      <c r="EH352" s="645"/>
      <c r="EI352" s="645"/>
      <c r="EJ352" s="645"/>
      <c r="EK352" s="645"/>
      <c r="EL352" s="645"/>
      <c r="EM352" s="645"/>
      <c r="EN352" s="645"/>
      <c r="EO352" s="645"/>
      <c r="EP352" s="645"/>
      <c r="EQ352" s="645"/>
      <c r="ER352" s="645"/>
      <c r="ES352" s="645"/>
      <c r="ET352" s="645"/>
      <c r="EU352" s="645"/>
      <c r="EV352" s="645"/>
      <c r="EW352" s="645"/>
      <c r="EX352" s="645"/>
      <c r="EY352" s="645"/>
      <c r="EZ352" s="645"/>
      <c r="FA352" s="645"/>
      <c r="FB352" s="645"/>
      <c r="FC352" s="645"/>
      <c r="FD352" s="645"/>
      <c r="FE352" s="645"/>
      <c r="FF352" s="645"/>
      <c r="FG352" s="645"/>
      <c r="FH352" s="645"/>
      <c r="FI352" s="645"/>
      <c r="FJ352" s="645"/>
      <c r="FK352" s="645"/>
      <c r="FL352" s="645"/>
      <c r="FM352" s="645"/>
      <c r="FN352" s="645"/>
      <c r="FO352" s="645"/>
      <c r="FP352" s="645"/>
      <c r="FQ352" s="645"/>
      <c r="FR352" s="645"/>
      <c r="FS352" s="645"/>
      <c r="FT352" s="645"/>
      <c r="FU352" s="645"/>
      <c r="FV352" s="645"/>
      <c r="FW352" s="645"/>
      <c r="FX352" s="645"/>
      <c r="FY352" s="645"/>
      <c r="FZ352" s="645"/>
      <c r="GA352" s="645"/>
      <c r="GB352" s="645"/>
      <c r="GC352" s="645"/>
      <c r="GD352" s="645"/>
      <c r="GE352" s="645"/>
      <c r="GF352" s="645"/>
      <c r="GG352" s="645"/>
      <c r="GH352" s="645"/>
      <c r="GI352" s="645"/>
      <c r="GJ352" s="645"/>
      <c r="GK352" s="645"/>
      <c r="GL352" s="645"/>
      <c r="GM352" s="645"/>
      <c r="GN352" s="645"/>
      <c r="GO352" s="645"/>
      <c r="GP352" s="645"/>
      <c r="GQ352" s="645"/>
      <c r="GR352" s="645"/>
      <c r="GS352" s="645"/>
      <c r="GT352" s="645"/>
      <c r="GU352" s="645"/>
      <c r="GV352" s="645"/>
      <c r="GW352" s="645"/>
      <c r="GX352" s="645"/>
      <c r="GY352" s="645"/>
      <c r="GZ352" s="645"/>
      <c r="HA352" s="645"/>
      <c r="HB352" s="645"/>
      <c r="HC352" s="645"/>
      <c r="HD352" s="645"/>
      <c r="HE352" s="645"/>
      <c r="HF352" s="645"/>
      <c r="HG352" s="645"/>
      <c r="HH352" s="645"/>
      <c r="HI352" s="645"/>
      <c r="HJ352" s="645"/>
      <c r="HK352" s="645"/>
      <c r="HL352" s="645"/>
      <c r="HM352" s="645"/>
      <c r="HN352" s="645"/>
      <c r="HO352" s="645"/>
      <c r="HP352" s="645"/>
      <c r="HQ352" s="645"/>
      <c r="HR352" s="645">
        <v>0.17449999999999999</v>
      </c>
      <c r="HS352" s="645">
        <f t="shared" si="812"/>
        <v>1171.6428571428571</v>
      </c>
      <c r="HT352" s="645">
        <f t="shared" si="813"/>
        <v>1</v>
      </c>
      <c r="HU352" s="618">
        <f t="shared" si="814"/>
        <v>4.445466570586837</v>
      </c>
      <c r="HV352" s="618"/>
      <c r="HW352" s="618">
        <f t="shared" si="799"/>
        <v>29.687437469766692</v>
      </c>
      <c r="HX352" s="618">
        <f t="shared" si="815"/>
        <v>4.05459582506702</v>
      </c>
      <c r="HY352" s="618">
        <f t="shared" si="816"/>
        <v>0.17449999999999999</v>
      </c>
      <c r="HZ352" s="618"/>
      <c r="IA352" s="618"/>
      <c r="IB352" s="618">
        <f t="shared" si="800"/>
        <v>25.000350341399081</v>
      </c>
      <c r="IC352" s="618">
        <f t="shared" si="801"/>
        <v>1E-3</v>
      </c>
      <c r="ID352" s="618"/>
      <c r="IE352" s="618">
        <f t="shared" si="802"/>
        <v>0</v>
      </c>
      <c r="IF352" s="618">
        <f t="shared" si="803"/>
        <v>40.704999999999998</v>
      </c>
      <c r="IG352" s="618"/>
      <c r="IH352" s="618">
        <f t="shared" si="804"/>
        <v>0</v>
      </c>
      <c r="II352" s="618">
        <f t="shared" si="805"/>
        <v>40.704999999999998</v>
      </c>
      <c r="IJ352" s="618"/>
      <c r="IK352" s="618">
        <f t="shared" si="806"/>
        <v>0</v>
      </c>
      <c r="IL352" s="618">
        <f t="shared" si="807"/>
        <v>40.704999999999998</v>
      </c>
      <c r="IM352" s="618"/>
      <c r="IN352" s="618">
        <f t="shared" si="808"/>
        <v>0</v>
      </c>
      <c r="IO352" s="618">
        <f t="shared" si="809"/>
        <v>40.704999999999998</v>
      </c>
      <c r="IP352" s="618"/>
      <c r="IQ352" s="618">
        <f t="shared" si="810"/>
        <v>0</v>
      </c>
      <c r="IR352" s="618">
        <f t="shared" si="811"/>
        <v>40.704999999999998</v>
      </c>
      <c r="IS352" s="645"/>
      <c r="IT352" s="645"/>
      <c r="IU352" s="645"/>
      <c r="IV352" s="645"/>
      <c r="IW352" s="645"/>
      <c r="IX352" s="645"/>
      <c r="IY352" s="645"/>
      <c r="IZ352" s="645"/>
      <c r="JA352" s="645"/>
      <c r="JB352" s="645"/>
      <c r="JC352" s="645"/>
      <c r="JD352" s="645"/>
      <c r="JE352" s="645"/>
      <c r="JF352" s="645"/>
      <c r="JG352" s="645"/>
      <c r="JH352" s="645"/>
      <c r="JI352" s="645"/>
      <c r="JJ352" s="645"/>
      <c r="JK352" s="645"/>
      <c r="JL352" s="645"/>
      <c r="JM352" s="645"/>
      <c r="JN352" s="645"/>
      <c r="JO352" s="645"/>
      <c r="JP352" s="645"/>
      <c r="JQ352" s="645"/>
      <c r="JR352" s="645"/>
      <c r="JS352" s="645"/>
      <c r="JT352" s="645"/>
      <c r="JU352" s="645"/>
      <c r="JV352" s="653"/>
    </row>
    <row r="353" spans="1:282" s="612" customFormat="1">
      <c r="A353" s="611"/>
      <c r="U353" s="613"/>
      <c r="V353" s="613"/>
      <c r="AC353" s="613"/>
      <c r="AD353" s="613"/>
      <c r="AL353" s="613"/>
      <c r="AM353" s="613"/>
      <c r="AT353" s="613"/>
      <c r="AU353" s="613"/>
      <c r="CH353" s="611"/>
      <c r="CI353" s="611"/>
      <c r="CO353" s="695"/>
      <c r="CP353" s="645"/>
      <c r="CQ353" s="618"/>
      <c r="CR353" s="618"/>
      <c r="CS353" s="618"/>
      <c r="CT353" s="626"/>
      <c r="CU353" s="626"/>
      <c r="CV353" s="626"/>
      <c r="CW353" s="646"/>
      <c r="CX353" s="646"/>
      <c r="CY353" s="625"/>
      <c r="CZ353" s="625"/>
      <c r="DA353" s="625"/>
      <c r="DB353" s="625"/>
      <c r="DC353" s="645"/>
      <c r="DD353" s="645"/>
      <c r="DE353" s="645"/>
      <c r="DF353" s="645"/>
      <c r="DG353" s="645"/>
      <c r="DH353" s="645"/>
      <c r="DI353" s="645"/>
      <c r="DJ353" s="645"/>
      <c r="DK353" s="645"/>
      <c r="DL353" s="645"/>
      <c r="DM353" s="645"/>
      <c r="DN353" s="645"/>
      <c r="DO353" s="645"/>
      <c r="DP353" s="645"/>
      <c r="DQ353" s="645"/>
      <c r="DR353" s="645"/>
      <c r="DS353" s="645"/>
      <c r="DT353" s="645"/>
      <c r="DU353" s="645"/>
      <c r="DV353" s="645"/>
      <c r="DW353" s="645"/>
      <c r="DX353" s="645"/>
      <c r="DY353" s="645"/>
      <c r="DZ353" s="645"/>
      <c r="EA353" s="645"/>
      <c r="EB353" s="645"/>
      <c r="EC353" s="645"/>
      <c r="ED353" s="645"/>
      <c r="EE353" s="645"/>
      <c r="EF353" s="645"/>
      <c r="EG353" s="645"/>
      <c r="EH353" s="645"/>
      <c r="EI353" s="645"/>
      <c r="EJ353" s="645"/>
      <c r="EK353" s="645"/>
      <c r="EL353" s="645"/>
      <c r="EM353" s="645"/>
      <c r="EN353" s="645"/>
      <c r="EO353" s="645"/>
      <c r="EP353" s="645"/>
      <c r="EQ353" s="645"/>
      <c r="ER353" s="645"/>
      <c r="ES353" s="645"/>
      <c r="ET353" s="645"/>
      <c r="EU353" s="645"/>
      <c r="EV353" s="645"/>
      <c r="EW353" s="645"/>
      <c r="EX353" s="645"/>
      <c r="EY353" s="645"/>
      <c r="EZ353" s="645"/>
      <c r="FA353" s="645"/>
      <c r="FB353" s="645"/>
      <c r="FC353" s="645"/>
      <c r="FD353" s="645"/>
      <c r="FE353" s="645"/>
      <c r="FF353" s="645"/>
      <c r="FG353" s="645"/>
      <c r="FH353" s="645"/>
      <c r="FI353" s="645"/>
      <c r="FJ353" s="645"/>
      <c r="FK353" s="645"/>
      <c r="FL353" s="645"/>
      <c r="FM353" s="645"/>
      <c r="FN353" s="645"/>
      <c r="FO353" s="645"/>
      <c r="FP353" s="645"/>
      <c r="FQ353" s="645"/>
      <c r="FR353" s="645"/>
      <c r="FS353" s="645"/>
      <c r="FT353" s="645"/>
      <c r="FU353" s="645"/>
      <c r="FV353" s="645"/>
      <c r="FW353" s="645"/>
      <c r="FX353" s="645"/>
      <c r="FY353" s="645"/>
      <c r="FZ353" s="645"/>
      <c r="GA353" s="645"/>
      <c r="GB353" s="645"/>
      <c r="GC353" s="645"/>
      <c r="GD353" s="645"/>
      <c r="GE353" s="645"/>
      <c r="GF353" s="645"/>
      <c r="GG353" s="645"/>
      <c r="GH353" s="645"/>
      <c r="GI353" s="645"/>
      <c r="GJ353" s="645"/>
      <c r="GK353" s="645"/>
      <c r="GL353" s="645"/>
      <c r="GM353" s="645"/>
      <c r="GN353" s="645"/>
      <c r="GO353" s="645"/>
      <c r="GP353" s="645"/>
      <c r="GQ353" s="645"/>
      <c r="GR353" s="645"/>
      <c r="GS353" s="645"/>
      <c r="GT353" s="645"/>
      <c r="GU353" s="645"/>
      <c r="GV353" s="645"/>
      <c r="GW353" s="645"/>
      <c r="GX353" s="645"/>
      <c r="GY353" s="645"/>
      <c r="GZ353" s="645"/>
      <c r="HA353" s="645"/>
      <c r="HB353" s="645"/>
      <c r="HC353" s="645"/>
      <c r="HD353" s="645"/>
      <c r="HE353" s="645"/>
      <c r="HF353" s="645"/>
      <c r="HG353" s="645"/>
      <c r="HH353" s="645"/>
      <c r="HI353" s="645"/>
      <c r="HJ353" s="645"/>
      <c r="HK353" s="645"/>
      <c r="HL353" s="645"/>
      <c r="HM353" s="645"/>
      <c r="HN353" s="645"/>
      <c r="HO353" s="645"/>
      <c r="HP353" s="645"/>
      <c r="HQ353" s="645"/>
      <c r="HR353" s="645">
        <v>0.17499999999999999</v>
      </c>
      <c r="HS353" s="645">
        <f t="shared" si="812"/>
        <v>1175</v>
      </c>
      <c r="HT353" s="645">
        <f t="shared" si="813"/>
        <v>1</v>
      </c>
      <c r="HU353" s="618">
        <f t="shared" si="814"/>
        <v>4.4582056145604616</v>
      </c>
      <c r="HV353" s="618"/>
      <c r="HW353" s="618">
        <f t="shared" si="799"/>
        <v>29.669348027324144</v>
      </c>
      <c r="HX353" s="618">
        <f t="shared" si="815"/>
        <v>4.0650946897667106</v>
      </c>
      <c r="HY353" s="618">
        <f t="shared" si="816"/>
        <v>0.17499999999999999</v>
      </c>
      <c r="HZ353" s="618"/>
      <c r="IA353" s="618"/>
      <c r="IB353" s="618">
        <f t="shared" si="800"/>
        <v>25.000350341399081</v>
      </c>
      <c r="IC353" s="618">
        <f t="shared" si="801"/>
        <v>1E-3</v>
      </c>
      <c r="ID353" s="618"/>
      <c r="IE353" s="618">
        <f t="shared" si="802"/>
        <v>0</v>
      </c>
      <c r="IF353" s="618">
        <f t="shared" si="803"/>
        <v>40.704999999999998</v>
      </c>
      <c r="IG353" s="618"/>
      <c r="IH353" s="618">
        <f t="shared" si="804"/>
        <v>0</v>
      </c>
      <c r="II353" s="618">
        <f t="shared" si="805"/>
        <v>40.704999999999998</v>
      </c>
      <c r="IJ353" s="618"/>
      <c r="IK353" s="618">
        <f t="shared" si="806"/>
        <v>0</v>
      </c>
      <c r="IL353" s="618">
        <f t="shared" si="807"/>
        <v>40.704999999999998</v>
      </c>
      <c r="IM353" s="618"/>
      <c r="IN353" s="618">
        <f t="shared" si="808"/>
        <v>0</v>
      </c>
      <c r="IO353" s="618">
        <f t="shared" si="809"/>
        <v>40.704999999999998</v>
      </c>
      <c r="IP353" s="618"/>
      <c r="IQ353" s="618">
        <f t="shared" si="810"/>
        <v>0</v>
      </c>
      <c r="IR353" s="618">
        <f t="shared" si="811"/>
        <v>40.704999999999998</v>
      </c>
      <c r="IS353" s="645"/>
      <c r="IT353" s="645"/>
      <c r="IU353" s="645"/>
      <c r="IV353" s="645"/>
      <c r="IW353" s="645"/>
      <c r="IX353" s="645"/>
      <c r="IY353" s="645"/>
      <c r="IZ353" s="645"/>
      <c r="JA353" s="645"/>
      <c r="JB353" s="645"/>
      <c r="JC353" s="645"/>
      <c r="JD353" s="645"/>
      <c r="JE353" s="645"/>
      <c r="JF353" s="645"/>
      <c r="JG353" s="645"/>
      <c r="JH353" s="645"/>
      <c r="JI353" s="645"/>
      <c r="JJ353" s="645"/>
      <c r="JK353" s="645"/>
      <c r="JL353" s="645"/>
      <c r="JM353" s="645"/>
      <c r="JN353" s="645"/>
      <c r="JO353" s="645"/>
      <c r="JP353" s="645"/>
      <c r="JQ353" s="645"/>
      <c r="JR353" s="645"/>
      <c r="JS353" s="645"/>
      <c r="JT353" s="645"/>
      <c r="JU353" s="645"/>
      <c r="JV353" s="653"/>
    </row>
    <row r="354" spans="1:282" s="612" customFormat="1">
      <c r="A354" s="611"/>
      <c r="U354" s="613"/>
      <c r="V354" s="613"/>
      <c r="AC354" s="613"/>
      <c r="AD354" s="613"/>
      <c r="AL354" s="613"/>
      <c r="AM354" s="613"/>
      <c r="AT354" s="613"/>
      <c r="AU354" s="613"/>
      <c r="CH354" s="611"/>
      <c r="CI354" s="611"/>
      <c r="CO354" s="695"/>
      <c r="CP354" s="645"/>
      <c r="CQ354" s="618"/>
      <c r="CR354" s="618"/>
      <c r="CS354" s="618"/>
      <c r="CT354" s="626"/>
      <c r="CU354" s="626"/>
      <c r="CV354" s="626"/>
      <c r="CW354" s="646"/>
      <c r="CX354" s="646"/>
      <c r="CY354" s="625"/>
      <c r="CZ354" s="625"/>
      <c r="DA354" s="625"/>
      <c r="DB354" s="625"/>
      <c r="DC354" s="645"/>
      <c r="DD354" s="645"/>
      <c r="DE354" s="645"/>
      <c r="DF354" s="645"/>
      <c r="DG354" s="645"/>
      <c r="DH354" s="645"/>
      <c r="DI354" s="645"/>
      <c r="DJ354" s="645"/>
      <c r="DK354" s="645"/>
      <c r="DL354" s="645"/>
      <c r="DM354" s="645"/>
      <c r="DN354" s="645"/>
      <c r="DO354" s="645"/>
      <c r="DP354" s="645"/>
      <c r="DQ354" s="645"/>
      <c r="DR354" s="645"/>
      <c r="DS354" s="645"/>
      <c r="DT354" s="645"/>
      <c r="DU354" s="645"/>
      <c r="DV354" s="645"/>
      <c r="DW354" s="645"/>
      <c r="DX354" s="645"/>
      <c r="DY354" s="645"/>
      <c r="DZ354" s="645"/>
      <c r="EA354" s="645"/>
      <c r="EB354" s="645"/>
      <c r="EC354" s="645"/>
      <c r="ED354" s="645"/>
      <c r="EE354" s="645"/>
      <c r="EF354" s="645"/>
      <c r="EG354" s="645"/>
      <c r="EH354" s="645"/>
      <c r="EI354" s="645"/>
      <c r="EJ354" s="645"/>
      <c r="EK354" s="645"/>
      <c r="EL354" s="645"/>
      <c r="EM354" s="645"/>
      <c r="EN354" s="645"/>
      <c r="EO354" s="645"/>
      <c r="EP354" s="645"/>
      <c r="EQ354" s="645"/>
      <c r="ER354" s="645"/>
      <c r="ES354" s="645"/>
      <c r="ET354" s="645"/>
      <c r="EU354" s="645"/>
      <c r="EV354" s="645"/>
      <c r="EW354" s="645"/>
      <c r="EX354" s="645"/>
      <c r="EY354" s="645"/>
      <c r="EZ354" s="645"/>
      <c r="FA354" s="645"/>
      <c r="FB354" s="645"/>
      <c r="FC354" s="645"/>
      <c r="FD354" s="645"/>
      <c r="FE354" s="645"/>
      <c r="FF354" s="645"/>
      <c r="FG354" s="645"/>
      <c r="FH354" s="645"/>
      <c r="FI354" s="645"/>
      <c r="FJ354" s="645"/>
      <c r="FK354" s="645"/>
      <c r="FL354" s="645"/>
      <c r="FM354" s="645"/>
      <c r="FN354" s="645"/>
      <c r="FO354" s="645"/>
      <c r="FP354" s="645"/>
      <c r="FQ354" s="645"/>
      <c r="FR354" s="645"/>
      <c r="FS354" s="645"/>
      <c r="FT354" s="645"/>
      <c r="FU354" s="645"/>
      <c r="FV354" s="645"/>
      <c r="FW354" s="645"/>
      <c r="FX354" s="645"/>
      <c r="FY354" s="645"/>
      <c r="FZ354" s="645"/>
      <c r="GA354" s="645"/>
      <c r="GB354" s="645"/>
      <c r="GC354" s="645"/>
      <c r="GD354" s="645"/>
      <c r="GE354" s="645"/>
      <c r="GF354" s="645"/>
      <c r="GG354" s="645"/>
      <c r="GH354" s="645"/>
      <c r="GI354" s="645"/>
      <c r="GJ354" s="645"/>
      <c r="GK354" s="645"/>
      <c r="GL354" s="645"/>
      <c r="GM354" s="645"/>
      <c r="GN354" s="645"/>
      <c r="GO354" s="645"/>
      <c r="GP354" s="645"/>
      <c r="GQ354" s="645"/>
      <c r="GR354" s="645"/>
      <c r="GS354" s="645"/>
      <c r="GT354" s="645"/>
      <c r="GU354" s="645"/>
      <c r="GV354" s="645"/>
      <c r="GW354" s="645"/>
      <c r="GX354" s="645"/>
      <c r="GY354" s="645"/>
      <c r="GZ354" s="645"/>
      <c r="HA354" s="645"/>
      <c r="HB354" s="645"/>
      <c r="HC354" s="645"/>
      <c r="HD354" s="645"/>
      <c r="HE354" s="645"/>
      <c r="HF354" s="645"/>
      <c r="HG354" s="645"/>
      <c r="HH354" s="645"/>
      <c r="HI354" s="645"/>
      <c r="HJ354" s="645"/>
      <c r="HK354" s="645"/>
      <c r="HL354" s="645"/>
      <c r="HM354" s="645"/>
      <c r="HN354" s="645"/>
      <c r="HO354" s="645"/>
      <c r="HP354" s="645"/>
      <c r="HQ354" s="645"/>
      <c r="HR354" s="645">
        <v>0.17549999999999999</v>
      </c>
      <c r="HS354" s="645">
        <f t="shared" si="812"/>
        <v>1178.3571428571427</v>
      </c>
      <c r="HT354" s="645">
        <f t="shared" si="813"/>
        <v>1</v>
      </c>
      <c r="HU354" s="618">
        <f t="shared" si="814"/>
        <v>4.4709446585340862</v>
      </c>
      <c r="HV354" s="618"/>
      <c r="HW354" s="618">
        <f t="shared" si="799"/>
        <v>29.651258584881596</v>
      </c>
      <c r="HX354" s="618">
        <f t="shared" si="815"/>
        <v>4.0755871532941033</v>
      </c>
      <c r="HY354" s="618">
        <f t="shared" si="816"/>
        <v>0.17549999999999999</v>
      </c>
      <c r="HZ354" s="618"/>
      <c r="IA354" s="618"/>
      <c r="IB354" s="618">
        <f t="shared" si="800"/>
        <v>25.000350341399081</v>
      </c>
      <c r="IC354" s="618">
        <f t="shared" si="801"/>
        <v>1E-3</v>
      </c>
      <c r="ID354" s="618"/>
      <c r="IE354" s="618">
        <f t="shared" si="802"/>
        <v>0</v>
      </c>
      <c r="IF354" s="618">
        <f t="shared" si="803"/>
        <v>40.704999999999998</v>
      </c>
      <c r="IG354" s="618"/>
      <c r="IH354" s="618">
        <f t="shared" si="804"/>
        <v>0</v>
      </c>
      <c r="II354" s="618">
        <f t="shared" si="805"/>
        <v>40.704999999999998</v>
      </c>
      <c r="IJ354" s="618"/>
      <c r="IK354" s="618">
        <f t="shared" si="806"/>
        <v>0</v>
      </c>
      <c r="IL354" s="618">
        <f t="shared" si="807"/>
        <v>40.704999999999998</v>
      </c>
      <c r="IM354" s="618"/>
      <c r="IN354" s="618">
        <f t="shared" si="808"/>
        <v>0</v>
      </c>
      <c r="IO354" s="618">
        <f t="shared" si="809"/>
        <v>40.704999999999998</v>
      </c>
      <c r="IP354" s="618"/>
      <c r="IQ354" s="618">
        <f t="shared" si="810"/>
        <v>0</v>
      </c>
      <c r="IR354" s="618">
        <f t="shared" si="811"/>
        <v>40.704999999999998</v>
      </c>
      <c r="IS354" s="645"/>
      <c r="IT354" s="645"/>
      <c r="IU354" s="645"/>
      <c r="IV354" s="645"/>
      <c r="IW354" s="645"/>
      <c r="IX354" s="645"/>
      <c r="IY354" s="645"/>
      <c r="IZ354" s="645"/>
      <c r="JA354" s="645"/>
      <c r="JB354" s="645"/>
      <c r="JC354" s="645"/>
      <c r="JD354" s="645"/>
      <c r="JE354" s="645"/>
      <c r="JF354" s="645"/>
      <c r="JG354" s="645"/>
      <c r="JH354" s="645"/>
      <c r="JI354" s="645"/>
      <c r="JJ354" s="645"/>
      <c r="JK354" s="645"/>
      <c r="JL354" s="645"/>
      <c r="JM354" s="645"/>
      <c r="JN354" s="645"/>
      <c r="JO354" s="645"/>
      <c r="JP354" s="645"/>
      <c r="JQ354" s="645"/>
      <c r="JR354" s="645"/>
      <c r="JS354" s="645"/>
      <c r="JT354" s="645"/>
      <c r="JU354" s="645"/>
      <c r="JV354" s="653"/>
    </row>
    <row r="355" spans="1:282" s="612" customFormat="1">
      <c r="A355" s="611"/>
      <c r="U355" s="613"/>
      <c r="V355" s="613"/>
      <c r="AC355" s="613"/>
      <c r="AD355" s="613"/>
      <c r="AL355" s="613"/>
      <c r="AM355" s="613"/>
      <c r="AT355" s="613"/>
      <c r="AU355" s="613"/>
      <c r="CH355" s="611"/>
      <c r="CI355" s="611"/>
      <c r="CO355" s="695"/>
      <c r="CP355" s="645"/>
      <c r="CQ355" s="618"/>
      <c r="CR355" s="618"/>
      <c r="CS355" s="618"/>
      <c r="CT355" s="626"/>
      <c r="CU355" s="626"/>
      <c r="CV355" s="626"/>
      <c r="CW355" s="646"/>
      <c r="CX355" s="646"/>
      <c r="CY355" s="625"/>
      <c r="CZ355" s="625"/>
      <c r="DA355" s="625"/>
      <c r="DB355" s="625"/>
      <c r="DC355" s="645"/>
      <c r="DD355" s="645"/>
      <c r="DE355" s="645"/>
      <c r="DF355" s="645"/>
      <c r="DG355" s="645"/>
      <c r="DH355" s="645"/>
      <c r="DI355" s="645"/>
      <c r="DJ355" s="645"/>
      <c r="DK355" s="645"/>
      <c r="DL355" s="645"/>
      <c r="DM355" s="645"/>
      <c r="DN355" s="645"/>
      <c r="DO355" s="645"/>
      <c r="DP355" s="645"/>
      <c r="DQ355" s="645"/>
      <c r="DR355" s="645"/>
      <c r="DS355" s="645"/>
      <c r="DT355" s="645"/>
      <c r="DU355" s="645"/>
      <c r="DV355" s="645"/>
      <c r="DW355" s="645"/>
      <c r="DX355" s="645"/>
      <c r="DY355" s="645"/>
      <c r="DZ355" s="645"/>
      <c r="EA355" s="645"/>
      <c r="EB355" s="645"/>
      <c r="EC355" s="645"/>
      <c r="ED355" s="645"/>
      <c r="EE355" s="645"/>
      <c r="EF355" s="645"/>
      <c r="EG355" s="645"/>
      <c r="EH355" s="645"/>
      <c r="EI355" s="645"/>
      <c r="EJ355" s="645"/>
      <c r="EK355" s="645"/>
      <c r="EL355" s="645"/>
      <c r="EM355" s="645"/>
      <c r="EN355" s="645"/>
      <c r="EO355" s="645"/>
      <c r="EP355" s="645"/>
      <c r="EQ355" s="645"/>
      <c r="ER355" s="645"/>
      <c r="ES355" s="645"/>
      <c r="ET355" s="645"/>
      <c r="EU355" s="645"/>
      <c r="EV355" s="645"/>
      <c r="EW355" s="645"/>
      <c r="EX355" s="645"/>
      <c r="EY355" s="645"/>
      <c r="EZ355" s="645"/>
      <c r="FA355" s="645"/>
      <c r="FB355" s="645"/>
      <c r="FC355" s="645"/>
      <c r="FD355" s="645"/>
      <c r="FE355" s="645"/>
      <c r="FF355" s="645"/>
      <c r="FG355" s="645"/>
      <c r="FH355" s="645"/>
      <c r="FI355" s="645"/>
      <c r="FJ355" s="645"/>
      <c r="FK355" s="645"/>
      <c r="FL355" s="645"/>
      <c r="FM355" s="645"/>
      <c r="FN355" s="645"/>
      <c r="FO355" s="645"/>
      <c r="FP355" s="645"/>
      <c r="FQ355" s="645"/>
      <c r="FR355" s="645"/>
      <c r="FS355" s="645"/>
      <c r="FT355" s="645"/>
      <c r="FU355" s="645"/>
      <c r="FV355" s="645"/>
      <c r="FW355" s="645"/>
      <c r="FX355" s="645"/>
      <c r="FY355" s="645"/>
      <c r="FZ355" s="645"/>
      <c r="GA355" s="645"/>
      <c r="GB355" s="645"/>
      <c r="GC355" s="645"/>
      <c r="GD355" s="645"/>
      <c r="GE355" s="645"/>
      <c r="GF355" s="645"/>
      <c r="GG355" s="645"/>
      <c r="GH355" s="645"/>
      <c r="GI355" s="645"/>
      <c r="GJ355" s="645"/>
      <c r="GK355" s="645"/>
      <c r="GL355" s="645"/>
      <c r="GM355" s="645"/>
      <c r="GN355" s="645"/>
      <c r="GO355" s="645"/>
      <c r="GP355" s="645"/>
      <c r="GQ355" s="645"/>
      <c r="GR355" s="645"/>
      <c r="GS355" s="645"/>
      <c r="GT355" s="645"/>
      <c r="GU355" s="645"/>
      <c r="GV355" s="645"/>
      <c r="GW355" s="645"/>
      <c r="GX355" s="645"/>
      <c r="GY355" s="645"/>
      <c r="GZ355" s="645"/>
      <c r="HA355" s="645"/>
      <c r="HB355" s="645"/>
      <c r="HC355" s="645"/>
      <c r="HD355" s="645"/>
      <c r="HE355" s="645"/>
      <c r="HF355" s="645"/>
      <c r="HG355" s="645"/>
      <c r="HH355" s="645"/>
      <c r="HI355" s="645"/>
      <c r="HJ355" s="645"/>
      <c r="HK355" s="645"/>
      <c r="HL355" s="645"/>
      <c r="HM355" s="645"/>
      <c r="HN355" s="645"/>
      <c r="HO355" s="645"/>
      <c r="HP355" s="645"/>
      <c r="HQ355" s="645"/>
      <c r="HR355" s="645">
        <v>0.17599999999999999</v>
      </c>
      <c r="HS355" s="645">
        <f t="shared" si="812"/>
        <v>1181.7142857142856</v>
      </c>
      <c r="HT355" s="645">
        <f t="shared" si="813"/>
        <v>1</v>
      </c>
      <c r="HU355" s="618">
        <f t="shared" si="814"/>
        <v>4.4836837025077108</v>
      </c>
      <c r="HV355" s="618"/>
      <c r="HW355" s="618">
        <f t="shared" si="799"/>
        <v>29.633169142439051</v>
      </c>
      <c r="HX355" s="618">
        <f t="shared" si="815"/>
        <v>4.0860732156491979</v>
      </c>
      <c r="HY355" s="618">
        <f t="shared" si="816"/>
        <v>0.17599999999999999</v>
      </c>
      <c r="HZ355" s="618"/>
      <c r="IA355" s="618"/>
      <c r="IB355" s="618">
        <f t="shared" si="800"/>
        <v>25.000350341399081</v>
      </c>
      <c r="IC355" s="618">
        <f t="shared" si="801"/>
        <v>1E-3</v>
      </c>
      <c r="ID355" s="618"/>
      <c r="IE355" s="618">
        <f t="shared" si="802"/>
        <v>0</v>
      </c>
      <c r="IF355" s="618">
        <f t="shared" si="803"/>
        <v>40.704999999999998</v>
      </c>
      <c r="IG355" s="618"/>
      <c r="IH355" s="618">
        <f t="shared" si="804"/>
        <v>0</v>
      </c>
      <c r="II355" s="618">
        <f t="shared" si="805"/>
        <v>40.704999999999998</v>
      </c>
      <c r="IJ355" s="618"/>
      <c r="IK355" s="618">
        <f t="shared" si="806"/>
        <v>0</v>
      </c>
      <c r="IL355" s="618">
        <f t="shared" si="807"/>
        <v>40.704999999999998</v>
      </c>
      <c r="IM355" s="618"/>
      <c r="IN355" s="618">
        <f t="shared" si="808"/>
        <v>0</v>
      </c>
      <c r="IO355" s="618">
        <f t="shared" si="809"/>
        <v>40.704999999999998</v>
      </c>
      <c r="IP355" s="618"/>
      <c r="IQ355" s="618">
        <f t="shared" si="810"/>
        <v>0</v>
      </c>
      <c r="IR355" s="618">
        <f t="shared" si="811"/>
        <v>40.704999999999998</v>
      </c>
      <c r="IS355" s="645"/>
      <c r="IT355" s="645"/>
      <c r="IU355" s="645"/>
      <c r="IV355" s="645"/>
      <c r="IW355" s="645"/>
      <c r="IX355" s="645"/>
      <c r="IY355" s="645"/>
      <c r="IZ355" s="645"/>
      <c r="JA355" s="645"/>
      <c r="JB355" s="645"/>
      <c r="JC355" s="645"/>
      <c r="JD355" s="645"/>
      <c r="JE355" s="645"/>
      <c r="JF355" s="645"/>
      <c r="JG355" s="645"/>
      <c r="JH355" s="645"/>
      <c r="JI355" s="645"/>
      <c r="JJ355" s="645"/>
      <c r="JK355" s="645"/>
      <c r="JL355" s="645"/>
      <c r="JM355" s="645"/>
      <c r="JN355" s="645"/>
      <c r="JO355" s="645"/>
      <c r="JP355" s="645"/>
      <c r="JQ355" s="645"/>
      <c r="JR355" s="645"/>
      <c r="JS355" s="645"/>
      <c r="JT355" s="645"/>
      <c r="JU355" s="645"/>
      <c r="JV355" s="653"/>
    </row>
    <row r="356" spans="1:282" s="612" customFormat="1">
      <c r="A356" s="611"/>
      <c r="U356" s="613"/>
      <c r="V356" s="613"/>
      <c r="AC356" s="613"/>
      <c r="AD356" s="613"/>
      <c r="AL356" s="613"/>
      <c r="AM356" s="613"/>
      <c r="AT356" s="613"/>
      <c r="AU356" s="613"/>
      <c r="CH356" s="611"/>
      <c r="CI356" s="611"/>
      <c r="CO356" s="695"/>
      <c r="CP356" s="645"/>
      <c r="CQ356" s="618"/>
      <c r="CR356" s="618"/>
      <c r="CS356" s="618"/>
      <c r="CT356" s="626"/>
      <c r="CU356" s="626"/>
      <c r="CV356" s="626"/>
      <c r="CW356" s="646"/>
      <c r="CX356" s="646"/>
      <c r="CY356" s="625"/>
      <c r="CZ356" s="625"/>
      <c r="DA356" s="625"/>
      <c r="DB356" s="625"/>
      <c r="DC356" s="645"/>
      <c r="DD356" s="645"/>
      <c r="DE356" s="645"/>
      <c r="DF356" s="645"/>
      <c r="DG356" s="645"/>
      <c r="DH356" s="645"/>
      <c r="DI356" s="645"/>
      <c r="DJ356" s="645"/>
      <c r="DK356" s="645"/>
      <c r="DL356" s="645"/>
      <c r="DM356" s="645"/>
      <c r="DN356" s="645"/>
      <c r="DO356" s="645"/>
      <c r="DP356" s="645"/>
      <c r="DQ356" s="645"/>
      <c r="DR356" s="645"/>
      <c r="DS356" s="645"/>
      <c r="DT356" s="645"/>
      <c r="DU356" s="645"/>
      <c r="DV356" s="645"/>
      <c r="DW356" s="645"/>
      <c r="DX356" s="645"/>
      <c r="DY356" s="645"/>
      <c r="DZ356" s="645"/>
      <c r="EA356" s="645"/>
      <c r="EB356" s="645"/>
      <c r="EC356" s="645"/>
      <c r="ED356" s="645"/>
      <c r="EE356" s="645"/>
      <c r="EF356" s="645"/>
      <c r="EG356" s="645"/>
      <c r="EH356" s="645"/>
      <c r="EI356" s="645"/>
      <c r="EJ356" s="645"/>
      <c r="EK356" s="645"/>
      <c r="EL356" s="645"/>
      <c r="EM356" s="645"/>
      <c r="EN356" s="645"/>
      <c r="EO356" s="645"/>
      <c r="EP356" s="645"/>
      <c r="EQ356" s="645"/>
      <c r="ER356" s="645"/>
      <c r="ES356" s="645"/>
      <c r="ET356" s="645"/>
      <c r="EU356" s="645"/>
      <c r="EV356" s="645"/>
      <c r="EW356" s="645"/>
      <c r="EX356" s="645"/>
      <c r="EY356" s="645"/>
      <c r="EZ356" s="645"/>
      <c r="FA356" s="645"/>
      <c r="FB356" s="645"/>
      <c r="FC356" s="645"/>
      <c r="FD356" s="645"/>
      <c r="FE356" s="645"/>
      <c r="FF356" s="645"/>
      <c r="FG356" s="645"/>
      <c r="FH356" s="645"/>
      <c r="FI356" s="645"/>
      <c r="FJ356" s="645"/>
      <c r="FK356" s="645"/>
      <c r="FL356" s="645"/>
      <c r="FM356" s="645"/>
      <c r="FN356" s="645"/>
      <c r="FO356" s="645"/>
      <c r="FP356" s="645"/>
      <c r="FQ356" s="645"/>
      <c r="FR356" s="645"/>
      <c r="FS356" s="645"/>
      <c r="FT356" s="645"/>
      <c r="FU356" s="645"/>
      <c r="FV356" s="645"/>
      <c r="FW356" s="645"/>
      <c r="FX356" s="645"/>
      <c r="FY356" s="645"/>
      <c r="FZ356" s="645"/>
      <c r="GA356" s="645"/>
      <c r="GB356" s="645"/>
      <c r="GC356" s="645"/>
      <c r="GD356" s="645"/>
      <c r="GE356" s="645"/>
      <c r="GF356" s="645"/>
      <c r="GG356" s="645"/>
      <c r="GH356" s="645"/>
      <c r="GI356" s="645"/>
      <c r="GJ356" s="645"/>
      <c r="GK356" s="645"/>
      <c r="GL356" s="645"/>
      <c r="GM356" s="645"/>
      <c r="GN356" s="645"/>
      <c r="GO356" s="645"/>
      <c r="GP356" s="645"/>
      <c r="GQ356" s="645"/>
      <c r="GR356" s="645"/>
      <c r="GS356" s="645"/>
      <c r="GT356" s="645"/>
      <c r="GU356" s="645"/>
      <c r="GV356" s="645"/>
      <c r="GW356" s="645"/>
      <c r="GX356" s="645"/>
      <c r="GY356" s="645"/>
      <c r="GZ356" s="645"/>
      <c r="HA356" s="645"/>
      <c r="HB356" s="645"/>
      <c r="HC356" s="645"/>
      <c r="HD356" s="645"/>
      <c r="HE356" s="645"/>
      <c r="HF356" s="645"/>
      <c r="HG356" s="645"/>
      <c r="HH356" s="645"/>
      <c r="HI356" s="645"/>
      <c r="HJ356" s="645"/>
      <c r="HK356" s="645"/>
      <c r="HL356" s="645"/>
      <c r="HM356" s="645"/>
      <c r="HN356" s="645"/>
      <c r="HO356" s="645"/>
      <c r="HP356" s="645"/>
      <c r="HQ356" s="645"/>
      <c r="HR356" s="645">
        <v>0.17649999999999999</v>
      </c>
      <c r="HS356" s="645">
        <f t="shared" si="812"/>
        <v>1185.0714285714284</v>
      </c>
      <c r="HT356" s="645">
        <f t="shared" si="813"/>
        <v>1</v>
      </c>
      <c r="HU356" s="618">
        <f t="shared" si="814"/>
        <v>4.4964227464813353</v>
      </c>
      <c r="HV356" s="618"/>
      <c r="HW356" s="618">
        <f t="shared" si="799"/>
        <v>29.615079699996503</v>
      </c>
      <c r="HX356" s="618">
        <f t="shared" si="815"/>
        <v>4.0965528768319937</v>
      </c>
      <c r="HY356" s="618">
        <f t="shared" si="816"/>
        <v>0.17649999999999999</v>
      </c>
      <c r="HZ356" s="618"/>
      <c r="IA356" s="618"/>
      <c r="IB356" s="618">
        <f t="shared" si="800"/>
        <v>25.000350341399081</v>
      </c>
      <c r="IC356" s="618">
        <f t="shared" si="801"/>
        <v>1E-3</v>
      </c>
      <c r="ID356" s="618"/>
      <c r="IE356" s="618">
        <f t="shared" si="802"/>
        <v>0</v>
      </c>
      <c r="IF356" s="618">
        <f t="shared" si="803"/>
        <v>40.704999999999998</v>
      </c>
      <c r="IG356" s="618"/>
      <c r="IH356" s="618">
        <f t="shared" si="804"/>
        <v>0</v>
      </c>
      <c r="II356" s="618">
        <f t="shared" si="805"/>
        <v>40.704999999999998</v>
      </c>
      <c r="IJ356" s="618"/>
      <c r="IK356" s="618">
        <f t="shared" si="806"/>
        <v>0</v>
      </c>
      <c r="IL356" s="618">
        <f t="shared" si="807"/>
        <v>40.704999999999998</v>
      </c>
      <c r="IM356" s="618"/>
      <c r="IN356" s="618">
        <f t="shared" si="808"/>
        <v>0</v>
      </c>
      <c r="IO356" s="618">
        <f t="shared" si="809"/>
        <v>40.704999999999998</v>
      </c>
      <c r="IP356" s="618"/>
      <c r="IQ356" s="618">
        <f t="shared" si="810"/>
        <v>0</v>
      </c>
      <c r="IR356" s="618">
        <f t="shared" si="811"/>
        <v>40.704999999999998</v>
      </c>
      <c r="IS356" s="645"/>
      <c r="IT356" s="645"/>
      <c r="IU356" s="645"/>
      <c r="IV356" s="645"/>
      <c r="IW356" s="645"/>
      <c r="IX356" s="645"/>
      <c r="IY356" s="645"/>
      <c r="IZ356" s="645"/>
      <c r="JA356" s="645"/>
      <c r="JB356" s="645"/>
      <c r="JC356" s="645"/>
      <c r="JD356" s="645"/>
      <c r="JE356" s="645"/>
      <c r="JF356" s="645"/>
      <c r="JG356" s="645"/>
      <c r="JH356" s="645"/>
      <c r="JI356" s="645"/>
      <c r="JJ356" s="645"/>
      <c r="JK356" s="645"/>
      <c r="JL356" s="645"/>
      <c r="JM356" s="645"/>
      <c r="JN356" s="645"/>
      <c r="JO356" s="645"/>
      <c r="JP356" s="645"/>
      <c r="JQ356" s="645"/>
      <c r="JR356" s="645"/>
      <c r="JS356" s="645"/>
      <c r="JT356" s="645"/>
      <c r="JU356" s="645"/>
      <c r="JV356" s="653"/>
    </row>
    <row r="357" spans="1:282" s="612" customFormat="1">
      <c r="A357" s="611"/>
      <c r="U357" s="613"/>
      <c r="V357" s="613"/>
      <c r="AC357" s="613"/>
      <c r="AD357" s="613"/>
      <c r="AL357" s="613"/>
      <c r="AM357" s="613"/>
      <c r="AT357" s="613"/>
      <c r="AU357" s="613"/>
      <c r="CH357" s="611"/>
      <c r="CI357" s="611"/>
      <c r="CO357" s="695"/>
      <c r="CP357" s="645"/>
      <c r="CQ357" s="618"/>
      <c r="CR357" s="618"/>
      <c r="CS357" s="618"/>
      <c r="CT357" s="626"/>
      <c r="CU357" s="626"/>
      <c r="CV357" s="626"/>
      <c r="CW357" s="646"/>
      <c r="CX357" s="646"/>
      <c r="CY357" s="625"/>
      <c r="CZ357" s="625"/>
      <c r="DA357" s="625"/>
      <c r="DB357" s="625"/>
      <c r="DC357" s="645"/>
      <c r="DD357" s="645"/>
      <c r="DE357" s="645"/>
      <c r="DF357" s="645"/>
      <c r="DG357" s="645"/>
      <c r="DH357" s="645"/>
      <c r="DI357" s="645"/>
      <c r="DJ357" s="645"/>
      <c r="DK357" s="645"/>
      <c r="DL357" s="645"/>
      <c r="DM357" s="645"/>
      <c r="DN357" s="645"/>
      <c r="DO357" s="645"/>
      <c r="DP357" s="645"/>
      <c r="DQ357" s="645"/>
      <c r="DR357" s="645"/>
      <c r="DS357" s="645"/>
      <c r="DT357" s="645"/>
      <c r="DU357" s="645"/>
      <c r="DV357" s="645"/>
      <c r="DW357" s="645"/>
      <c r="DX357" s="645"/>
      <c r="DY357" s="645"/>
      <c r="DZ357" s="645"/>
      <c r="EA357" s="645"/>
      <c r="EB357" s="645"/>
      <c r="EC357" s="645"/>
      <c r="ED357" s="645"/>
      <c r="EE357" s="645"/>
      <c r="EF357" s="645"/>
      <c r="EG357" s="645"/>
      <c r="EH357" s="645"/>
      <c r="EI357" s="645"/>
      <c r="EJ357" s="645"/>
      <c r="EK357" s="645"/>
      <c r="EL357" s="645"/>
      <c r="EM357" s="645"/>
      <c r="EN357" s="645"/>
      <c r="EO357" s="645"/>
      <c r="EP357" s="645"/>
      <c r="EQ357" s="645"/>
      <c r="ER357" s="645"/>
      <c r="ES357" s="645"/>
      <c r="ET357" s="645"/>
      <c r="EU357" s="645"/>
      <c r="EV357" s="645"/>
      <c r="EW357" s="645"/>
      <c r="EX357" s="645"/>
      <c r="EY357" s="645"/>
      <c r="EZ357" s="645"/>
      <c r="FA357" s="645"/>
      <c r="FB357" s="645"/>
      <c r="FC357" s="645"/>
      <c r="FD357" s="645"/>
      <c r="FE357" s="645"/>
      <c r="FF357" s="645"/>
      <c r="FG357" s="645"/>
      <c r="FH357" s="645"/>
      <c r="FI357" s="645"/>
      <c r="FJ357" s="645"/>
      <c r="FK357" s="645"/>
      <c r="FL357" s="645"/>
      <c r="FM357" s="645"/>
      <c r="FN357" s="645"/>
      <c r="FO357" s="645"/>
      <c r="FP357" s="645"/>
      <c r="FQ357" s="645"/>
      <c r="FR357" s="645"/>
      <c r="FS357" s="645"/>
      <c r="FT357" s="645"/>
      <c r="FU357" s="645"/>
      <c r="FV357" s="645"/>
      <c r="FW357" s="645"/>
      <c r="FX357" s="645"/>
      <c r="FY357" s="645"/>
      <c r="FZ357" s="645"/>
      <c r="GA357" s="645"/>
      <c r="GB357" s="645"/>
      <c r="GC357" s="645"/>
      <c r="GD357" s="645"/>
      <c r="GE357" s="645"/>
      <c r="GF357" s="645"/>
      <c r="GG357" s="645"/>
      <c r="GH357" s="645"/>
      <c r="GI357" s="645"/>
      <c r="GJ357" s="645"/>
      <c r="GK357" s="645"/>
      <c r="GL357" s="645"/>
      <c r="GM357" s="645"/>
      <c r="GN357" s="645"/>
      <c r="GO357" s="645"/>
      <c r="GP357" s="645"/>
      <c r="GQ357" s="645"/>
      <c r="GR357" s="645"/>
      <c r="GS357" s="645"/>
      <c r="GT357" s="645"/>
      <c r="GU357" s="645"/>
      <c r="GV357" s="645"/>
      <c r="GW357" s="645"/>
      <c r="GX357" s="645"/>
      <c r="GY357" s="645"/>
      <c r="GZ357" s="645"/>
      <c r="HA357" s="645"/>
      <c r="HB357" s="645"/>
      <c r="HC357" s="645"/>
      <c r="HD357" s="645"/>
      <c r="HE357" s="645"/>
      <c r="HF357" s="645"/>
      <c r="HG357" s="645"/>
      <c r="HH357" s="645"/>
      <c r="HI357" s="645"/>
      <c r="HJ357" s="645"/>
      <c r="HK357" s="645"/>
      <c r="HL357" s="645"/>
      <c r="HM357" s="645"/>
      <c r="HN357" s="645"/>
      <c r="HO357" s="645"/>
      <c r="HP357" s="645"/>
      <c r="HQ357" s="645"/>
      <c r="HR357" s="645">
        <v>0.17699999999999999</v>
      </c>
      <c r="HS357" s="645">
        <f t="shared" si="812"/>
        <v>1188.4285714285713</v>
      </c>
      <c r="HT357" s="645">
        <f t="shared" si="813"/>
        <v>1</v>
      </c>
      <c r="HU357" s="618">
        <f t="shared" si="814"/>
        <v>4.5091617904549599</v>
      </c>
      <c r="HV357" s="618"/>
      <c r="HW357" s="618">
        <f t="shared" si="799"/>
        <v>29.596990257553959</v>
      </c>
      <c r="HX357" s="618">
        <f t="shared" si="815"/>
        <v>4.1070261368424914</v>
      </c>
      <c r="HY357" s="618">
        <f t="shared" si="816"/>
        <v>0.17699999999999999</v>
      </c>
      <c r="HZ357" s="618"/>
      <c r="IA357" s="618"/>
      <c r="IB357" s="618">
        <f t="shared" si="800"/>
        <v>25.000350341399081</v>
      </c>
      <c r="IC357" s="618">
        <f t="shared" si="801"/>
        <v>1E-3</v>
      </c>
      <c r="ID357" s="618"/>
      <c r="IE357" s="618">
        <f t="shared" si="802"/>
        <v>0</v>
      </c>
      <c r="IF357" s="618">
        <f t="shared" si="803"/>
        <v>40.704999999999998</v>
      </c>
      <c r="IG357" s="618"/>
      <c r="IH357" s="618">
        <f t="shared" si="804"/>
        <v>0</v>
      </c>
      <c r="II357" s="618">
        <f t="shared" si="805"/>
        <v>40.704999999999998</v>
      </c>
      <c r="IJ357" s="618"/>
      <c r="IK357" s="618">
        <f t="shared" si="806"/>
        <v>0</v>
      </c>
      <c r="IL357" s="618">
        <f t="shared" si="807"/>
        <v>40.704999999999998</v>
      </c>
      <c r="IM357" s="618"/>
      <c r="IN357" s="618">
        <f t="shared" si="808"/>
        <v>0</v>
      </c>
      <c r="IO357" s="618">
        <f t="shared" si="809"/>
        <v>40.704999999999998</v>
      </c>
      <c r="IP357" s="618"/>
      <c r="IQ357" s="618">
        <f t="shared" si="810"/>
        <v>0</v>
      </c>
      <c r="IR357" s="618">
        <f t="shared" si="811"/>
        <v>40.704999999999998</v>
      </c>
      <c r="IS357" s="645"/>
      <c r="IT357" s="645"/>
      <c r="IU357" s="645"/>
      <c r="IV357" s="645"/>
      <c r="IW357" s="645"/>
      <c r="IX357" s="645"/>
      <c r="IY357" s="645"/>
      <c r="IZ357" s="645"/>
      <c r="JA357" s="645"/>
      <c r="JB357" s="645"/>
      <c r="JC357" s="645"/>
      <c r="JD357" s="645"/>
      <c r="JE357" s="645"/>
      <c r="JF357" s="645"/>
      <c r="JG357" s="645"/>
      <c r="JH357" s="645"/>
      <c r="JI357" s="645"/>
      <c r="JJ357" s="645"/>
      <c r="JK357" s="645"/>
      <c r="JL357" s="645"/>
      <c r="JM357" s="645"/>
      <c r="JN357" s="645"/>
      <c r="JO357" s="645"/>
      <c r="JP357" s="645"/>
      <c r="JQ357" s="645"/>
      <c r="JR357" s="645"/>
      <c r="JS357" s="645"/>
      <c r="JT357" s="645"/>
      <c r="JU357" s="645"/>
      <c r="JV357" s="653"/>
    </row>
    <row r="358" spans="1:282" s="612" customFormat="1">
      <c r="A358" s="611"/>
      <c r="U358" s="613"/>
      <c r="V358" s="613"/>
      <c r="AC358" s="613"/>
      <c r="AD358" s="613"/>
      <c r="AL358" s="613"/>
      <c r="AM358" s="613"/>
      <c r="AT358" s="613"/>
      <c r="AU358" s="613"/>
      <c r="CH358" s="611"/>
      <c r="CI358" s="611"/>
      <c r="CO358" s="695"/>
      <c r="CP358" s="645"/>
      <c r="CQ358" s="618"/>
      <c r="CR358" s="618"/>
      <c r="CS358" s="618"/>
      <c r="CT358" s="626"/>
      <c r="CU358" s="626"/>
      <c r="CV358" s="626"/>
      <c r="CW358" s="646"/>
      <c r="CX358" s="646"/>
      <c r="CY358" s="625"/>
      <c r="CZ358" s="625"/>
      <c r="DA358" s="625"/>
      <c r="DB358" s="625"/>
      <c r="DC358" s="645"/>
      <c r="DD358" s="645"/>
      <c r="DE358" s="645"/>
      <c r="DF358" s="645"/>
      <c r="DG358" s="645"/>
      <c r="DH358" s="645"/>
      <c r="DI358" s="645"/>
      <c r="DJ358" s="645"/>
      <c r="DK358" s="645"/>
      <c r="DL358" s="645"/>
      <c r="DM358" s="645"/>
      <c r="DN358" s="645"/>
      <c r="DO358" s="645"/>
      <c r="DP358" s="645"/>
      <c r="DQ358" s="645"/>
      <c r="DR358" s="645"/>
      <c r="DS358" s="645"/>
      <c r="DT358" s="645"/>
      <c r="DU358" s="645"/>
      <c r="DV358" s="645"/>
      <c r="DW358" s="645"/>
      <c r="DX358" s="645"/>
      <c r="DY358" s="645"/>
      <c r="DZ358" s="645"/>
      <c r="EA358" s="645"/>
      <c r="EB358" s="645"/>
      <c r="EC358" s="645"/>
      <c r="ED358" s="645"/>
      <c r="EE358" s="645"/>
      <c r="EF358" s="645"/>
      <c r="EG358" s="645"/>
      <c r="EH358" s="645"/>
      <c r="EI358" s="645"/>
      <c r="EJ358" s="645"/>
      <c r="EK358" s="645"/>
      <c r="EL358" s="645"/>
      <c r="EM358" s="645"/>
      <c r="EN358" s="645"/>
      <c r="EO358" s="645"/>
      <c r="EP358" s="645"/>
      <c r="EQ358" s="645"/>
      <c r="ER358" s="645"/>
      <c r="ES358" s="645"/>
      <c r="ET358" s="645"/>
      <c r="EU358" s="645"/>
      <c r="EV358" s="645"/>
      <c r="EW358" s="645"/>
      <c r="EX358" s="645"/>
      <c r="EY358" s="645"/>
      <c r="EZ358" s="645"/>
      <c r="FA358" s="645"/>
      <c r="FB358" s="645"/>
      <c r="FC358" s="645"/>
      <c r="FD358" s="645"/>
      <c r="FE358" s="645"/>
      <c r="FF358" s="645"/>
      <c r="FG358" s="645"/>
      <c r="FH358" s="645"/>
      <c r="FI358" s="645"/>
      <c r="FJ358" s="645"/>
      <c r="FK358" s="645"/>
      <c r="FL358" s="645"/>
      <c r="FM358" s="645"/>
      <c r="FN358" s="645"/>
      <c r="FO358" s="645"/>
      <c r="FP358" s="645"/>
      <c r="FQ358" s="645"/>
      <c r="FR358" s="645"/>
      <c r="FS358" s="645"/>
      <c r="FT358" s="645"/>
      <c r="FU358" s="645"/>
      <c r="FV358" s="645"/>
      <c r="FW358" s="645"/>
      <c r="FX358" s="645"/>
      <c r="FY358" s="645"/>
      <c r="FZ358" s="645"/>
      <c r="GA358" s="645"/>
      <c r="GB358" s="645"/>
      <c r="GC358" s="645"/>
      <c r="GD358" s="645"/>
      <c r="GE358" s="645"/>
      <c r="GF358" s="645"/>
      <c r="GG358" s="645"/>
      <c r="GH358" s="645"/>
      <c r="GI358" s="645"/>
      <c r="GJ358" s="645"/>
      <c r="GK358" s="645"/>
      <c r="GL358" s="645"/>
      <c r="GM358" s="645"/>
      <c r="GN358" s="645"/>
      <c r="GO358" s="645"/>
      <c r="GP358" s="645"/>
      <c r="GQ358" s="645"/>
      <c r="GR358" s="645"/>
      <c r="GS358" s="645"/>
      <c r="GT358" s="645"/>
      <c r="GU358" s="645"/>
      <c r="GV358" s="645"/>
      <c r="GW358" s="645"/>
      <c r="GX358" s="645"/>
      <c r="GY358" s="645"/>
      <c r="GZ358" s="645"/>
      <c r="HA358" s="645"/>
      <c r="HB358" s="645"/>
      <c r="HC358" s="645"/>
      <c r="HD358" s="645"/>
      <c r="HE358" s="645"/>
      <c r="HF358" s="645"/>
      <c r="HG358" s="645"/>
      <c r="HH358" s="645"/>
      <c r="HI358" s="645"/>
      <c r="HJ358" s="645"/>
      <c r="HK358" s="645"/>
      <c r="HL358" s="645"/>
      <c r="HM358" s="645"/>
      <c r="HN358" s="645"/>
      <c r="HO358" s="645"/>
      <c r="HP358" s="645"/>
      <c r="HQ358" s="645"/>
      <c r="HR358" s="645">
        <v>0.17749999999999999</v>
      </c>
      <c r="HS358" s="645">
        <f t="shared" si="812"/>
        <v>1191.7857142857142</v>
      </c>
      <c r="HT358" s="645">
        <f t="shared" si="813"/>
        <v>1</v>
      </c>
      <c r="HU358" s="618">
        <f t="shared" si="814"/>
        <v>4.5219008344285845</v>
      </c>
      <c r="HV358" s="618"/>
      <c r="HW358" s="618">
        <f t="shared" si="799"/>
        <v>29.57890081511141</v>
      </c>
      <c r="HX358" s="618">
        <f t="shared" si="815"/>
        <v>4.1174929956806912</v>
      </c>
      <c r="HY358" s="618">
        <f t="shared" si="816"/>
        <v>0.17749999999999999</v>
      </c>
      <c r="HZ358" s="618"/>
      <c r="IA358" s="618"/>
      <c r="IB358" s="618">
        <f t="shared" si="800"/>
        <v>25.000350341399081</v>
      </c>
      <c r="IC358" s="618">
        <f t="shared" si="801"/>
        <v>1E-3</v>
      </c>
      <c r="ID358" s="618"/>
      <c r="IE358" s="618">
        <f t="shared" si="802"/>
        <v>0</v>
      </c>
      <c r="IF358" s="618">
        <f t="shared" si="803"/>
        <v>40.704999999999998</v>
      </c>
      <c r="IG358" s="618"/>
      <c r="IH358" s="618">
        <f t="shared" si="804"/>
        <v>0</v>
      </c>
      <c r="II358" s="618">
        <f t="shared" si="805"/>
        <v>40.704999999999998</v>
      </c>
      <c r="IJ358" s="618"/>
      <c r="IK358" s="618">
        <f t="shared" si="806"/>
        <v>0</v>
      </c>
      <c r="IL358" s="618">
        <f t="shared" si="807"/>
        <v>40.704999999999998</v>
      </c>
      <c r="IM358" s="618"/>
      <c r="IN358" s="618">
        <f t="shared" si="808"/>
        <v>0</v>
      </c>
      <c r="IO358" s="618">
        <f t="shared" si="809"/>
        <v>40.704999999999998</v>
      </c>
      <c r="IP358" s="618"/>
      <c r="IQ358" s="618">
        <f t="shared" si="810"/>
        <v>0</v>
      </c>
      <c r="IR358" s="618">
        <f t="shared" si="811"/>
        <v>40.704999999999998</v>
      </c>
      <c r="IS358" s="645"/>
      <c r="IT358" s="645"/>
      <c r="IU358" s="645"/>
      <c r="IV358" s="645"/>
      <c r="IW358" s="645"/>
      <c r="IX358" s="645"/>
      <c r="IY358" s="645"/>
      <c r="IZ358" s="645"/>
      <c r="JA358" s="645"/>
      <c r="JB358" s="645"/>
      <c r="JC358" s="645"/>
      <c r="JD358" s="645"/>
      <c r="JE358" s="645"/>
      <c r="JF358" s="645"/>
      <c r="JG358" s="645"/>
      <c r="JH358" s="645"/>
      <c r="JI358" s="645"/>
      <c r="JJ358" s="645"/>
      <c r="JK358" s="645"/>
      <c r="JL358" s="645"/>
      <c r="JM358" s="645"/>
      <c r="JN358" s="645"/>
      <c r="JO358" s="645"/>
      <c r="JP358" s="645"/>
      <c r="JQ358" s="645"/>
      <c r="JR358" s="645"/>
      <c r="JS358" s="645"/>
      <c r="JT358" s="645"/>
      <c r="JU358" s="645"/>
      <c r="JV358" s="653"/>
    </row>
    <row r="359" spans="1:282" s="612" customFormat="1">
      <c r="A359" s="611"/>
      <c r="U359" s="613"/>
      <c r="V359" s="613"/>
      <c r="AC359" s="613"/>
      <c r="AD359" s="613"/>
      <c r="AL359" s="613"/>
      <c r="AM359" s="613"/>
      <c r="AT359" s="613"/>
      <c r="AU359" s="613"/>
      <c r="CH359" s="611"/>
      <c r="CI359" s="611"/>
      <c r="CO359" s="695"/>
      <c r="CP359" s="645"/>
      <c r="CQ359" s="618"/>
      <c r="CR359" s="618"/>
      <c r="CS359" s="618"/>
      <c r="CT359" s="626"/>
      <c r="CU359" s="626"/>
      <c r="CV359" s="626"/>
      <c r="CW359" s="646"/>
      <c r="CX359" s="646"/>
      <c r="CY359" s="625"/>
      <c r="CZ359" s="625"/>
      <c r="DA359" s="625"/>
      <c r="DB359" s="625"/>
      <c r="DC359" s="645"/>
      <c r="DD359" s="645"/>
      <c r="DE359" s="645"/>
      <c r="DF359" s="645"/>
      <c r="DG359" s="645"/>
      <c r="DH359" s="645"/>
      <c r="DI359" s="645"/>
      <c r="DJ359" s="645"/>
      <c r="DK359" s="645"/>
      <c r="DL359" s="645"/>
      <c r="DM359" s="645"/>
      <c r="DN359" s="645"/>
      <c r="DO359" s="645"/>
      <c r="DP359" s="645"/>
      <c r="DQ359" s="645"/>
      <c r="DR359" s="645"/>
      <c r="DS359" s="645"/>
      <c r="DT359" s="645"/>
      <c r="DU359" s="645"/>
      <c r="DV359" s="645"/>
      <c r="DW359" s="645"/>
      <c r="DX359" s="645"/>
      <c r="DY359" s="645"/>
      <c r="DZ359" s="645"/>
      <c r="EA359" s="645"/>
      <c r="EB359" s="645"/>
      <c r="EC359" s="645"/>
      <c r="ED359" s="645"/>
      <c r="EE359" s="645"/>
      <c r="EF359" s="645"/>
      <c r="EG359" s="645"/>
      <c r="EH359" s="645"/>
      <c r="EI359" s="645"/>
      <c r="EJ359" s="645"/>
      <c r="EK359" s="645"/>
      <c r="EL359" s="645"/>
      <c r="EM359" s="645"/>
      <c r="EN359" s="645"/>
      <c r="EO359" s="645"/>
      <c r="EP359" s="645"/>
      <c r="EQ359" s="645"/>
      <c r="ER359" s="645"/>
      <c r="ES359" s="645"/>
      <c r="ET359" s="645"/>
      <c r="EU359" s="645"/>
      <c r="EV359" s="645"/>
      <c r="EW359" s="645"/>
      <c r="EX359" s="645"/>
      <c r="EY359" s="645"/>
      <c r="EZ359" s="645"/>
      <c r="FA359" s="645"/>
      <c r="FB359" s="645"/>
      <c r="FC359" s="645"/>
      <c r="FD359" s="645"/>
      <c r="FE359" s="645"/>
      <c r="FF359" s="645"/>
      <c r="FG359" s="645"/>
      <c r="FH359" s="645"/>
      <c r="FI359" s="645"/>
      <c r="FJ359" s="645"/>
      <c r="FK359" s="645"/>
      <c r="FL359" s="645"/>
      <c r="FM359" s="645"/>
      <c r="FN359" s="645"/>
      <c r="FO359" s="645"/>
      <c r="FP359" s="645"/>
      <c r="FQ359" s="645"/>
      <c r="FR359" s="645"/>
      <c r="FS359" s="645"/>
      <c r="FT359" s="645"/>
      <c r="FU359" s="645"/>
      <c r="FV359" s="645"/>
      <c r="FW359" s="645"/>
      <c r="FX359" s="645"/>
      <c r="FY359" s="645"/>
      <c r="FZ359" s="645"/>
      <c r="GA359" s="645"/>
      <c r="GB359" s="645"/>
      <c r="GC359" s="645"/>
      <c r="GD359" s="645"/>
      <c r="GE359" s="645"/>
      <c r="GF359" s="645"/>
      <c r="GG359" s="645"/>
      <c r="GH359" s="645"/>
      <c r="GI359" s="645"/>
      <c r="GJ359" s="645"/>
      <c r="GK359" s="645"/>
      <c r="GL359" s="645"/>
      <c r="GM359" s="645"/>
      <c r="GN359" s="645"/>
      <c r="GO359" s="645"/>
      <c r="GP359" s="645"/>
      <c r="GQ359" s="645"/>
      <c r="GR359" s="645"/>
      <c r="GS359" s="645"/>
      <c r="GT359" s="645"/>
      <c r="GU359" s="645"/>
      <c r="GV359" s="645"/>
      <c r="GW359" s="645"/>
      <c r="GX359" s="645"/>
      <c r="GY359" s="645"/>
      <c r="GZ359" s="645"/>
      <c r="HA359" s="645"/>
      <c r="HB359" s="645"/>
      <c r="HC359" s="645"/>
      <c r="HD359" s="645"/>
      <c r="HE359" s="645"/>
      <c r="HF359" s="645"/>
      <c r="HG359" s="645"/>
      <c r="HH359" s="645"/>
      <c r="HI359" s="645"/>
      <c r="HJ359" s="645"/>
      <c r="HK359" s="645"/>
      <c r="HL359" s="645"/>
      <c r="HM359" s="645"/>
      <c r="HN359" s="645"/>
      <c r="HO359" s="645"/>
      <c r="HP359" s="645"/>
      <c r="HQ359" s="645"/>
      <c r="HR359" s="645">
        <v>0.17799999999999999</v>
      </c>
      <c r="HS359" s="645">
        <f t="shared" si="812"/>
        <v>1195.1428571428571</v>
      </c>
      <c r="HT359" s="645">
        <f t="shared" si="813"/>
        <v>1</v>
      </c>
      <c r="HU359" s="618">
        <f t="shared" si="814"/>
        <v>4.5346398784022091</v>
      </c>
      <c r="HV359" s="618"/>
      <c r="HW359" s="618">
        <f t="shared" si="799"/>
        <v>29.560811372668862</v>
      </c>
      <c r="HX359" s="618">
        <f t="shared" si="815"/>
        <v>4.1279534533465929</v>
      </c>
      <c r="HY359" s="618">
        <f t="shared" si="816"/>
        <v>0.17799999999999999</v>
      </c>
      <c r="HZ359" s="618"/>
      <c r="IA359" s="618"/>
      <c r="IB359" s="618">
        <f t="shared" si="800"/>
        <v>25.000350341399081</v>
      </c>
      <c r="IC359" s="618">
        <f t="shared" si="801"/>
        <v>1E-3</v>
      </c>
      <c r="ID359" s="618"/>
      <c r="IE359" s="618">
        <f t="shared" si="802"/>
        <v>0</v>
      </c>
      <c r="IF359" s="618">
        <f t="shared" si="803"/>
        <v>40.704999999999998</v>
      </c>
      <c r="IG359" s="618"/>
      <c r="IH359" s="618">
        <f t="shared" si="804"/>
        <v>0</v>
      </c>
      <c r="II359" s="618">
        <f t="shared" si="805"/>
        <v>40.704999999999998</v>
      </c>
      <c r="IJ359" s="618"/>
      <c r="IK359" s="618">
        <f t="shared" si="806"/>
        <v>0</v>
      </c>
      <c r="IL359" s="618">
        <f t="shared" si="807"/>
        <v>40.704999999999998</v>
      </c>
      <c r="IM359" s="618"/>
      <c r="IN359" s="618">
        <f t="shared" si="808"/>
        <v>0</v>
      </c>
      <c r="IO359" s="618">
        <f t="shared" si="809"/>
        <v>40.704999999999998</v>
      </c>
      <c r="IP359" s="618"/>
      <c r="IQ359" s="618">
        <f t="shared" si="810"/>
        <v>0</v>
      </c>
      <c r="IR359" s="618">
        <f t="shared" si="811"/>
        <v>40.704999999999998</v>
      </c>
      <c r="IS359" s="645"/>
      <c r="IT359" s="645"/>
      <c r="IU359" s="645"/>
      <c r="IV359" s="645"/>
      <c r="IW359" s="645"/>
      <c r="IX359" s="645"/>
      <c r="IY359" s="645"/>
      <c r="IZ359" s="645"/>
      <c r="JA359" s="645"/>
      <c r="JB359" s="645"/>
      <c r="JC359" s="645"/>
      <c r="JD359" s="645"/>
      <c r="JE359" s="645"/>
      <c r="JF359" s="645"/>
      <c r="JG359" s="645"/>
      <c r="JH359" s="645"/>
      <c r="JI359" s="645"/>
      <c r="JJ359" s="645"/>
      <c r="JK359" s="645"/>
      <c r="JL359" s="645"/>
      <c r="JM359" s="645"/>
      <c r="JN359" s="645"/>
      <c r="JO359" s="645"/>
      <c r="JP359" s="645"/>
      <c r="JQ359" s="645"/>
      <c r="JR359" s="645"/>
      <c r="JS359" s="645"/>
      <c r="JT359" s="645"/>
      <c r="JU359" s="645"/>
      <c r="JV359" s="653"/>
    </row>
    <row r="360" spans="1:282" s="612" customFormat="1">
      <c r="A360" s="611"/>
      <c r="U360" s="613"/>
      <c r="V360" s="613"/>
      <c r="AC360" s="613"/>
      <c r="AD360" s="613"/>
      <c r="AL360" s="613"/>
      <c r="AM360" s="613"/>
      <c r="AT360" s="613"/>
      <c r="AU360" s="613"/>
      <c r="CH360" s="611"/>
      <c r="CI360" s="611"/>
      <c r="CO360" s="695"/>
      <c r="CP360" s="645"/>
      <c r="CQ360" s="618"/>
      <c r="CR360" s="618"/>
      <c r="CS360" s="618"/>
      <c r="CT360" s="626"/>
      <c r="CU360" s="626"/>
      <c r="CV360" s="626"/>
      <c r="CW360" s="646"/>
      <c r="CX360" s="646"/>
      <c r="CY360" s="625"/>
      <c r="CZ360" s="625"/>
      <c r="DA360" s="625"/>
      <c r="DB360" s="625"/>
      <c r="DC360" s="645"/>
      <c r="DD360" s="645"/>
      <c r="DE360" s="645"/>
      <c r="DF360" s="645"/>
      <c r="DG360" s="645"/>
      <c r="DH360" s="645"/>
      <c r="DI360" s="645"/>
      <c r="DJ360" s="645"/>
      <c r="DK360" s="645"/>
      <c r="DL360" s="645"/>
      <c r="DM360" s="645"/>
      <c r="DN360" s="645"/>
      <c r="DO360" s="645"/>
      <c r="DP360" s="645"/>
      <c r="DQ360" s="645"/>
      <c r="DR360" s="645"/>
      <c r="DS360" s="645"/>
      <c r="DT360" s="645"/>
      <c r="DU360" s="645"/>
      <c r="DV360" s="645"/>
      <c r="DW360" s="645"/>
      <c r="DX360" s="645"/>
      <c r="DY360" s="645"/>
      <c r="DZ360" s="645"/>
      <c r="EA360" s="645"/>
      <c r="EB360" s="645"/>
      <c r="EC360" s="645"/>
      <c r="ED360" s="645"/>
      <c r="EE360" s="645"/>
      <c r="EF360" s="645"/>
      <c r="EG360" s="645"/>
      <c r="EH360" s="645"/>
      <c r="EI360" s="645"/>
      <c r="EJ360" s="645"/>
      <c r="EK360" s="645"/>
      <c r="EL360" s="645"/>
      <c r="EM360" s="645"/>
      <c r="EN360" s="645"/>
      <c r="EO360" s="645"/>
      <c r="EP360" s="645"/>
      <c r="EQ360" s="645"/>
      <c r="ER360" s="645"/>
      <c r="ES360" s="645"/>
      <c r="ET360" s="645"/>
      <c r="EU360" s="645"/>
      <c r="EV360" s="645"/>
      <c r="EW360" s="645"/>
      <c r="EX360" s="645"/>
      <c r="EY360" s="645"/>
      <c r="EZ360" s="645"/>
      <c r="FA360" s="645"/>
      <c r="FB360" s="645"/>
      <c r="FC360" s="645"/>
      <c r="FD360" s="645"/>
      <c r="FE360" s="645"/>
      <c r="FF360" s="645"/>
      <c r="FG360" s="645"/>
      <c r="FH360" s="645"/>
      <c r="FI360" s="645"/>
      <c r="FJ360" s="645"/>
      <c r="FK360" s="645"/>
      <c r="FL360" s="645"/>
      <c r="FM360" s="645"/>
      <c r="FN360" s="645"/>
      <c r="FO360" s="645"/>
      <c r="FP360" s="645"/>
      <c r="FQ360" s="645"/>
      <c r="FR360" s="645"/>
      <c r="FS360" s="645"/>
      <c r="FT360" s="645"/>
      <c r="FU360" s="645"/>
      <c r="FV360" s="645"/>
      <c r="FW360" s="645"/>
      <c r="FX360" s="645"/>
      <c r="FY360" s="645"/>
      <c r="FZ360" s="645"/>
      <c r="GA360" s="645"/>
      <c r="GB360" s="645"/>
      <c r="GC360" s="645"/>
      <c r="GD360" s="645"/>
      <c r="GE360" s="645"/>
      <c r="GF360" s="645"/>
      <c r="GG360" s="645"/>
      <c r="GH360" s="645"/>
      <c r="GI360" s="645"/>
      <c r="GJ360" s="645"/>
      <c r="GK360" s="645"/>
      <c r="GL360" s="645"/>
      <c r="GM360" s="645"/>
      <c r="GN360" s="645"/>
      <c r="GO360" s="645"/>
      <c r="GP360" s="645"/>
      <c r="GQ360" s="645"/>
      <c r="GR360" s="645"/>
      <c r="GS360" s="645"/>
      <c r="GT360" s="645"/>
      <c r="GU360" s="645"/>
      <c r="GV360" s="645"/>
      <c r="GW360" s="645"/>
      <c r="GX360" s="645"/>
      <c r="GY360" s="645"/>
      <c r="GZ360" s="645"/>
      <c r="HA360" s="645"/>
      <c r="HB360" s="645"/>
      <c r="HC360" s="645"/>
      <c r="HD360" s="645"/>
      <c r="HE360" s="645"/>
      <c r="HF360" s="645"/>
      <c r="HG360" s="645"/>
      <c r="HH360" s="645"/>
      <c r="HI360" s="645"/>
      <c r="HJ360" s="645"/>
      <c r="HK360" s="645"/>
      <c r="HL360" s="645"/>
      <c r="HM360" s="645"/>
      <c r="HN360" s="645"/>
      <c r="HO360" s="645"/>
      <c r="HP360" s="645"/>
      <c r="HQ360" s="645"/>
      <c r="HR360" s="645">
        <v>0.17849999999999999</v>
      </c>
      <c r="HS360" s="645">
        <f t="shared" si="812"/>
        <v>1198.5</v>
      </c>
      <c r="HT360" s="645">
        <f t="shared" si="813"/>
        <v>1</v>
      </c>
      <c r="HU360" s="618">
        <f t="shared" si="814"/>
        <v>4.5473789223758336</v>
      </c>
      <c r="HV360" s="618"/>
      <c r="HW360" s="618">
        <f t="shared" si="799"/>
        <v>29.542721930226318</v>
      </c>
      <c r="HX360" s="618">
        <f t="shared" si="815"/>
        <v>4.1384075098401967</v>
      </c>
      <c r="HY360" s="618">
        <f t="shared" si="816"/>
        <v>0.17849999999999999</v>
      </c>
      <c r="HZ360" s="618"/>
      <c r="IA360" s="618"/>
      <c r="IB360" s="618">
        <f t="shared" si="800"/>
        <v>25.000350341399081</v>
      </c>
      <c r="IC360" s="618">
        <f t="shared" si="801"/>
        <v>1E-3</v>
      </c>
      <c r="ID360" s="618"/>
      <c r="IE360" s="618">
        <f t="shared" si="802"/>
        <v>0</v>
      </c>
      <c r="IF360" s="618">
        <f t="shared" si="803"/>
        <v>40.704999999999998</v>
      </c>
      <c r="IG360" s="618"/>
      <c r="IH360" s="618">
        <f t="shared" si="804"/>
        <v>0</v>
      </c>
      <c r="II360" s="618">
        <f t="shared" si="805"/>
        <v>40.704999999999998</v>
      </c>
      <c r="IJ360" s="618"/>
      <c r="IK360" s="618">
        <f t="shared" si="806"/>
        <v>0</v>
      </c>
      <c r="IL360" s="618">
        <f t="shared" si="807"/>
        <v>40.704999999999998</v>
      </c>
      <c r="IM360" s="618"/>
      <c r="IN360" s="618">
        <f t="shared" si="808"/>
        <v>0</v>
      </c>
      <c r="IO360" s="618">
        <f t="shared" si="809"/>
        <v>40.704999999999998</v>
      </c>
      <c r="IP360" s="618"/>
      <c r="IQ360" s="618">
        <f t="shared" si="810"/>
        <v>0</v>
      </c>
      <c r="IR360" s="618">
        <f t="shared" si="811"/>
        <v>40.704999999999998</v>
      </c>
      <c r="IS360" s="645"/>
      <c r="IT360" s="645"/>
      <c r="IU360" s="645"/>
      <c r="IV360" s="645"/>
      <c r="IW360" s="645"/>
      <c r="IX360" s="645"/>
      <c r="IY360" s="645"/>
      <c r="IZ360" s="645"/>
      <c r="JA360" s="645"/>
      <c r="JB360" s="645"/>
      <c r="JC360" s="645"/>
      <c r="JD360" s="645"/>
      <c r="JE360" s="645"/>
      <c r="JF360" s="645"/>
      <c r="JG360" s="645"/>
      <c r="JH360" s="645"/>
      <c r="JI360" s="645"/>
      <c r="JJ360" s="645"/>
      <c r="JK360" s="645"/>
      <c r="JL360" s="645"/>
      <c r="JM360" s="645"/>
      <c r="JN360" s="645"/>
      <c r="JO360" s="645"/>
      <c r="JP360" s="645"/>
      <c r="JQ360" s="645"/>
      <c r="JR360" s="645"/>
      <c r="JS360" s="645"/>
      <c r="JT360" s="645"/>
      <c r="JU360" s="645"/>
      <c r="JV360" s="653"/>
    </row>
    <row r="361" spans="1:282" s="612" customFormat="1">
      <c r="A361" s="611"/>
      <c r="U361" s="613"/>
      <c r="V361" s="613"/>
      <c r="AC361" s="613"/>
      <c r="AD361" s="613"/>
      <c r="AL361" s="613"/>
      <c r="AM361" s="613"/>
      <c r="AT361" s="613"/>
      <c r="AU361" s="613"/>
      <c r="CH361" s="611"/>
      <c r="CI361" s="611"/>
      <c r="CO361" s="695"/>
      <c r="CP361" s="645"/>
      <c r="CQ361" s="618"/>
      <c r="CR361" s="618"/>
      <c r="CS361" s="618"/>
      <c r="CT361" s="626"/>
      <c r="CU361" s="626"/>
      <c r="CV361" s="626"/>
      <c r="CW361" s="646"/>
      <c r="CX361" s="646"/>
      <c r="CY361" s="625"/>
      <c r="CZ361" s="625"/>
      <c r="DA361" s="625"/>
      <c r="DB361" s="625"/>
      <c r="DC361" s="645"/>
      <c r="DD361" s="645"/>
      <c r="DE361" s="645"/>
      <c r="DF361" s="645"/>
      <c r="DG361" s="645"/>
      <c r="DH361" s="645"/>
      <c r="DI361" s="645"/>
      <c r="DJ361" s="645"/>
      <c r="DK361" s="645"/>
      <c r="DL361" s="645"/>
      <c r="DM361" s="645"/>
      <c r="DN361" s="645"/>
      <c r="DO361" s="645"/>
      <c r="DP361" s="645"/>
      <c r="DQ361" s="645"/>
      <c r="DR361" s="645"/>
      <c r="DS361" s="645"/>
      <c r="DT361" s="645"/>
      <c r="DU361" s="645"/>
      <c r="DV361" s="645"/>
      <c r="DW361" s="645"/>
      <c r="DX361" s="645"/>
      <c r="DY361" s="645"/>
      <c r="DZ361" s="645"/>
      <c r="EA361" s="645"/>
      <c r="EB361" s="645"/>
      <c r="EC361" s="645"/>
      <c r="ED361" s="645"/>
      <c r="EE361" s="645"/>
      <c r="EF361" s="645"/>
      <c r="EG361" s="645"/>
      <c r="EH361" s="645"/>
      <c r="EI361" s="645"/>
      <c r="EJ361" s="645"/>
      <c r="EK361" s="645"/>
      <c r="EL361" s="645"/>
      <c r="EM361" s="645"/>
      <c r="EN361" s="645"/>
      <c r="EO361" s="645"/>
      <c r="EP361" s="645"/>
      <c r="EQ361" s="645"/>
      <c r="ER361" s="645"/>
      <c r="ES361" s="645"/>
      <c r="ET361" s="645"/>
      <c r="EU361" s="645"/>
      <c r="EV361" s="645"/>
      <c r="EW361" s="645"/>
      <c r="EX361" s="645"/>
      <c r="EY361" s="645"/>
      <c r="EZ361" s="645"/>
      <c r="FA361" s="645"/>
      <c r="FB361" s="645"/>
      <c r="FC361" s="645"/>
      <c r="FD361" s="645"/>
      <c r="FE361" s="645"/>
      <c r="FF361" s="645"/>
      <c r="FG361" s="645"/>
      <c r="FH361" s="645"/>
      <c r="FI361" s="645"/>
      <c r="FJ361" s="645"/>
      <c r="FK361" s="645"/>
      <c r="FL361" s="645"/>
      <c r="FM361" s="645"/>
      <c r="FN361" s="645"/>
      <c r="FO361" s="645"/>
      <c r="FP361" s="645"/>
      <c r="FQ361" s="645"/>
      <c r="FR361" s="645"/>
      <c r="FS361" s="645"/>
      <c r="FT361" s="645"/>
      <c r="FU361" s="645"/>
      <c r="FV361" s="645"/>
      <c r="FW361" s="645"/>
      <c r="FX361" s="645"/>
      <c r="FY361" s="645"/>
      <c r="FZ361" s="645"/>
      <c r="GA361" s="645"/>
      <c r="GB361" s="645"/>
      <c r="GC361" s="645"/>
      <c r="GD361" s="645"/>
      <c r="GE361" s="645"/>
      <c r="GF361" s="645"/>
      <c r="GG361" s="645"/>
      <c r="GH361" s="645"/>
      <c r="GI361" s="645"/>
      <c r="GJ361" s="645"/>
      <c r="GK361" s="645"/>
      <c r="GL361" s="645"/>
      <c r="GM361" s="645"/>
      <c r="GN361" s="645"/>
      <c r="GO361" s="645"/>
      <c r="GP361" s="645"/>
      <c r="GQ361" s="645"/>
      <c r="GR361" s="645"/>
      <c r="GS361" s="645"/>
      <c r="GT361" s="645"/>
      <c r="GU361" s="645"/>
      <c r="GV361" s="645"/>
      <c r="GW361" s="645"/>
      <c r="GX361" s="645"/>
      <c r="GY361" s="645"/>
      <c r="GZ361" s="645"/>
      <c r="HA361" s="645"/>
      <c r="HB361" s="645"/>
      <c r="HC361" s="645"/>
      <c r="HD361" s="645"/>
      <c r="HE361" s="645"/>
      <c r="HF361" s="645"/>
      <c r="HG361" s="645"/>
      <c r="HH361" s="645"/>
      <c r="HI361" s="645"/>
      <c r="HJ361" s="645"/>
      <c r="HK361" s="645"/>
      <c r="HL361" s="645"/>
      <c r="HM361" s="645"/>
      <c r="HN361" s="645"/>
      <c r="HO361" s="645"/>
      <c r="HP361" s="645"/>
      <c r="HQ361" s="645"/>
      <c r="HR361" s="645">
        <v>0.17899999999999999</v>
      </c>
      <c r="HS361" s="645">
        <f t="shared" si="812"/>
        <v>1201.8571428571429</v>
      </c>
      <c r="HT361" s="645">
        <f t="shared" si="813"/>
        <v>1</v>
      </c>
      <c r="HU361" s="618">
        <f t="shared" si="814"/>
        <v>4.5601179663494582</v>
      </c>
      <c r="HV361" s="618"/>
      <c r="HW361" s="618">
        <f t="shared" si="799"/>
        <v>29.524632487783769</v>
      </c>
      <c r="HX361" s="618">
        <f t="shared" si="815"/>
        <v>4.1488551651615015</v>
      </c>
      <c r="HY361" s="618">
        <f t="shared" si="816"/>
        <v>0.17899999999999999</v>
      </c>
      <c r="HZ361" s="618"/>
      <c r="IA361" s="618"/>
      <c r="IB361" s="618">
        <f t="shared" si="800"/>
        <v>25.000350341399081</v>
      </c>
      <c r="IC361" s="618">
        <f t="shared" si="801"/>
        <v>1E-3</v>
      </c>
      <c r="ID361" s="618"/>
      <c r="IE361" s="618">
        <f t="shared" si="802"/>
        <v>0</v>
      </c>
      <c r="IF361" s="618">
        <f t="shared" si="803"/>
        <v>40.704999999999998</v>
      </c>
      <c r="IG361" s="618"/>
      <c r="IH361" s="618">
        <f t="shared" si="804"/>
        <v>0</v>
      </c>
      <c r="II361" s="618">
        <f t="shared" si="805"/>
        <v>40.704999999999998</v>
      </c>
      <c r="IJ361" s="618"/>
      <c r="IK361" s="618">
        <f t="shared" si="806"/>
        <v>0</v>
      </c>
      <c r="IL361" s="618">
        <f t="shared" si="807"/>
        <v>40.704999999999998</v>
      </c>
      <c r="IM361" s="618"/>
      <c r="IN361" s="618">
        <f t="shared" si="808"/>
        <v>0</v>
      </c>
      <c r="IO361" s="618">
        <f t="shared" si="809"/>
        <v>40.704999999999998</v>
      </c>
      <c r="IP361" s="618"/>
      <c r="IQ361" s="618">
        <f t="shared" si="810"/>
        <v>0</v>
      </c>
      <c r="IR361" s="618">
        <f t="shared" si="811"/>
        <v>40.704999999999998</v>
      </c>
      <c r="IS361" s="645"/>
      <c r="IT361" s="645"/>
      <c r="IU361" s="645"/>
      <c r="IV361" s="645"/>
      <c r="IW361" s="645"/>
      <c r="IX361" s="645"/>
      <c r="IY361" s="645"/>
      <c r="IZ361" s="645"/>
      <c r="JA361" s="645"/>
      <c r="JB361" s="645"/>
      <c r="JC361" s="645"/>
      <c r="JD361" s="645"/>
      <c r="JE361" s="645"/>
      <c r="JF361" s="645"/>
      <c r="JG361" s="645"/>
      <c r="JH361" s="645"/>
      <c r="JI361" s="645"/>
      <c r="JJ361" s="645"/>
      <c r="JK361" s="645"/>
      <c r="JL361" s="645"/>
      <c r="JM361" s="645"/>
      <c r="JN361" s="645"/>
      <c r="JO361" s="645"/>
      <c r="JP361" s="645"/>
      <c r="JQ361" s="645"/>
      <c r="JR361" s="645"/>
      <c r="JS361" s="645"/>
      <c r="JT361" s="645"/>
      <c r="JU361" s="645"/>
      <c r="JV361" s="653"/>
    </row>
    <row r="362" spans="1:282" s="612" customFormat="1">
      <c r="A362" s="611"/>
      <c r="U362" s="613"/>
      <c r="V362" s="613"/>
      <c r="AC362" s="613"/>
      <c r="AD362" s="613"/>
      <c r="AL362" s="613"/>
      <c r="AM362" s="613"/>
      <c r="AT362" s="613"/>
      <c r="AU362" s="613"/>
      <c r="CH362" s="611"/>
      <c r="CI362" s="611"/>
      <c r="CO362" s="695"/>
      <c r="CP362" s="645"/>
      <c r="CQ362" s="618"/>
      <c r="CR362" s="618"/>
      <c r="CS362" s="618"/>
      <c r="CT362" s="626"/>
      <c r="CU362" s="626"/>
      <c r="CV362" s="626"/>
      <c r="CW362" s="646"/>
      <c r="CX362" s="646"/>
      <c r="CY362" s="625"/>
      <c r="CZ362" s="625"/>
      <c r="DA362" s="625"/>
      <c r="DB362" s="625"/>
      <c r="DC362" s="645"/>
      <c r="DD362" s="645"/>
      <c r="DE362" s="645"/>
      <c r="DF362" s="645"/>
      <c r="DG362" s="645"/>
      <c r="DH362" s="645"/>
      <c r="DI362" s="645"/>
      <c r="DJ362" s="645"/>
      <c r="DK362" s="645"/>
      <c r="DL362" s="645"/>
      <c r="DM362" s="645"/>
      <c r="DN362" s="645"/>
      <c r="DO362" s="645"/>
      <c r="DP362" s="645"/>
      <c r="DQ362" s="645"/>
      <c r="DR362" s="645"/>
      <c r="DS362" s="645"/>
      <c r="DT362" s="645"/>
      <c r="DU362" s="645"/>
      <c r="DV362" s="645"/>
      <c r="DW362" s="645"/>
      <c r="DX362" s="645"/>
      <c r="DY362" s="645"/>
      <c r="DZ362" s="645"/>
      <c r="EA362" s="645"/>
      <c r="EB362" s="645"/>
      <c r="EC362" s="645"/>
      <c r="ED362" s="645"/>
      <c r="EE362" s="645"/>
      <c r="EF362" s="645"/>
      <c r="EG362" s="645"/>
      <c r="EH362" s="645"/>
      <c r="EI362" s="645"/>
      <c r="EJ362" s="645"/>
      <c r="EK362" s="645"/>
      <c r="EL362" s="645"/>
      <c r="EM362" s="645"/>
      <c r="EN362" s="645"/>
      <c r="EO362" s="645"/>
      <c r="EP362" s="645"/>
      <c r="EQ362" s="645"/>
      <c r="ER362" s="645"/>
      <c r="ES362" s="645"/>
      <c r="ET362" s="645"/>
      <c r="EU362" s="645"/>
      <c r="EV362" s="645"/>
      <c r="EW362" s="645"/>
      <c r="EX362" s="645"/>
      <c r="EY362" s="645"/>
      <c r="EZ362" s="645"/>
      <c r="FA362" s="645"/>
      <c r="FB362" s="645"/>
      <c r="FC362" s="645"/>
      <c r="FD362" s="645"/>
      <c r="FE362" s="645"/>
      <c r="FF362" s="645"/>
      <c r="FG362" s="645"/>
      <c r="FH362" s="645"/>
      <c r="FI362" s="645"/>
      <c r="FJ362" s="645"/>
      <c r="FK362" s="645"/>
      <c r="FL362" s="645"/>
      <c r="FM362" s="645"/>
      <c r="FN362" s="645"/>
      <c r="FO362" s="645"/>
      <c r="FP362" s="645"/>
      <c r="FQ362" s="645"/>
      <c r="FR362" s="645"/>
      <c r="FS362" s="645"/>
      <c r="FT362" s="645"/>
      <c r="FU362" s="645"/>
      <c r="FV362" s="645"/>
      <c r="FW362" s="645"/>
      <c r="FX362" s="645"/>
      <c r="FY362" s="645"/>
      <c r="FZ362" s="645"/>
      <c r="GA362" s="645"/>
      <c r="GB362" s="645"/>
      <c r="GC362" s="645"/>
      <c r="GD362" s="645"/>
      <c r="GE362" s="645"/>
      <c r="GF362" s="645"/>
      <c r="GG362" s="645"/>
      <c r="GH362" s="645"/>
      <c r="GI362" s="645"/>
      <c r="GJ362" s="645"/>
      <c r="GK362" s="645"/>
      <c r="GL362" s="645"/>
      <c r="GM362" s="645"/>
      <c r="GN362" s="645"/>
      <c r="GO362" s="645"/>
      <c r="GP362" s="645"/>
      <c r="GQ362" s="645"/>
      <c r="GR362" s="645"/>
      <c r="GS362" s="645"/>
      <c r="GT362" s="645"/>
      <c r="GU362" s="645"/>
      <c r="GV362" s="645"/>
      <c r="GW362" s="645"/>
      <c r="GX362" s="645"/>
      <c r="GY362" s="645"/>
      <c r="GZ362" s="645"/>
      <c r="HA362" s="645"/>
      <c r="HB362" s="645"/>
      <c r="HC362" s="645"/>
      <c r="HD362" s="645"/>
      <c r="HE362" s="645"/>
      <c r="HF362" s="645"/>
      <c r="HG362" s="645"/>
      <c r="HH362" s="645"/>
      <c r="HI362" s="645"/>
      <c r="HJ362" s="645"/>
      <c r="HK362" s="645"/>
      <c r="HL362" s="645"/>
      <c r="HM362" s="645"/>
      <c r="HN362" s="645"/>
      <c r="HO362" s="645"/>
      <c r="HP362" s="645"/>
      <c r="HQ362" s="645"/>
      <c r="HR362" s="645">
        <v>0.17949999999999999</v>
      </c>
      <c r="HS362" s="645">
        <f t="shared" si="812"/>
        <v>1205.2142857142856</v>
      </c>
      <c r="HT362" s="645">
        <f t="shared" si="813"/>
        <v>1</v>
      </c>
      <c r="HU362" s="618">
        <f t="shared" si="814"/>
        <v>4.5728570103230828</v>
      </c>
      <c r="HV362" s="618"/>
      <c r="HW362" s="618">
        <f t="shared" si="799"/>
        <v>29.506543045341225</v>
      </c>
      <c r="HX362" s="618">
        <f t="shared" si="815"/>
        <v>4.1592964193105084</v>
      </c>
      <c r="HY362" s="618">
        <f t="shared" si="816"/>
        <v>0.17949999999999999</v>
      </c>
      <c r="HZ362" s="618"/>
      <c r="IA362" s="618"/>
      <c r="IB362" s="618">
        <f t="shared" si="800"/>
        <v>25.000350341399081</v>
      </c>
      <c r="IC362" s="618">
        <f t="shared" si="801"/>
        <v>1E-3</v>
      </c>
      <c r="ID362" s="618"/>
      <c r="IE362" s="618">
        <f t="shared" si="802"/>
        <v>0</v>
      </c>
      <c r="IF362" s="618">
        <f t="shared" si="803"/>
        <v>40.704999999999998</v>
      </c>
      <c r="IG362" s="618"/>
      <c r="IH362" s="618">
        <f t="shared" si="804"/>
        <v>0</v>
      </c>
      <c r="II362" s="618">
        <f t="shared" si="805"/>
        <v>40.704999999999998</v>
      </c>
      <c r="IJ362" s="618"/>
      <c r="IK362" s="618">
        <f t="shared" si="806"/>
        <v>0</v>
      </c>
      <c r="IL362" s="618">
        <f t="shared" si="807"/>
        <v>40.704999999999998</v>
      </c>
      <c r="IM362" s="618"/>
      <c r="IN362" s="618">
        <f t="shared" si="808"/>
        <v>0</v>
      </c>
      <c r="IO362" s="618">
        <f t="shared" si="809"/>
        <v>40.704999999999998</v>
      </c>
      <c r="IP362" s="618"/>
      <c r="IQ362" s="618">
        <f t="shared" si="810"/>
        <v>0</v>
      </c>
      <c r="IR362" s="618">
        <f t="shared" si="811"/>
        <v>40.704999999999998</v>
      </c>
      <c r="IS362" s="645"/>
      <c r="IT362" s="645"/>
      <c r="IU362" s="645"/>
      <c r="IV362" s="645"/>
      <c r="IW362" s="645"/>
      <c r="IX362" s="645"/>
      <c r="IY362" s="645"/>
      <c r="IZ362" s="645"/>
      <c r="JA362" s="645"/>
      <c r="JB362" s="645"/>
      <c r="JC362" s="645"/>
      <c r="JD362" s="645"/>
      <c r="JE362" s="645"/>
      <c r="JF362" s="645"/>
      <c r="JG362" s="645"/>
      <c r="JH362" s="645"/>
      <c r="JI362" s="645"/>
      <c r="JJ362" s="645"/>
      <c r="JK362" s="645"/>
      <c r="JL362" s="645"/>
      <c r="JM362" s="645"/>
      <c r="JN362" s="645"/>
      <c r="JO362" s="645"/>
      <c r="JP362" s="645"/>
      <c r="JQ362" s="645"/>
      <c r="JR362" s="645"/>
      <c r="JS362" s="645"/>
      <c r="JT362" s="645"/>
      <c r="JU362" s="645"/>
      <c r="JV362" s="653"/>
    </row>
    <row r="363" spans="1:282" s="612" customFormat="1">
      <c r="A363" s="611"/>
      <c r="U363" s="613"/>
      <c r="V363" s="613"/>
      <c r="AC363" s="613"/>
      <c r="AD363" s="613"/>
      <c r="AL363" s="613"/>
      <c r="AM363" s="613"/>
      <c r="AT363" s="613"/>
      <c r="AU363" s="613"/>
      <c r="CH363" s="611"/>
      <c r="CI363" s="611"/>
      <c r="CO363" s="695"/>
      <c r="CP363" s="645"/>
      <c r="CQ363" s="618"/>
      <c r="CR363" s="618"/>
      <c r="CS363" s="618"/>
      <c r="CT363" s="626"/>
      <c r="CU363" s="626"/>
      <c r="CV363" s="626"/>
      <c r="CW363" s="646"/>
      <c r="CX363" s="646"/>
      <c r="CY363" s="625"/>
      <c r="CZ363" s="625"/>
      <c r="DA363" s="625"/>
      <c r="DB363" s="625"/>
      <c r="DC363" s="645"/>
      <c r="DD363" s="645"/>
      <c r="DE363" s="645"/>
      <c r="DF363" s="645"/>
      <c r="DG363" s="645"/>
      <c r="DH363" s="645"/>
      <c r="DI363" s="645"/>
      <c r="DJ363" s="645"/>
      <c r="DK363" s="645"/>
      <c r="DL363" s="645"/>
      <c r="DM363" s="645"/>
      <c r="DN363" s="645"/>
      <c r="DO363" s="645"/>
      <c r="DP363" s="645"/>
      <c r="DQ363" s="645"/>
      <c r="DR363" s="645"/>
      <c r="DS363" s="645"/>
      <c r="DT363" s="645"/>
      <c r="DU363" s="645"/>
      <c r="DV363" s="645"/>
      <c r="DW363" s="645"/>
      <c r="DX363" s="645"/>
      <c r="DY363" s="645"/>
      <c r="DZ363" s="645"/>
      <c r="EA363" s="645"/>
      <c r="EB363" s="645"/>
      <c r="EC363" s="645"/>
      <c r="ED363" s="645"/>
      <c r="EE363" s="645"/>
      <c r="EF363" s="645"/>
      <c r="EG363" s="645"/>
      <c r="EH363" s="645"/>
      <c r="EI363" s="645"/>
      <c r="EJ363" s="645"/>
      <c r="EK363" s="645"/>
      <c r="EL363" s="645"/>
      <c r="EM363" s="645"/>
      <c r="EN363" s="645"/>
      <c r="EO363" s="645"/>
      <c r="EP363" s="645"/>
      <c r="EQ363" s="645"/>
      <c r="ER363" s="645"/>
      <c r="ES363" s="645"/>
      <c r="ET363" s="645"/>
      <c r="EU363" s="645"/>
      <c r="EV363" s="645"/>
      <c r="EW363" s="645"/>
      <c r="EX363" s="645"/>
      <c r="EY363" s="645"/>
      <c r="EZ363" s="645"/>
      <c r="FA363" s="645"/>
      <c r="FB363" s="645"/>
      <c r="FC363" s="645"/>
      <c r="FD363" s="645"/>
      <c r="FE363" s="645"/>
      <c r="FF363" s="645"/>
      <c r="FG363" s="645"/>
      <c r="FH363" s="645"/>
      <c r="FI363" s="645"/>
      <c r="FJ363" s="645"/>
      <c r="FK363" s="645"/>
      <c r="FL363" s="645"/>
      <c r="FM363" s="645"/>
      <c r="FN363" s="645"/>
      <c r="FO363" s="645"/>
      <c r="FP363" s="645"/>
      <c r="FQ363" s="645"/>
      <c r="FR363" s="645"/>
      <c r="FS363" s="645"/>
      <c r="FT363" s="645"/>
      <c r="FU363" s="645"/>
      <c r="FV363" s="645"/>
      <c r="FW363" s="645"/>
      <c r="FX363" s="645"/>
      <c r="FY363" s="645"/>
      <c r="FZ363" s="645"/>
      <c r="GA363" s="645"/>
      <c r="GB363" s="645"/>
      <c r="GC363" s="645"/>
      <c r="GD363" s="645"/>
      <c r="GE363" s="645"/>
      <c r="GF363" s="645"/>
      <c r="GG363" s="645"/>
      <c r="GH363" s="645"/>
      <c r="GI363" s="645"/>
      <c r="GJ363" s="645"/>
      <c r="GK363" s="645"/>
      <c r="GL363" s="645"/>
      <c r="GM363" s="645"/>
      <c r="GN363" s="645"/>
      <c r="GO363" s="645"/>
      <c r="GP363" s="645"/>
      <c r="GQ363" s="645"/>
      <c r="GR363" s="645"/>
      <c r="GS363" s="645"/>
      <c r="GT363" s="645"/>
      <c r="GU363" s="645"/>
      <c r="GV363" s="645"/>
      <c r="GW363" s="645"/>
      <c r="GX363" s="645"/>
      <c r="GY363" s="645"/>
      <c r="GZ363" s="645"/>
      <c r="HA363" s="645"/>
      <c r="HB363" s="645"/>
      <c r="HC363" s="645"/>
      <c r="HD363" s="645"/>
      <c r="HE363" s="645"/>
      <c r="HF363" s="645"/>
      <c r="HG363" s="645"/>
      <c r="HH363" s="645"/>
      <c r="HI363" s="645"/>
      <c r="HJ363" s="645"/>
      <c r="HK363" s="645"/>
      <c r="HL363" s="645"/>
      <c r="HM363" s="645"/>
      <c r="HN363" s="645"/>
      <c r="HO363" s="645"/>
      <c r="HP363" s="645"/>
      <c r="HQ363" s="645"/>
      <c r="HR363" s="645">
        <v>0.18</v>
      </c>
      <c r="HS363" s="645">
        <f t="shared" si="812"/>
        <v>1208.5714285714284</v>
      </c>
      <c r="HT363" s="645">
        <f t="shared" si="813"/>
        <v>1</v>
      </c>
      <c r="HU363" s="618">
        <f t="shared" si="814"/>
        <v>4.5855960542967074</v>
      </c>
      <c r="HV363" s="618"/>
      <c r="HW363" s="618">
        <f t="shared" si="799"/>
        <v>29.488453602898677</v>
      </c>
      <c r="HX363" s="618">
        <f t="shared" si="815"/>
        <v>4.1697312722872173</v>
      </c>
      <c r="HY363" s="618">
        <f t="shared" si="816"/>
        <v>0.18</v>
      </c>
      <c r="HZ363" s="618"/>
      <c r="IA363" s="618"/>
      <c r="IB363" s="618">
        <f t="shared" si="800"/>
        <v>25.000350341399081</v>
      </c>
      <c r="IC363" s="618">
        <f t="shared" si="801"/>
        <v>1E-3</v>
      </c>
      <c r="ID363" s="618"/>
      <c r="IE363" s="618">
        <f t="shared" si="802"/>
        <v>0</v>
      </c>
      <c r="IF363" s="618">
        <f t="shared" si="803"/>
        <v>40.704999999999998</v>
      </c>
      <c r="IG363" s="618"/>
      <c r="IH363" s="618">
        <f t="shared" si="804"/>
        <v>0</v>
      </c>
      <c r="II363" s="618">
        <f t="shared" si="805"/>
        <v>40.704999999999998</v>
      </c>
      <c r="IJ363" s="618"/>
      <c r="IK363" s="618">
        <f t="shared" si="806"/>
        <v>0</v>
      </c>
      <c r="IL363" s="618">
        <f t="shared" si="807"/>
        <v>40.704999999999998</v>
      </c>
      <c r="IM363" s="618"/>
      <c r="IN363" s="618">
        <f t="shared" si="808"/>
        <v>0</v>
      </c>
      <c r="IO363" s="618">
        <f t="shared" si="809"/>
        <v>40.704999999999998</v>
      </c>
      <c r="IP363" s="618"/>
      <c r="IQ363" s="618">
        <f t="shared" si="810"/>
        <v>0</v>
      </c>
      <c r="IR363" s="618">
        <f t="shared" si="811"/>
        <v>40.704999999999998</v>
      </c>
      <c r="IS363" s="645"/>
      <c r="IT363" s="645"/>
      <c r="IU363" s="645"/>
      <c r="IV363" s="645"/>
      <c r="IW363" s="645"/>
      <c r="IX363" s="645"/>
      <c r="IY363" s="645"/>
      <c r="IZ363" s="645"/>
      <c r="JA363" s="645"/>
      <c r="JB363" s="645"/>
      <c r="JC363" s="645"/>
      <c r="JD363" s="645"/>
      <c r="JE363" s="645"/>
      <c r="JF363" s="645"/>
      <c r="JG363" s="645"/>
      <c r="JH363" s="645"/>
      <c r="JI363" s="645"/>
      <c r="JJ363" s="645"/>
      <c r="JK363" s="645"/>
      <c r="JL363" s="645"/>
      <c r="JM363" s="645"/>
      <c r="JN363" s="645"/>
      <c r="JO363" s="645"/>
      <c r="JP363" s="645"/>
      <c r="JQ363" s="645"/>
      <c r="JR363" s="645"/>
      <c r="JS363" s="645"/>
      <c r="JT363" s="645"/>
      <c r="JU363" s="645"/>
      <c r="JV363" s="653"/>
    </row>
    <row r="364" spans="1:282" s="612" customFormat="1">
      <c r="A364" s="611"/>
      <c r="U364" s="613"/>
      <c r="V364" s="613"/>
      <c r="AC364" s="613"/>
      <c r="AD364" s="613"/>
      <c r="AL364" s="613"/>
      <c r="AM364" s="613"/>
      <c r="AT364" s="613"/>
      <c r="AU364" s="613"/>
      <c r="CH364" s="611"/>
      <c r="CI364" s="611"/>
      <c r="CO364" s="695"/>
      <c r="CP364" s="645"/>
      <c r="CQ364" s="618"/>
      <c r="CR364" s="618"/>
      <c r="CS364" s="618"/>
      <c r="CT364" s="626"/>
      <c r="CU364" s="626"/>
      <c r="CV364" s="626"/>
      <c r="CW364" s="646"/>
      <c r="CX364" s="646"/>
      <c r="CY364" s="625"/>
      <c r="CZ364" s="625"/>
      <c r="DA364" s="625"/>
      <c r="DB364" s="625"/>
      <c r="DC364" s="645"/>
      <c r="DD364" s="645"/>
      <c r="DE364" s="645"/>
      <c r="DF364" s="645"/>
      <c r="DG364" s="645"/>
      <c r="DH364" s="645"/>
      <c r="DI364" s="645"/>
      <c r="DJ364" s="645"/>
      <c r="DK364" s="645"/>
      <c r="DL364" s="645"/>
      <c r="DM364" s="645"/>
      <c r="DN364" s="645"/>
      <c r="DO364" s="645"/>
      <c r="DP364" s="645"/>
      <c r="DQ364" s="645"/>
      <c r="DR364" s="645"/>
      <c r="DS364" s="645"/>
      <c r="DT364" s="645"/>
      <c r="DU364" s="645"/>
      <c r="DV364" s="645"/>
      <c r="DW364" s="645"/>
      <c r="DX364" s="645"/>
      <c r="DY364" s="645"/>
      <c r="DZ364" s="645"/>
      <c r="EA364" s="645"/>
      <c r="EB364" s="645"/>
      <c r="EC364" s="645"/>
      <c r="ED364" s="645"/>
      <c r="EE364" s="645"/>
      <c r="EF364" s="645"/>
      <c r="EG364" s="645"/>
      <c r="EH364" s="645"/>
      <c r="EI364" s="645"/>
      <c r="EJ364" s="645"/>
      <c r="EK364" s="645"/>
      <c r="EL364" s="645"/>
      <c r="EM364" s="645"/>
      <c r="EN364" s="645"/>
      <c r="EO364" s="645"/>
      <c r="EP364" s="645"/>
      <c r="EQ364" s="645"/>
      <c r="ER364" s="645"/>
      <c r="ES364" s="645"/>
      <c r="ET364" s="645"/>
      <c r="EU364" s="645"/>
      <c r="EV364" s="645"/>
      <c r="EW364" s="645"/>
      <c r="EX364" s="645"/>
      <c r="EY364" s="645"/>
      <c r="EZ364" s="645"/>
      <c r="FA364" s="645"/>
      <c r="FB364" s="645"/>
      <c r="FC364" s="645"/>
      <c r="FD364" s="645"/>
      <c r="FE364" s="645"/>
      <c r="FF364" s="645"/>
      <c r="FG364" s="645"/>
      <c r="FH364" s="645"/>
      <c r="FI364" s="645"/>
      <c r="FJ364" s="645"/>
      <c r="FK364" s="645"/>
      <c r="FL364" s="645"/>
      <c r="FM364" s="645"/>
      <c r="FN364" s="645"/>
      <c r="FO364" s="645"/>
      <c r="FP364" s="645"/>
      <c r="FQ364" s="645"/>
      <c r="FR364" s="645"/>
      <c r="FS364" s="645"/>
      <c r="FT364" s="645"/>
      <c r="FU364" s="645"/>
      <c r="FV364" s="645"/>
      <c r="FW364" s="645"/>
      <c r="FX364" s="645"/>
      <c r="FY364" s="645"/>
      <c r="FZ364" s="645"/>
      <c r="GA364" s="645"/>
      <c r="GB364" s="645"/>
      <c r="GC364" s="645"/>
      <c r="GD364" s="645"/>
      <c r="GE364" s="645"/>
      <c r="GF364" s="645"/>
      <c r="GG364" s="645"/>
      <c r="GH364" s="645"/>
      <c r="GI364" s="645"/>
      <c r="GJ364" s="645"/>
      <c r="GK364" s="645"/>
      <c r="GL364" s="645"/>
      <c r="GM364" s="645"/>
      <c r="GN364" s="645"/>
      <c r="GO364" s="645"/>
      <c r="GP364" s="645"/>
      <c r="GQ364" s="645"/>
      <c r="GR364" s="645"/>
      <c r="GS364" s="645"/>
      <c r="GT364" s="645"/>
      <c r="GU364" s="645"/>
      <c r="GV364" s="645"/>
      <c r="GW364" s="645"/>
      <c r="GX364" s="645"/>
      <c r="GY364" s="645"/>
      <c r="GZ364" s="645"/>
      <c r="HA364" s="645"/>
      <c r="HB364" s="645"/>
      <c r="HC364" s="645"/>
      <c r="HD364" s="645"/>
      <c r="HE364" s="645"/>
      <c r="HF364" s="645"/>
      <c r="HG364" s="645"/>
      <c r="HH364" s="645"/>
      <c r="HI364" s="645"/>
      <c r="HJ364" s="645"/>
      <c r="HK364" s="645"/>
      <c r="HL364" s="645"/>
      <c r="HM364" s="645"/>
      <c r="HN364" s="645"/>
      <c r="HO364" s="645"/>
      <c r="HP364" s="645"/>
      <c r="HQ364" s="645"/>
      <c r="HR364" s="645">
        <v>0.18049999999999999</v>
      </c>
      <c r="HS364" s="645">
        <f t="shared" si="812"/>
        <v>1211.9285714285713</v>
      </c>
      <c r="HT364" s="645">
        <f t="shared" si="813"/>
        <v>1</v>
      </c>
      <c r="HU364" s="618">
        <f t="shared" si="814"/>
        <v>4.5983350982703319</v>
      </c>
      <c r="HV364" s="618"/>
      <c r="HW364" s="618">
        <f t="shared" si="799"/>
        <v>29.470364160456128</v>
      </c>
      <c r="HX364" s="618">
        <f t="shared" si="815"/>
        <v>4.1801597240916282</v>
      </c>
      <c r="HY364" s="618">
        <f t="shared" si="816"/>
        <v>0.18049999999999999</v>
      </c>
      <c r="HZ364" s="618"/>
      <c r="IA364" s="618"/>
      <c r="IB364" s="618">
        <f t="shared" si="800"/>
        <v>25.000350341399081</v>
      </c>
      <c r="IC364" s="618">
        <f t="shared" si="801"/>
        <v>1E-3</v>
      </c>
      <c r="ID364" s="618"/>
      <c r="IE364" s="618">
        <f t="shared" si="802"/>
        <v>0</v>
      </c>
      <c r="IF364" s="618">
        <f t="shared" si="803"/>
        <v>40.704999999999998</v>
      </c>
      <c r="IG364" s="618"/>
      <c r="IH364" s="618">
        <f t="shared" si="804"/>
        <v>0</v>
      </c>
      <c r="II364" s="618">
        <f t="shared" si="805"/>
        <v>40.704999999999998</v>
      </c>
      <c r="IJ364" s="618"/>
      <c r="IK364" s="618">
        <f t="shared" si="806"/>
        <v>0</v>
      </c>
      <c r="IL364" s="618">
        <f t="shared" si="807"/>
        <v>40.704999999999998</v>
      </c>
      <c r="IM364" s="618"/>
      <c r="IN364" s="618">
        <f t="shared" si="808"/>
        <v>0</v>
      </c>
      <c r="IO364" s="618">
        <f t="shared" si="809"/>
        <v>40.704999999999998</v>
      </c>
      <c r="IP364" s="618"/>
      <c r="IQ364" s="618">
        <f t="shared" si="810"/>
        <v>0</v>
      </c>
      <c r="IR364" s="618">
        <f t="shared" si="811"/>
        <v>40.704999999999998</v>
      </c>
      <c r="IS364" s="645"/>
      <c r="IT364" s="645"/>
      <c r="IU364" s="645"/>
      <c r="IV364" s="645"/>
      <c r="IW364" s="645"/>
      <c r="IX364" s="645"/>
      <c r="IY364" s="645"/>
      <c r="IZ364" s="645"/>
      <c r="JA364" s="645"/>
      <c r="JB364" s="645"/>
      <c r="JC364" s="645"/>
      <c r="JD364" s="645"/>
      <c r="JE364" s="645"/>
      <c r="JF364" s="645"/>
      <c r="JG364" s="645"/>
      <c r="JH364" s="645"/>
      <c r="JI364" s="645"/>
      <c r="JJ364" s="645"/>
      <c r="JK364" s="645"/>
      <c r="JL364" s="645"/>
      <c r="JM364" s="645"/>
      <c r="JN364" s="645"/>
      <c r="JO364" s="645"/>
      <c r="JP364" s="645"/>
      <c r="JQ364" s="645"/>
      <c r="JR364" s="645"/>
      <c r="JS364" s="645"/>
      <c r="JT364" s="645"/>
      <c r="JU364" s="645"/>
      <c r="JV364" s="653"/>
    </row>
    <row r="365" spans="1:282" s="612" customFormat="1">
      <c r="A365" s="611"/>
      <c r="U365" s="613"/>
      <c r="V365" s="613"/>
      <c r="AC365" s="613"/>
      <c r="AD365" s="613"/>
      <c r="AL365" s="613"/>
      <c r="AM365" s="613"/>
      <c r="AT365" s="613"/>
      <c r="AU365" s="613"/>
      <c r="CH365" s="611"/>
      <c r="CI365" s="611"/>
      <c r="CO365" s="695"/>
      <c r="CP365" s="645"/>
      <c r="CQ365" s="618"/>
      <c r="CR365" s="618"/>
      <c r="CS365" s="618"/>
      <c r="CT365" s="626"/>
      <c r="CU365" s="626"/>
      <c r="CV365" s="626"/>
      <c r="CW365" s="646"/>
      <c r="CX365" s="646"/>
      <c r="CY365" s="625"/>
      <c r="CZ365" s="625"/>
      <c r="DA365" s="625"/>
      <c r="DB365" s="625"/>
      <c r="DC365" s="645"/>
      <c r="DD365" s="645"/>
      <c r="DE365" s="645"/>
      <c r="DF365" s="645"/>
      <c r="DG365" s="645"/>
      <c r="DH365" s="645"/>
      <c r="DI365" s="645"/>
      <c r="DJ365" s="645"/>
      <c r="DK365" s="645"/>
      <c r="DL365" s="645"/>
      <c r="DM365" s="645"/>
      <c r="DN365" s="645"/>
      <c r="DO365" s="645"/>
      <c r="DP365" s="645"/>
      <c r="DQ365" s="645"/>
      <c r="DR365" s="645"/>
      <c r="DS365" s="645"/>
      <c r="DT365" s="645"/>
      <c r="DU365" s="645"/>
      <c r="DV365" s="645"/>
      <c r="DW365" s="645"/>
      <c r="DX365" s="645"/>
      <c r="DY365" s="645"/>
      <c r="DZ365" s="645"/>
      <c r="EA365" s="645"/>
      <c r="EB365" s="645"/>
      <c r="EC365" s="645"/>
      <c r="ED365" s="645"/>
      <c r="EE365" s="645"/>
      <c r="EF365" s="645"/>
      <c r="EG365" s="645"/>
      <c r="EH365" s="645"/>
      <c r="EI365" s="645"/>
      <c r="EJ365" s="645"/>
      <c r="EK365" s="645"/>
      <c r="EL365" s="645"/>
      <c r="EM365" s="645"/>
      <c r="EN365" s="645"/>
      <c r="EO365" s="645"/>
      <c r="EP365" s="645"/>
      <c r="EQ365" s="645"/>
      <c r="ER365" s="645"/>
      <c r="ES365" s="645"/>
      <c r="ET365" s="645"/>
      <c r="EU365" s="645"/>
      <c r="EV365" s="645"/>
      <c r="EW365" s="645"/>
      <c r="EX365" s="645"/>
      <c r="EY365" s="645"/>
      <c r="EZ365" s="645"/>
      <c r="FA365" s="645"/>
      <c r="FB365" s="645"/>
      <c r="FC365" s="645"/>
      <c r="FD365" s="645"/>
      <c r="FE365" s="645"/>
      <c r="FF365" s="645"/>
      <c r="FG365" s="645"/>
      <c r="FH365" s="645"/>
      <c r="FI365" s="645"/>
      <c r="FJ365" s="645"/>
      <c r="FK365" s="645"/>
      <c r="FL365" s="645"/>
      <c r="FM365" s="645"/>
      <c r="FN365" s="645"/>
      <c r="FO365" s="645"/>
      <c r="FP365" s="645"/>
      <c r="FQ365" s="645"/>
      <c r="FR365" s="645"/>
      <c r="FS365" s="645"/>
      <c r="FT365" s="645"/>
      <c r="FU365" s="645"/>
      <c r="FV365" s="645"/>
      <c r="FW365" s="645"/>
      <c r="FX365" s="645"/>
      <c r="FY365" s="645"/>
      <c r="FZ365" s="645"/>
      <c r="GA365" s="645"/>
      <c r="GB365" s="645"/>
      <c r="GC365" s="645"/>
      <c r="GD365" s="645"/>
      <c r="GE365" s="645"/>
      <c r="GF365" s="645"/>
      <c r="GG365" s="645"/>
      <c r="GH365" s="645"/>
      <c r="GI365" s="645"/>
      <c r="GJ365" s="645"/>
      <c r="GK365" s="645"/>
      <c r="GL365" s="645"/>
      <c r="GM365" s="645"/>
      <c r="GN365" s="645"/>
      <c r="GO365" s="645"/>
      <c r="GP365" s="645"/>
      <c r="GQ365" s="645"/>
      <c r="GR365" s="645"/>
      <c r="GS365" s="645"/>
      <c r="GT365" s="645"/>
      <c r="GU365" s="645"/>
      <c r="GV365" s="645"/>
      <c r="GW365" s="645"/>
      <c r="GX365" s="645"/>
      <c r="GY365" s="645"/>
      <c r="GZ365" s="645"/>
      <c r="HA365" s="645"/>
      <c r="HB365" s="645"/>
      <c r="HC365" s="645"/>
      <c r="HD365" s="645"/>
      <c r="HE365" s="645"/>
      <c r="HF365" s="645"/>
      <c r="HG365" s="645"/>
      <c r="HH365" s="645"/>
      <c r="HI365" s="645"/>
      <c r="HJ365" s="645"/>
      <c r="HK365" s="645"/>
      <c r="HL365" s="645"/>
      <c r="HM365" s="645"/>
      <c r="HN365" s="645"/>
      <c r="HO365" s="645"/>
      <c r="HP365" s="645"/>
      <c r="HQ365" s="645"/>
      <c r="HR365" s="645">
        <v>0.18099999999999999</v>
      </c>
      <c r="HS365" s="645">
        <f t="shared" si="812"/>
        <v>1215.2857142857142</v>
      </c>
      <c r="HT365" s="645">
        <f t="shared" si="813"/>
        <v>1</v>
      </c>
      <c r="HU365" s="618">
        <f t="shared" si="814"/>
        <v>4.6110741422439565</v>
      </c>
      <c r="HV365" s="618"/>
      <c r="HW365" s="618">
        <f t="shared" si="799"/>
        <v>29.452274718013584</v>
      </c>
      <c r="HX365" s="618">
        <f t="shared" si="815"/>
        <v>4.190581774723741</v>
      </c>
      <c r="HY365" s="618">
        <f t="shared" si="816"/>
        <v>0.18099999999999999</v>
      </c>
      <c r="HZ365" s="618"/>
      <c r="IA365" s="618"/>
      <c r="IB365" s="618">
        <f t="shared" si="800"/>
        <v>25.000350341399081</v>
      </c>
      <c r="IC365" s="618">
        <f t="shared" si="801"/>
        <v>1E-3</v>
      </c>
      <c r="ID365" s="618"/>
      <c r="IE365" s="618">
        <f t="shared" si="802"/>
        <v>0</v>
      </c>
      <c r="IF365" s="618">
        <f t="shared" si="803"/>
        <v>40.704999999999998</v>
      </c>
      <c r="IG365" s="618"/>
      <c r="IH365" s="618">
        <f t="shared" si="804"/>
        <v>0</v>
      </c>
      <c r="II365" s="618">
        <f t="shared" si="805"/>
        <v>40.704999999999998</v>
      </c>
      <c r="IJ365" s="618"/>
      <c r="IK365" s="618">
        <f t="shared" si="806"/>
        <v>0</v>
      </c>
      <c r="IL365" s="618">
        <f t="shared" si="807"/>
        <v>40.704999999999998</v>
      </c>
      <c r="IM365" s="618"/>
      <c r="IN365" s="618">
        <f t="shared" si="808"/>
        <v>0</v>
      </c>
      <c r="IO365" s="618">
        <f t="shared" si="809"/>
        <v>40.704999999999998</v>
      </c>
      <c r="IP365" s="618"/>
      <c r="IQ365" s="618">
        <f t="shared" si="810"/>
        <v>0</v>
      </c>
      <c r="IR365" s="618">
        <f t="shared" si="811"/>
        <v>40.704999999999998</v>
      </c>
      <c r="IS365" s="645"/>
      <c r="IT365" s="645"/>
      <c r="IU365" s="645"/>
      <c r="IV365" s="645"/>
      <c r="IW365" s="645"/>
      <c r="IX365" s="645"/>
      <c r="IY365" s="645"/>
      <c r="IZ365" s="645"/>
      <c r="JA365" s="645"/>
      <c r="JB365" s="645"/>
      <c r="JC365" s="645"/>
      <c r="JD365" s="645"/>
      <c r="JE365" s="645"/>
      <c r="JF365" s="645"/>
      <c r="JG365" s="645"/>
      <c r="JH365" s="645"/>
      <c r="JI365" s="645"/>
      <c r="JJ365" s="645"/>
      <c r="JK365" s="645"/>
      <c r="JL365" s="645"/>
      <c r="JM365" s="645"/>
      <c r="JN365" s="645"/>
      <c r="JO365" s="645"/>
      <c r="JP365" s="645"/>
      <c r="JQ365" s="645"/>
      <c r="JR365" s="645"/>
      <c r="JS365" s="645"/>
      <c r="JT365" s="645"/>
      <c r="JU365" s="645"/>
      <c r="JV365" s="653"/>
    </row>
    <row r="366" spans="1:282" s="612" customFormat="1">
      <c r="A366" s="611"/>
      <c r="U366" s="613"/>
      <c r="V366" s="613"/>
      <c r="AC366" s="613"/>
      <c r="AD366" s="613"/>
      <c r="AL366" s="613"/>
      <c r="AM366" s="613"/>
      <c r="AT366" s="613"/>
      <c r="AU366" s="613"/>
      <c r="CH366" s="611"/>
      <c r="CI366" s="611"/>
      <c r="CO366" s="695"/>
      <c r="CP366" s="645"/>
      <c r="CQ366" s="618"/>
      <c r="CR366" s="618"/>
      <c r="CS366" s="618"/>
      <c r="CT366" s="626"/>
      <c r="CU366" s="626"/>
      <c r="CV366" s="626"/>
      <c r="CW366" s="646"/>
      <c r="CX366" s="646"/>
      <c r="CY366" s="625"/>
      <c r="CZ366" s="625"/>
      <c r="DA366" s="625"/>
      <c r="DB366" s="625"/>
      <c r="DC366" s="645"/>
      <c r="DD366" s="645"/>
      <c r="DE366" s="645"/>
      <c r="DF366" s="645"/>
      <c r="DG366" s="645"/>
      <c r="DH366" s="645"/>
      <c r="DI366" s="645"/>
      <c r="DJ366" s="645"/>
      <c r="DK366" s="645"/>
      <c r="DL366" s="645"/>
      <c r="DM366" s="645"/>
      <c r="DN366" s="645"/>
      <c r="DO366" s="645"/>
      <c r="DP366" s="645"/>
      <c r="DQ366" s="645"/>
      <c r="DR366" s="645"/>
      <c r="DS366" s="645"/>
      <c r="DT366" s="645"/>
      <c r="DU366" s="645"/>
      <c r="DV366" s="645"/>
      <c r="DW366" s="645"/>
      <c r="DX366" s="645"/>
      <c r="DY366" s="645"/>
      <c r="DZ366" s="645"/>
      <c r="EA366" s="645"/>
      <c r="EB366" s="645"/>
      <c r="EC366" s="645"/>
      <c r="ED366" s="645"/>
      <c r="EE366" s="645"/>
      <c r="EF366" s="645"/>
      <c r="EG366" s="645"/>
      <c r="EH366" s="645"/>
      <c r="EI366" s="645"/>
      <c r="EJ366" s="645"/>
      <c r="EK366" s="645"/>
      <c r="EL366" s="645"/>
      <c r="EM366" s="645"/>
      <c r="EN366" s="645"/>
      <c r="EO366" s="645"/>
      <c r="EP366" s="645"/>
      <c r="EQ366" s="645"/>
      <c r="ER366" s="645"/>
      <c r="ES366" s="645"/>
      <c r="ET366" s="645"/>
      <c r="EU366" s="645"/>
      <c r="EV366" s="645"/>
      <c r="EW366" s="645"/>
      <c r="EX366" s="645"/>
      <c r="EY366" s="645"/>
      <c r="EZ366" s="645"/>
      <c r="FA366" s="645"/>
      <c r="FB366" s="645"/>
      <c r="FC366" s="645"/>
      <c r="FD366" s="645"/>
      <c r="FE366" s="645"/>
      <c r="FF366" s="645"/>
      <c r="FG366" s="645"/>
      <c r="FH366" s="645"/>
      <c r="FI366" s="645"/>
      <c r="FJ366" s="645"/>
      <c r="FK366" s="645"/>
      <c r="FL366" s="645"/>
      <c r="FM366" s="645"/>
      <c r="FN366" s="645"/>
      <c r="FO366" s="645"/>
      <c r="FP366" s="645"/>
      <c r="FQ366" s="645"/>
      <c r="FR366" s="645"/>
      <c r="FS366" s="645"/>
      <c r="FT366" s="645"/>
      <c r="FU366" s="645"/>
      <c r="FV366" s="645"/>
      <c r="FW366" s="645"/>
      <c r="FX366" s="645"/>
      <c r="FY366" s="645"/>
      <c r="FZ366" s="645"/>
      <c r="GA366" s="645"/>
      <c r="GB366" s="645"/>
      <c r="GC366" s="645"/>
      <c r="GD366" s="645"/>
      <c r="GE366" s="645"/>
      <c r="GF366" s="645"/>
      <c r="GG366" s="645"/>
      <c r="GH366" s="645"/>
      <c r="GI366" s="645"/>
      <c r="GJ366" s="645"/>
      <c r="GK366" s="645"/>
      <c r="GL366" s="645"/>
      <c r="GM366" s="645"/>
      <c r="GN366" s="645"/>
      <c r="GO366" s="645"/>
      <c r="GP366" s="645"/>
      <c r="GQ366" s="645"/>
      <c r="GR366" s="645"/>
      <c r="GS366" s="645"/>
      <c r="GT366" s="645"/>
      <c r="GU366" s="645"/>
      <c r="GV366" s="645"/>
      <c r="GW366" s="645"/>
      <c r="GX366" s="645"/>
      <c r="GY366" s="645"/>
      <c r="GZ366" s="645"/>
      <c r="HA366" s="645"/>
      <c r="HB366" s="645"/>
      <c r="HC366" s="645"/>
      <c r="HD366" s="645"/>
      <c r="HE366" s="645"/>
      <c r="HF366" s="645"/>
      <c r="HG366" s="645"/>
      <c r="HH366" s="645"/>
      <c r="HI366" s="645"/>
      <c r="HJ366" s="645"/>
      <c r="HK366" s="645"/>
      <c r="HL366" s="645"/>
      <c r="HM366" s="645"/>
      <c r="HN366" s="645"/>
      <c r="HO366" s="645"/>
      <c r="HP366" s="645"/>
      <c r="HQ366" s="645"/>
      <c r="HR366" s="645">
        <v>0.18149999999999999</v>
      </c>
      <c r="HS366" s="645">
        <f t="shared" si="812"/>
        <v>1218.6428571428571</v>
      </c>
      <c r="HT366" s="645">
        <f t="shared" si="813"/>
        <v>1</v>
      </c>
      <c r="HU366" s="618">
        <f t="shared" si="814"/>
        <v>4.6238131862175811</v>
      </c>
      <c r="HV366" s="618"/>
      <c r="HW366" s="618">
        <f t="shared" si="799"/>
        <v>29.434185275571036</v>
      </c>
      <c r="HX366" s="618">
        <f t="shared" si="815"/>
        <v>4.200997424183555</v>
      </c>
      <c r="HY366" s="618">
        <f t="shared" si="816"/>
        <v>0.18149999999999999</v>
      </c>
      <c r="HZ366" s="618"/>
      <c r="IA366" s="618"/>
      <c r="IB366" s="618">
        <f t="shared" si="800"/>
        <v>25.000350341399081</v>
      </c>
      <c r="IC366" s="618">
        <f t="shared" si="801"/>
        <v>1E-3</v>
      </c>
      <c r="ID366" s="618"/>
      <c r="IE366" s="618">
        <f t="shared" si="802"/>
        <v>0</v>
      </c>
      <c r="IF366" s="618">
        <f t="shared" si="803"/>
        <v>40.704999999999998</v>
      </c>
      <c r="IG366" s="618"/>
      <c r="IH366" s="618">
        <f t="shared" si="804"/>
        <v>0</v>
      </c>
      <c r="II366" s="618">
        <f t="shared" si="805"/>
        <v>40.704999999999998</v>
      </c>
      <c r="IJ366" s="618"/>
      <c r="IK366" s="618">
        <f t="shared" si="806"/>
        <v>0</v>
      </c>
      <c r="IL366" s="618">
        <f t="shared" si="807"/>
        <v>40.704999999999998</v>
      </c>
      <c r="IM366" s="618"/>
      <c r="IN366" s="618">
        <f t="shared" si="808"/>
        <v>0</v>
      </c>
      <c r="IO366" s="618">
        <f t="shared" si="809"/>
        <v>40.704999999999998</v>
      </c>
      <c r="IP366" s="618"/>
      <c r="IQ366" s="618">
        <f t="shared" si="810"/>
        <v>0</v>
      </c>
      <c r="IR366" s="618">
        <f t="shared" si="811"/>
        <v>40.704999999999998</v>
      </c>
      <c r="IS366" s="645"/>
      <c r="IT366" s="645"/>
      <c r="IU366" s="645"/>
      <c r="IV366" s="645"/>
      <c r="IW366" s="645"/>
      <c r="IX366" s="645"/>
      <c r="IY366" s="645"/>
      <c r="IZ366" s="645"/>
      <c r="JA366" s="645"/>
      <c r="JB366" s="645"/>
      <c r="JC366" s="645"/>
      <c r="JD366" s="645"/>
      <c r="JE366" s="645"/>
      <c r="JF366" s="645"/>
      <c r="JG366" s="645"/>
      <c r="JH366" s="645"/>
      <c r="JI366" s="645"/>
      <c r="JJ366" s="645"/>
      <c r="JK366" s="645"/>
      <c r="JL366" s="645"/>
      <c r="JM366" s="645"/>
      <c r="JN366" s="645"/>
      <c r="JO366" s="645"/>
      <c r="JP366" s="645"/>
      <c r="JQ366" s="645"/>
      <c r="JR366" s="645"/>
      <c r="JS366" s="645"/>
      <c r="JT366" s="645"/>
      <c r="JU366" s="645"/>
      <c r="JV366" s="653"/>
    </row>
    <row r="367" spans="1:282" s="612" customFormat="1">
      <c r="A367" s="611"/>
      <c r="U367" s="613"/>
      <c r="V367" s="613"/>
      <c r="AC367" s="613"/>
      <c r="AD367" s="613"/>
      <c r="AL367" s="613"/>
      <c r="AM367" s="613"/>
      <c r="AT367" s="613"/>
      <c r="AU367" s="613"/>
      <c r="CH367" s="611"/>
      <c r="CI367" s="611"/>
      <c r="CO367" s="695"/>
      <c r="CP367" s="645"/>
      <c r="CQ367" s="618"/>
      <c r="CR367" s="618"/>
      <c r="CS367" s="618"/>
      <c r="CT367" s="626"/>
      <c r="CU367" s="626"/>
      <c r="CV367" s="626"/>
      <c r="CW367" s="646"/>
      <c r="CX367" s="646"/>
      <c r="CY367" s="625"/>
      <c r="CZ367" s="625"/>
      <c r="DA367" s="625"/>
      <c r="DB367" s="625"/>
      <c r="DC367" s="645"/>
      <c r="DD367" s="645"/>
      <c r="DE367" s="645"/>
      <c r="DF367" s="645"/>
      <c r="DG367" s="645"/>
      <c r="DH367" s="645"/>
      <c r="DI367" s="645"/>
      <c r="DJ367" s="645"/>
      <c r="DK367" s="645"/>
      <c r="DL367" s="645"/>
      <c r="DM367" s="645"/>
      <c r="DN367" s="645"/>
      <c r="DO367" s="645"/>
      <c r="DP367" s="645"/>
      <c r="DQ367" s="645"/>
      <c r="DR367" s="645"/>
      <c r="DS367" s="645"/>
      <c r="DT367" s="645"/>
      <c r="DU367" s="645"/>
      <c r="DV367" s="645"/>
      <c r="DW367" s="645"/>
      <c r="DX367" s="645"/>
      <c r="DY367" s="645"/>
      <c r="DZ367" s="645"/>
      <c r="EA367" s="645"/>
      <c r="EB367" s="645"/>
      <c r="EC367" s="645"/>
      <c r="ED367" s="645"/>
      <c r="EE367" s="645"/>
      <c r="EF367" s="645"/>
      <c r="EG367" s="645"/>
      <c r="EH367" s="645"/>
      <c r="EI367" s="645"/>
      <c r="EJ367" s="645"/>
      <c r="EK367" s="645"/>
      <c r="EL367" s="645"/>
      <c r="EM367" s="645"/>
      <c r="EN367" s="645"/>
      <c r="EO367" s="645"/>
      <c r="EP367" s="645"/>
      <c r="EQ367" s="645"/>
      <c r="ER367" s="645"/>
      <c r="ES367" s="645"/>
      <c r="ET367" s="645"/>
      <c r="EU367" s="645"/>
      <c r="EV367" s="645"/>
      <c r="EW367" s="645"/>
      <c r="EX367" s="645"/>
      <c r="EY367" s="645"/>
      <c r="EZ367" s="645"/>
      <c r="FA367" s="645"/>
      <c r="FB367" s="645"/>
      <c r="FC367" s="645"/>
      <c r="FD367" s="645"/>
      <c r="FE367" s="645"/>
      <c r="FF367" s="645"/>
      <c r="FG367" s="645"/>
      <c r="FH367" s="645"/>
      <c r="FI367" s="645"/>
      <c r="FJ367" s="645"/>
      <c r="FK367" s="645"/>
      <c r="FL367" s="645"/>
      <c r="FM367" s="645"/>
      <c r="FN367" s="645"/>
      <c r="FO367" s="645"/>
      <c r="FP367" s="645"/>
      <c r="FQ367" s="645"/>
      <c r="FR367" s="645"/>
      <c r="FS367" s="645"/>
      <c r="FT367" s="645"/>
      <c r="FU367" s="645"/>
      <c r="FV367" s="645"/>
      <c r="FW367" s="645"/>
      <c r="FX367" s="645"/>
      <c r="FY367" s="645"/>
      <c r="FZ367" s="645"/>
      <c r="GA367" s="645"/>
      <c r="GB367" s="645"/>
      <c r="GC367" s="645"/>
      <c r="GD367" s="645"/>
      <c r="GE367" s="645"/>
      <c r="GF367" s="645"/>
      <c r="GG367" s="645"/>
      <c r="GH367" s="645"/>
      <c r="GI367" s="645"/>
      <c r="GJ367" s="645"/>
      <c r="GK367" s="645"/>
      <c r="GL367" s="645"/>
      <c r="GM367" s="645"/>
      <c r="GN367" s="645"/>
      <c r="GO367" s="645"/>
      <c r="GP367" s="645"/>
      <c r="GQ367" s="645"/>
      <c r="GR367" s="645"/>
      <c r="GS367" s="645"/>
      <c r="GT367" s="645"/>
      <c r="GU367" s="645"/>
      <c r="GV367" s="645"/>
      <c r="GW367" s="645"/>
      <c r="GX367" s="645"/>
      <c r="GY367" s="645"/>
      <c r="GZ367" s="645"/>
      <c r="HA367" s="645"/>
      <c r="HB367" s="645"/>
      <c r="HC367" s="645"/>
      <c r="HD367" s="645"/>
      <c r="HE367" s="645"/>
      <c r="HF367" s="645"/>
      <c r="HG367" s="645"/>
      <c r="HH367" s="645"/>
      <c r="HI367" s="645"/>
      <c r="HJ367" s="645"/>
      <c r="HK367" s="645"/>
      <c r="HL367" s="645"/>
      <c r="HM367" s="645"/>
      <c r="HN367" s="645"/>
      <c r="HO367" s="645"/>
      <c r="HP367" s="645"/>
      <c r="HQ367" s="645"/>
      <c r="HR367" s="645">
        <v>0.182</v>
      </c>
      <c r="HS367" s="645">
        <f t="shared" si="812"/>
        <v>1222</v>
      </c>
      <c r="HT367" s="645">
        <f t="shared" si="813"/>
        <v>1</v>
      </c>
      <c r="HU367" s="618">
        <f t="shared" si="814"/>
        <v>4.6365522301912057</v>
      </c>
      <c r="HV367" s="618"/>
      <c r="HW367" s="618">
        <f t="shared" si="799"/>
        <v>29.416095833128487</v>
      </c>
      <c r="HX367" s="618">
        <f t="shared" si="815"/>
        <v>4.211406672471071</v>
      </c>
      <c r="HY367" s="618">
        <f t="shared" si="816"/>
        <v>0.182</v>
      </c>
      <c r="HZ367" s="618"/>
      <c r="IA367" s="618"/>
      <c r="IB367" s="618">
        <f t="shared" si="800"/>
        <v>25.000350341399081</v>
      </c>
      <c r="IC367" s="618">
        <f t="shared" si="801"/>
        <v>1E-3</v>
      </c>
      <c r="ID367" s="618"/>
      <c r="IE367" s="618">
        <f t="shared" si="802"/>
        <v>0</v>
      </c>
      <c r="IF367" s="618">
        <f t="shared" si="803"/>
        <v>40.704999999999998</v>
      </c>
      <c r="IG367" s="618"/>
      <c r="IH367" s="618">
        <f t="shared" si="804"/>
        <v>0</v>
      </c>
      <c r="II367" s="618">
        <f t="shared" si="805"/>
        <v>40.704999999999998</v>
      </c>
      <c r="IJ367" s="618"/>
      <c r="IK367" s="618">
        <f t="shared" si="806"/>
        <v>0</v>
      </c>
      <c r="IL367" s="618">
        <f t="shared" si="807"/>
        <v>40.704999999999998</v>
      </c>
      <c r="IM367" s="618"/>
      <c r="IN367" s="618">
        <f t="shared" si="808"/>
        <v>0</v>
      </c>
      <c r="IO367" s="618">
        <f t="shared" si="809"/>
        <v>40.704999999999998</v>
      </c>
      <c r="IP367" s="618"/>
      <c r="IQ367" s="618">
        <f t="shared" si="810"/>
        <v>0</v>
      </c>
      <c r="IR367" s="618">
        <f t="shared" si="811"/>
        <v>40.704999999999998</v>
      </c>
      <c r="IS367" s="645"/>
      <c r="IT367" s="645"/>
      <c r="IU367" s="645"/>
      <c r="IV367" s="645"/>
      <c r="IW367" s="645"/>
      <c r="IX367" s="645"/>
      <c r="IY367" s="645"/>
      <c r="IZ367" s="645"/>
      <c r="JA367" s="645"/>
      <c r="JB367" s="645"/>
      <c r="JC367" s="645"/>
      <c r="JD367" s="645"/>
      <c r="JE367" s="645"/>
      <c r="JF367" s="645"/>
      <c r="JG367" s="645"/>
      <c r="JH367" s="645"/>
      <c r="JI367" s="645"/>
      <c r="JJ367" s="645"/>
      <c r="JK367" s="645"/>
      <c r="JL367" s="645"/>
      <c r="JM367" s="645"/>
      <c r="JN367" s="645"/>
      <c r="JO367" s="645"/>
      <c r="JP367" s="645"/>
      <c r="JQ367" s="645"/>
      <c r="JR367" s="645"/>
      <c r="JS367" s="645"/>
      <c r="JT367" s="645"/>
      <c r="JU367" s="645"/>
      <c r="JV367" s="653"/>
    </row>
    <row r="368" spans="1:282" s="612" customFormat="1">
      <c r="A368" s="611"/>
      <c r="U368" s="613"/>
      <c r="V368" s="613"/>
      <c r="AC368" s="613"/>
      <c r="AD368" s="613"/>
      <c r="AL368" s="613"/>
      <c r="AM368" s="613"/>
      <c r="AT368" s="613"/>
      <c r="AU368" s="613"/>
      <c r="CH368" s="611"/>
      <c r="CI368" s="611"/>
      <c r="CO368" s="695"/>
      <c r="CP368" s="645"/>
      <c r="CQ368" s="618"/>
      <c r="CR368" s="618"/>
      <c r="CS368" s="618"/>
      <c r="CT368" s="626"/>
      <c r="CU368" s="626"/>
      <c r="CV368" s="626"/>
      <c r="CW368" s="646"/>
      <c r="CX368" s="646"/>
      <c r="CY368" s="625"/>
      <c r="CZ368" s="625"/>
      <c r="DA368" s="625"/>
      <c r="DB368" s="625"/>
      <c r="DC368" s="645"/>
      <c r="DD368" s="645"/>
      <c r="DE368" s="645"/>
      <c r="DF368" s="645"/>
      <c r="DG368" s="645"/>
      <c r="DH368" s="645"/>
      <c r="DI368" s="645"/>
      <c r="DJ368" s="645"/>
      <c r="DK368" s="645"/>
      <c r="DL368" s="645"/>
      <c r="DM368" s="645"/>
      <c r="DN368" s="645"/>
      <c r="DO368" s="645"/>
      <c r="DP368" s="645"/>
      <c r="DQ368" s="645"/>
      <c r="DR368" s="645"/>
      <c r="DS368" s="645"/>
      <c r="DT368" s="645"/>
      <c r="DU368" s="645"/>
      <c r="DV368" s="645"/>
      <c r="DW368" s="645"/>
      <c r="DX368" s="645"/>
      <c r="DY368" s="645"/>
      <c r="DZ368" s="645"/>
      <c r="EA368" s="645"/>
      <c r="EB368" s="645"/>
      <c r="EC368" s="645"/>
      <c r="ED368" s="645"/>
      <c r="EE368" s="645"/>
      <c r="EF368" s="645"/>
      <c r="EG368" s="645"/>
      <c r="EH368" s="645"/>
      <c r="EI368" s="645"/>
      <c r="EJ368" s="645"/>
      <c r="EK368" s="645"/>
      <c r="EL368" s="645"/>
      <c r="EM368" s="645"/>
      <c r="EN368" s="645"/>
      <c r="EO368" s="645"/>
      <c r="EP368" s="645"/>
      <c r="EQ368" s="645"/>
      <c r="ER368" s="645"/>
      <c r="ES368" s="645"/>
      <c r="ET368" s="645"/>
      <c r="EU368" s="645"/>
      <c r="EV368" s="645"/>
      <c r="EW368" s="645"/>
      <c r="EX368" s="645"/>
      <c r="EY368" s="645"/>
      <c r="EZ368" s="645"/>
      <c r="FA368" s="645"/>
      <c r="FB368" s="645"/>
      <c r="FC368" s="645"/>
      <c r="FD368" s="645"/>
      <c r="FE368" s="645"/>
      <c r="FF368" s="645"/>
      <c r="FG368" s="645"/>
      <c r="FH368" s="645"/>
      <c r="FI368" s="645"/>
      <c r="FJ368" s="645"/>
      <c r="FK368" s="645"/>
      <c r="FL368" s="645"/>
      <c r="FM368" s="645"/>
      <c r="FN368" s="645"/>
      <c r="FO368" s="645"/>
      <c r="FP368" s="645"/>
      <c r="FQ368" s="645"/>
      <c r="FR368" s="645"/>
      <c r="FS368" s="645"/>
      <c r="FT368" s="645"/>
      <c r="FU368" s="645"/>
      <c r="FV368" s="645"/>
      <c r="FW368" s="645"/>
      <c r="FX368" s="645"/>
      <c r="FY368" s="645"/>
      <c r="FZ368" s="645"/>
      <c r="GA368" s="645"/>
      <c r="GB368" s="645"/>
      <c r="GC368" s="645"/>
      <c r="GD368" s="645"/>
      <c r="GE368" s="645"/>
      <c r="GF368" s="645"/>
      <c r="GG368" s="645"/>
      <c r="GH368" s="645"/>
      <c r="GI368" s="645"/>
      <c r="GJ368" s="645"/>
      <c r="GK368" s="645"/>
      <c r="GL368" s="645"/>
      <c r="GM368" s="645"/>
      <c r="GN368" s="645"/>
      <c r="GO368" s="645"/>
      <c r="GP368" s="645"/>
      <c r="GQ368" s="645"/>
      <c r="GR368" s="645"/>
      <c r="GS368" s="645"/>
      <c r="GT368" s="645"/>
      <c r="GU368" s="645"/>
      <c r="GV368" s="645"/>
      <c r="GW368" s="645"/>
      <c r="GX368" s="645"/>
      <c r="GY368" s="645"/>
      <c r="GZ368" s="645"/>
      <c r="HA368" s="645"/>
      <c r="HB368" s="645"/>
      <c r="HC368" s="645"/>
      <c r="HD368" s="645"/>
      <c r="HE368" s="645"/>
      <c r="HF368" s="645"/>
      <c r="HG368" s="645"/>
      <c r="HH368" s="645"/>
      <c r="HI368" s="645"/>
      <c r="HJ368" s="645"/>
      <c r="HK368" s="645"/>
      <c r="HL368" s="645"/>
      <c r="HM368" s="645"/>
      <c r="HN368" s="645"/>
      <c r="HO368" s="645"/>
      <c r="HP368" s="645"/>
      <c r="HQ368" s="645"/>
      <c r="HR368" s="645">
        <v>0.1825</v>
      </c>
      <c r="HS368" s="645">
        <f t="shared" si="812"/>
        <v>1225.3571428571429</v>
      </c>
      <c r="HT368" s="645">
        <f t="shared" si="813"/>
        <v>1</v>
      </c>
      <c r="HU368" s="618">
        <f t="shared" si="814"/>
        <v>4.6492912741648302</v>
      </c>
      <c r="HV368" s="618"/>
      <c r="HW368" s="618">
        <f t="shared" si="799"/>
        <v>29.398006390685943</v>
      </c>
      <c r="HX368" s="618">
        <f t="shared" si="815"/>
        <v>4.221809519586289</v>
      </c>
      <c r="HY368" s="618">
        <f t="shared" si="816"/>
        <v>0.1825</v>
      </c>
      <c r="HZ368" s="618"/>
      <c r="IA368" s="618"/>
      <c r="IB368" s="618">
        <f t="shared" si="800"/>
        <v>25.000350341399081</v>
      </c>
      <c r="IC368" s="618">
        <f t="shared" si="801"/>
        <v>1E-3</v>
      </c>
      <c r="ID368" s="618"/>
      <c r="IE368" s="618">
        <f t="shared" si="802"/>
        <v>0</v>
      </c>
      <c r="IF368" s="618">
        <f t="shared" si="803"/>
        <v>40.704999999999998</v>
      </c>
      <c r="IG368" s="618"/>
      <c r="IH368" s="618">
        <f t="shared" si="804"/>
        <v>0</v>
      </c>
      <c r="II368" s="618">
        <f t="shared" si="805"/>
        <v>40.704999999999998</v>
      </c>
      <c r="IJ368" s="618"/>
      <c r="IK368" s="618">
        <f t="shared" si="806"/>
        <v>0</v>
      </c>
      <c r="IL368" s="618">
        <f t="shared" si="807"/>
        <v>40.704999999999998</v>
      </c>
      <c r="IM368" s="618"/>
      <c r="IN368" s="618">
        <f t="shared" si="808"/>
        <v>0</v>
      </c>
      <c r="IO368" s="618">
        <f t="shared" si="809"/>
        <v>40.704999999999998</v>
      </c>
      <c r="IP368" s="618"/>
      <c r="IQ368" s="618">
        <f t="shared" si="810"/>
        <v>0</v>
      </c>
      <c r="IR368" s="618">
        <f t="shared" si="811"/>
        <v>40.704999999999998</v>
      </c>
      <c r="IS368" s="645"/>
      <c r="IT368" s="645"/>
      <c r="IU368" s="645"/>
      <c r="IV368" s="645"/>
      <c r="IW368" s="645"/>
      <c r="IX368" s="645"/>
      <c r="IY368" s="645"/>
      <c r="IZ368" s="645"/>
      <c r="JA368" s="645"/>
      <c r="JB368" s="645"/>
      <c r="JC368" s="645"/>
      <c r="JD368" s="645"/>
      <c r="JE368" s="645"/>
      <c r="JF368" s="645"/>
      <c r="JG368" s="645"/>
      <c r="JH368" s="645"/>
      <c r="JI368" s="645"/>
      <c r="JJ368" s="645"/>
      <c r="JK368" s="645"/>
      <c r="JL368" s="645"/>
      <c r="JM368" s="645"/>
      <c r="JN368" s="645"/>
      <c r="JO368" s="645"/>
      <c r="JP368" s="645"/>
      <c r="JQ368" s="645"/>
      <c r="JR368" s="645"/>
      <c r="JS368" s="645"/>
      <c r="JT368" s="645"/>
      <c r="JU368" s="645"/>
      <c r="JV368" s="653"/>
    </row>
    <row r="369" spans="1:282" s="612" customFormat="1">
      <c r="A369" s="611"/>
      <c r="U369" s="613"/>
      <c r="V369" s="613"/>
      <c r="AC369" s="613"/>
      <c r="AD369" s="613"/>
      <c r="AL369" s="613"/>
      <c r="AM369" s="613"/>
      <c r="AT369" s="613"/>
      <c r="AU369" s="613"/>
      <c r="CH369" s="611"/>
      <c r="CI369" s="611"/>
      <c r="CO369" s="695"/>
      <c r="CP369" s="645"/>
      <c r="CQ369" s="618"/>
      <c r="CR369" s="618"/>
      <c r="CS369" s="618"/>
      <c r="CT369" s="626"/>
      <c r="CU369" s="626"/>
      <c r="CV369" s="626"/>
      <c r="CW369" s="646"/>
      <c r="CX369" s="646"/>
      <c r="CY369" s="625"/>
      <c r="CZ369" s="625"/>
      <c r="DA369" s="625"/>
      <c r="DB369" s="625"/>
      <c r="DC369" s="645"/>
      <c r="DD369" s="645"/>
      <c r="DE369" s="645"/>
      <c r="DF369" s="645"/>
      <c r="DG369" s="645"/>
      <c r="DH369" s="645"/>
      <c r="DI369" s="645"/>
      <c r="DJ369" s="645"/>
      <c r="DK369" s="645"/>
      <c r="DL369" s="645"/>
      <c r="DM369" s="645"/>
      <c r="DN369" s="645"/>
      <c r="DO369" s="645"/>
      <c r="DP369" s="645"/>
      <c r="DQ369" s="645"/>
      <c r="DR369" s="645"/>
      <c r="DS369" s="645"/>
      <c r="DT369" s="645"/>
      <c r="DU369" s="645"/>
      <c r="DV369" s="645"/>
      <c r="DW369" s="645"/>
      <c r="DX369" s="645"/>
      <c r="DY369" s="645"/>
      <c r="DZ369" s="645"/>
      <c r="EA369" s="645"/>
      <c r="EB369" s="645"/>
      <c r="EC369" s="645"/>
      <c r="ED369" s="645"/>
      <c r="EE369" s="645"/>
      <c r="EF369" s="645"/>
      <c r="EG369" s="645"/>
      <c r="EH369" s="645"/>
      <c r="EI369" s="645"/>
      <c r="EJ369" s="645"/>
      <c r="EK369" s="645"/>
      <c r="EL369" s="645"/>
      <c r="EM369" s="645"/>
      <c r="EN369" s="645"/>
      <c r="EO369" s="645"/>
      <c r="EP369" s="645"/>
      <c r="EQ369" s="645"/>
      <c r="ER369" s="645"/>
      <c r="ES369" s="645"/>
      <c r="ET369" s="645"/>
      <c r="EU369" s="645"/>
      <c r="EV369" s="645"/>
      <c r="EW369" s="645"/>
      <c r="EX369" s="645"/>
      <c r="EY369" s="645"/>
      <c r="EZ369" s="645"/>
      <c r="FA369" s="645"/>
      <c r="FB369" s="645"/>
      <c r="FC369" s="645"/>
      <c r="FD369" s="645"/>
      <c r="FE369" s="645"/>
      <c r="FF369" s="645"/>
      <c r="FG369" s="645"/>
      <c r="FH369" s="645"/>
      <c r="FI369" s="645"/>
      <c r="FJ369" s="645"/>
      <c r="FK369" s="645"/>
      <c r="FL369" s="645"/>
      <c r="FM369" s="645"/>
      <c r="FN369" s="645"/>
      <c r="FO369" s="645"/>
      <c r="FP369" s="645"/>
      <c r="FQ369" s="645"/>
      <c r="FR369" s="645"/>
      <c r="FS369" s="645"/>
      <c r="FT369" s="645"/>
      <c r="FU369" s="645"/>
      <c r="FV369" s="645"/>
      <c r="FW369" s="645"/>
      <c r="FX369" s="645"/>
      <c r="FY369" s="645"/>
      <c r="FZ369" s="645"/>
      <c r="GA369" s="645"/>
      <c r="GB369" s="645"/>
      <c r="GC369" s="645"/>
      <c r="GD369" s="645"/>
      <c r="GE369" s="645"/>
      <c r="GF369" s="645"/>
      <c r="GG369" s="645"/>
      <c r="GH369" s="645"/>
      <c r="GI369" s="645"/>
      <c r="GJ369" s="645"/>
      <c r="GK369" s="645"/>
      <c r="GL369" s="645"/>
      <c r="GM369" s="645"/>
      <c r="GN369" s="645"/>
      <c r="GO369" s="645"/>
      <c r="GP369" s="645"/>
      <c r="GQ369" s="645"/>
      <c r="GR369" s="645"/>
      <c r="GS369" s="645"/>
      <c r="GT369" s="645"/>
      <c r="GU369" s="645"/>
      <c r="GV369" s="645"/>
      <c r="GW369" s="645"/>
      <c r="GX369" s="645"/>
      <c r="GY369" s="645"/>
      <c r="GZ369" s="645"/>
      <c r="HA369" s="645"/>
      <c r="HB369" s="645"/>
      <c r="HC369" s="645"/>
      <c r="HD369" s="645"/>
      <c r="HE369" s="645"/>
      <c r="HF369" s="645"/>
      <c r="HG369" s="645"/>
      <c r="HH369" s="645"/>
      <c r="HI369" s="645"/>
      <c r="HJ369" s="645"/>
      <c r="HK369" s="645"/>
      <c r="HL369" s="645"/>
      <c r="HM369" s="645"/>
      <c r="HN369" s="645"/>
      <c r="HO369" s="645"/>
      <c r="HP369" s="645"/>
      <c r="HQ369" s="645"/>
      <c r="HR369" s="645">
        <v>0.183</v>
      </c>
      <c r="HS369" s="645">
        <f t="shared" si="812"/>
        <v>1228.7142857142858</v>
      </c>
      <c r="HT369" s="645">
        <f t="shared" si="813"/>
        <v>1</v>
      </c>
      <c r="HU369" s="618">
        <f t="shared" si="814"/>
        <v>4.6620303181384548</v>
      </c>
      <c r="HV369" s="618"/>
      <c r="HW369" s="618">
        <f t="shared" si="799"/>
        <v>29.379916948243395</v>
      </c>
      <c r="HX369" s="618">
        <f t="shared" si="815"/>
        <v>4.232205965529209</v>
      </c>
      <c r="HY369" s="618">
        <f t="shared" si="816"/>
        <v>0.183</v>
      </c>
      <c r="HZ369" s="618"/>
      <c r="IA369" s="618"/>
      <c r="IB369" s="618">
        <f t="shared" si="800"/>
        <v>25.000350341399081</v>
      </c>
      <c r="IC369" s="618">
        <f t="shared" si="801"/>
        <v>1E-3</v>
      </c>
      <c r="ID369" s="618"/>
      <c r="IE369" s="618">
        <f t="shared" si="802"/>
        <v>0</v>
      </c>
      <c r="IF369" s="618">
        <f t="shared" si="803"/>
        <v>40.704999999999998</v>
      </c>
      <c r="IG369" s="618"/>
      <c r="IH369" s="618">
        <f t="shared" si="804"/>
        <v>0</v>
      </c>
      <c r="II369" s="618">
        <f t="shared" si="805"/>
        <v>40.704999999999998</v>
      </c>
      <c r="IJ369" s="618"/>
      <c r="IK369" s="618">
        <f t="shared" si="806"/>
        <v>0</v>
      </c>
      <c r="IL369" s="618">
        <f t="shared" si="807"/>
        <v>40.704999999999998</v>
      </c>
      <c r="IM369" s="618"/>
      <c r="IN369" s="618">
        <f t="shared" si="808"/>
        <v>0</v>
      </c>
      <c r="IO369" s="618">
        <f t="shared" si="809"/>
        <v>40.704999999999998</v>
      </c>
      <c r="IP369" s="618"/>
      <c r="IQ369" s="618">
        <f t="shared" si="810"/>
        <v>0</v>
      </c>
      <c r="IR369" s="618">
        <f t="shared" si="811"/>
        <v>40.704999999999998</v>
      </c>
      <c r="IS369" s="645"/>
      <c r="IT369" s="645"/>
      <c r="IU369" s="645"/>
      <c r="IV369" s="645"/>
      <c r="IW369" s="645"/>
      <c r="IX369" s="645"/>
      <c r="IY369" s="645"/>
      <c r="IZ369" s="645"/>
      <c r="JA369" s="645"/>
      <c r="JB369" s="645"/>
      <c r="JC369" s="645"/>
      <c r="JD369" s="645"/>
      <c r="JE369" s="645"/>
      <c r="JF369" s="645"/>
      <c r="JG369" s="645"/>
      <c r="JH369" s="645"/>
      <c r="JI369" s="645"/>
      <c r="JJ369" s="645"/>
      <c r="JK369" s="645"/>
      <c r="JL369" s="645"/>
      <c r="JM369" s="645"/>
      <c r="JN369" s="645"/>
      <c r="JO369" s="645"/>
      <c r="JP369" s="645"/>
      <c r="JQ369" s="645"/>
      <c r="JR369" s="645"/>
      <c r="JS369" s="645"/>
      <c r="JT369" s="645"/>
      <c r="JU369" s="645"/>
      <c r="JV369" s="653"/>
    </row>
    <row r="370" spans="1:282" s="612" customFormat="1">
      <c r="A370" s="611"/>
      <c r="U370" s="613"/>
      <c r="V370" s="613"/>
      <c r="AC370" s="613"/>
      <c r="AD370" s="613"/>
      <c r="AL370" s="613"/>
      <c r="AM370" s="613"/>
      <c r="AT370" s="613"/>
      <c r="AU370" s="613"/>
      <c r="CH370" s="611"/>
      <c r="CI370" s="611"/>
      <c r="CO370" s="695"/>
      <c r="CP370" s="645"/>
      <c r="CQ370" s="618"/>
      <c r="CR370" s="618"/>
      <c r="CS370" s="618"/>
      <c r="CT370" s="626"/>
      <c r="CU370" s="626"/>
      <c r="CV370" s="626"/>
      <c r="CW370" s="646"/>
      <c r="CX370" s="646"/>
      <c r="CY370" s="625"/>
      <c r="CZ370" s="625"/>
      <c r="DA370" s="625"/>
      <c r="DB370" s="625"/>
      <c r="DC370" s="645"/>
      <c r="DD370" s="645"/>
      <c r="DE370" s="645"/>
      <c r="DF370" s="645"/>
      <c r="DG370" s="645"/>
      <c r="DH370" s="645"/>
      <c r="DI370" s="645"/>
      <c r="DJ370" s="645"/>
      <c r="DK370" s="645"/>
      <c r="DL370" s="645"/>
      <c r="DM370" s="645"/>
      <c r="DN370" s="645"/>
      <c r="DO370" s="645"/>
      <c r="DP370" s="645"/>
      <c r="DQ370" s="645"/>
      <c r="DR370" s="645"/>
      <c r="DS370" s="645"/>
      <c r="DT370" s="645"/>
      <c r="DU370" s="645"/>
      <c r="DV370" s="645"/>
      <c r="DW370" s="645"/>
      <c r="DX370" s="645"/>
      <c r="DY370" s="645"/>
      <c r="DZ370" s="645"/>
      <c r="EA370" s="645"/>
      <c r="EB370" s="645"/>
      <c r="EC370" s="645"/>
      <c r="ED370" s="645"/>
      <c r="EE370" s="645"/>
      <c r="EF370" s="645"/>
      <c r="EG370" s="645"/>
      <c r="EH370" s="645"/>
      <c r="EI370" s="645"/>
      <c r="EJ370" s="645"/>
      <c r="EK370" s="645"/>
      <c r="EL370" s="645"/>
      <c r="EM370" s="645"/>
      <c r="EN370" s="645"/>
      <c r="EO370" s="645"/>
      <c r="EP370" s="645"/>
      <c r="EQ370" s="645"/>
      <c r="ER370" s="645"/>
      <c r="ES370" s="645"/>
      <c r="ET370" s="645"/>
      <c r="EU370" s="645"/>
      <c r="EV370" s="645"/>
      <c r="EW370" s="645"/>
      <c r="EX370" s="645"/>
      <c r="EY370" s="645"/>
      <c r="EZ370" s="645"/>
      <c r="FA370" s="645"/>
      <c r="FB370" s="645"/>
      <c r="FC370" s="645"/>
      <c r="FD370" s="645"/>
      <c r="FE370" s="645"/>
      <c r="FF370" s="645"/>
      <c r="FG370" s="645"/>
      <c r="FH370" s="645"/>
      <c r="FI370" s="645"/>
      <c r="FJ370" s="645"/>
      <c r="FK370" s="645"/>
      <c r="FL370" s="645"/>
      <c r="FM370" s="645"/>
      <c r="FN370" s="645"/>
      <c r="FO370" s="645"/>
      <c r="FP370" s="645"/>
      <c r="FQ370" s="645"/>
      <c r="FR370" s="645"/>
      <c r="FS370" s="645"/>
      <c r="FT370" s="645"/>
      <c r="FU370" s="645"/>
      <c r="FV370" s="645"/>
      <c r="FW370" s="645"/>
      <c r="FX370" s="645"/>
      <c r="FY370" s="645"/>
      <c r="FZ370" s="645"/>
      <c r="GA370" s="645"/>
      <c r="GB370" s="645"/>
      <c r="GC370" s="645"/>
      <c r="GD370" s="645"/>
      <c r="GE370" s="645"/>
      <c r="GF370" s="645"/>
      <c r="GG370" s="645"/>
      <c r="GH370" s="645"/>
      <c r="GI370" s="645"/>
      <c r="GJ370" s="645"/>
      <c r="GK370" s="645"/>
      <c r="GL370" s="645"/>
      <c r="GM370" s="645"/>
      <c r="GN370" s="645"/>
      <c r="GO370" s="645"/>
      <c r="GP370" s="645"/>
      <c r="GQ370" s="645"/>
      <c r="GR370" s="645"/>
      <c r="GS370" s="645"/>
      <c r="GT370" s="645"/>
      <c r="GU370" s="645"/>
      <c r="GV370" s="645"/>
      <c r="GW370" s="645"/>
      <c r="GX370" s="645"/>
      <c r="GY370" s="645"/>
      <c r="GZ370" s="645"/>
      <c r="HA370" s="645"/>
      <c r="HB370" s="645"/>
      <c r="HC370" s="645"/>
      <c r="HD370" s="645"/>
      <c r="HE370" s="645"/>
      <c r="HF370" s="645"/>
      <c r="HG370" s="645"/>
      <c r="HH370" s="645"/>
      <c r="HI370" s="645"/>
      <c r="HJ370" s="645"/>
      <c r="HK370" s="645"/>
      <c r="HL370" s="645"/>
      <c r="HM370" s="645"/>
      <c r="HN370" s="645"/>
      <c r="HO370" s="645"/>
      <c r="HP370" s="645"/>
      <c r="HQ370" s="645"/>
      <c r="HR370" s="645">
        <v>0.1835</v>
      </c>
      <c r="HS370" s="645">
        <f t="shared" si="812"/>
        <v>1232.0714285714284</v>
      </c>
      <c r="HT370" s="645">
        <f t="shared" si="813"/>
        <v>1</v>
      </c>
      <c r="HU370" s="618">
        <f t="shared" si="814"/>
        <v>4.6747693621120794</v>
      </c>
      <c r="HV370" s="618"/>
      <c r="HW370" s="618">
        <f t="shared" si="799"/>
        <v>29.361827505800846</v>
      </c>
      <c r="HX370" s="618">
        <f t="shared" si="815"/>
        <v>4.242596010299831</v>
      </c>
      <c r="HY370" s="618">
        <f t="shared" si="816"/>
        <v>0.1835</v>
      </c>
      <c r="HZ370" s="618"/>
      <c r="IA370" s="618"/>
      <c r="IB370" s="618">
        <f t="shared" si="800"/>
        <v>25.000350341399081</v>
      </c>
      <c r="IC370" s="618">
        <f t="shared" si="801"/>
        <v>1E-3</v>
      </c>
      <c r="ID370" s="618"/>
      <c r="IE370" s="618">
        <f t="shared" si="802"/>
        <v>0</v>
      </c>
      <c r="IF370" s="618">
        <f t="shared" si="803"/>
        <v>40.704999999999998</v>
      </c>
      <c r="IG370" s="618"/>
      <c r="IH370" s="618">
        <f t="shared" si="804"/>
        <v>0</v>
      </c>
      <c r="II370" s="618">
        <f t="shared" si="805"/>
        <v>40.704999999999998</v>
      </c>
      <c r="IJ370" s="618"/>
      <c r="IK370" s="618">
        <f t="shared" si="806"/>
        <v>0</v>
      </c>
      <c r="IL370" s="618">
        <f t="shared" si="807"/>
        <v>40.704999999999998</v>
      </c>
      <c r="IM370" s="618"/>
      <c r="IN370" s="618">
        <f t="shared" si="808"/>
        <v>0</v>
      </c>
      <c r="IO370" s="618">
        <f t="shared" si="809"/>
        <v>40.704999999999998</v>
      </c>
      <c r="IP370" s="618"/>
      <c r="IQ370" s="618">
        <f t="shared" si="810"/>
        <v>0</v>
      </c>
      <c r="IR370" s="618">
        <f t="shared" si="811"/>
        <v>40.704999999999998</v>
      </c>
      <c r="IS370" s="645"/>
      <c r="IT370" s="645"/>
      <c r="IU370" s="645"/>
      <c r="IV370" s="645"/>
      <c r="IW370" s="645"/>
      <c r="IX370" s="645"/>
      <c r="IY370" s="645"/>
      <c r="IZ370" s="645"/>
      <c r="JA370" s="645"/>
      <c r="JB370" s="645"/>
      <c r="JC370" s="645"/>
      <c r="JD370" s="645"/>
      <c r="JE370" s="645"/>
      <c r="JF370" s="645"/>
      <c r="JG370" s="645"/>
      <c r="JH370" s="645"/>
      <c r="JI370" s="645"/>
      <c r="JJ370" s="645"/>
      <c r="JK370" s="645"/>
      <c r="JL370" s="645"/>
      <c r="JM370" s="645"/>
      <c r="JN370" s="645"/>
      <c r="JO370" s="645"/>
      <c r="JP370" s="645"/>
      <c r="JQ370" s="645"/>
      <c r="JR370" s="645"/>
      <c r="JS370" s="645"/>
      <c r="JT370" s="645"/>
      <c r="JU370" s="645"/>
      <c r="JV370" s="653"/>
    </row>
    <row r="371" spans="1:282" s="612" customFormat="1">
      <c r="A371" s="611"/>
      <c r="U371" s="613"/>
      <c r="V371" s="613"/>
      <c r="AC371" s="613"/>
      <c r="AD371" s="613"/>
      <c r="AL371" s="613"/>
      <c r="AM371" s="613"/>
      <c r="AT371" s="613"/>
      <c r="AU371" s="613"/>
      <c r="CH371" s="611"/>
      <c r="CI371" s="611"/>
      <c r="CO371" s="695"/>
      <c r="CP371" s="645"/>
      <c r="CQ371" s="618"/>
      <c r="CR371" s="618"/>
      <c r="CS371" s="618"/>
      <c r="CT371" s="626"/>
      <c r="CU371" s="626"/>
      <c r="CV371" s="626"/>
      <c r="CW371" s="646"/>
      <c r="CX371" s="646"/>
      <c r="CY371" s="625"/>
      <c r="CZ371" s="625"/>
      <c r="DA371" s="625"/>
      <c r="DB371" s="625"/>
      <c r="DC371" s="645"/>
      <c r="DD371" s="645"/>
      <c r="DE371" s="645"/>
      <c r="DF371" s="645"/>
      <c r="DG371" s="645"/>
      <c r="DH371" s="645"/>
      <c r="DI371" s="645"/>
      <c r="DJ371" s="645"/>
      <c r="DK371" s="645"/>
      <c r="DL371" s="645"/>
      <c r="DM371" s="645"/>
      <c r="DN371" s="645"/>
      <c r="DO371" s="645"/>
      <c r="DP371" s="645"/>
      <c r="DQ371" s="645"/>
      <c r="DR371" s="645"/>
      <c r="DS371" s="645"/>
      <c r="DT371" s="645"/>
      <c r="DU371" s="645"/>
      <c r="DV371" s="645"/>
      <c r="DW371" s="645"/>
      <c r="DX371" s="645"/>
      <c r="DY371" s="645"/>
      <c r="DZ371" s="645"/>
      <c r="EA371" s="645"/>
      <c r="EB371" s="645"/>
      <c r="EC371" s="645"/>
      <c r="ED371" s="645"/>
      <c r="EE371" s="645"/>
      <c r="EF371" s="645"/>
      <c r="EG371" s="645"/>
      <c r="EH371" s="645"/>
      <c r="EI371" s="645"/>
      <c r="EJ371" s="645"/>
      <c r="EK371" s="645"/>
      <c r="EL371" s="645"/>
      <c r="EM371" s="645"/>
      <c r="EN371" s="645"/>
      <c r="EO371" s="645"/>
      <c r="EP371" s="645"/>
      <c r="EQ371" s="645"/>
      <c r="ER371" s="645"/>
      <c r="ES371" s="645"/>
      <c r="ET371" s="645"/>
      <c r="EU371" s="645"/>
      <c r="EV371" s="645"/>
      <c r="EW371" s="645"/>
      <c r="EX371" s="645"/>
      <c r="EY371" s="645"/>
      <c r="EZ371" s="645"/>
      <c r="FA371" s="645"/>
      <c r="FB371" s="645"/>
      <c r="FC371" s="645"/>
      <c r="FD371" s="645"/>
      <c r="FE371" s="645"/>
      <c r="FF371" s="645"/>
      <c r="FG371" s="645"/>
      <c r="FH371" s="645"/>
      <c r="FI371" s="645"/>
      <c r="FJ371" s="645"/>
      <c r="FK371" s="645"/>
      <c r="FL371" s="645"/>
      <c r="FM371" s="645"/>
      <c r="FN371" s="645"/>
      <c r="FO371" s="645"/>
      <c r="FP371" s="645"/>
      <c r="FQ371" s="645"/>
      <c r="FR371" s="645"/>
      <c r="FS371" s="645"/>
      <c r="FT371" s="645"/>
      <c r="FU371" s="645"/>
      <c r="FV371" s="645"/>
      <c r="FW371" s="645"/>
      <c r="FX371" s="645"/>
      <c r="FY371" s="645"/>
      <c r="FZ371" s="645"/>
      <c r="GA371" s="645"/>
      <c r="GB371" s="645"/>
      <c r="GC371" s="645"/>
      <c r="GD371" s="645"/>
      <c r="GE371" s="645"/>
      <c r="GF371" s="645"/>
      <c r="GG371" s="645"/>
      <c r="GH371" s="645"/>
      <c r="GI371" s="645"/>
      <c r="GJ371" s="645"/>
      <c r="GK371" s="645"/>
      <c r="GL371" s="645"/>
      <c r="GM371" s="645"/>
      <c r="GN371" s="645"/>
      <c r="GO371" s="645"/>
      <c r="GP371" s="645"/>
      <c r="GQ371" s="645"/>
      <c r="GR371" s="645"/>
      <c r="GS371" s="645"/>
      <c r="GT371" s="645"/>
      <c r="GU371" s="645"/>
      <c r="GV371" s="645"/>
      <c r="GW371" s="645"/>
      <c r="GX371" s="645"/>
      <c r="GY371" s="645"/>
      <c r="GZ371" s="645"/>
      <c r="HA371" s="645"/>
      <c r="HB371" s="645"/>
      <c r="HC371" s="645"/>
      <c r="HD371" s="645"/>
      <c r="HE371" s="645"/>
      <c r="HF371" s="645"/>
      <c r="HG371" s="645"/>
      <c r="HH371" s="645"/>
      <c r="HI371" s="645"/>
      <c r="HJ371" s="645"/>
      <c r="HK371" s="645"/>
      <c r="HL371" s="645"/>
      <c r="HM371" s="645"/>
      <c r="HN371" s="645"/>
      <c r="HO371" s="645"/>
      <c r="HP371" s="645"/>
      <c r="HQ371" s="645"/>
      <c r="HR371" s="645">
        <v>0.184</v>
      </c>
      <c r="HS371" s="645">
        <f t="shared" si="812"/>
        <v>1235.4285714285713</v>
      </c>
      <c r="HT371" s="645">
        <f t="shared" si="813"/>
        <v>1</v>
      </c>
      <c r="HU371" s="618">
        <f t="shared" si="814"/>
        <v>4.687508406085704</v>
      </c>
      <c r="HV371" s="618"/>
      <c r="HW371" s="618">
        <f t="shared" si="799"/>
        <v>29.343738063358302</v>
      </c>
      <c r="HX371" s="618">
        <f t="shared" si="815"/>
        <v>4.252979653898155</v>
      </c>
      <c r="HY371" s="618">
        <f t="shared" si="816"/>
        <v>0.184</v>
      </c>
      <c r="HZ371" s="618"/>
      <c r="IA371" s="618"/>
      <c r="IB371" s="618">
        <f t="shared" si="800"/>
        <v>25.000350341399081</v>
      </c>
      <c r="IC371" s="618">
        <f t="shared" si="801"/>
        <v>1E-3</v>
      </c>
      <c r="ID371" s="618"/>
      <c r="IE371" s="618">
        <f t="shared" si="802"/>
        <v>0</v>
      </c>
      <c r="IF371" s="618">
        <f t="shared" si="803"/>
        <v>40.704999999999998</v>
      </c>
      <c r="IG371" s="618"/>
      <c r="IH371" s="618">
        <f t="shared" si="804"/>
        <v>0</v>
      </c>
      <c r="II371" s="618">
        <f t="shared" si="805"/>
        <v>40.704999999999998</v>
      </c>
      <c r="IJ371" s="618"/>
      <c r="IK371" s="618">
        <f t="shared" si="806"/>
        <v>0</v>
      </c>
      <c r="IL371" s="618">
        <f t="shared" si="807"/>
        <v>40.704999999999998</v>
      </c>
      <c r="IM371" s="618"/>
      <c r="IN371" s="618">
        <f t="shared" si="808"/>
        <v>0</v>
      </c>
      <c r="IO371" s="618">
        <f t="shared" si="809"/>
        <v>40.704999999999998</v>
      </c>
      <c r="IP371" s="618"/>
      <c r="IQ371" s="618">
        <f t="shared" si="810"/>
        <v>0</v>
      </c>
      <c r="IR371" s="618">
        <f t="shared" si="811"/>
        <v>40.704999999999998</v>
      </c>
      <c r="IS371" s="645"/>
      <c r="IT371" s="645"/>
      <c r="IU371" s="645"/>
      <c r="IV371" s="645"/>
      <c r="IW371" s="645"/>
      <c r="IX371" s="645"/>
      <c r="IY371" s="645"/>
      <c r="IZ371" s="645"/>
      <c r="JA371" s="645"/>
      <c r="JB371" s="645"/>
      <c r="JC371" s="645"/>
      <c r="JD371" s="645"/>
      <c r="JE371" s="645"/>
      <c r="JF371" s="645"/>
      <c r="JG371" s="645"/>
      <c r="JH371" s="645"/>
      <c r="JI371" s="645"/>
      <c r="JJ371" s="645"/>
      <c r="JK371" s="645"/>
      <c r="JL371" s="645"/>
      <c r="JM371" s="645"/>
      <c r="JN371" s="645"/>
      <c r="JO371" s="645"/>
      <c r="JP371" s="645"/>
      <c r="JQ371" s="645"/>
      <c r="JR371" s="645"/>
      <c r="JS371" s="645"/>
      <c r="JT371" s="645"/>
      <c r="JU371" s="645"/>
      <c r="JV371" s="653"/>
    </row>
    <row r="372" spans="1:282" s="612" customFormat="1">
      <c r="A372" s="611"/>
      <c r="U372" s="613"/>
      <c r="V372" s="613"/>
      <c r="AC372" s="613"/>
      <c r="AD372" s="613"/>
      <c r="AL372" s="613"/>
      <c r="AM372" s="613"/>
      <c r="AT372" s="613"/>
      <c r="AU372" s="613"/>
      <c r="CH372" s="611"/>
      <c r="CI372" s="611"/>
      <c r="CO372" s="695"/>
      <c r="CP372" s="645"/>
      <c r="CQ372" s="618"/>
      <c r="CR372" s="618"/>
      <c r="CS372" s="618"/>
      <c r="CT372" s="626"/>
      <c r="CU372" s="626"/>
      <c r="CV372" s="626"/>
      <c r="CW372" s="646"/>
      <c r="CX372" s="646"/>
      <c r="CY372" s="625"/>
      <c r="CZ372" s="625"/>
      <c r="DA372" s="625"/>
      <c r="DB372" s="625"/>
      <c r="DC372" s="645"/>
      <c r="DD372" s="645"/>
      <c r="DE372" s="645"/>
      <c r="DF372" s="645"/>
      <c r="DG372" s="645"/>
      <c r="DH372" s="645"/>
      <c r="DI372" s="645"/>
      <c r="DJ372" s="645"/>
      <c r="DK372" s="645"/>
      <c r="DL372" s="645"/>
      <c r="DM372" s="645"/>
      <c r="DN372" s="645"/>
      <c r="DO372" s="645"/>
      <c r="DP372" s="645"/>
      <c r="DQ372" s="645"/>
      <c r="DR372" s="645"/>
      <c r="DS372" s="645"/>
      <c r="DT372" s="645"/>
      <c r="DU372" s="645"/>
      <c r="DV372" s="645"/>
      <c r="DW372" s="645"/>
      <c r="DX372" s="645"/>
      <c r="DY372" s="645"/>
      <c r="DZ372" s="645"/>
      <c r="EA372" s="645"/>
      <c r="EB372" s="645"/>
      <c r="EC372" s="645"/>
      <c r="ED372" s="645"/>
      <c r="EE372" s="645"/>
      <c r="EF372" s="645"/>
      <c r="EG372" s="645"/>
      <c r="EH372" s="645"/>
      <c r="EI372" s="645"/>
      <c r="EJ372" s="645"/>
      <c r="EK372" s="645"/>
      <c r="EL372" s="645"/>
      <c r="EM372" s="645"/>
      <c r="EN372" s="645"/>
      <c r="EO372" s="645"/>
      <c r="EP372" s="645"/>
      <c r="EQ372" s="645"/>
      <c r="ER372" s="645"/>
      <c r="ES372" s="645"/>
      <c r="ET372" s="645"/>
      <c r="EU372" s="645"/>
      <c r="EV372" s="645"/>
      <c r="EW372" s="645"/>
      <c r="EX372" s="645"/>
      <c r="EY372" s="645"/>
      <c r="EZ372" s="645"/>
      <c r="FA372" s="645"/>
      <c r="FB372" s="645"/>
      <c r="FC372" s="645"/>
      <c r="FD372" s="645"/>
      <c r="FE372" s="645"/>
      <c r="FF372" s="645"/>
      <c r="FG372" s="645"/>
      <c r="FH372" s="645"/>
      <c r="FI372" s="645"/>
      <c r="FJ372" s="645"/>
      <c r="FK372" s="645"/>
      <c r="FL372" s="645"/>
      <c r="FM372" s="645"/>
      <c r="FN372" s="645"/>
      <c r="FO372" s="645"/>
      <c r="FP372" s="645"/>
      <c r="FQ372" s="645"/>
      <c r="FR372" s="645"/>
      <c r="FS372" s="645"/>
      <c r="FT372" s="645"/>
      <c r="FU372" s="645"/>
      <c r="FV372" s="645"/>
      <c r="FW372" s="645"/>
      <c r="FX372" s="645"/>
      <c r="FY372" s="645"/>
      <c r="FZ372" s="645"/>
      <c r="GA372" s="645"/>
      <c r="GB372" s="645"/>
      <c r="GC372" s="645"/>
      <c r="GD372" s="645"/>
      <c r="GE372" s="645"/>
      <c r="GF372" s="645"/>
      <c r="GG372" s="645"/>
      <c r="GH372" s="645"/>
      <c r="GI372" s="645"/>
      <c r="GJ372" s="645"/>
      <c r="GK372" s="645"/>
      <c r="GL372" s="645"/>
      <c r="GM372" s="645"/>
      <c r="GN372" s="645"/>
      <c r="GO372" s="645"/>
      <c r="GP372" s="645"/>
      <c r="GQ372" s="645"/>
      <c r="GR372" s="645"/>
      <c r="GS372" s="645"/>
      <c r="GT372" s="645"/>
      <c r="GU372" s="645"/>
      <c r="GV372" s="645"/>
      <c r="GW372" s="645"/>
      <c r="GX372" s="645"/>
      <c r="GY372" s="645"/>
      <c r="GZ372" s="645"/>
      <c r="HA372" s="645"/>
      <c r="HB372" s="645"/>
      <c r="HC372" s="645"/>
      <c r="HD372" s="645"/>
      <c r="HE372" s="645"/>
      <c r="HF372" s="645"/>
      <c r="HG372" s="645"/>
      <c r="HH372" s="645"/>
      <c r="HI372" s="645"/>
      <c r="HJ372" s="645"/>
      <c r="HK372" s="645"/>
      <c r="HL372" s="645"/>
      <c r="HM372" s="645"/>
      <c r="HN372" s="645"/>
      <c r="HO372" s="645"/>
      <c r="HP372" s="645"/>
      <c r="HQ372" s="645"/>
      <c r="HR372" s="645">
        <v>0.1845</v>
      </c>
      <c r="HS372" s="645">
        <f t="shared" si="812"/>
        <v>1238.7857142857142</v>
      </c>
      <c r="HT372" s="645">
        <f t="shared" si="813"/>
        <v>1</v>
      </c>
      <c r="HU372" s="618">
        <f t="shared" si="814"/>
        <v>4.7002474500593285</v>
      </c>
      <c r="HV372" s="618"/>
      <c r="HW372" s="618">
        <f t="shared" si="799"/>
        <v>29.325648620915754</v>
      </c>
      <c r="HX372" s="618">
        <f t="shared" si="815"/>
        <v>4.2633568963241801</v>
      </c>
      <c r="HY372" s="618">
        <f t="shared" si="816"/>
        <v>0.1845</v>
      </c>
      <c r="HZ372" s="618"/>
      <c r="IA372" s="618"/>
      <c r="IB372" s="618">
        <f t="shared" si="800"/>
        <v>25.000350341399081</v>
      </c>
      <c r="IC372" s="618">
        <f t="shared" si="801"/>
        <v>1E-3</v>
      </c>
      <c r="ID372" s="618"/>
      <c r="IE372" s="618">
        <f t="shared" si="802"/>
        <v>0</v>
      </c>
      <c r="IF372" s="618">
        <f t="shared" si="803"/>
        <v>40.704999999999998</v>
      </c>
      <c r="IG372" s="618"/>
      <c r="IH372" s="618">
        <f t="shared" si="804"/>
        <v>0</v>
      </c>
      <c r="II372" s="618">
        <f t="shared" si="805"/>
        <v>40.704999999999998</v>
      </c>
      <c r="IJ372" s="618"/>
      <c r="IK372" s="618">
        <f t="shared" si="806"/>
        <v>0</v>
      </c>
      <c r="IL372" s="618">
        <f t="shared" si="807"/>
        <v>40.704999999999998</v>
      </c>
      <c r="IM372" s="618"/>
      <c r="IN372" s="618">
        <f t="shared" si="808"/>
        <v>0</v>
      </c>
      <c r="IO372" s="618">
        <f t="shared" si="809"/>
        <v>40.704999999999998</v>
      </c>
      <c r="IP372" s="618"/>
      <c r="IQ372" s="618">
        <f t="shared" si="810"/>
        <v>0</v>
      </c>
      <c r="IR372" s="618">
        <f t="shared" si="811"/>
        <v>40.704999999999998</v>
      </c>
      <c r="IS372" s="645"/>
      <c r="IT372" s="645"/>
      <c r="IU372" s="645"/>
      <c r="IV372" s="645"/>
      <c r="IW372" s="645"/>
      <c r="IX372" s="645"/>
      <c r="IY372" s="645"/>
      <c r="IZ372" s="645"/>
      <c r="JA372" s="645"/>
      <c r="JB372" s="645"/>
      <c r="JC372" s="645"/>
      <c r="JD372" s="645"/>
      <c r="JE372" s="645"/>
      <c r="JF372" s="645"/>
      <c r="JG372" s="645"/>
      <c r="JH372" s="645"/>
      <c r="JI372" s="645"/>
      <c r="JJ372" s="645"/>
      <c r="JK372" s="645"/>
      <c r="JL372" s="645"/>
      <c r="JM372" s="645"/>
      <c r="JN372" s="645"/>
      <c r="JO372" s="645"/>
      <c r="JP372" s="645"/>
      <c r="JQ372" s="645"/>
      <c r="JR372" s="645"/>
      <c r="JS372" s="645"/>
      <c r="JT372" s="645"/>
      <c r="JU372" s="645"/>
      <c r="JV372" s="653"/>
    </row>
    <row r="373" spans="1:282" s="612" customFormat="1">
      <c r="A373" s="611"/>
      <c r="U373" s="613"/>
      <c r="V373" s="613"/>
      <c r="AC373" s="613"/>
      <c r="AD373" s="613"/>
      <c r="AL373" s="613"/>
      <c r="AM373" s="613"/>
      <c r="AT373" s="613"/>
      <c r="AU373" s="613"/>
      <c r="CH373" s="611"/>
      <c r="CI373" s="611"/>
      <c r="CO373" s="695"/>
      <c r="CP373" s="645"/>
      <c r="CQ373" s="618"/>
      <c r="CR373" s="618"/>
      <c r="CS373" s="618"/>
      <c r="CT373" s="626"/>
      <c r="CU373" s="626"/>
      <c r="CV373" s="626"/>
      <c r="CW373" s="646"/>
      <c r="CX373" s="646"/>
      <c r="CY373" s="625"/>
      <c r="CZ373" s="625"/>
      <c r="DA373" s="625"/>
      <c r="DB373" s="625"/>
      <c r="DC373" s="645"/>
      <c r="DD373" s="645"/>
      <c r="DE373" s="645"/>
      <c r="DF373" s="645"/>
      <c r="DG373" s="645"/>
      <c r="DH373" s="645"/>
      <c r="DI373" s="645"/>
      <c r="DJ373" s="645"/>
      <c r="DK373" s="645"/>
      <c r="DL373" s="645"/>
      <c r="DM373" s="645"/>
      <c r="DN373" s="645"/>
      <c r="DO373" s="645"/>
      <c r="DP373" s="645"/>
      <c r="DQ373" s="645"/>
      <c r="DR373" s="645"/>
      <c r="DS373" s="645"/>
      <c r="DT373" s="645"/>
      <c r="DU373" s="645"/>
      <c r="DV373" s="645"/>
      <c r="DW373" s="645"/>
      <c r="DX373" s="645"/>
      <c r="DY373" s="645"/>
      <c r="DZ373" s="645"/>
      <c r="EA373" s="645"/>
      <c r="EB373" s="645"/>
      <c r="EC373" s="645"/>
      <c r="ED373" s="645"/>
      <c r="EE373" s="645"/>
      <c r="EF373" s="645"/>
      <c r="EG373" s="645"/>
      <c r="EH373" s="645"/>
      <c r="EI373" s="645"/>
      <c r="EJ373" s="645"/>
      <c r="EK373" s="645"/>
      <c r="EL373" s="645"/>
      <c r="EM373" s="645"/>
      <c r="EN373" s="645"/>
      <c r="EO373" s="645"/>
      <c r="EP373" s="645"/>
      <c r="EQ373" s="645"/>
      <c r="ER373" s="645"/>
      <c r="ES373" s="645"/>
      <c r="ET373" s="645"/>
      <c r="EU373" s="645"/>
      <c r="EV373" s="645"/>
      <c r="EW373" s="645"/>
      <c r="EX373" s="645"/>
      <c r="EY373" s="645"/>
      <c r="EZ373" s="645"/>
      <c r="FA373" s="645"/>
      <c r="FB373" s="645"/>
      <c r="FC373" s="645"/>
      <c r="FD373" s="645"/>
      <c r="FE373" s="645"/>
      <c r="FF373" s="645"/>
      <c r="FG373" s="645"/>
      <c r="FH373" s="645"/>
      <c r="FI373" s="645"/>
      <c r="FJ373" s="645"/>
      <c r="FK373" s="645"/>
      <c r="FL373" s="645"/>
      <c r="FM373" s="645"/>
      <c r="FN373" s="645"/>
      <c r="FO373" s="645"/>
      <c r="FP373" s="645"/>
      <c r="FQ373" s="645"/>
      <c r="FR373" s="645"/>
      <c r="FS373" s="645"/>
      <c r="FT373" s="645"/>
      <c r="FU373" s="645"/>
      <c r="FV373" s="645"/>
      <c r="FW373" s="645"/>
      <c r="FX373" s="645"/>
      <c r="FY373" s="645"/>
      <c r="FZ373" s="645"/>
      <c r="GA373" s="645"/>
      <c r="GB373" s="645"/>
      <c r="GC373" s="645"/>
      <c r="GD373" s="645"/>
      <c r="GE373" s="645"/>
      <c r="GF373" s="645"/>
      <c r="GG373" s="645"/>
      <c r="GH373" s="645"/>
      <c r="GI373" s="645"/>
      <c r="GJ373" s="645"/>
      <c r="GK373" s="645"/>
      <c r="GL373" s="645"/>
      <c r="GM373" s="645"/>
      <c r="GN373" s="645"/>
      <c r="GO373" s="645"/>
      <c r="GP373" s="645"/>
      <c r="GQ373" s="645"/>
      <c r="GR373" s="645"/>
      <c r="GS373" s="645"/>
      <c r="GT373" s="645"/>
      <c r="GU373" s="645"/>
      <c r="GV373" s="645"/>
      <c r="GW373" s="645"/>
      <c r="GX373" s="645"/>
      <c r="GY373" s="645"/>
      <c r="GZ373" s="645"/>
      <c r="HA373" s="645"/>
      <c r="HB373" s="645"/>
      <c r="HC373" s="645"/>
      <c r="HD373" s="645"/>
      <c r="HE373" s="645"/>
      <c r="HF373" s="645"/>
      <c r="HG373" s="645"/>
      <c r="HH373" s="645"/>
      <c r="HI373" s="645"/>
      <c r="HJ373" s="645"/>
      <c r="HK373" s="645"/>
      <c r="HL373" s="645"/>
      <c r="HM373" s="645"/>
      <c r="HN373" s="645"/>
      <c r="HO373" s="645"/>
      <c r="HP373" s="645"/>
      <c r="HQ373" s="645"/>
      <c r="HR373" s="645">
        <v>0.185</v>
      </c>
      <c r="HS373" s="645">
        <f t="shared" si="812"/>
        <v>1242.1428571428571</v>
      </c>
      <c r="HT373" s="645">
        <f t="shared" si="813"/>
        <v>1</v>
      </c>
      <c r="HU373" s="618">
        <f t="shared" si="814"/>
        <v>4.7129864940329531</v>
      </c>
      <c r="HV373" s="618"/>
      <c r="HW373" s="618">
        <f t="shared" si="799"/>
        <v>29.307559178473205</v>
      </c>
      <c r="HX373" s="618">
        <f t="shared" si="815"/>
        <v>4.2737277375779072</v>
      </c>
      <c r="HY373" s="618">
        <f t="shared" si="816"/>
        <v>0.185</v>
      </c>
      <c r="HZ373" s="618"/>
      <c r="IA373" s="618"/>
      <c r="IB373" s="618">
        <f t="shared" si="800"/>
        <v>25.000350341399081</v>
      </c>
      <c r="IC373" s="618">
        <f t="shared" si="801"/>
        <v>1E-3</v>
      </c>
      <c r="ID373" s="618"/>
      <c r="IE373" s="618">
        <f t="shared" si="802"/>
        <v>0</v>
      </c>
      <c r="IF373" s="618">
        <f t="shared" si="803"/>
        <v>40.704999999999998</v>
      </c>
      <c r="IG373" s="618"/>
      <c r="IH373" s="618">
        <f t="shared" si="804"/>
        <v>0</v>
      </c>
      <c r="II373" s="618">
        <f t="shared" si="805"/>
        <v>40.704999999999998</v>
      </c>
      <c r="IJ373" s="618"/>
      <c r="IK373" s="618">
        <f t="shared" si="806"/>
        <v>0</v>
      </c>
      <c r="IL373" s="618">
        <f t="shared" si="807"/>
        <v>40.704999999999998</v>
      </c>
      <c r="IM373" s="618"/>
      <c r="IN373" s="618">
        <f t="shared" si="808"/>
        <v>0</v>
      </c>
      <c r="IO373" s="618">
        <f t="shared" si="809"/>
        <v>40.704999999999998</v>
      </c>
      <c r="IP373" s="618"/>
      <c r="IQ373" s="618">
        <f t="shared" si="810"/>
        <v>0</v>
      </c>
      <c r="IR373" s="618">
        <f t="shared" si="811"/>
        <v>40.704999999999998</v>
      </c>
      <c r="IS373" s="645"/>
      <c r="IT373" s="645"/>
      <c r="IU373" s="645"/>
      <c r="IV373" s="645"/>
      <c r="IW373" s="645"/>
      <c r="IX373" s="645"/>
      <c r="IY373" s="645"/>
      <c r="IZ373" s="645"/>
      <c r="JA373" s="645"/>
      <c r="JB373" s="645"/>
      <c r="JC373" s="645"/>
      <c r="JD373" s="645"/>
      <c r="JE373" s="645"/>
      <c r="JF373" s="645"/>
      <c r="JG373" s="645"/>
      <c r="JH373" s="645"/>
      <c r="JI373" s="645"/>
      <c r="JJ373" s="645"/>
      <c r="JK373" s="645"/>
      <c r="JL373" s="645"/>
      <c r="JM373" s="645"/>
      <c r="JN373" s="645"/>
      <c r="JO373" s="645"/>
      <c r="JP373" s="645"/>
      <c r="JQ373" s="645"/>
      <c r="JR373" s="645"/>
      <c r="JS373" s="645"/>
      <c r="JT373" s="645"/>
      <c r="JU373" s="645"/>
      <c r="JV373" s="653"/>
    </row>
    <row r="374" spans="1:282" s="612" customFormat="1">
      <c r="A374" s="611"/>
      <c r="U374" s="613"/>
      <c r="V374" s="613"/>
      <c r="AC374" s="613"/>
      <c r="AD374" s="613"/>
      <c r="AL374" s="613"/>
      <c r="AM374" s="613"/>
      <c r="AT374" s="613"/>
      <c r="AU374" s="613"/>
      <c r="CH374" s="611"/>
      <c r="CI374" s="611"/>
      <c r="CO374" s="695"/>
      <c r="CP374" s="645"/>
      <c r="CQ374" s="618"/>
      <c r="CR374" s="618"/>
      <c r="CS374" s="618"/>
      <c r="CT374" s="626"/>
      <c r="CU374" s="626"/>
      <c r="CV374" s="626"/>
      <c r="CW374" s="646"/>
      <c r="CX374" s="646"/>
      <c r="CY374" s="625"/>
      <c r="CZ374" s="625"/>
      <c r="DA374" s="625"/>
      <c r="DB374" s="625"/>
      <c r="DC374" s="645"/>
      <c r="DD374" s="645"/>
      <c r="DE374" s="645"/>
      <c r="DF374" s="645"/>
      <c r="DG374" s="645"/>
      <c r="DH374" s="645"/>
      <c r="DI374" s="645"/>
      <c r="DJ374" s="645"/>
      <c r="DK374" s="645"/>
      <c r="DL374" s="645"/>
      <c r="DM374" s="645"/>
      <c r="DN374" s="645"/>
      <c r="DO374" s="645"/>
      <c r="DP374" s="645"/>
      <c r="DQ374" s="645"/>
      <c r="DR374" s="645"/>
      <c r="DS374" s="645"/>
      <c r="DT374" s="645"/>
      <c r="DU374" s="645"/>
      <c r="DV374" s="645"/>
      <c r="DW374" s="645"/>
      <c r="DX374" s="645"/>
      <c r="DY374" s="645"/>
      <c r="DZ374" s="645"/>
      <c r="EA374" s="645"/>
      <c r="EB374" s="645"/>
      <c r="EC374" s="645"/>
      <c r="ED374" s="645"/>
      <c r="EE374" s="645"/>
      <c r="EF374" s="645"/>
      <c r="EG374" s="645"/>
      <c r="EH374" s="645"/>
      <c r="EI374" s="645"/>
      <c r="EJ374" s="645"/>
      <c r="EK374" s="645"/>
      <c r="EL374" s="645"/>
      <c r="EM374" s="645"/>
      <c r="EN374" s="645"/>
      <c r="EO374" s="645"/>
      <c r="EP374" s="645"/>
      <c r="EQ374" s="645"/>
      <c r="ER374" s="645"/>
      <c r="ES374" s="645"/>
      <c r="ET374" s="645"/>
      <c r="EU374" s="645"/>
      <c r="EV374" s="645"/>
      <c r="EW374" s="645"/>
      <c r="EX374" s="645"/>
      <c r="EY374" s="645"/>
      <c r="EZ374" s="645"/>
      <c r="FA374" s="645"/>
      <c r="FB374" s="645"/>
      <c r="FC374" s="645"/>
      <c r="FD374" s="645"/>
      <c r="FE374" s="645"/>
      <c r="FF374" s="645"/>
      <c r="FG374" s="645"/>
      <c r="FH374" s="645"/>
      <c r="FI374" s="645"/>
      <c r="FJ374" s="645"/>
      <c r="FK374" s="645"/>
      <c r="FL374" s="645"/>
      <c r="FM374" s="645"/>
      <c r="FN374" s="645"/>
      <c r="FO374" s="645"/>
      <c r="FP374" s="645"/>
      <c r="FQ374" s="645"/>
      <c r="FR374" s="645"/>
      <c r="FS374" s="645"/>
      <c r="FT374" s="645"/>
      <c r="FU374" s="645"/>
      <c r="FV374" s="645"/>
      <c r="FW374" s="645"/>
      <c r="FX374" s="645"/>
      <c r="FY374" s="645"/>
      <c r="FZ374" s="645"/>
      <c r="GA374" s="645"/>
      <c r="GB374" s="645"/>
      <c r="GC374" s="645"/>
      <c r="GD374" s="645"/>
      <c r="GE374" s="645"/>
      <c r="GF374" s="645"/>
      <c r="GG374" s="645"/>
      <c r="GH374" s="645"/>
      <c r="GI374" s="645"/>
      <c r="GJ374" s="645"/>
      <c r="GK374" s="645"/>
      <c r="GL374" s="645"/>
      <c r="GM374" s="645"/>
      <c r="GN374" s="645"/>
      <c r="GO374" s="645"/>
      <c r="GP374" s="645"/>
      <c r="GQ374" s="645"/>
      <c r="GR374" s="645"/>
      <c r="GS374" s="645"/>
      <c r="GT374" s="645"/>
      <c r="GU374" s="645"/>
      <c r="GV374" s="645"/>
      <c r="GW374" s="645"/>
      <c r="GX374" s="645"/>
      <c r="GY374" s="645"/>
      <c r="GZ374" s="645"/>
      <c r="HA374" s="645"/>
      <c r="HB374" s="645"/>
      <c r="HC374" s="645"/>
      <c r="HD374" s="645"/>
      <c r="HE374" s="645"/>
      <c r="HF374" s="645"/>
      <c r="HG374" s="645"/>
      <c r="HH374" s="645"/>
      <c r="HI374" s="645"/>
      <c r="HJ374" s="645"/>
      <c r="HK374" s="645"/>
      <c r="HL374" s="645"/>
      <c r="HM374" s="645"/>
      <c r="HN374" s="645"/>
      <c r="HO374" s="645"/>
      <c r="HP374" s="645"/>
      <c r="HQ374" s="645"/>
      <c r="HR374" s="645">
        <v>0.1855</v>
      </c>
      <c r="HS374" s="645">
        <f t="shared" si="812"/>
        <v>1245.5</v>
      </c>
      <c r="HT374" s="645">
        <f t="shared" si="813"/>
        <v>1</v>
      </c>
      <c r="HU374" s="618">
        <f t="shared" si="814"/>
        <v>4.7257255380065777</v>
      </c>
      <c r="HV374" s="618"/>
      <c r="HW374" s="618">
        <f t="shared" si="799"/>
        <v>29.289469736030661</v>
      </c>
      <c r="HX374" s="618">
        <f t="shared" si="815"/>
        <v>4.2840921776593364</v>
      </c>
      <c r="HY374" s="618">
        <f t="shared" si="816"/>
        <v>0.1855</v>
      </c>
      <c r="HZ374" s="618"/>
      <c r="IA374" s="618"/>
      <c r="IB374" s="618">
        <f t="shared" si="800"/>
        <v>25.000350341399081</v>
      </c>
      <c r="IC374" s="618">
        <f t="shared" si="801"/>
        <v>1E-3</v>
      </c>
      <c r="ID374" s="618"/>
      <c r="IE374" s="618">
        <f t="shared" si="802"/>
        <v>0</v>
      </c>
      <c r="IF374" s="618">
        <f t="shared" si="803"/>
        <v>40.704999999999998</v>
      </c>
      <c r="IG374" s="618"/>
      <c r="IH374" s="618">
        <f t="shared" si="804"/>
        <v>0</v>
      </c>
      <c r="II374" s="618">
        <f t="shared" si="805"/>
        <v>40.704999999999998</v>
      </c>
      <c r="IJ374" s="618"/>
      <c r="IK374" s="618">
        <f t="shared" si="806"/>
        <v>0</v>
      </c>
      <c r="IL374" s="618">
        <f t="shared" si="807"/>
        <v>40.704999999999998</v>
      </c>
      <c r="IM374" s="618"/>
      <c r="IN374" s="618">
        <f t="shared" si="808"/>
        <v>0</v>
      </c>
      <c r="IO374" s="618">
        <f t="shared" si="809"/>
        <v>40.704999999999998</v>
      </c>
      <c r="IP374" s="618"/>
      <c r="IQ374" s="618">
        <f t="shared" si="810"/>
        <v>0</v>
      </c>
      <c r="IR374" s="618">
        <f t="shared" si="811"/>
        <v>40.704999999999998</v>
      </c>
      <c r="IS374" s="645"/>
      <c r="IT374" s="645"/>
      <c r="IU374" s="645"/>
      <c r="IV374" s="645"/>
      <c r="IW374" s="645"/>
      <c r="IX374" s="645"/>
      <c r="IY374" s="645"/>
      <c r="IZ374" s="645"/>
      <c r="JA374" s="645"/>
      <c r="JB374" s="645"/>
      <c r="JC374" s="645"/>
      <c r="JD374" s="645"/>
      <c r="JE374" s="645"/>
      <c r="JF374" s="645"/>
      <c r="JG374" s="645"/>
      <c r="JH374" s="645"/>
      <c r="JI374" s="645"/>
      <c r="JJ374" s="645"/>
      <c r="JK374" s="645"/>
      <c r="JL374" s="645"/>
      <c r="JM374" s="645"/>
      <c r="JN374" s="645"/>
      <c r="JO374" s="645"/>
      <c r="JP374" s="645"/>
      <c r="JQ374" s="645"/>
      <c r="JR374" s="645"/>
      <c r="JS374" s="645"/>
      <c r="JT374" s="645"/>
      <c r="JU374" s="645"/>
      <c r="JV374" s="653"/>
    </row>
    <row r="375" spans="1:282" s="612" customFormat="1">
      <c r="A375" s="611"/>
      <c r="U375" s="613"/>
      <c r="V375" s="613"/>
      <c r="AC375" s="613"/>
      <c r="AD375" s="613"/>
      <c r="AL375" s="613"/>
      <c r="AM375" s="613"/>
      <c r="AT375" s="613"/>
      <c r="AU375" s="613"/>
      <c r="CH375" s="611"/>
      <c r="CI375" s="611"/>
      <c r="CO375" s="695"/>
      <c r="CP375" s="645"/>
      <c r="CQ375" s="618"/>
      <c r="CR375" s="618"/>
      <c r="CS375" s="618"/>
      <c r="CT375" s="626"/>
      <c r="CU375" s="626"/>
      <c r="CV375" s="626"/>
      <c r="CW375" s="646"/>
      <c r="CX375" s="646"/>
      <c r="CY375" s="625"/>
      <c r="CZ375" s="625"/>
      <c r="DA375" s="625"/>
      <c r="DB375" s="625"/>
      <c r="DC375" s="645"/>
      <c r="DD375" s="645"/>
      <c r="DE375" s="645"/>
      <c r="DF375" s="645"/>
      <c r="DG375" s="645"/>
      <c r="DH375" s="645"/>
      <c r="DI375" s="645"/>
      <c r="DJ375" s="645"/>
      <c r="DK375" s="645"/>
      <c r="DL375" s="645"/>
      <c r="DM375" s="645"/>
      <c r="DN375" s="645"/>
      <c r="DO375" s="645"/>
      <c r="DP375" s="645"/>
      <c r="DQ375" s="645"/>
      <c r="DR375" s="645"/>
      <c r="DS375" s="645"/>
      <c r="DT375" s="645"/>
      <c r="DU375" s="645"/>
      <c r="DV375" s="645"/>
      <c r="DW375" s="645"/>
      <c r="DX375" s="645"/>
      <c r="DY375" s="645"/>
      <c r="DZ375" s="645"/>
      <c r="EA375" s="645"/>
      <c r="EB375" s="645"/>
      <c r="EC375" s="645"/>
      <c r="ED375" s="645"/>
      <c r="EE375" s="645"/>
      <c r="EF375" s="645"/>
      <c r="EG375" s="645"/>
      <c r="EH375" s="645"/>
      <c r="EI375" s="645"/>
      <c r="EJ375" s="645"/>
      <c r="EK375" s="645"/>
      <c r="EL375" s="645"/>
      <c r="EM375" s="645"/>
      <c r="EN375" s="645"/>
      <c r="EO375" s="645"/>
      <c r="EP375" s="645"/>
      <c r="EQ375" s="645"/>
      <c r="ER375" s="645"/>
      <c r="ES375" s="645"/>
      <c r="ET375" s="645"/>
      <c r="EU375" s="645"/>
      <c r="EV375" s="645"/>
      <c r="EW375" s="645"/>
      <c r="EX375" s="645"/>
      <c r="EY375" s="645"/>
      <c r="EZ375" s="645"/>
      <c r="FA375" s="645"/>
      <c r="FB375" s="645"/>
      <c r="FC375" s="645"/>
      <c r="FD375" s="645"/>
      <c r="FE375" s="645"/>
      <c r="FF375" s="645"/>
      <c r="FG375" s="645"/>
      <c r="FH375" s="645"/>
      <c r="FI375" s="645"/>
      <c r="FJ375" s="645"/>
      <c r="FK375" s="645"/>
      <c r="FL375" s="645"/>
      <c r="FM375" s="645"/>
      <c r="FN375" s="645"/>
      <c r="FO375" s="645"/>
      <c r="FP375" s="645"/>
      <c r="FQ375" s="645"/>
      <c r="FR375" s="645"/>
      <c r="FS375" s="645"/>
      <c r="FT375" s="645"/>
      <c r="FU375" s="645"/>
      <c r="FV375" s="645"/>
      <c r="FW375" s="645"/>
      <c r="FX375" s="645"/>
      <c r="FY375" s="645"/>
      <c r="FZ375" s="645"/>
      <c r="GA375" s="645"/>
      <c r="GB375" s="645"/>
      <c r="GC375" s="645"/>
      <c r="GD375" s="645"/>
      <c r="GE375" s="645"/>
      <c r="GF375" s="645"/>
      <c r="GG375" s="645"/>
      <c r="GH375" s="645"/>
      <c r="GI375" s="645"/>
      <c r="GJ375" s="645"/>
      <c r="GK375" s="645"/>
      <c r="GL375" s="645"/>
      <c r="GM375" s="645"/>
      <c r="GN375" s="645"/>
      <c r="GO375" s="645"/>
      <c r="GP375" s="645"/>
      <c r="GQ375" s="645"/>
      <c r="GR375" s="645"/>
      <c r="GS375" s="645"/>
      <c r="GT375" s="645"/>
      <c r="GU375" s="645"/>
      <c r="GV375" s="645"/>
      <c r="GW375" s="645"/>
      <c r="GX375" s="645"/>
      <c r="GY375" s="645"/>
      <c r="GZ375" s="645"/>
      <c r="HA375" s="645"/>
      <c r="HB375" s="645"/>
      <c r="HC375" s="645"/>
      <c r="HD375" s="645"/>
      <c r="HE375" s="645"/>
      <c r="HF375" s="645"/>
      <c r="HG375" s="645"/>
      <c r="HH375" s="645"/>
      <c r="HI375" s="645"/>
      <c r="HJ375" s="645"/>
      <c r="HK375" s="645"/>
      <c r="HL375" s="645"/>
      <c r="HM375" s="645"/>
      <c r="HN375" s="645"/>
      <c r="HO375" s="645"/>
      <c r="HP375" s="645"/>
      <c r="HQ375" s="645"/>
      <c r="HR375" s="645">
        <v>0.186</v>
      </c>
      <c r="HS375" s="645">
        <f t="shared" si="812"/>
        <v>1248.8571428571429</v>
      </c>
      <c r="HT375" s="645">
        <f t="shared" si="813"/>
        <v>1</v>
      </c>
      <c r="HU375" s="618">
        <f t="shared" si="814"/>
        <v>4.7384645819802023</v>
      </c>
      <c r="HV375" s="618"/>
      <c r="HW375" s="618">
        <f t="shared" si="799"/>
        <v>29.271380293588113</v>
      </c>
      <c r="HX375" s="618">
        <f t="shared" si="815"/>
        <v>4.2944502165684675</v>
      </c>
      <c r="HY375" s="618">
        <f t="shared" si="816"/>
        <v>0.186</v>
      </c>
      <c r="HZ375" s="618"/>
      <c r="IA375" s="618"/>
      <c r="IB375" s="618">
        <f t="shared" si="800"/>
        <v>25.000350341399081</v>
      </c>
      <c r="IC375" s="618">
        <f t="shared" si="801"/>
        <v>1E-3</v>
      </c>
      <c r="ID375" s="618"/>
      <c r="IE375" s="618">
        <f t="shared" si="802"/>
        <v>0</v>
      </c>
      <c r="IF375" s="618">
        <f t="shared" si="803"/>
        <v>40.704999999999998</v>
      </c>
      <c r="IG375" s="618"/>
      <c r="IH375" s="618">
        <f t="shared" si="804"/>
        <v>0</v>
      </c>
      <c r="II375" s="618">
        <f t="shared" si="805"/>
        <v>40.704999999999998</v>
      </c>
      <c r="IJ375" s="618"/>
      <c r="IK375" s="618">
        <f t="shared" si="806"/>
        <v>0</v>
      </c>
      <c r="IL375" s="618">
        <f t="shared" si="807"/>
        <v>40.704999999999998</v>
      </c>
      <c r="IM375" s="618"/>
      <c r="IN375" s="618">
        <f t="shared" si="808"/>
        <v>0</v>
      </c>
      <c r="IO375" s="618">
        <f t="shared" si="809"/>
        <v>40.704999999999998</v>
      </c>
      <c r="IP375" s="618"/>
      <c r="IQ375" s="618">
        <f t="shared" si="810"/>
        <v>0</v>
      </c>
      <c r="IR375" s="618">
        <f t="shared" si="811"/>
        <v>40.704999999999998</v>
      </c>
      <c r="IS375" s="645"/>
      <c r="IT375" s="645"/>
      <c r="IU375" s="645"/>
      <c r="IV375" s="645"/>
      <c r="IW375" s="645"/>
      <c r="IX375" s="645"/>
      <c r="IY375" s="645"/>
      <c r="IZ375" s="645"/>
      <c r="JA375" s="645"/>
      <c r="JB375" s="645"/>
      <c r="JC375" s="645"/>
      <c r="JD375" s="645"/>
      <c r="JE375" s="645"/>
      <c r="JF375" s="645"/>
      <c r="JG375" s="645"/>
      <c r="JH375" s="645"/>
      <c r="JI375" s="645"/>
      <c r="JJ375" s="645"/>
      <c r="JK375" s="645"/>
      <c r="JL375" s="645"/>
      <c r="JM375" s="645"/>
      <c r="JN375" s="645"/>
      <c r="JO375" s="645"/>
      <c r="JP375" s="645"/>
      <c r="JQ375" s="645"/>
      <c r="JR375" s="645"/>
      <c r="JS375" s="645"/>
      <c r="JT375" s="645"/>
      <c r="JU375" s="645"/>
      <c r="JV375" s="653"/>
    </row>
    <row r="376" spans="1:282" s="612" customFormat="1">
      <c r="A376" s="611"/>
      <c r="U376" s="613"/>
      <c r="V376" s="613"/>
      <c r="AC376" s="613"/>
      <c r="AD376" s="613"/>
      <c r="AL376" s="613"/>
      <c r="AM376" s="613"/>
      <c r="AT376" s="613"/>
      <c r="AU376" s="613"/>
      <c r="CH376" s="611"/>
      <c r="CI376" s="611"/>
      <c r="CO376" s="695"/>
      <c r="CP376" s="645"/>
      <c r="CQ376" s="618"/>
      <c r="CR376" s="618"/>
      <c r="CS376" s="618"/>
      <c r="CT376" s="626"/>
      <c r="CU376" s="626"/>
      <c r="CV376" s="626"/>
      <c r="CW376" s="646"/>
      <c r="CX376" s="646"/>
      <c r="CY376" s="625"/>
      <c r="CZ376" s="625"/>
      <c r="DA376" s="625"/>
      <c r="DB376" s="625"/>
      <c r="DC376" s="645"/>
      <c r="DD376" s="645"/>
      <c r="DE376" s="645"/>
      <c r="DF376" s="645"/>
      <c r="DG376" s="645"/>
      <c r="DH376" s="645"/>
      <c r="DI376" s="645"/>
      <c r="DJ376" s="645"/>
      <c r="DK376" s="645"/>
      <c r="DL376" s="645"/>
      <c r="DM376" s="645"/>
      <c r="DN376" s="645"/>
      <c r="DO376" s="645"/>
      <c r="DP376" s="645"/>
      <c r="DQ376" s="645"/>
      <c r="DR376" s="645"/>
      <c r="DS376" s="645"/>
      <c r="DT376" s="645"/>
      <c r="DU376" s="645"/>
      <c r="DV376" s="645"/>
      <c r="DW376" s="645"/>
      <c r="DX376" s="645"/>
      <c r="DY376" s="645"/>
      <c r="DZ376" s="645"/>
      <c r="EA376" s="645"/>
      <c r="EB376" s="645"/>
      <c r="EC376" s="645"/>
      <c r="ED376" s="645"/>
      <c r="EE376" s="645"/>
      <c r="EF376" s="645"/>
      <c r="EG376" s="645"/>
      <c r="EH376" s="645"/>
      <c r="EI376" s="645"/>
      <c r="EJ376" s="645"/>
      <c r="EK376" s="645"/>
      <c r="EL376" s="645"/>
      <c r="EM376" s="645"/>
      <c r="EN376" s="645"/>
      <c r="EO376" s="645"/>
      <c r="EP376" s="645"/>
      <c r="EQ376" s="645"/>
      <c r="ER376" s="645"/>
      <c r="ES376" s="645"/>
      <c r="ET376" s="645"/>
      <c r="EU376" s="645"/>
      <c r="EV376" s="645"/>
      <c r="EW376" s="645"/>
      <c r="EX376" s="645"/>
      <c r="EY376" s="645"/>
      <c r="EZ376" s="645"/>
      <c r="FA376" s="645"/>
      <c r="FB376" s="645"/>
      <c r="FC376" s="645"/>
      <c r="FD376" s="645"/>
      <c r="FE376" s="645"/>
      <c r="FF376" s="645"/>
      <c r="FG376" s="645"/>
      <c r="FH376" s="645"/>
      <c r="FI376" s="645"/>
      <c r="FJ376" s="645"/>
      <c r="FK376" s="645"/>
      <c r="FL376" s="645"/>
      <c r="FM376" s="645"/>
      <c r="FN376" s="645"/>
      <c r="FO376" s="645"/>
      <c r="FP376" s="645"/>
      <c r="FQ376" s="645"/>
      <c r="FR376" s="645"/>
      <c r="FS376" s="645"/>
      <c r="FT376" s="645"/>
      <c r="FU376" s="645"/>
      <c r="FV376" s="645"/>
      <c r="FW376" s="645"/>
      <c r="FX376" s="645"/>
      <c r="FY376" s="645"/>
      <c r="FZ376" s="645"/>
      <c r="GA376" s="645"/>
      <c r="GB376" s="645"/>
      <c r="GC376" s="645"/>
      <c r="GD376" s="645"/>
      <c r="GE376" s="645"/>
      <c r="GF376" s="645"/>
      <c r="GG376" s="645"/>
      <c r="GH376" s="645"/>
      <c r="GI376" s="645"/>
      <c r="GJ376" s="645"/>
      <c r="GK376" s="645"/>
      <c r="GL376" s="645"/>
      <c r="GM376" s="645"/>
      <c r="GN376" s="645"/>
      <c r="GO376" s="645"/>
      <c r="GP376" s="645"/>
      <c r="GQ376" s="645"/>
      <c r="GR376" s="645"/>
      <c r="GS376" s="645"/>
      <c r="GT376" s="645"/>
      <c r="GU376" s="645"/>
      <c r="GV376" s="645"/>
      <c r="GW376" s="645"/>
      <c r="GX376" s="645"/>
      <c r="GY376" s="645"/>
      <c r="GZ376" s="645"/>
      <c r="HA376" s="645"/>
      <c r="HB376" s="645"/>
      <c r="HC376" s="645"/>
      <c r="HD376" s="645"/>
      <c r="HE376" s="645"/>
      <c r="HF376" s="645"/>
      <c r="HG376" s="645"/>
      <c r="HH376" s="645"/>
      <c r="HI376" s="645"/>
      <c r="HJ376" s="645"/>
      <c r="HK376" s="645"/>
      <c r="HL376" s="645"/>
      <c r="HM376" s="645"/>
      <c r="HN376" s="645"/>
      <c r="HO376" s="645"/>
      <c r="HP376" s="645"/>
      <c r="HQ376" s="645"/>
      <c r="HR376" s="645">
        <v>0.1865</v>
      </c>
      <c r="HS376" s="645">
        <f t="shared" si="812"/>
        <v>1252.2142857142858</v>
      </c>
      <c r="HT376" s="645">
        <f t="shared" si="813"/>
        <v>1</v>
      </c>
      <c r="HU376" s="618">
        <f t="shared" si="814"/>
        <v>4.7512036259538268</v>
      </c>
      <c r="HV376" s="618"/>
      <c r="HW376" s="618">
        <f t="shared" si="799"/>
        <v>29.253290851145564</v>
      </c>
      <c r="HX376" s="618">
        <f t="shared" si="815"/>
        <v>4.3048018543053006</v>
      </c>
      <c r="HY376" s="618">
        <f t="shared" si="816"/>
        <v>0.1865</v>
      </c>
      <c r="HZ376" s="618"/>
      <c r="IA376" s="618"/>
      <c r="IB376" s="618">
        <f t="shared" si="800"/>
        <v>25.000350341399081</v>
      </c>
      <c r="IC376" s="618">
        <f t="shared" si="801"/>
        <v>1E-3</v>
      </c>
      <c r="ID376" s="618"/>
      <c r="IE376" s="618">
        <f t="shared" si="802"/>
        <v>0</v>
      </c>
      <c r="IF376" s="618">
        <f t="shared" si="803"/>
        <v>40.704999999999998</v>
      </c>
      <c r="IG376" s="618"/>
      <c r="IH376" s="618">
        <f t="shared" si="804"/>
        <v>0</v>
      </c>
      <c r="II376" s="618">
        <f t="shared" si="805"/>
        <v>40.704999999999998</v>
      </c>
      <c r="IJ376" s="618"/>
      <c r="IK376" s="618">
        <f t="shared" si="806"/>
        <v>0</v>
      </c>
      <c r="IL376" s="618">
        <f t="shared" si="807"/>
        <v>40.704999999999998</v>
      </c>
      <c r="IM376" s="618"/>
      <c r="IN376" s="618">
        <f t="shared" si="808"/>
        <v>0</v>
      </c>
      <c r="IO376" s="618">
        <f t="shared" si="809"/>
        <v>40.704999999999998</v>
      </c>
      <c r="IP376" s="618"/>
      <c r="IQ376" s="618">
        <f t="shared" si="810"/>
        <v>0</v>
      </c>
      <c r="IR376" s="618">
        <f t="shared" si="811"/>
        <v>40.704999999999998</v>
      </c>
      <c r="IS376" s="645"/>
      <c r="IT376" s="645"/>
      <c r="IU376" s="645"/>
      <c r="IV376" s="645"/>
      <c r="IW376" s="645"/>
      <c r="IX376" s="645"/>
      <c r="IY376" s="645"/>
      <c r="IZ376" s="645"/>
      <c r="JA376" s="645"/>
      <c r="JB376" s="645"/>
      <c r="JC376" s="645"/>
      <c r="JD376" s="645"/>
      <c r="JE376" s="645"/>
      <c r="JF376" s="645"/>
      <c r="JG376" s="645"/>
      <c r="JH376" s="645"/>
      <c r="JI376" s="645"/>
      <c r="JJ376" s="645"/>
      <c r="JK376" s="645"/>
      <c r="JL376" s="645"/>
      <c r="JM376" s="645"/>
      <c r="JN376" s="645"/>
      <c r="JO376" s="645"/>
      <c r="JP376" s="645"/>
      <c r="JQ376" s="645"/>
      <c r="JR376" s="645"/>
      <c r="JS376" s="645"/>
      <c r="JT376" s="645"/>
      <c r="JU376" s="645"/>
      <c r="JV376" s="653"/>
    </row>
    <row r="377" spans="1:282" s="612" customFormat="1">
      <c r="A377" s="611"/>
      <c r="U377" s="613"/>
      <c r="V377" s="613"/>
      <c r="AC377" s="613"/>
      <c r="AD377" s="613"/>
      <c r="AL377" s="613"/>
      <c r="AM377" s="613"/>
      <c r="AT377" s="613"/>
      <c r="AU377" s="613"/>
      <c r="CH377" s="611"/>
      <c r="CI377" s="611"/>
      <c r="CO377" s="695"/>
      <c r="CP377" s="645"/>
      <c r="CQ377" s="618"/>
      <c r="CR377" s="618"/>
      <c r="CS377" s="618"/>
      <c r="CT377" s="626"/>
      <c r="CU377" s="626"/>
      <c r="CV377" s="626"/>
      <c r="CW377" s="646"/>
      <c r="CX377" s="646"/>
      <c r="CY377" s="625"/>
      <c r="CZ377" s="625"/>
      <c r="DA377" s="625"/>
      <c r="DB377" s="625"/>
      <c r="DC377" s="645"/>
      <c r="DD377" s="645"/>
      <c r="DE377" s="645"/>
      <c r="DF377" s="645"/>
      <c r="DG377" s="645"/>
      <c r="DH377" s="645"/>
      <c r="DI377" s="645"/>
      <c r="DJ377" s="645"/>
      <c r="DK377" s="645"/>
      <c r="DL377" s="645"/>
      <c r="DM377" s="645"/>
      <c r="DN377" s="645"/>
      <c r="DO377" s="645"/>
      <c r="DP377" s="645"/>
      <c r="DQ377" s="645"/>
      <c r="DR377" s="645"/>
      <c r="DS377" s="645"/>
      <c r="DT377" s="645"/>
      <c r="DU377" s="645"/>
      <c r="DV377" s="645"/>
      <c r="DW377" s="645"/>
      <c r="DX377" s="645"/>
      <c r="DY377" s="645"/>
      <c r="DZ377" s="645"/>
      <c r="EA377" s="645"/>
      <c r="EB377" s="645"/>
      <c r="EC377" s="645"/>
      <c r="ED377" s="645"/>
      <c r="EE377" s="645"/>
      <c r="EF377" s="645"/>
      <c r="EG377" s="645"/>
      <c r="EH377" s="645"/>
      <c r="EI377" s="645"/>
      <c r="EJ377" s="645"/>
      <c r="EK377" s="645"/>
      <c r="EL377" s="645"/>
      <c r="EM377" s="645"/>
      <c r="EN377" s="645"/>
      <c r="EO377" s="645"/>
      <c r="EP377" s="645"/>
      <c r="EQ377" s="645"/>
      <c r="ER377" s="645"/>
      <c r="ES377" s="645"/>
      <c r="ET377" s="645"/>
      <c r="EU377" s="645"/>
      <c r="EV377" s="645"/>
      <c r="EW377" s="645"/>
      <c r="EX377" s="645"/>
      <c r="EY377" s="645"/>
      <c r="EZ377" s="645"/>
      <c r="FA377" s="645"/>
      <c r="FB377" s="645"/>
      <c r="FC377" s="645"/>
      <c r="FD377" s="645"/>
      <c r="FE377" s="645"/>
      <c r="FF377" s="645"/>
      <c r="FG377" s="645"/>
      <c r="FH377" s="645"/>
      <c r="FI377" s="645"/>
      <c r="FJ377" s="645"/>
      <c r="FK377" s="645"/>
      <c r="FL377" s="645"/>
      <c r="FM377" s="645"/>
      <c r="FN377" s="645"/>
      <c r="FO377" s="645"/>
      <c r="FP377" s="645"/>
      <c r="FQ377" s="645"/>
      <c r="FR377" s="645"/>
      <c r="FS377" s="645"/>
      <c r="FT377" s="645"/>
      <c r="FU377" s="645"/>
      <c r="FV377" s="645"/>
      <c r="FW377" s="645"/>
      <c r="FX377" s="645"/>
      <c r="FY377" s="645"/>
      <c r="FZ377" s="645"/>
      <c r="GA377" s="645"/>
      <c r="GB377" s="645"/>
      <c r="GC377" s="645"/>
      <c r="GD377" s="645"/>
      <c r="GE377" s="645"/>
      <c r="GF377" s="645"/>
      <c r="GG377" s="645"/>
      <c r="GH377" s="645"/>
      <c r="GI377" s="645"/>
      <c r="GJ377" s="645"/>
      <c r="GK377" s="645"/>
      <c r="GL377" s="645"/>
      <c r="GM377" s="645"/>
      <c r="GN377" s="645"/>
      <c r="GO377" s="645"/>
      <c r="GP377" s="645"/>
      <c r="GQ377" s="645"/>
      <c r="GR377" s="645"/>
      <c r="GS377" s="645"/>
      <c r="GT377" s="645"/>
      <c r="GU377" s="645"/>
      <c r="GV377" s="645"/>
      <c r="GW377" s="645"/>
      <c r="GX377" s="645"/>
      <c r="GY377" s="645"/>
      <c r="GZ377" s="645"/>
      <c r="HA377" s="645"/>
      <c r="HB377" s="645"/>
      <c r="HC377" s="645"/>
      <c r="HD377" s="645"/>
      <c r="HE377" s="645"/>
      <c r="HF377" s="645"/>
      <c r="HG377" s="645"/>
      <c r="HH377" s="645"/>
      <c r="HI377" s="645"/>
      <c r="HJ377" s="645"/>
      <c r="HK377" s="645"/>
      <c r="HL377" s="645"/>
      <c r="HM377" s="645"/>
      <c r="HN377" s="645"/>
      <c r="HO377" s="645"/>
      <c r="HP377" s="645"/>
      <c r="HQ377" s="645"/>
      <c r="HR377" s="645">
        <v>0.187</v>
      </c>
      <c r="HS377" s="645">
        <f t="shared" si="812"/>
        <v>1255.5714285714287</v>
      </c>
      <c r="HT377" s="645">
        <f t="shared" si="813"/>
        <v>1</v>
      </c>
      <c r="HU377" s="618">
        <f t="shared" si="814"/>
        <v>4.7639426699274514</v>
      </c>
      <c r="HV377" s="618"/>
      <c r="HW377" s="618">
        <f t="shared" si="799"/>
        <v>29.23520140870302</v>
      </c>
      <c r="HX377" s="618">
        <f t="shared" si="815"/>
        <v>4.3151470908698348</v>
      </c>
      <c r="HY377" s="618">
        <f t="shared" si="816"/>
        <v>0.187</v>
      </c>
      <c r="HZ377" s="618"/>
      <c r="IA377" s="618"/>
      <c r="IB377" s="618">
        <f t="shared" si="800"/>
        <v>25.000350341399081</v>
      </c>
      <c r="IC377" s="618">
        <f t="shared" si="801"/>
        <v>1E-3</v>
      </c>
      <c r="ID377" s="618"/>
      <c r="IE377" s="618">
        <f t="shared" si="802"/>
        <v>0</v>
      </c>
      <c r="IF377" s="618">
        <f t="shared" si="803"/>
        <v>40.704999999999998</v>
      </c>
      <c r="IG377" s="618"/>
      <c r="IH377" s="618">
        <f t="shared" si="804"/>
        <v>0</v>
      </c>
      <c r="II377" s="618">
        <f t="shared" si="805"/>
        <v>40.704999999999998</v>
      </c>
      <c r="IJ377" s="618"/>
      <c r="IK377" s="618">
        <f t="shared" si="806"/>
        <v>0</v>
      </c>
      <c r="IL377" s="618">
        <f t="shared" si="807"/>
        <v>40.704999999999998</v>
      </c>
      <c r="IM377" s="618"/>
      <c r="IN377" s="618">
        <f t="shared" si="808"/>
        <v>0</v>
      </c>
      <c r="IO377" s="618">
        <f t="shared" si="809"/>
        <v>40.704999999999998</v>
      </c>
      <c r="IP377" s="618"/>
      <c r="IQ377" s="618">
        <f t="shared" si="810"/>
        <v>0</v>
      </c>
      <c r="IR377" s="618">
        <f t="shared" si="811"/>
        <v>40.704999999999998</v>
      </c>
      <c r="IS377" s="645"/>
      <c r="IT377" s="645"/>
      <c r="IU377" s="645"/>
      <c r="IV377" s="645"/>
      <c r="IW377" s="645"/>
      <c r="IX377" s="645"/>
      <c r="IY377" s="645"/>
      <c r="IZ377" s="645"/>
      <c r="JA377" s="645"/>
      <c r="JB377" s="645"/>
      <c r="JC377" s="645"/>
      <c r="JD377" s="645"/>
      <c r="JE377" s="645"/>
      <c r="JF377" s="645"/>
      <c r="JG377" s="645"/>
      <c r="JH377" s="645"/>
      <c r="JI377" s="645"/>
      <c r="JJ377" s="645"/>
      <c r="JK377" s="645"/>
      <c r="JL377" s="645"/>
      <c r="JM377" s="645"/>
      <c r="JN377" s="645"/>
      <c r="JO377" s="645"/>
      <c r="JP377" s="645"/>
      <c r="JQ377" s="645"/>
      <c r="JR377" s="645"/>
      <c r="JS377" s="645"/>
      <c r="JT377" s="645"/>
      <c r="JU377" s="645"/>
      <c r="JV377" s="653"/>
    </row>
    <row r="378" spans="1:282" s="612" customFormat="1">
      <c r="A378" s="611"/>
      <c r="U378" s="613"/>
      <c r="V378" s="613"/>
      <c r="AC378" s="613"/>
      <c r="AD378" s="613"/>
      <c r="AL378" s="613"/>
      <c r="AM378" s="613"/>
      <c r="AT378" s="613"/>
      <c r="AU378" s="613"/>
      <c r="CH378" s="611"/>
      <c r="CI378" s="611"/>
      <c r="CO378" s="695"/>
      <c r="CP378" s="645"/>
      <c r="CQ378" s="618"/>
      <c r="CR378" s="618"/>
      <c r="CS378" s="618"/>
      <c r="CT378" s="626"/>
      <c r="CU378" s="626"/>
      <c r="CV378" s="626"/>
      <c r="CW378" s="646"/>
      <c r="CX378" s="646"/>
      <c r="CY378" s="625"/>
      <c r="CZ378" s="625"/>
      <c r="DA378" s="625"/>
      <c r="DB378" s="625"/>
      <c r="DC378" s="645"/>
      <c r="DD378" s="645"/>
      <c r="DE378" s="645"/>
      <c r="DF378" s="645"/>
      <c r="DG378" s="645"/>
      <c r="DH378" s="645"/>
      <c r="DI378" s="645"/>
      <c r="DJ378" s="645"/>
      <c r="DK378" s="645"/>
      <c r="DL378" s="645"/>
      <c r="DM378" s="645"/>
      <c r="DN378" s="645"/>
      <c r="DO378" s="645"/>
      <c r="DP378" s="645"/>
      <c r="DQ378" s="645"/>
      <c r="DR378" s="645"/>
      <c r="DS378" s="645"/>
      <c r="DT378" s="645"/>
      <c r="DU378" s="645"/>
      <c r="DV378" s="645"/>
      <c r="DW378" s="645"/>
      <c r="DX378" s="645"/>
      <c r="DY378" s="645"/>
      <c r="DZ378" s="645"/>
      <c r="EA378" s="645"/>
      <c r="EB378" s="645"/>
      <c r="EC378" s="645"/>
      <c r="ED378" s="645"/>
      <c r="EE378" s="645"/>
      <c r="EF378" s="645"/>
      <c r="EG378" s="645"/>
      <c r="EH378" s="645"/>
      <c r="EI378" s="645"/>
      <c r="EJ378" s="645"/>
      <c r="EK378" s="645"/>
      <c r="EL378" s="645"/>
      <c r="EM378" s="645"/>
      <c r="EN378" s="645"/>
      <c r="EO378" s="645"/>
      <c r="EP378" s="645"/>
      <c r="EQ378" s="645"/>
      <c r="ER378" s="645"/>
      <c r="ES378" s="645"/>
      <c r="ET378" s="645"/>
      <c r="EU378" s="645"/>
      <c r="EV378" s="645"/>
      <c r="EW378" s="645"/>
      <c r="EX378" s="645"/>
      <c r="EY378" s="645"/>
      <c r="EZ378" s="645"/>
      <c r="FA378" s="645"/>
      <c r="FB378" s="645"/>
      <c r="FC378" s="645"/>
      <c r="FD378" s="645"/>
      <c r="FE378" s="645"/>
      <c r="FF378" s="645"/>
      <c r="FG378" s="645"/>
      <c r="FH378" s="645"/>
      <c r="FI378" s="645"/>
      <c r="FJ378" s="645"/>
      <c r="FK378" s="645"/>
      <c r="FL378" s="645"/>
      <c r="FM378" s="645"/>
      <c r="FN378" s="645"/>
      <c r="FO378" s="645"/>
      <c r="FP378" s="645"/>
      <c r="FQ378" s="645"/>
      <c r="FR378" s="645"/>
      <c r="FS378" s="645"/>
      <c r="FT378" s="645"/>
      <c r="FU378" s="645"/>
      <c r="FV378" s="645"/>
      <c r="FW378" s="645"/>
      <c r="FX378" s="645"/>
      <c r="FY378" s="645"/>
      <c r="FZ378" s="645"/>
      <c r="GA378" s="645"/>
      <c r="GB378" s="645"/>
      <c r="GC378" s="645"/>
      <c r="GD378" s="645"/>
      <c r="GE378" s="645"/>
      <c r="GF378" s="645"/>
      <c r="GG378" s="645"/>
      <c r="GH378" s="645"/>
      <c r="GI378" s="645"/>
      <c r="GJ378" s="645"/>
      <c r="GK378" s="645"/>
      <c r="GL378" s="645"/>
      <c r="GM378" s="645"/>
      <c r="GN378" s="645"/>
      <c r="GO378" s="645"/>
      <c r="GP378" s="645"/>
      <c r="GQ378" s="645"/>
      <c r="GR378" s="645"/>
      <c r="GS378" s="645"/>
      <c r="GT378" s="645"/>
      <c r="GU378" s="645"/>
      <c r="GV378" s="645"/>
      <c r="GW378" s="645"/>
      <c r="GX378" s="645"/>
      <c r="GY378" s="645"/>
      <c r="GZ378" s="645"/>
      <c r="HA378" s="645"/>
      <c r="HB378" s="645"/>
      <c r="HC378" s="645"/>
      <c r="HD378" s="645"/>
      <c r="HE378" s="645"/>
      <c r="HF378" s="645"/>
      <c r="HG378" s="645"/>
      <c r="HH378" s="645"/>
      <c r="HI378" s="645"/>
      <c r="HJ378" s="645"/>
      <c r="HK378" s="645"/>
      <c r="HL378" s="645"/>
      <c r="HM378" s="645"/>
      <c r="HN378" s="645"/>
      <c r="HO378" s="645"/>
      <c r="HP378" s="645"/>
      <c r="HQ378" s="645"/>
      <c r="HR378" s="645">
        <v>0.1875</v>
      </c>
      <c r="HS378" s="645">
        <f t="shared" si="812"/>
        <v>1258.9285714285713</v>
      </c>
      <c r="HT378" s="645">
        <f t="shared" si="813"/>
        <v>1</v>
      </c>
      <c r="HU378" s="618">
        <f t="shared" si="814"/>
        <v>4.776681713901076</v>
      </c>
      <c r="HV378" s="618"/>
      <c r="HW378" s="618">
        <f t="shared" si="799"/>
        <v>29.217111966260472</v>
      </c>
      <c r="HX378" s="618">
        <f t="shared" si="815"/>
        <v>4.3254859262620711</v>
      </c>
      <c r="HY378" s="618">
        <f t="shared" si="816"/>
        <v>0.1875</v>
      </c>
      <c r="HZ378" s="618"/>
      <c r="IA378" s="618"/>
      <c r="IB378" s="618">
        <f t="shared" si="800"/>
        <v>25.000350341399081</v>
      </c>
      <c r="IC378" s="618">
        <f t="shared" si="801"/>
        <v>1E-3</v>
      </c>
      <c r="ID378" s="618"/>
      <c r="IE378" s="618">
        <f t="shared" si="802"/>
        <v>0</v>
      </c>
      <c r="IF378" s="618">
        <f t="shared" si="803"/>
        <v>40.704999999999998</v>
      </c>
      <c r="IG378" s="618"/>
      <c r="IH378" s="618">
        <f t="shared" si="804"/>
        <v>0</v>
      </c>
      <c r="II378" s="618">
        <f t="shared" si="805"/>
        <v>40.704999999999998</v>
      </c>
      <c r="IJ378" s="618"/>
      <c r="IK378" s="618">
        <f t="shared" si="806"/>
        <v>0</v>
      </c>
      <c r="IL378" s="618">
        <f t="shared" si="807"/>
        <v>40.704999999999998</v>
      </c>
      <c r="IM378" s="618"/>
      <c r="IN378" s="618">
        <f t="shared" si="808"/>
        <v>0</v>
      </c>
      <c r="IO378" s="618">
        <f t="shared" si="809"/>
        <v>40.704999999999998</v>
      </c>
      <c r="IP378" s="618"/>
      <c r="IQ378" s="618">
        <f t="shared" si="810"/>
        <v>0</v>
      </c>
      <c r="IR378" s="618">
        <f t="shared" si="811"/>
        <v>40.704999999999998</v>
      </c>
      <c r="IS378" s="645"/>
      <c r="IT378" s="645"/>
      <c r="IU378" s="645"/>
      <c r="IV378" s="645"/>
      <c r="IW378" s="645"/>
      <c r="IX378" s="645"/>
      <c r="IY378" s="645"/>
      <c r="IZ378" s="645"/>
      <c r="JA378" s="645"/>
      <c r="JB378" s="645"/>
      <c r="JC378" s="645"/>
      <c r="JD378" s="645"/>
      <c r="JE378" s="645"/>
      <c r="JF378" s="645"/>
      <c r="JG378" s="645"/>
      <c r="JH378" s="645"/>
      <c r="JI378" s="645"/>
      <c r="JJ378" s="645"/>
      <c r="JK378" s="645"/>
      <c r="JL378" s="645"/>
      <c r="JM378" s="645"/>
      <c r="JN378" s="645"/>
      <c r="JO378" s="645"/>
      <c r="JP378" s="645"/>
      <c r="JQ378" s="645"/>
      <c r="JR378" s="645"/>
      <c r="JS378" s="645"/>
      <c r="JT378" s="645"/>
      <c r="JU378" s="645"/>
      <c r="JV378" s="653"/>
    </row>
    <row r="379" spans="1:282" s="612" customFormat="1">
      <c r="A379" s="611"/>
      <c r="U379" s="613"/>
      <c r="V379" s="613"/>
      <c r="AC379" s="613"/>
      <c r="AD379" s="613"/>
      <c r="AL379" s="613"/>
      <c r="AM379" s="613"/>
      <c r="AT379" s="613"/>
      <c r="AU379" s="613"/>
      <c r="CH379" s="611"/>
      <c r="CI379" s="611"/>
      <c r="CO379" s="695"/>
      <c r="CP379" s="645"/>
      <c r="CQ379" s="618"/>
      <c r="CR379" s="618"/>
      <c r="CS379" s="618"/>
      <c r="CT379" s="626"/>
      <c r="CU379" s="626"/>
      <c r="CV379" s="626"/>
      <c r="CW379" s="646"/>
      <c r="CX379" s="646"/>
      <c r="CY379" s="625"/>
      <c r="CZ379" s="625"/>
      <c r="DA379" s="625"/>
      <c r="DB379" s="625"/>
      <c r="DC379" s="645"/>
      <c r="DD379" s="645"/>
      <c r="DE379" s="645"/>
      <c r="DF379" s="645"/>
      <c r="DG379" s="645"/>
      <c r="DH379" s="645"/>
      <c r="DI379" s="645"/>
      <c r="DJ379" s="645"/>
      <c r="DK379" s="645"/>
      <c r="DL379" s="645"/>
      <c r="DM379" s="645"/>
      <c r="DN379" s="645"/>
      <c r="DO379" s="645"/>
      <c r="DP379" s="645"/>
      <c r="DQ379" s="645"/>
      <c r="DR379" s="645"/>
      <c r="DS379" s="645"/>
      <c r="DT379" s="645"/>
      <c r="DU379" s="645"/>
      <c r="DV379" s="645"/>
      <c r="DW379" s="645"/>
      <c r="DX379" s="645"/>
      <c r="DY379" s="645"/>
      <c r="DZ379" s="645"/>
      <c r="EA379" s="645"/>
      <c r="EB379" s="645"/>
      <c r="EC379" s="645"/>
      <c r="ED379" s="645"/>
      <c r="EE379" s="645"/>
      <c r="EF379" s="645"/>
      <c r="EG379" s="645"/>
      <c r="EH379" s="645"/>
      <c r="EI379" s="645"/>
      <c r="EJ379" s="645"/>
      <c r="EK379" s="645"/>
      <c r="EL379" s="645"/>
      <c r="EM379" s="645"/>
      <c r="EN379" s="645"/>
      <c r="EO379" s="645"/>
      <c r="EP379" s="645"/>
      <c r="EQ379" s="645"/>
      <c r="ER379" s="645"/>
      <c r="ES379" s="645"/>
      <c r="ET379" s="645"/>
      <c r="EU379" s="645"/>
      <c r="EV379" s="645"/>
      <c r="EW379" s="645"/>
      <c r="EX379" s="645"/>
      <c r="EY379" s="645"/>
      <c r="EZ379" s="645"/>
      <c r="FA379" s="645"/>
      <c r="FB379" s="645"/>
      <c r="FC379" s="645"/>
      <c r="FD379" s="645"/>
      <c r="FE379" s="645"/>
      <c r="FF379" s="645"/>
      <c r="FG379" s="645"/>
      <c r="FH379" s="645"/>
      <c r="FI379" s="645"/>
      <c r="FJ379" s="645"/>
      <c r="FK379" s="645"/>
      <c r="FL379" s="645"/>
      <c r="FM379" s="645"/>
      <c r="FN379" s="645"/>
      <c r="FO379" s="645"/>
      <c r="FP379" s="645"/>
      <c r="FQ379" s="645"/>
      <c r="FR379" s="645"/>
      <c r="FS379" s="645"/>
      <c r="FT379" s="645"/>
      <c r="FU379" s="645"/>
      <c r="FV379" s="645"/>
      <c r="FW379" s="645"/>
      <c r="FX379" s="645"/>
      <c r="FY379" s="645"/>
      <c r="FZ379" s="645"/>
      <c r="GA379" s="645"/>
      <c r="GB379" s="645"/>
      <c r="GC379" s="645"/>
      <c r="GD379" s="645"/>
      <c r="GE379" s="645"/>
      <c r="GF379" s="645"/>
      <c r="GG379" s="645"/>
      <c r="GH379" s="645"/>
      <c r="GI379" s="645"/>
      <c r="GJ379" s="645"/>
      <c r="GK379" s="645"/>
      <c r="GL379" s="645"/>
      <c r="GM379" s="645"/>
      <c r="GN379" s="645"/>
      <c r="GO379" s="645"/>
      <c r="GP379" s="645"/>
      <c r="GQ379" s="645"/>
      <c r="GR379" s="645"/>
      <c r="GS379" s="645"/>
      <c r="GT379" s="645"/>
      <c r="GU379" s="645"/>
      <c r="GV379" s="645"/>
      <c r="GW379" s="645"/>
      <c r="GX379" s="645"/>
      <c r="GY379" s="645"/>
      <c r="GZ379" s="645"/>
      <c r="HA379" s="645"/>
      <c r="HB379" s="645"/>
      <c r="HC379" s="645"/>
      <c r="HD379" s="645"/>
      <c r="HE379" s="645"/>
      <c r="HF379" s="645"/>
      <c r="HG379" s="645"/>
      <c r="HH379" s="645"/>
      <c r="HI379" s="645"/>
      <c r="HJ379" s="645"/>
      <c r="HK379" s="645"/>
      <c r="HL379" s="645"/>
      <c r="HM379" s="645"/>
      <c r="HN379" s="645"/>
      <c r="HO379" s="645"/>
      <c r="HP379" s="645"/>
      <c r="HQ379" s="645"/>
      <c r="HR379" s="645">
        <v>0.188</v>
      </c>
      <c r="HS379" s="645">
        <f t="shared" si="812"/>
        <v>1262.2857142857142</v>
      </c>
      <c r="HT379" s="645">
        <f t="shared" si="813"/>
        <v>1</v>
      </c>
      <c r="HU379" s="618">
        <f t="shared" si="814"/>
        <v>4.7894207578747006</v>
      </c>
      <c r="HV379" s="618"/>
      <c r="HW379" s="618">
        <f t="shared" si="799"/>
        <v>29.199022523817924</v>
      </c>
      <c r="HX379" s="618">
        <f t="shared" si="815"/>
        <v>4.3358183604820093</v>
      </c>
      <c r="HY379" s="618">
        <f t="shared" si="816"/>
        <v>0.188</v>
      </c>
      <c r="HZ379" s="618"/>
      <c r="IA379" s="618"/>
      <c r="IB379" s="618">
        <f t="shared" si="800"/>
        <v>25.000350341399081</v>
      </c>
      <c r="IC379" s="618">
        <f t="shared" si="801"/>
        <v>1E-3</v>
      </c>
      <c r="ID379" s="618"/>
      <c r="IE379" s="618">
        <f t="shared" si="802"/>
        <v>0</v>
      </c>
      <c r="IF379" s="618">
        <f t="shared" si="803"/>
        <v>40.704999999999998</v>
      </c>
      <c r="IG379" s="618"/>
      <c r="IH379" s="618">
        <f t="shared" si="804"/>
        <v>0</v>
      </c>
      <c r="II379" s="618">
        <f t="shared" si="805"/>
        <v>40.704999999999998</v>
      </c>
      <c r="IJ379" s="618"/>
      <c r="IK379" s="618">
        <f t="shared" si="806"/>
        <v>0</v>
      </c>
      <c r="IL379" s="618">
        <f t="shared" si="807"/>
        <v>40.704999999999998</v>
      </c>
      <c r="IM379" s="618"/>
      <c r="IN379" s="618">
        <f t="shared" si="808"/>
        <v>0</v>
      </c>
      <c r="IO379" s="618">
        <f t="shared" si="809"/>
        <v>40.704999999999998</v>
      </c>
      <c r="IP379" s="618"/>
      <c r="IQ379" s="618">
        <f t="shared" si="810"/>
        <v>0</v>
      </c>
      <c r="IR379" s="618">
        <f t="shared" si="811"/>
        <v>40.704999999999998</v>
      </c>
      <c r="IS379" s="645"/>
      <c r="IT379" s="645"/>
      <c r="IU379" s="645"/>
      <c r="IV379" s="645"/>
      <c r="IW379" s="645"/>
      <c r="IX379" s="645"/>
      <c r="IY379" s="645"/>
      <c r="IZ379" s="645"/>
      <c r="JA379" s="645"/>
      <c r="JB379" s="645"/>
      <c r="JC379" s="645"/>
      <c r="JD379" s="645"/>
      <c r="JE379" s="645"/>
      <c r="JF379" s="645"/>
      <c r="JG379" s="645"/>
      <c r="JH379" s="645"/>
      <c r="JI379" s="645"/>
      <c r="JJ379" s="645"/>
      <c r="JK379" s="645"/>
      <c r="JL379" s="645"/>
      <c r="JM379" s="645"/>
      <c r="JN379" s="645"/>
      <c r="JO379" s="645"/>
      <c r="JP379" s="645"/>
      <c r="JQ379" s="645"/>
      <c r="JR379" s="645"/>
      <c r="JS379" s="645"/>
      <c r="JT379" s="645"/>
      <c r="JU379" s="645"/>
      <c r="JV379" s="653"/>
    </row>
    <row r="380" spans="1:282" s="612" customFormat="1">
      <c r="A380" s="611"/>
      <c r="U380" s="613"/>
      <c r="V380" s="613"/>
      <c r="AC380" s="613"/>
      <c r="AD380" s="613"/>
      <c r="AL380" s="613"/>
      <c r="AM380" s="613"/>
      <c r="AT380" s="613"/>
      <c r="AU380" s="613"/>
      <c r="CH380" s="611"/>
      <c r="CI380" s="611"/>
      <c r="CO380" s="695"/>
      <c r="CP380" s="645"/>
      <c r="CQ380" s="618"/>
      <c r="CR380" s="618"/>
      <c r="CS380" s="618"/>
      <c r="CT380" s="626"/>
      <c r="CU380" s="626"/>
      <c r="CV380" s="626"/>
      <c r="CW380" s="646"/>
      <c r="CX380" s="646"/>
      <c r="CY380" s="625"/>
      <c r="CZ380" s="625"/>
      <c r="DA380" s="625"/>
      <c r="DB380" s="625"/>
      <c r="DC380" s="645"/>
      <c r="DD380" s="645"/>
      <c r="DE380" s="645"/>
      <c r="DF380" s="645"/>
      <c r="DG380" s="645"/>
      <c r="DH380" s="645"/>
      <c r="DI380" s="645"/>
      <c r="DJ380" s="645"/>
      <c r="DK380" s="645"/>
      <c r="DL380" s="645"/>
      <c r="DM380" s="645"/>
      <c r="DN380" s="645"/>
      <c r="DO380" s="645"/>
      <c r="DP380" s="645"/>
      <c r="DQ380" s="645"/>
      <c r="DR380" s="645"/>
      <c r="DS380" s="645"/>
      <c r="DT380" s="645"/>
      <c r="DU380" s="645"/>
      <c r="DV380" s="645"/>
      <c r="DW380" s="645"/>
      <c r="DX380" s="645"/>
      <c r="DY380" s="645"/>
      <c r="DZ380" s="645"/>
      <c r="EA380" s="645"/>
      <c r="EB380" s="645"/>
      <c r="EC380" s="645"/>
      <c r="ED380" s="645"/>
      <c r="EE380" s="645"/>
      <c r="EF380" s="645"/>
      <c r="EG380" s="645"/>
      <c r="EH380" s="645"/>
      <c r="EI380" s="645"/>
      <c r="EJ380" s="645"/>
      <c r="EK380" s="645"/>
      <c r="EL380" s="645"/>
      <c r="EM380" s="645"/>
      <c r="EN380" s="645"/>
      <c r="EO380" s="645"/>
      <c r="EP380" s="645"/>
      <c r="EQ380" s="645"/>
      <c r="ER380" s="645"/>
      <c r="ES380" s="645"/>
      <c r="ET380" s="645"/>
      <c r="EU380" s="645"/>
      <c r="EV380" s="645"/>
      <c r="EW380" s="645"/>
      <c r="EX380" s="645"/>
      <c r="EY380" s="645"/>
      <c r="EZ380" s="645"/>
      <c r="FA380" s="645"/>
      <c r="FB380" s="645"/>
      <c r="FC380" s="645"/>
      <c r="FD380" s="645"/>
      <c r="FE380" s="645"/>
      <c r="FF380" s="645"/>
      <c r="FG380" s="645"/>
      <c r="FH380" s="645"/>
      <c r="FI380" s="645"/>
      <c r="FJ380" s="645"/>
      <c r="FK380" s="645"/>
      <c r="FL380" s="645"/>
      <c r="FM380" s="645"/>
      <c r="FN380" s="645"/>
      <c r="FO380" s="645"/>
      <c r="FP380" s="645"/>
      <c r="FQ380" s="645"/>
      <c r="FR380" s="645"/>
      <c r="FS380" s="645"/>
      <c r="FT380" s="645"/>
      <c r="FU380" s="645"/>
      <c r="FV380" s="645"/>
      <c r="FW380" s="645"/>
      <c r="FX380" s="645"/>
      <c r="FY380" s="645"/>
      <c r="FZ380" s="645"/>
      <c r="GA380" s="645"/>
      <c r="GB380" s="645"/>
      <c r="GC380" s="645"/>
      <c r="GD380" s="645"/>
      <c r="GE380" s="645"/>
      <c r="GF380" s="645"/>
      <c r="GG380" s="645"/>
      <c r="GH380" s="645"/>
      <c r="GI380" s="645"/>
      <c r="GJ380" s="645"/>
      <c r="GK380" s="645"/>
      <c r="GL380" s="645"/>
      <c r="GM380" s="645"/>
      <c r="GN380" s="645"/>
      <c r="GO380" s="645"/>
      <c r="GP380" s="645"/>
      <c r="GQ380" s="645"/>
      <c r="GR380" s="645"/>
      <c r="GS380" s="645"/>
      <c r="GT380" s="645"/>
      <c r="GU380" s="645"/>
      <c r="GV380" s="645"/>
      <c r="GW380" s="645"/>
      <c r="GX380" s="645"/>
      <c r="GY380" s="645"/>
      <c r="GZ380" s="645"/>
      <c r="HA380" s="645"/>
      <c r="HB380" s="645"/>
      <c r="HC380" s="645"/>
      <c r="HD380" s="645"/>
      <c r="HE380" s="645"/>
      <c r="HF380" s="645"/>
      <c r="HG380" s="645"/>
      <c r="HH380" s="645"/>
      <c r="HI380" s="645"/>
      <c r="HJ380" s="645"/>
      <c r="HK380" s="645"/>
      <c r="HL380" s="645"/>
      <c r="HM380" s="645"/>
      <c r="HN380" s="645"/>
      <c r="HO380" s="645"/>
      <c r="HP380" s="645"/>
      <c r="HQ380" s="645"/>
      <c r="HR380" s="645">
        <v>0.1885</v>
      </c>
      <c r="HS380" s="645">
        <f t="shared" si="812"/>
        <v>1265.6428571428571</v>
      </c>
      <c r="HT380" s="645">
        <f t="shared" si="813"/>
        <v>1</v>
      </c>
      <c r="HU380" s="618">
        <f t="shared" si="814"/>
        <v>4.8021598018483251</v>
      </c>
      <c r="HV380" s="618"/>
      <c r="HW380" s="618">
        <f t="shared" si="799"/>
        <v>29.180933081375379</v>
      </c>
      <c r="HX380" s="618">
        <f t="shared" si="815"/>
        <v>4.3461443935296495</v>
      </c>
      <c r="HY380" s="618">
        <f t="shared" si="816"/>
        <v>0.1885</v>
      </c>
      <c r="HZ380" s="618"/>
      <c r="IA380" s="618"/>
      <c r="IB380" s="618">
        <f t="shared" si="800"/>
        <v>25.000350341399081</v>
      </c>
      <c r="IC380" s="618">
        <f t="shared" si="801"/>
        <v>1E-3</v>
      </c>
      <c r="ID380" s="618"/>
      <c r="IE380" s="618">
        <f t="shared" si="802"/>
        <v>0</v>
      </c>
      <c r="IF380" s="618">
        <f t="shared" si="803"/>
        <v>40.704999999999998</v>
      </c>
      <c r="IG380" s="618"/>
      <c r="IH380" s="618">
        <f t="shared" si="804"/>
        <v>0</v>
      </c>
      <c r="II380" s="618">
        <f t="shared" si="805"/>
        <v>40.704999999999998</v>
      </c>
      <c r="IJ380" s="618"/>
      <c r="IK380" s="618">
        <f t="shared" si="806"/>
        <v>0</v>
      </c>
      <c r="IL380" s="618">
        <f t="shared" si="807"/>
        <v>40.704999999999998</v>
      </c>
      <c r="IM380" s="618"/>
      <c r="IN380" s="618">
        <f t="shared" si="808"/>
        <v>0</v>
      </c>
      <c r="IO380" s="618">
        <f t="shared" si="809"/>
        <v>40.704999999999998</v>
      </c>
      <c r="IP380" s="618"/>
      <c r="IQ380" s="618">
        <f t="shared" si="810"/>
        <v>0</v>
      </c>
      <c r="IR380" s="618">
        <f t="shared" si="811"/>
        <v>40.704999999999998</v>
      </c>
      <c r="IS380" s="645"/>
      <c r="IT380" s="645"/>
      <c r="IU380" s="645"/>
      <c r="IV380" s="645"/>
      <c r="IW380" s="645"/>
      <c r="IX380" s="645"/>
      <c r="IY380" s="645"/>
      <c r="IZ380" s="645"/>
      <c r="JA380" s="645"/>
      <c r="JB380" s="645"/>
      <c r="JC380" s="645"/>
      <c r="JD380" s="645"/>
      <c r="JE380" s="645"/>
      <c r="JF380" s="645"/>
      <c r="JG380" s="645"/>
      <c r="JH380" s="645"/>
      <c r="JI380" s="645"/>
      <c r="JJ380" s="645"/>
      <c r="JK380" s="645"/>
      <c r="JL380" s="645"/>
      <c r="JM380" s="645"/>
      <c r="JN380" s="645"/>
      <c r="JO380" s="645"/>
      <c r="JP380" s="645"/>
      <c r="JQ380" s="645"/>
      <c r="JR380" s="645"/>
      <c r="JS380" s="645"/>
      <c r="JT380" s="645"/>
      <c r="JU380" s="645"/>
      <c r="JV380" s="653"/>
    </row>
    <row r="381" spans="1:282" s="612" customFormat="1">
      <c r="A381" s="611"/>
      <c r="U381" s="613"/>
      <c r="V381" s="613"/>
      <c r="AC381" s="613"/>
      <c r="AD381" s="613"/>
      <c r="AL381" s="613"/>
      <c r="AM381" s="613"/>
      <c r="AT381" s="613"/>
      <c r="AU381" s="613"/>
      <c r="CH381" s="611"/>
      <c r="CI381" s="611"/>
      <c r="CO381" s="695"/>
      <c r="CP381" s="645"/>
      <c r="CQ381" s="618"/>
      <c r="CR381" s="618"/>
      <c r="CS381" s="618"/>
      <c r="CT381" s="626"/>
      <c r="CU381" s="626"/>
      <c r="CV381" s="626"/>
      <c r="CW381" s="646"/>
      <c r="CX381" s="646"/>
      <c r="CY381" s="625"/>
      <c r="CZ381" s="625"/>
      <c r="DA381" s="625"/>
      <c r="DB381" s="625"/>
      <c r="DC381" s="645"/>
      <c r="DD381" s="645"/>
      <c r="DE381" s="645"/>
      <c r="DF381" s="645"/>
      <c r="DG381" s="645"/>
      <c r="DH381" s="645"/>
      <c r="DI381" s="645"/>
      <c r="DJ381" s="645"/>
      <c r="DK381" s="645"/>
      <c r="DL381" s="645"/>
      <c r="DM381" s="645"/>
      <c r="DN381" s="645"/>
      <c r="DO381" s="645"/>
      <c r="DP381" s="645"/>
      <c r="DQ381" s="645"/>
      <c r="DR381" s="645"/>
      <c r="DS381" s="645"/>
      <c r="DT381" s="645"/>
      <c r="DU381" s="645"/>
      <c r="DV381" s="645"/>
      <c r="DW381" s="645"/>
      <c r="DX381" s="645"/>
      <c r="DY381" s="645"/>
      <c r="DZ381" s="645"/>
      <c r="EA381" s="645"/>
      <c r="EB381" s="645"/>
      <c r="EC381" s="645"/>
      <c r="ED381" s="645"/>
      <c r="EE381" s="645"/>
      <c r="EF381" s="645"/>
      <c r="EG381" s="645"/>
      <c r="EH381" s="645"/>
      <c r="EI381" s="645"/>
      <c r="EJ381" s="645"/>
      <c r="EK381" s="645"/>
      <c r="EL381" s="645"/>
      <c r="EM381" s="645"/>
      <c r="EN381" s="645"/>
      <c r="EO381" s="645"/>
      <c r="EP381" s="645"/>
      <c r="EQ381" s="645"/>
      <c r="ER381" s="645"/>
      <c r="ES381" s="645"/>
      <c r="ET381" s="645"/>
      <c r="EU381" s="645"/>
      <c r="EV381" s="645"/>
      <c r="EW381" s="645"/>
      <c r="EX381" s="645"/>
      <c r="EY381" s="645"/>
      <c r="EZ381" s="645"/>
      <c r="FA381" s="645"/>
      <c r="FB381" s="645"/>
      <c r="FC381" s="645"/>
      <c r="FD381" s="645"/>
      <c r="FE381" s="645"/>
      <c r="FF381" s="645"/>
      <c r="FG381" s="645"/>
      <c r="FH381" s="645"/>
      <c r="FI381" s="645"/>
      <c r="FJ381" s="645"/>
      <c r="FK381" s="645"/>
      <c r="FL381" s="645"/>
      <c r="FM381" s="645"/>
      <c r="FN381" s="645"/>
      <c r="FO381" s="645"/>
      <c r="FP381" s="645"/>
      <c r="FQ381" s="645"/>
      <c r="FR381" s="645"/>
      <c r="FS381" s="645"/>
      <c r="FT381" s="645"/>
      <c r="FU381" s="645"/>
      <c r="FV381" s="645"/>
      <c r="FW381" s="645"/>
      <c r="FX381" s="645"/>
      <c r="FY381" s="645"/>
      <c r="FZ381" s="645"/>
      <c r="GA381" s="645"/>
      <c r="GB381" s="645"/>
      <c r="GC381" s="645"/>
      <c r="GD381" s="645"/>
      <c r="GE381" s="645"/>
      <c r="GF381" s="645"/>
      <c r="GG381" s="645"/>
      <c r="GH381" s="645"/>
      <c r="GI381" s="645"/>
      <c r="GJ381" s="645"/>
      <c r="GK381" s="645"/>
      <c r="GL381" s="645"/>
      <c r="GM381" s="645"/>
      <c r="GN381" s="645"/>
      <c r="GO381" s="645"/>
      <c r="GP381" s="645"/>
      <c r="GQ381" s="645"/>
      <c r="GR381" s="645"/>
      <c r="GS381" s="645"/>
      <c r="GT381" s="645"/>
      <c r="GU381" s="645"/>
      <c r="GV381" s="645"/>
      <c r="GW381" s="645"/>
      <c r="GX381" s="645"/>
      <c r="GY381" s="645"/>
      <c r="GZ381" s="645"/>
      <c r="HA381" s="645"/>
      <c r="HB381" s="645"/>
      <c r="HC381" s="645"/>
      <c r="HD381" s="645"/>
      <c r="HE381" s="645"/>
      <c r="HF381" s="645"/>
      <c r="HG381" s="645"/>
      <c r="HH381" s="645"/>
      <c r="HI381" s="645"/>
      <c r="HJ381" s="645"/>
      <c r="HK381" s="645"/>
      <c r="HL381" s="645"/>
      <c r="HM381" s="645"/>
      <c r="HN381" s="645"/>
      <c r="HO381" s="645"/>
      <c r="HP381" s="645"/>
      <c r="HQ381" s="645"/>
      <c r="HR381" s="645">
        <v>0.189</v>
      </c>
      <c r="HS381" s="645">
        <f t="shared" si="812"/>
        <v>1269</v>
      </c>
      <c r="HT381" s="645">
        <f t="shared" si="813"/>
        <v>1</v>
      </c>
      <c r="HU381" s="618">
        <f t="shared" si="814"/>
        <v>4.8148988458219497</v>
      </c>
      <c r="HV381" s="618"/>
      <c r="HW381" s="618">
        <f t="shared" si="799"/>
        <v>29.162843638932831</v>
      </c>
      <c r="HX381" s="618">
        <f t="shared" si="815"/>
        <v>4.3564640254049918</v>
      </c>
      <c r="HY381" s="618">
        <f t="shared" si="816"/>
        <v>0.189</v>
      </c>
      <c r="HZ381" s="618"/>
      <c r="IA381" s="618"/>
      <c r="IB381" s="618">
        <f t="shared" si="800"/>
        <v>25.000350341399081</v>
      </c>
      <c r="IC381" s="618">
        <f t="shared" si="801"/>
        <v>1E-3</v>
      </c>
      <c r="ID381" s="618"/>
      <c r="IE381" s="618">
        <f t="shared" si="802"/>
        <v>0</v>
      </c>
      <c r="IF381" s="618">
        <f t="shared" si="803"/>
        <v>40.704999999999998</v>
      </c>
      <c r="IG381" s="618"/>
      <c r="IH381" s="618">
        <f t="shared" si="804"/>
        <v>0</v>
      </c>
      <c r="II381" s="618">
        <f t="shared" si="805"/>
        <v>40.704999999999998</v>
      </c>
      <c r="IJ381" s="618"/>
      <c r="IK381" s="618">
        <f t="shared" si="806"/>
        <v>0</v>
      </c>
      <c r="IL381" s="618">
        <f t="shared" si="807"/>
        <v>40.704999999999998</v>
      </c>
      <c r="IM381" s="618"/>
      <c r="IN381" s="618">
        <f t="shared" si="808"/>
        <v>0</v>
      </c>
      <c r="IO381" s="618">
        <f t="shared" si="809"/>
        <v>40.704999999999998</v>
      </c>
      <c r="IP381" s="618"/>
      <c r="IQ381" s="618">
        <f t="shared" si="810"/>
        <v>0</v>
      </c>
      <c r="IR381" s="618">
        <f t="shared" si="811"/>
        <v>40.704999999999998</v>
      </c>
      <c r="IS381" s="645"/>
      <c r="IT381" s="645"/>
      <c r="IU381" s="645"/>
      <c r="IV381" s="645"/>
      <c r="IW381" s="645"/>
      <c r="IX381" s="645"/>
      <c r="IY381" s="645"/>
      <c r="IZ381" s="645"/>
      <c r="JA381" s="645"/>
      <c r="JB381" s="645"/>
      <c r="JC381" s="645"/>
      <c r="JD381" s="645"/>
      <c r="JE381" s="645"/>
      <c r="JF381" s="645"/>
      <c r="JG381" s="645"/>
      <c r="JH381" s="645"/>
      <c r="JI381" s="645"/>
      <c r="JJ381" s="645"/>
      <c r="JK381" s="645"/>
      <c r="JL381" s="645"/>
      <c r="JM381" s="645"/>
      <c r="JN381" s="645"/>
      <c r="JO381" s="645"/>
      <c r="JP381" s="645"/>
      <c r="JQ381" s="645"/>
      <c r="JR381" s="645"/>
      <c r="JS381" s="645"/>
      <c r="JT381" s="645"/>
      <c r="JU381" s="645"/>
      <c r="JV381" s="653"/>
    </row>
    <row r="382" spans="1:282" s="612" customFormat="1">
      <c r="A382" s="611"/>
      <c r="U382" s="613"/>
      <c r="V382" s="613"/>
      <c r="AC382" s="613"/>
      <c r="AD382" s="613"/>
      <c r="AL382" s="613"/>
      <c r="AM382" s="613"/>
      <c r="AT382" s="613"/>
      <c r="AU382" s="613"/>
      <c r="CH382" s="611"/>
      <c r="CI382" s="611"/>
      <c r="CO382" s="695"/>
      <c r="CP382" s="645"/>
      <c r="CQ382" s="618"/>
      <c r="CR382" s="618"/>
      <c r="CS382" s="618"/>
      <c r="CT382" s="626"/>
      <c r="CU382" s="626"/>
      <c r="CV382" s="626"/>
      <c r="CW382" s="646"/>
      <c r="CX382" s="646"/>
      <c r="CY382" s="625"/>
      <c r="CZ382" s="625"/>
      <c r="DA382" s="625"/>
      <c r="DB382" s="625"/>
      <c r="DC382" s="645"/>
      <c r="DD382" s="645"/>
      <c r="DE382" s="645"/>
      <c r="DF382" s="645"/>
      <c r="DG382" s="645"/>
      <c r="DH382" s="645"/>
      <c r="DI382" s="645"/>
      <c r="DJ382" s="645"/>
      <c r="DK382" s="645"/>
      <c r="DL382" s="645"/>
      <c r="DM382" s="645"/>
      <c r="DN382" s="645"/>
      <c r="DO382" s="645"/>
      <c r="DP382" s="645"/>
      <c r="DQ382" s="645"/>
      <c r="DR382" s="645"/>
      <c r="DS382" s="645"/>
      <c r="DT382" s="645"/>
      <c r="DU382" s="645"/>
      <c r="DV382" s="645"/>
      <c r="DW382" s="645"/>
      <c r="DX382" s="645"/>
      <c r="DY382" s="645"/>
      <c r="DZ382" s="645"/>
      <c r="EA382" s="645"/>
      <c r="EB382" s="645"/>
      <c r="EC382" s="645"/>
      <c r="ED382" s="645"/>
      <c r="EE382" s="645"/>
      <c r="EF382" s="645"/>
      <c r="EG382" s="645"/>
      <c r="EH382" s="645"/>
      <c r="EI382" s="645"/>
      <c r="EJ382" s="645"/>
      <c r="EK382" s="645"/>
      <c r="EL382" s="645"/>
      <c r="EM382" s="645"/>
      <c r="EN382" s="645"/>
      <c r="EO382" s="645"/>
      <c r="EP382" s="645"/>
      <c r="EQ382" s="645"/>
      <c r="ER382" s="645"/>
      <c r="ES382" s="645"/>
      <c r="ET382" s="645"/>
      <c r="EU382" s="645"/>
      <c r="EV382" s="645"/>
      <c r="EW382" s="645"/>
      <c r="EX382" s="645"/>
      <c r="EY382" s="645"/>
      <c r="EZ382" s="645"/>
      <c r="FA382" s="645"/>
      <c r="FB382" s="645"/>
      <c r="FC382" s="645"/>
      <c r="FD382" s="645"/>
      <c r="FE382" s="645"/>
      <c r="FF382" s="645"/>
      <c r="FG382" s="645"/>
      <c r="FH382" s="645"/>
      <c r="FI382" s="645"/>
      <c r="FJ382" s="645"/>
      <c r="FK382" s="645"/>
      <c r="FL382" s="645"/>
      <c r="FM382" s="645"/>
      <c r="FN382" s="645"/>
      <c r="FO382" s="645"/>
      <c r="FP382" s="645"/>
      <c r="FQ382" s="645"/>
      <c r="FR382" s="645"/>
      <c r="FS382" s="645"/>
      <c r="FT382" s="645"/>
      <c r="FU382" s="645"/>
      <c r="FV382" s="645"/>
      <c r="FW382" s="645"/>
      <c r="FX382" s="645"/>
      <c r="FY382" s="645"/>
      <c r="FZ382" s="645"/>
      <c r="GA382" s="645"/>
      <c r="GB382" s="645"/>
      <c r="GC382" s="645"/>
      <c r="GD382" s="645"/>
      <c r="GE382" s="645"/>
      <c r="GF382" s="645"/>
      <c r="GG382" s="645"/>
      <c r="GH382" s="645"/>
      <c r="GI382" s="645"/>
      <c r="GJ382" s="645"/>
      <c r="GK382" s="645"/>
      <c r="GL382" s="645"/>
      <c r="GM382" s="645"/>
      <c r="GN382" s="645"/>
      <c r="GO382" s="645"/>
      <c r="GP382" s="645"/>
      <c r="GQ382" s="645"/>
      <c r="GR382" s="645"/>
      <c r="GS382" s="645"/>
      <c r="GT382" s="645"/>
      <c r="GU382" s="645"/>
      <c r="GV382" s="645"/>
      <c r="GW382" s="645"/>
      <c r="GX382" s="645"/>
      <c r="GY382" s="645"/>
      <c r="GZ382" s="645"/>
      <c r="HA382" s="645"/>
      <c r="HB382" s="645"/>
      <c r="HC382" s="645"/>
      <c r="HD382" s="645"/>
      <c r="HE382" s="645"/>
      <c r="HF382" s="645"/>
      <c r="HG382" s="645"/>
      <c r="HH382" s="645"/>
      <c r="HI382" s="645"/>
      <c r="HJ382" s="645"/>
      <c r="HK382" s="645"/>
      <c r="HL382" s="645"/>
      <c r="HM382" s="645"/>
      <c r="HN382" s="645"/>
      <c r="HO382" s="645"/>
      <c r="HP382" s="645"/>
      <c r="HQ382" s="645"/>
      <c r="HR382" s="645">
        <v>0.1895</v>
      </c>
      <c r="HS382" s="645">
        <f t="shared" si="812"/>
        <v>1272.3571428571429</v>
      </c>
      <c r="HT382" s="645">
        <f t="shared" si="813"/>
        <v>1</v>
      </c>
      <c r="HU382" s="618">
        <f t="shared" si="814"/>
        <v>4.8276378897955743</v>
      </c>
      <c r="HV382" s="618"/>
      <c r="HW382" s="618">
        <f t="shared" si="799"/>
        <v>29.144754196490286</v>
      </c>
      <c r="HX382" s="618">
        <f t="shared" si="815"/>
        <v>4.3667772561080351</v>
      </c>
      <c r="HY382" s="618">
        <f t="shared" si="816"/>
        <v>0.1895</v>
      </c>
      <c r="HZ382" s="618"/>
      <c r="IA382" s="618"/>
      <c r="IB382" s="618">
        <f t="shared" si="800"/>
        <v>25.000350341399081</v>
      </c>
      <c r="IC382" s="618">
        <f t="shared" si="801"/>
        <v>1E-3</v>
      </c>
      <c r="ID382" s="618"/>
      <c r="IE382" s="618">
        <f t="shared" si="802"/>
        <v>0</v>
      </c>
      <c r="IF382" s="618">
        <f t="shared" si="803"/>
        <v>40.704999999999998</v>
      </c>
      <c r="IG382" s="618"/>
      <c r="IH382" s="618">
        <f t="shared" si="804"/>
        <v>0</v>
      </c>
      <c r="II382" s="618">
        <f t="shared" si="805"/>
        <v>40.704999999999998</v>
      </c>
      <c r="IJ382" s="618"/>
      <c r="IK382" s="618">
        <f t="shared" si="806"/>
        <v>0</v>
      </c>
      <c r="IL382" s="618">
        <f t="shared" si="807"/>
        <v>40.704999999999998</v>
      </c>
      <c r="IM382" s="618"/>
      <c r="IN382" s="618">
        <f t="shared" si="808"/>
        <v>0</v>
      </c>
      <c r="IO382" s="618">
        <f t="shared" si="809"/>
        <v>40.704999999999998</v>
      </c>
      <c r="IP382" s="618"/>
      <c r="IQ382" s="618">
        <f t="shared" si="810"/>
        <v>0</v>
      </c>
      <c r="IR382" s="618">
        <f t="shared" si="811"/>
        <v>40.704999999999998</v>
      </c>
      <c r="IS382" s="645"/>
      <c r="IT382" s="645"/>
      <c r="IU382" s="645"/>
      <c r="IV382" s="645"/>
      <c r="IW382" s="645"/>
      <c r="IX382" s="645"/>
      <c r="IY382" s="645"/>
      <c r="IZ382" s="645"/>
      <c r="JA382" s="645"/>
      <c r="JB382" s="645"/>
      <c r="JC382" s="645"/>
      <c r="JD382" s="645"/>
      <c r="JE382" s="645"/>
      <c r="JF382" s="645"/>
      <c r="JG382" s="645"/>
      <c r="JH382" s="645"/>
      <c r="JI382" s="645"/>
      <c r="JJ382" s="645"/>
      <c r="JK382" s="645"/>
      <c r="JL382" s="645"/>
      <c r="JM382" s="645"/>
      <c r="JN382" s="645"/>
      <c r="JO382" s="645"/>
      <c r="JP382" s="645"/>
      <c r="JQ382" s="645"/>
      <c r="JR382" s="645"/>
      <c r="JS382" s="645"/>
      <c r="JT382" s="645"/>
      <c r="JU382" s="645"/>
      <c r="JV382" s="653"/>
    </row>
    <row r="383" spans="1:282" s="612" customFormat="1">
      <c r="A383" s="611"/>
      <c r="U383" s="613"/>
      <c r="V383" s="613"/>
      <c r="AC383" s="613"/>
      <c r="AD383" s="613"/>
      <c r="AL383" s="613"/>
      <c r="AM383" s="613"/>
      <c r="AT383" s="613"/>
      <c r="AU383" s="613"/>
      <c r="CH383" s="611"/>
      <c r="CI383" s="611"/>
      <c r="CO383" s="695"/>
      <c r="CP383" s="645"/>
      <c r="CQ383" s="618"/>
      <c r="CR383" s="618"/>
      <c r="CS383" s="618"/>
      <c r="CT383" s="626"/>
      <c r="CU383" s="626"/>
      <c r="CV383" s="626"/>
      <c r="CW383" s="646"/>
      <c r="CX383" s="646"/>
      <c r="CY383" s="625"/>
      <c r="CZ383" s="625"/>
      <c r="DA383" s="625"/>
      <c r="DB383" s="625"/>
      <c r="DC383" s="645"/>
      <c r="DD383" s="645"/>
      <c r="DE383" s="645"/>
      <c r="DF383" s="645"/>
      <c r="DG383" s="645"/>
      <c r="DH383" s="645"/>
      <c r="DI383" s="645"/>
      <c r="DJ383" s="645"/>
      <c r="DK383" s="645"/>
      <c r="DL383" s="645"/>
      <c r="DM383" s="645"/>
      <c r="DN383" s="645"/>
      <c r="DO383" s="645"/>
      <c r="DP383" s="645"/>
      <c r="DQ383" s="645"/>
      <c r="DR383" s="645"/>
      <c r="DS383" s="645"/>
      <c r="DT383" s="645"/>
      <c r="DU383" s="645"/>
      <c r="DV383" s="645"/>
      <c r="DW383" s="645"/>
      <c r="DX383" s="645"/>
      <c r="DY383" s="645"/>
      <c r="DZ383" s="645"/>
      <c r="EA383" s="645"/>
      <c r="EB383" s="645"/>
      <c r="EC383" s="645"/>
      <c r="ED383" s="645"/>
      <c r="EE383" s="645"/>
      <c r="EF383" s="645"/>
      <c r="EG383" s="645"/>
      <c r="EH383" s="645"/>
      <c r="EI383" s="645"/>
      <c r="EJ383" s="645"/>
      <c r="EK383" s="645"/>
      <c r="EL383" s="645"/>
      <c r="EM383" s="645"/>
      <c r="EN383" s="645"/>
      <c r="EO383" s="645"/>
      <c r="EP383" s="645"/>
      <c r="EQ383" s="645"/>
      <c r="ER383" s="645"/>
      <c r="ES383" s="645"/>
      <c r="ET383" s="645"/>
      <c r="EU383" s="645"/>
      <c r="EV383" s="645"/>
      <c r="EW383" s="645"/>
      <c r="EX383" s="645"/>
      <c r="EY383" s="645"/>
      <c r="EZ383" s="645"/>
      <c r="FA383" s="645"/>
      <c r="FB383" s="645"/>
      <c r="FC383" s="645"/>
      <c r="FD383" s="645"/>
      <c r="FE383" s="645"/>
      <c r="FF383" s="645"/>
      <c r="FG383" s="645"/>
      <c r="FH383" s="645"/>
      <c r="FI383" s="645"/>
      <c r="FJ383" s="645"/>
      <c r="FK383" s="645"/>
      <c r="FL383" s="645"/>
      <c r="FM383" s="645"/>
      <c r="FN383" s="645"/>
      <c r="FO383" s="645"/>
      <c r="FP383" s="645"/>
      <c r="FQ383" s="645"/>
      <c r="FR383" s="645"/>
      <c r="FS383" s="645"/>
      <c r="FT383" s="645"/>
      <c r="FU383" s="645"/>
      <c r="FV383" s="645"/>
      <c r="FW383" s="645"/>
      <c r="FX383" s="645"/>
      <c r="FY383" s="645"/>
      <c r="FZ383" s="645"/>
      <c r="GA383" s="645"/>
      <c r="GB383" s="645"/>
      <c r="GC383" s="645"/>
      <c r="GD383" s="645"/>
      <c r="GE383" s="645"/>
      <c r="GF383" s="645"/>
      <c r="GG383" s="645"/>
      <c r="GH383" s="645"/>
      <c r="GI383" s="645"/>
      <c r="GJ383" s="645"/>
      <c r="GK383" s="645"/>
      <c r="GL383" s="645"/>
      <c r="GM383" s="645"/>
      <c r="GN383" s="645"/>
      <c r="GO383" s="645"/>
      <c r="GP383" s="645"/>
      <c r="GQ383" s="645"/>
      <c r="GR383" s="645"/>
      <c r="GS383" s="645"/>
      <c r="GT383" s="645"/>
      <c r="GU383" s="645"/>
      <c r="GV383" s="645"/>
      <c r="GW383" s="645"/>
      <c r="GX383" s="645"/>
      <c r="GY383" s="645"/>
      <c r="GZ383" s="645"/>
      <c r="HA383" s="645"/>
      <c r="HB383" s="645"/>
      <c r="HC383" s="645"/>
      <c r="HD383" s="645"/>
      <c r="HE383" s="645"/>
      <c r="HF383" s="645"/>
      <c r="HG383" s="645"/>
      <c r="HH383" s="645"/>
      <c r="HI383" s="645"/>
      <c r="HJ383" s="645"/>
      <c r="HK383" s="645"/>
      <c r="HL383" s="645"/>
      <c r="HM383" s="645"/>
      <c r="HN383" s="645"/>
      <c r="HO383" s="645"/>
      <c r="HP383" s="645"/>
      <c r="HQ383" s="645"/>
      <c r="HR383" s="645">
        <v>0.19</v>
      </c>
      <c r="HS383" s="645">
        <f t="shared" si="812"/>
        <v>1275.7142857142858</v>
      </c>
      <c r="HT383" s="645">
        <f t="shared" si="813"/>
        <v>1</v>
      </c>
      <c r="HU383" s="618">
        <f t="shared" si="814"/>
        <v>4.8403769337691989</v>
      </c>
      <c r="HV383" s="618"/>
      <c r="HW383" s="618">
        <f t="shared" si="799"/>
        <v>29.126664754047738</v>
      </c>
      <c r="HX383" s="618">
        <f t="shared" si="815"/>
        <v>4.3770840856387805</v>
      </c>
      <c r="HY383" s="618">
        <f t="shared" si="816"/>
        <v>0.19</v>
      </c>
      <c r="HZ383" s="618"/>
      <c r="IA383" s="618"/>
      <c r="IB383" s="618">
        <f t="shared" si="800"/>
        <v>25.000350341399081</v>
      </c>
      <c r="IC383" s="618">
        <f t="shared" si="801"/>
        <v>1E-3</v>
      </c>
      <c r="ID383" s="618"/>
      <c r="IE383" s="618">
        <f t="shared" si="802"/>
        <v>0</v>
      </c>
      <c r="IF383" s="618">
        <f t="shared" si="803"/>
        <v>40.704999999999998</v>
      </c>
      <c r="IG383" s="618"/>
      <c r="IH383" s="618">
        <f t="shared" si="804"/>
        <v>0</v>
      </c>
      <c r="II383" s="618">
        <f t="shared" si="805"/>
        <v>40.704999999999998</v>
      </c>
      <c r="IJ383" s="618"/>
      <c r="IK383" s="618">
        <f t="shared" si="806"/>
        <v>0</v>
      </c>
      <c r="IL383" s="618">
        <f t="shared" si="807"/>
        <v>40.704999999999998</v>
      </c>
      <c r="IM383" s="618"/>
      <c r="IN383" s="618">
        <f t="shared" si="808"/>
        <v>0</v>
      </c>
      <c r="IO383" s="618">
        <f t="shared" si="809"/>
        <v>40.704999999999998</v>
      </c>
      <c r="IP383" s="618"/>
      <c r="IQ383" s="618">
        <f t="shared" si="810"/>
        <v>0</v>
      </c>
      <c r="IR383" s="618">
        <f t="shared" si="811"/>
        <v>40.704999999999998</v>
      </c>
      <c r="IS383" s="645"/>
      <c r="IT383" s="645"/>
      <c r="IU383" s="645"/>
      <c r="IV383" s="645"/>
      <c r="IW383" s="645"/>
      <c r="IX383" s="645"/>
      <c r="IY383" s="645"/>
      <c r="IZ383" s="645"/>
      <c r="JA383" s="645"/>
      <c r="JB383" s="645"/>
      <c r="JC383" s="645"/>
      <c r="JD383" s="645"/>
      <c r="JE383" s="645"/>
      <c r="JF383" s="645"/>
      <c r="JG383" s="645"/>
      <c r="JH383" s="645"/>
      <c r="JI383" s="645"/>
      <c r="JJ383" s="645"/>
      <c r="JK383" s="645"/>
      <c r="JL383" s="645"/>
      <c r="JM383" s="645"/>
      <c r="JN383" s="645"/>
      <c r="JO383" s="645"/>
      <c r="JP383" s="645"/>
      <c r="JQ383" s="645"/>
      <c r="JR383" s="645"/>
      <c r="JS383" s="645"/>
      <c r="JT383" s="645"/>
      <c r="JU383" s="645"/>
      <c r="JV383" s="653"/>
    </row>
    <row r="384" spans="1:282" s="612" customFormat="1">
      <c r="A384" s="611"/>
      <c r="U384" s="613"/>
      <c r="V384" s="613"/>
      <c r="AC384" s="613"/>
      <c r="AD384" s="613"/>
      <c r="AL384" s="613"/>
      <c r="AM384" s="613"/>
      <c r="AT384" s="613"/>
      <c r="AU384" s="613"/>
      <c r="CH384" s="611"/>
      <c r="CI384" s="611"/>
      <c r="CO384" s="695"/>
      <c r="CP384" s="645"/>
      <c r="CQ384" s="618"/>
      <c r="CR384" s="618"/>
      <c r="CS384" s="618"/>
      <c r="CT384" s="626"/>
      <c r="CU384" s="626"/>
      <c r="CV384" s="626"/>
      <c r="CW384" s="646"/>
      <c r="CX384" s="646"/>
      <c r="CY384" s="625"/>
      <c r="CZ384" s="625"/>
      <c r="DA384" s="625"/>
      <c r="DB384" s="625"/>
      <c r="DC384" s="645"/>
      <c r="DD384" s="645"/>
      <c r="DE384" s="645"/>
      <c r="DF384" s="645"/>
      <c r="DG384" s="645"/>
      <c r="DH384" s="645"/>
      <c r="DI384" s="645"/>
      <c r="DJ384" s="645"/>
      <c r="DK384" s="645"/>
      <c r="DL384" s="645"/>
      <c r="DM384" s="645"/>
      <c r="DN384" s="645"/>
      <c r="DO384" s="645"/>
      <c r="DP384" s="645"/>
      <c r="DQ384" s="645"/>
      <c r="DR384" s="645"/>
      <c r="DS384" s="645"/>
      <c r="DT384" s="645"/>
      <c r="DU384" s="645"/>
      <c r="DV384" s="645"/>
      <c r="DW384" s="645"/>
      <c r="DX384" s="645"/>
      <c r="DY384" s="645"/>
      <c r="DZ384" s="645"/>
      <c r="EA384" s="645"/>
      <c r="EB384" s="645"/>
      <c r="EC384" s="645"/>
      <c r="ED384" s="645"/>
      <c r="EE384" s="645"/>
      <c r="EF384" s="645"/>
      <c r="EG384" s="645"/>
      <c r="EH384" s="645"/>
      <c r="EI384" s="645"/>
      <c r="EJ384" s="645"/>
      <c r="EK384" s="645"/>
      <c r="EL384" s="645"/>
      <c r="EM384" s="645"/>
      <c r="EN384" s="645"/>
      <c r="EO384" s="645"/>
      <c r="EP384" s="645"/>
      <c r="EQ384" s="645"/>
      <c r="ER384" s="645"/>
      <c r="ES384" s="645"/>
      <c r="ET384" s="645"/>
      <c r="EU384" s="645"/>
      <c r="EV384" s="645"/>
      <c r="EW384" s="645"/>
      <c r="EX384" s="645"/>
      <c r="EY384" s="645"/>
      <c r="EZ384" s="645"/>
      <c r="FA384" s="645"/>
      <c r="FB384" s="645"/>
      <c r="FC384" s="645"/>
      <c r="FD384" s="645"/>
      <c r="FE384" s="645"/>
      <c r="FF384" s="645"/>
      <c r="FG384" s="645"/>
      <c r="FH384" s="645"/>
      <c r="FI384" s="645"/>
      <c r="FJ384" s="645"/>
      <c r="FK384" s="645"/>
      <c r="FL384" s="645"/>
      <c r="FM384" s="645"/>
      <c r="FN384" s="645"/>
      <c r="FO384" s="645"/>
      <c r="FP384" s="645"/>
      <c r="FQ384" s="645"/>
      <c r="FR384" s="645"/>
      <c r="FS384" s="645"/>
      <c r="FT384" s="645"/>
      <c r="FU384" s="645"/>
      <c r="FV384" s="645"/>
      <c r="FW384" s="645"/>
      <c r="FX384" s="645"/>
      <c r="FY384" s="645"/>
      <c r="FZ384" s="645"/>
      <c r="GA384" s="645"/>
      <c r="GB384" s="645"/>
      <c r="GC384" s="645"/>
      <c r="GD384" s="645"/>
      <c r="GE384" s="645"/>
      <c r="GF384" s="645"/>
      <c r="GG384" s="645"/>
      <c r="GH384" s="645"/>
      <c r="GI384" s="645"/>
      <c r="GJ384" s="645"/>
      <c r="GK384" s="645"/>
      <c r="GL384" s="645"/>
      <c r="GM384" s="645"/>
      <c r="GN384" s="645"/>
      <c r="GO384" s="645"/>
      <c r="GP384" s="645"/>
      <c r="GQ384" s="645"/>
      <c r="GR384" s="645"/>
      <c r="GS384" s="645"/>
      <c r="GT384" s="645"/>
      <c r="GU384" s="645"/>
      <c r="GV384" s="645"/>
      <c r="GW384" s="645"/>
      <c r="GX384" s="645"/>
      <c r="GY384" s="645"/>
      <c r="GZ384" s="645"/>
      <c r="HA384" s="645"/>
      <c r="HB384" s="645"/>
      <c r="HC384" s="645"/>
      <c r="HD384" s="645"/>
      <c r="HE384" s="645"/>
      <c r="HF384" s="645"/>
      <c r="HG384" s="645"/>
      <c r="HH384" s="645"/>
      <c r="HI384" s="645"/>
      <c r="HJ384" s="645"/>
      <c r="HK384" s="645"/>
      <c r="HL384" s="645"/>
      <c r="HM384" s="645"/>
      <c r="HN384" s="645"/>
      <c r="HO384" s="645"/>
      <c r="HP384" s="645"/>
      <c r="HQ384" s="645"/>
      <c r="HR384" s="645">
        <v>0.1905</v>
      </c>
      <c r="HS384" s="645">
        <f t="shared" si="812"/>
        <v>1279.0714285714287</v>
      </c>
      <c r="HT384" s="645">
        <f t="shared" si="813"/>
        <v>1</v>
      </c>
      <c r="HU384" s="618">
        <f t="shared" si="814"/>
        <v>4.8531159777428234</v>
      </c>
      <c r="HV384" s="618"/>
      <c r="HW384" s="618">
        <f t="shared" si="799"/>
        <v>29.10857531160519</v>
      </c>
      <c r="HX384" s="618">
        <f t="shared" si="815"/>
        <v>4.3873845139972278</v>
      </c>
      <c r="HY384" s="618">
        <f t="shared" si="816"/>
        <v>0.1905</v>
      </c>
      <c r="HZ384" s="618"/>
      <c r="IA384" s="618"/>
      <c r="IB384" s="618">
        <f t="shared" si="800"/>
        <v>25.000350341399081</v>
      </c>
      <c r="IC384" s="618">
        <f t="shared" si="801"/>
        <v>1E-3</v>
      </c>
      <c r="ID384" s="618"/>
      <c r="IE384" s="618">
        <f t="shared" si="802"/>
        <v>0</v>
      </c>
      <c r="IF384" s="618">
        <f t="shared" si="803"/>
        <v>40.704999999999998</v>
      </c>
      <c r="IG384" s="618"/>
      <c r="IH384" s="618">
        <f t="shared" si="804"/>
        <v>0</v>
      </c>
      <c r="II384" s="618">
        <f t="shared" si="805"/>
        <v>40.704999999999998</v>
      </c>
      <c r="IJ384" s="618"/>
      <c r="IK384" s="618">
        <f t="shared" si="806"/>
        <v>0</v>
      </c>
      <c r="IL384" s="618">
        <f t="shared" si="807"/>
        <v>40.704999999999998</v>
      </c>
      <c r="IM384" s="618"/>
      <c r="IN384" s="618">
        <f t="shared" si="808"/>
        <v>0</v>
      </c>
      <c r="IO384" s="618">
        <f t="shared" si="809"/>
        <v>40.704999999999998</v>
      </c>
      <c r="IP384" s="618"/>
      <c r="IQ384" s="618">
        <f t="shared" si="810"/>
        <v>0</v>
      </c>
      <c r="IR384" s="618">
        <f t="shared" si="811"/>
        <v>40.704999999999998</v>
      </c>
      <c r="IS384" s="645"/>
      <c r="IT384" s="645"/>
      <c r="IU384" s="645"/>
      <c r="IV384" s="645"/>
      <c r="IW384" s="645"/>
      <c r="IX384" s="645"/>
      <c r="IY384" s="645"/>
      <c r="IZ384" s="645"/>
      <c r="JA384" s="645"/>
      <c r="JB384" s="645"/>
      <c r="JC384" s="645"/>
      <c r="JD384" s="645"/>
      <c r="JE384" s="645"/>
      <c r="JF384" s="645"/>
      <c r="JG384" s="645"/>
      <c r="JH384" s="645"/>
      <c r="JI384" s="645"/>
      <c r="JJ384" s="645"/>
      <c r="JK384" s="645"/>
      <c r="JL384" s="645"/>
      <c r="JM384" s="645"/>
      <c r="JN384" s="645"/>
      <c r="JO384" s="645"/>
      <c r="JP384" s="645"/>
      <c r="JQ384" s="645"/>
      <c r="JR384" s="645"/>
      <c r="JS384" s="645"/>
      <c r="JT384" s="645"/>
      <c r="JU384" s="645"/>
      <c r="JV384" s="653"/>
    </row>
    <row r="385" spans="1:282" s="612" customFormat="1">
      <c r="A385" s="611"/>
      <c r="U385" s="613"/>
      <c r="V385" s="613"/>
      <c r="AC385" s="613"/>
      <c r="AD385" s="613"/>
      <c r="AL385" s="613"/>
      <c r="AM385" s="613"/>
      <c r="AT385" s="613"/>
      <c r="AU385" s="613"/>
      <c r="CH385" s="611"/>
      <c r="CI385" s="611"/>
      <c r="CO385" s="695"/>
      <c r="CP385" s="645"/>
      <c r="CQ385" s="618"/>
      <c r="CR385" s="618"/>
      <c r="CS385" s="618"/>
      <c r="CT385" s="626"/>
      <c r="CU385" s="626"/>
      <c r="CV385" s="626"/>
      <c r="CW385" s="646"/>
      <c r="CX385" s="646"/>
      <c r="CY385" s="625"/>
      <c r="CZ385" s="625"/>
      <c r="DA385" s="625"/>
      <c r="DB385" s="625"/>
      <c r="DC385" s="645"/>
      <c r="DD385" s="645"/>
      <c r="DE385" s="645"/>
      <c r="DF385" s="645"/>
      <c r="DG385" s="645"/>
      <c r="DH385" s="645"/>
      <c r="DI385" s="645"/>
      <c r="DJ385" s="645"/>
      <c r="DK385" s="645"/>
      <c r="DL385" s="645"/>
      <c r="DM385" s="645"/>
      <c r="DN385" s="645"/>
      <c r="DO385" s="645"/>
      <c r="DP385" s="645"/>
      <c r="DQ385" s="645"/>
      <c r="DR385" s="645"/>
      <c r="DS385" s="645"/>
      <c r="DT385" s="645"/>
      <c r="DU385" s="645"/>
      <c r="DV385" s="645"/>
      <c r="DW385" s="645"/>
      <c r="DX385" s="645"/>
      <c r="DY385" s="645"/>
      <c r="DZ385" s="645"/>
      <c r="EA385" s="645"/>
      <c r="EB385" s="645"/>
      <c r="EC385" s="645"/>
      <c r="ED385" s="645"/>
      <c r="EE385" s="645"/>
      <c r="EF385" s="645"/>
      <c r="EG385" s="645"/>
      <c r="EH385" s="645"/>
      <c r="EI385" s="645"/>
      <c r="EJ385" s="645"/>
      <c r="EK385" s="645"/>
      <c r="EL385" s="645"/>
      <c r="EM385" s="645"/>
      <c r="EN385" s="645"/>
      <c r="EO385" s="645"/>
      <c r="EP385" s="645"/>
      <c r="EQ385" s="645"/>
      <c r="ER385" s="645"/>
      <c r="ES385" s="645"/>
      <c r="ET385" s="645"/>
      <c r="EU385" s="645"/>
      <c r="EV385" s="645"/>
      <c r="EW385" s="645"/>
      <c r="EX385" s="645"/>
      <c r="EY385" s="645"/>
      <c r="EZ385" s="645"/>
      <c r="FA385" s="645"/>
      <c r="FB385" s="645"/>
      <c r="FC385" s="645"/>
      <c r="FD385" s="645"/>
      <c r="FE385" s="645"/>
      <c r="FF385" s="645"/>
      <c r="FG385" s="645"/>
      <c r="FH385" s="645"/>
      <c r="FI385" s="645"/>
      <c r="FJ385" s="645"/>
      <c r="FK385" s="645"/>
      <c r="FL385" s="645"/>
      <c r="FM385" s="645"/>
      <c r="FN385" s="645"/>
      <c r="FO385" s="645"/>
      <c r="FP385" s="645"/>
      <c r="FQ385" s="645"/>
      <c r="FR385" s="645"/>
      <c r="FS385" s="645"/>
      <c r="FT385" s="645"/>
      <c r="FU385" s="645"/>
      <c r="FV385" s="645"/>
      <c r="FW385" s="645"/>
      <c r="FX385" s="645"/>
      <c r="FY385" s="645"/>
      <c r="FZ385" s="645"/>
      <c r="GA385" s="645"/>
      <c r="GB385" s="645"/>
      <c r="GC385" s="645"/>
      <c r="GD385" s="645"/>
      <c r="GE385" s="645"/>
      <c r="GF385" s="645"/>
      <c r="GG385" s="645"/>
      <c r="GH385" s="645"/>
      <c r="GI385" s="645"/>
      <c r="GJ385" s="645"/>
      <c r="GK385" s="645"/>
      <c r="GL385" s="645"/>
      <c r="GM385" s="645"/>
      <c r="GN385" s="645"/>
      <c r="GO385" s="645"/>
      <c r="GP385" s="645"/>
      <c r="GQ385" s="645"/>
      <c r="GR385" s="645"/>
      <c r="GS385" s="645"/>
      <c r="GT385" s="645"/>
      <c r="GU385" s="645"/>
      <c r="GV385" s="645"/>
      <c r="GW385" s="645"/>
      <c r="GX385" s="645"/>
      <c r="GY385" s="645"/>
      <c r="GZ385" s="645"/>
      <c r="HA385" s="645"/>
      <c r="HB385" s="645"/>
      <c r="HC385" s="645"/>
      <c r="HD385" s="645"/>
      <c r="HE385" s="645"/>
      <c r="HF385" s="645"/>
      <c r="HG385" s="645"/>
      <c r="HH385" s="645"/>
      <c r="HI385" s="645"/>
      <c r="HJ385" s="645"/>
      <c r="HK385" s="645"/>
      <c r="HL385" s="645"/>
      <c r="HM385" s="645"/>
      <c r="HN385" s="645"/>
      <c r="HO385" s="645"/>
      <c r="HP385" s="645"/>
      <c r="HQ385" s="645"/>
      <c r="HR385" s="645">
        <v>0.191</v>
      </c>
      <c r="HS385" s="645">
        <f t="shared" si="812"/>
        <v>1282.4285714285713</v>
      </c>
      <c r="HT385" s="645">
        <f t="shared" si="813"/>
        <v>1</v>
      </c>
      <c r="HU385" s="618">
        <f t="shared" si="814"/>
        <v>4.865855021716448</v>
      </c>
      <c r="HV385" s="618"/>
      <c r="HW385" s="618">
        <f t="shared" si="799"/>
        <v>29.090485869162645</v>
      </c>
      <c r="HX385" s="618">
        <f t="shared" si="815"/>
        <v>4.3976785411833772</v>
      </c>
      <c r="HY385" s="618">
        <f t="shared" si="816"/>
        <v>0.191</v>
      </c>
      <c r="HZ385" s="618"/>
      <c r="IA385" s="618"/>
      <c r="IB385" s="618">
        <f t="shared" si="800"/>
        <v>25.000350341399081</v>
      </c>
      <c r="IC385" s="618">
        <f t="shared" si="801"/>
        <v>1E-3</v>
      </c>
      <c r="ID385" s="618"/>
      <c r="IE385" s="618">
        <f t="shared" si="802"/>
        <v>0</v>
      </c>
      <c r="IF385" s="618">
        <f t="shared" si="803"/>
        <v>40.704999999999998</v>
      </c>
      <c r="IG385" s="618"/>
      <c r="IH385" s="618">
        <f t="shared" si="804"/>
        <v>0</v>
      </c>
      <c r="II385" s="618">
        <f t="shared" si="805"/>
        <v>40.704999999999998</v>
      </c>
      <c r="IJ385" s="618"/>
      <c r="IK385" s="618">
        <f t="shared" si="806"/>
        <v>0</v>
      </c>
      <c r="IL385" s="618">
        <f t="shared" si="807"/>
        <v>40.704999999999998</v>
      </c>
      <c r="IM385" s="618"/>
      <c r="IN385" s="618">
        <f t="shared" si="808"/>
        <v>0</v>
      </c>
      <c r="IO385" s="618">
        <f t="shared" si="809"/>
        <v>40.704999999999998</v>
      </c>
      <c r="IP385" s="618"/>
      <c r="IQ385" s="618">
        <f t="shared" si="810"/>
        <v>0</v>
      </c>
      <c r="IR385" s="618">
        <f t="shared" si="811"/>
        <v>40.704999999999998</v>
      </c>
      <c r="IS385" s="645"/>
      <c r="IT385" s="645"/>
      <c r="IU385" s="645"/>
      <c r="IV385" s="645"/>
      <c r="IW385" s="645"/>
      <c r="IX385" s="645"/>
      <c r="IY385" s="645"/>
      <c r="IZ385" s="645"/>
      <c r="JA385" s="645"/>
      <c r="JB385" s="645"/>
      <c r="JC385" s="645"/>
      <c r="JD385" s="645"/>
      <c r="JE385" s="645"/>
      <c r="JF385" s="645"/>
      <c r="JG385" s="645"/>
      <c r="JH385" s="645"/>
      <c r="JI385" s="645"/>
      <c r="JJ385" s="645"/>
      <c r="JK385" s="645"/>
      <c r="JL385" s="645"/>
      <c r="JM385" s="645"/>
      <c r="JN385" s="645"/>
      <c r="JO385" s="645"/>
      <c r="JP385" s="645"/>
      <c r="JQ385" s="645"/>
      <c r="JR385" s="645"/>
      <c r="JS385" s="645"/>
      <c r="JT385" s="645"/>
      <c r="JU385" s="645"/>
      <c r="JV385" s="653"/>
    </row>
    <row r="386" spans="1:282" s="612" customFormat="1">
      <c r="A386" s="611"/>
      <c r="U386" s="613"/>
      <c r="V386" s="613"/>
      <c r="AC386" s="613"/>
      <c r="AD386" s="613"/>
      <c r="AL386" s="613"/>
      <c r="AM386" s="613"/>
      <c r="AT386" s="613"/>
      <c r="AU386" s="613"/>
      <c r="CH386" s="611"/>
      <c r="CI386" s="611"/>
      <c r="CO386" s="695"/>
      <c r="CP386" s="645"/>
      <c r="CQ386" s="618"/>
      <c r="CR386" s="618"/>
      <c r="CS386" s="618"/>
      <c r="CT386" s="626"/>
      <c r="CU386" s="626"/>
      <c r="CV386" s="626"/>
      <c r="CW386" s="646"/>
      <c r="CX386" s="646"/>
      <c r="CY386" s="625"/>
      <c r="CZ386" s="625"/>
      <c r="DA386" s="625"/>
      <c r="DB386" s="625"/>
      <c r="DC386" s="645"/>
      <c r="DD386" s="645"/>
      <c r="DE386" s="645"/>
      <c r="DF386" s="645"/>
      <c r="DG386" s="645"/>
      <c r="DH386" s="645"/>
      <c r="DI386" s="645"/>
      <c r="DJ386" s="645"/>
      <c r="DK386" s="645"/>
      <c r="DL386" s="645"/>
      <c r="DM386" s="645"/>
      <c r="DN386" s="645"/>
      <c r="DO386" s="645"/>
      <c r="DP386" s="645"/>
      <c r="DQ386" s="645"/>
      <c r="DR386" s="645"/>
      <c r="DS386" s="645"/>
      <c r="DT386" s="645"/>
      <c r="DU386" s="645"/>
      <c r="DV386" s="645"/>
      <c r="DW386" s="645"/>
      <c r="DX386" s="645"/>
      <c r="DY386" s="645"/>
      <c r="DZ386" s="645"/>
      <c r="EA386" s="645"/>
      <c r="EB386" s="645"/>
      <c r="EC386" s="645"/>
      <c r="ED386" s="645"/>
      <c r="EE386" s="645"/>
      <c r="EF386" s="645"/>
      <c r="EG386" s="645"/>
      <c r="EH386" s="645"/>
      <c r="EI386" s="645"/>
      <c r="EJ386" s="645"/>
      <c r="EK386" s="645"/>
      <c r="EL386" s="645"/>
      <c r="EM386" s="645"/>
      <c r="EN386" s="645"/>
      <c r="EO386" s="645"/>
      <c r="EP386" s="645"/>
      <c r="EQ386" s="645"/>
      <c r="ER386" s="645"/>
      <c r="ES386" s="645"/>
      <c r="ET386" s="645"/>
      <c r="EU386" s="645"/>
      <c r="EV386" s="645"/>
      <c r="EW386" s="645"/>
      <c r="EX386" s="645"/>
      <c r="EY386" s="645"/>
      <c r="EZ386" s="645"/>
      <c r="FA386" s="645"/>
      <c r="FB386" s="645"/>
      <c r="FC386" s="645"/>
      <c r="FD386" s="645"/>
      <c r="FE386" s="645"/>
      <c r="FF386" s="645"/>
      <c r="FG386" s="645"/>
      <c r="FH386" s="645"/>
      <c r="FI386" s="645"/>
      <c r="FJ386" s="645"/>
      <c r="FK386" s="645"/>
      <c r="FL386" s="645"/>
      <c r="FM386" s="645"/>
      <c r="FN386" s="645"/>
      <c r="FO386" s="645"/>
      <c r="FP386" s="645"/>
      <c r="FQ386" s="645"/>
      <c r="FR386" s="645"/>
      <c r="FS386" s="645"/>
      <c r="FT386" s="645"/>
      <c r="FU386" s="645"/>
      <c r="FV386" s="645"/>
      <c r="FW386" s="645"/>
      <c r="FX386" s="645"/>
      <c r="FY386" s="645"/>
      <c r="FZ386" s="645"/>
      <c r="GA386" s="645"/>
      <c r="GB386" s="645"/>
      <c r="GC386" s="645"/>
      <c r="GD386" s="645"/>
      <c r="GE386" s="645"/>
      <c r="GF386" s="645"/>
      <c r="GG386" s="645"/>
      <c r="GH386" s="645"/>
      <c r="GI386" s="645"/>
      <c r="GJ386" s="645"/>
      <c r="GK386" s="645"/>
      <c r="GL386" s="645"/>
      <c r="GM386" s="645"/>
      <c r="GN386" s="645"/>
      <c r="GO386" s="645"/>
      <c r="GP386" s="645"/>
      <c r="GQ386" s="645"/>
      <c r="GR386" s="645"/>
      <c r="GS386" s="645"/>
      <c r="GT386" s="645"/>
      <c r="GU386" s="645"/>
      <c r="GV386" s="645"/>
      <c r="GW386" s="645"/>
      <c r="GX386" s="645"/>
      <c r="GY386" s="645"/>
      <c r="GZ386" s="645"/>
      <c r="HA386" s="645"/>
      <c r="HB386" s="645"/>
      <c r="HC386" s="645"/>
      <c r="HD386" s="645"/>
      <c r="HE386" s="645"/>
      <c r="HF386" s="645"/>
      <c r="HG386" s="645"/>
      <c r="HH386" s="645"/>
      <c r="HI386" s="645"/>
      <c r="HJ386" s="645"/>
      <c r="HK386" s="645"/>
      <c r="HL386" s="645"/>
      <c r="HM386" s="645"/>
      <c r="HN386" s="645"/>
      <c r="HO386" s="645"/>
      <c r="HP386" s="645"/>
      <c r="HQ386" s="645"/>
      <c r="HR386" s="645">
        <v>0.1915</v>
      </c>
      <c r="HS386" s="645">
        <f t="shared" si="812"/>
        <v>1285.7857142857142</v>
      </c>
      <c r="HT386" s="645">
        <f t="shared" si="813"/>
        <v>1</v>
      </c>
      <c r="HU386" s="618">
        <f t="shared" si="814"/>
        <v>4.8785940656900726</v>
      </c>
      <c r="HV386" s="618"/>
      <c r="HW386" s="618">
        <f t="shared" si="799"/>
        <v>29.072396426720097</v>
      </c>
      <c r="HX386" s="618">
        <f t="shared" si="815"/>
        <v>4.4079661671972286</v>
      </c>
      <c r="HY386" s="618">
        <f t="shared" si="816"/>
        <v>0.1915</v>
      </c>
      <c r="HZ386" s="618"/>
      <c r="IA386" s="618"/>
      <c r="IB386" s="618">
        <f t="shared" si="800"/>
        <v>25.000350341399081</v>
      </c>
      <c r="IC386" s="618">
        <f t="shared" si="801"/>
        <v>1E-3</v>
      </c>
      <c r="ID386" s="618"/>
      <c r="IE386" s="618">
        <f t="shared" si="802"/>
        <v>0</v>
      </c>
      <c r="IF386" s="618">
        <f t="shared" si="803"/>
        <v>40.704999999999998</v>
      </c>
      <c r="IG386" s="618"/>
      <c r="IH386" s="618">
        <f t="shared" si="804"/>
        <v>0</v>
      </c>
      <c r="II386" s="618">
        <f t="shared" si="805"/>
        <v>40.704999999999998</v>
      </c>
      <c r="IJ386" s="618"/>
      <c r="IK386" s="618">
        <f t="shared" si="806"/>
        <v>0</v>
      </c>
      <c r="IL386" s="618">
        <f t="shared" si="807"/>
        <v>40.704999999999998</v>
      </c>
      <c r="IM386" s="618"/>
      <c r="IN386" s="618">
        <f t="shared" si="808"/>
        <v>0</v>
      </c>
      <c r="IO386" s="618">
        <f t="shared" si="809"/>
        <v>40.704999999999998</v>
      </c>
      <c r="IP386" s="618"/>
      <c r="IQ386" s="618">
        <f t="shared" si="810"/>
        <v>0</v>
      </c>
      <c r="IR386" s="618">
        <f t="shared" si="811"/>
        <v>40.704999999999998</v>
      </c>
      <c r="IS386" s="645"/>
      <c r="IT386" s="645"/>
      <c r="IU386" s="645"/>
      <c r="IV386" s="645"/>
      <c r="IW386" s="645"/>
      <c r="IX386" s="645"/>
      <c r="IY386" s="645"/>
      <c r="IZ386" s="645"/>
      <c r="JA386" s="645"/>
      <c r="JB386" s="645"/>
      <c r="JC386" s="645"/>
      <c r="JD386" s="645"/>
      <c r="JE386" s="645"/>
      <c r="JF386" s="645"/>
      <c r="JG386" s="645"/>
      <c r="JH386" s="645"/>
      <c r="JI386" s="645"/>
      <c r="JJ386" s="645"/>
      <c r="JK386" s="645"/>
      <c r="JL386" s="645"/>
      <c r="JM386" s="645"/>
      <c r="JN386" s="645"/>
      <c r="JO386" s="645"/>
      <c r="JP386" s="645"/>
      <c r="JQ386" s="645"/>
      <c r="JR386" s="645"/>
      <c r="JS386" s="645"/>
      <c r="JT386" s="645"/>
      <c r="JU386" s="645"/>
      <c r="JV386" s="653"/>
    </row>
    <row r="387" spans="1:282" s="612" customFormat="1">
      <c r="A387" s="611"/>
      <c r="U387" s="613"/>
      <c r="V387" s="613"/>
      <c r="AC387" s="613"/>
      <c r="AD387" s="613"/>
      <c r="AL387" s="613"/>
      <c r="AM387" s="613"/>
      <c r="AT387" s="613"/>
      <c r="AU387" s="613"/>
      <c r="CH387" s="611"/>
      <c r="CI387" s="611"/>
      <c r="CO387" s="695"/>
      <c r="CP387" s="645"/>
      <c r="CQ387" s="618"/>
      <c r="CR387" s="618"/>
      <c r="CS387" s="618"/>
      <c r="CT387" s="626"/>
      <c r="CU387" s="626"/>
      <c r="CV387" s="626"/>
      <c r="CW387" s="646"/>
      <c r="CX387" s="646"/>
      <c r="CY387" s="625"/>
      <c r="CZ387" s="625"/>
      <c r="DA387" s="625"/>
      <c r="DB387" s="625"/>
      <c r="DC387" s="645"/>
      <c r="DD387" s="645"/>
      <c r="DE387" s="645"/>
      <c r="DF387" s="645"/>
      <c r="DG387" s="645"/>
      <c r="DH387" s="645"/>
      <c r="DI387" s="645"/>
      <c r="DJ387" s="645"/>
      <c r="DK387" s="645"/>
      <c r="DL387" s="645"/>
      <c r="DM387" s="645"/>
      <c r="DN387" s="645"/>
      <c r="DO387" s="645"/>
      <c r="DP387" s="645"/>
      <c r="DQ387" s="645"/>
      <c r="DR387" s="645"/>
      <c r="DS387" s="645"/>
      <c r="DT387" s="645"/>
      <c r="DU387" s="645"/>
      <c r="DV387" s="645"/>
      <c r="DW387" s="645"/>
      <c r="DX387" s="645"/>
      <c r="DY387" s="645"/>
      <c r="DZ387" s="645"/>
      <c r="EA387" s="645"/>
      <c r="EB387" s="645"/>
      <c r="EC387" s="645"/>
      <c r="ED387" s="645"/>
      <c r="EE387" s="645"/>
      <c r="EF387" s="645"/>
      <c r="EG387" s="645"/>
      <c r="EH387" s="645"/>
      <c r="EI387" s="645"/>
      <c r="EJ387" s="645"/>
      <c r="EK387" s="645"/>
      <c r="EL387" s="645"/>
      <c r="EM387" s="645"/>
      <c r="EN387" s="645"/>
      <c r="EO387" s="645"/>
      <c r="EP387" s="645"/>
      <c r="EQ387" s="645"/>
      <c r="ER387" s="645"/>
      <c r="ES387" s="645"/>
      <c r="ET387" s="645"/>
      <c r="EU387" s="645"/>
      <c r="EV387" s="645"/>
      <c r="EW387" s="645"/>
      <c r="EX387" s="645"/>
      <c r="EY387" s="645"/>
      <c r="EZ387" s="645"/>
      <c r="FA387" s="645"/>
      <c r="FB387" s="645"/>
      <c r="FC387" s="645"/>
      <c r="FD387" s="645"/>
      <c r="FE387" s="645"/>
      <c r="FF387" s="645"/>
      <c r="FG387" s="645"/>
      <c r="FH387" s="645"/>
      <c r="FI387" s="645"/>
      <c r="FJ387" s="645"/>
      <c r="FK387" s="645"/>
      <c r="FL387" s="645"/>
      <c r="FM387" s="645"/>
      <c r="FN387" s="645"/>
      <c r="FO387" s="645"/>
      <c r="FP387" s="645"/>
      <c r="FQ387" s="645"/>
      <c r="FR387" s="645"/>
      <c r="FS387" s="645"/>
      <c r="FT387" s="645"/>
      <c r="FU387" s="645"/>
      <c r="FV387" s="645"/>
      <c r="FW387" s="645"/>
      <c r="FX387" s="645"/>
      <c r="FY387" s="645"/>
      <c r="FZ387" s="645"/>
      <c r="GA387" s="645"/>
      <c r="GB387" s="645"/>
      <c r="GC387" s="645"/>
      <c r="GD387" s="645"/>
      <c r="GE387" s="645"/>
      <c r="GF387" s="645"/>
      <c r="GG387" s="645"/>
      <c r="GH387" s="645"/>
      <c r="GI387" s="645"/>
      <c r="GJ387" s="645"/>
      <c r="GK387" s="645"/>
      <c r="GL387" s="645"/>
      <c r="GM387" s="645"/>
      <c r="GN387" s="645"/>
      <c r="GO387" s="645"/>
      <c r="GP387" s="645"/>
      <c r="GQ387" s="645"/>
      <c r="GR387" s="645"/>
      <c r="GS387" s="645"/>
      <c r="GT387" s="645"/>
      <c r="GU387" s="645"/>
      <c r="GV387" s="645"/>
      <c r="GW387" s="645"/>
      <c r="GX387" s="645"/>
      <c r="GY387" s="645"/>
      <c r="GZ387" s="645"/>
      <c r="HA387" s="645"/>
      <c r="HB387" s="645"/>
      <c r="HC387" s="645"/>
      <c r="HD387" s="645"/>
      <c r="HE387" s="645"/>
      <c r="HF387" s="645"/>
      <c r="HG387" s="645"/>
      <c r="HH387" s="645"/>
      <c r="HI387" s="645"/>
      <c r="HJ387" s="645"/>
      <c r="HK387" s="645"/>
      <c r="HL387" s="645"/>
      <c r="HM387" s="645"/>
      <c r="HN387" s="645"/>
      <c r="HO387" s="645"/>
      <c r="HP387" s="645"/>
      <c r="HQ387" s="645"/>
      <c r="HR387" s="645">
        <v>0.192</v>
      </c>
      <c r="HS387" s="645">
        <f t="shared" si="812"/>
        <v>1289.1428571428571</v>
      </c>
      <c r="HT387" s="645">
        <f t="shared" si="813"/>
        <v>1</v>
      </c>
      <c r="HU387" s="618">
        <f t="shared" si="814"/>
        <v>4.8913331096636972</v>
      </c>
      <c r="HV387" s="618"/>
      <c r="HW387" s="618">
        <f t="shared" si="799"/>
        <v>29.054306984277552</v>
      </c>
      <c r="HX387" s="618">
        <f t="shared" si="815"/>
        <v>4.4182473920387819</v>
      </c>
      <c r="HY387" s="618">
        <f t="shared" si="816"/>
        <v>0.192</v>
      </c>
      <c r="HZ387" s="618"/>
      <c r="IA387" s="618"/>
      <c r="IB387" s="618">
        <f t="shared" si="800"/>
        <v>25.000350341399081</v>
      </c>
      <c r="IC387" s="618">
        <f t="shared" si="801"/>
        <v>1E-3</v>
      </c>
      <c r="ID387" s="618"/>
      <c r="IE387" s="618">
        <f t="shared" si="802"/>
        <v>0</v>
      </c>
      <c r="IF387" s="618">
        <f t="shared" si="803"/>
        <v>40.704999999999998</v>
      </c>
      <c r="IG387" s="618"/>
      <c r="IH387" s="618">
        <f t="shared" si="804"/>
        <v>0</v>
      </c>
      <c r="II387" s="618">
        <f t="shared" si="805"/>
        <v>40.704999999999998</v>
      </c>
      <c r="IJ387" s="618"/>
      <c r="IK387" s="618">
        <f t="shared" si="806"/>
        <v>0</v>
      </c>
      <c r="IL387" s="618">
        <f t="shared" si="807"/>
        <v>40.704999999999998</v>
      </c>
      <c r="IM387" s="618"/>
      <c r="IN387" s="618">
        <f t="shared" si="808"/>
        <v>0</v>
      </c>
      <c r="IO387" s="618">
        <f t="shared" si="809"/>
        <v>40.704999999999998</v>
      </c>
      <c r="IP387" s="618"/>
      <c r="IQ387" s="618">
        <f t="shared" si="810"/>
        <v>0</v>
      </c>
      <c r="IR387" s="618">
        <f t="shared" si="811"/>
        <v>40.704999999999998</v>
      </c>
      <c r="IS387" s="645"/>
      <c r="IT387" s="645"/>
      <c r="IU387" s="645"/>
      <c r="IV387" s="645"/>
      <c r="IW387" s="645"/>
      <c r="IX387" s="645"/>
      <c r="IY387" s="645"/>
      <c r="IZ387" s="645"/>
      <c r="JA387" s="645"/>
      <c r="JB387" s="645"/>
      <c r="JC387" s="645"/>
      <c r="JD387" s="645"/>
      <c r="JE387" s="645"/>
      <c r="JF387" s="645"/>
      <c r="JG387" s="645"/>
      <c r="JH387" s="645"/>
      <c r="JI387" s="645"/>
      <c r="JJ387" s="645"/>
      <c r="JK387" s="645"/>
      <c r="JL387" s="645"/>
      <c r="JM387" s="645"/>
      <c r="JN387" s="645"/>
      <c r="JO387" s="645"/>
      <c r="JP387" s="645"/>
      <c r="JQ387" s="645"/>
      <c r="JR387" s="645"/>
      <c r="JS387" s="645"/>
      <c r="JT387" s="645"/>
      <c r="JU387" s="645"/>
      <c r="JV387" s="653"/>
    </row>
    <row r="388" spans="1:282" s="612" customFormat="1">
      <c r="A388" s="611"/>
      <c r="U388" s="613"/>
      <c r="V388" s="613"/>
      <c r="AC388" s="613"/>
      <c r="AD388" s="613"/>
      <c r="AL388" s="613"/>
      <c r="AM388" s="613"/>
      <c r="AT388" s="613"/>
      <c r="AU388" s="613"/>
      <c r="CH388" s="611"/>
      <c r="CI388" s="611"/>
      <c r="CO388" s="695"/>
      <c r="CP388" s="645"/>
      <c r="CQ388" s="618"/>
      <c r="CR388" s="618"/>
      <c r="CS388" s="618"/>
      <c r="CT388" s="626"/>
      <c r="CU388" s="626"/>
      <c r="CV388" s="626"/>
      <c r="CW388" s="646"/>
      <c r="CX388" s="646"/>
      <c r="CY388" s="625"/>
      <c r="CZ388" s="625"/>
      <c r="DA388" s="625"/>
      <c r="DB388" s="625"/>
      <c r="DC388" s="645"/>
      <c r="DD388" s="645"/>
      <c r="DE388" s="645"/>
      <c r="DF388" s="645"/>
      <c r="DG388" s="645"/>
      <c r="DH388" s="645"/>
      <c r="DI388" s="645"/>
      <c r="DJ388" s="645"/>
      <c r="DK388" s="645"/>
      <c r="DL388" s="645"/>
      <c r="DM388" s="645"/>
      <c r="DN388" s="645"/>
      <c r="DO388" s="645"/>
      <c r="DP388" s="645"/>
      <c r="DQ388" s="645"/>
      <c r="DR388" s="645"/>
      <c r="DS388" s="645"/>
      <c r="DT388" s="645"/>
      <c r="DU388" s="645"/>
      <c r="DV388" s="645"/>
      <c r="DW388" s="645"/>
      <c r="DX388" s="645"/>
      <c r="DY388" s="645"/>
      <c r="DZ388" s="645"/>
      <c r="EA388" s="645"/>
      <c r="EB388" s="645"/>
      <c r="EC388" s="645"/>
      <c r="ED388" s="645"/>
      <c r="EE388" s="645"/>
      <c r="EF388" s="645"/>
      <c r="EG388" s="645"/>
      <c r="EH388" s="645"/>
      <c r="EI388" s="645"/>
      <c r="EJ388" s="645"/>
      <c r="EK388" s="645"/>
      <c r="EL388" s="645"/>
      <c r="EM388" s="645"/>
      <c r="EN388" s="645"/>
      <c r="EO388" s="645"/>
      <c r="EP388" s="645"/>
      <c r="EQ388" s="645"/>
      <c r="ER388" s="645"/>
      <c r="ES388" s="645"/>
      <c r="ET388" s="645"/>
      <c r="EU388" s="645"/>
      <c r="EV388" s="645"/>
      <c r="EW388" s="645"/>
      <c r="EX388" s="645"/>
      <c r="EY388" s="645"/>
      <c r="EZ388" s="645"/>
      <c r="FA388" s="645"/>
      <c r="FB388" s="645"/>
      <c r="FC388" s="645"/>
      <c r="FD388" s="645"/>
      <c r="FE388" s="645"/>
      <c r="FF388" s="645"/>
      <c r="FG388" s="645"/>
      <c r="FH388" s="645"/>
      <c r="FI388" s="645"/>
      <c r="FJ388" s="645"/>
      <c r="FK388" s="645"/>
      <c r="FL388" s="645"/>
      <c r="FM388" s="645"/>
      <c r="FN388" s="645"/>
      <c r="FO388" s="645"/>
      <c r="FP388" s="645"/>
      <c r="FQ388" s="645"/>
      <c r="FR388" s="645"/>
      <c r="FS388" s="645"/>
      <c r="FT388" s="645"/>
      <c r="FU388" s="645"/>
      <c r="FV388" s="645"/>
      <c r="FW388" s="645"/>
      <c r="FX388" s="645"/>
      <c r="FY388" s="645"/>
      <c r="FZ388" s="645"/>
      <c r="GA388" s="645"/>
      <c r="GB388" s="645"/>
      <c r="GC388" s="645"/>
      <c r="GD388" s="645"/>
      <c r="GE388" s="645"/>
      <c r="GF388" s="645"/>
      <c r="GG388" s="645"/>
      <c r="GH388" s="645"/>
      <c r="GI388" s="645"/>
      <c r="GJ388" s="645"/>
      <c r="GK388" s="645"/>
      <c r="GL388" s="645"/>
      <c r="GM388" s="645"/>
      <c r="GN388" s="645"/>
      <c r="GO388" s="645"/>
      <c r="GP388" s="645"/>
      <c r="GQ388" s="645"/>
      <c r="GR388" s="645"/>
      <c r="GS388" s="645"/>
      <c r="GT388" s="645"/>
      <c r="GU388" s="645"/>
      <c r="GV388" s="645"/>
      <c r="GW388" s="645"/>
      <c r="GX388" s="645"/>
      <c r="GY388" s="645"/>
      <c r="GZ388" s="645"/>
      <c r="HA388" s="645"/>
      <c r="HB388" s="645"/>
      <c r="HC388" s="645"/>
      <c r="HD388" s="645"/>
      <c r="HE388" s="645"/>
      <c r="HF388" s="645"/>
      <c r="HG388" s="645"/>
      <c r="HH388" s="645"/>
      <c r="HI388" s="645"/>
      <c r="HJ388" s="645"/>
      <c r="HK388" s="645"/>
      <c r="HL388" s="645"/>
      <c r="HM388" s="645"/>
      <c r="HN388" s="645"/>
      <c r="HO388" s="645"/>
      <c r="HP388" s="645"/>
      <c r="HQ388" s="645"/>
      <c r="HR388" s="645">
        <v>0.1925</v>
      </c>
      <c r="HS388" s="645">
        <f t="shared" si="812"/>
        <v>1292.5</v>
      </c>
      <c r="HT388" s="645">
        <f t="shared" si="813"/>
        <v>1</v>
      </c>
      <c r="HU388" s="618">
        <f t="shared" si="814"/>
        <v>4.9040721536373217</v>
      </c>
      <c r="HV388" s="618"/>
      <c r="HW388" s="618">
        <f t="shared" ref="HW388:HW451" si="817">$HW$3-(HU388*$AQ$36)</f>
        <v>29.036217541835004</v>
      </c>
      <c r="HX388" s="618">
        <f t="shared" si="815"/>
        <v>4.4285222157080364</v>
      </c>
      <c r="HY388" s="618">
        <f t="shared" si="816"/>
        <v>0.1925</v>
      </c>
      <c r="HZ388" s="618"/>
      <c r="IA388" s="618"/>
      <c r="IB388" s="618">
        <f t="shared" ref="IB388:IB451" si="818">IF(AND(HX388&lt;$IB$1,HY388&lt;$IC$1,$AY$31),(HX388*1000)*IF($D$45&lt;0,-1,1),IB387)</f>
        <v>25.000350341399081</v>
      </c>
      <c r="IC388" s="618">
        <f t="shared" ref="IC388:IC451" si="819">IF(AND(HX388&lt;$IB$1,HY388&lt;$IC$1,$AY$31),HY388,IC387)</f>
        <v>1E-3</v>
      </c>
      <c r="ID388" s="618"/>
      <c r="IE388" s="618">
        <f t="shared" ref="IE388:IE451" si="820">IF(AND(HX388&lt;$IE$1,HY388&lt;$IF$1,$AY$31),(HX388*1000)*IF($H$45&lt;0,-1,1),IE387)</f>
        <v>0</v>
      </c>
      <c r="IF388" s="618">
        <f t="shared" ref="IF388:IF451" si="821">IF(AND(HX388&lt;$IE$1,HY388&lt;$IF$1,$AY$31),HY388+$IF$3,IF387)</f>
        <v>40.704999999999998</v>
      </c>
      <c r="IG388" s="618"/>
      <c r="IH388" s="618">
        <f t="shared" ref="IH388:IH451" si="822">IF(AND(HX388&lt;$IH$1,HY388&lt;$II$1,$AY$31),(HX388*1000)*IF($L$45&lt;0,-1,1),IH387)</f>
        <v>0</v>
      </c>
      <c r="II388" s="618">
        <f t="shared" ref="II388:II451" si="823">IF(AND(HX388&lt;$IH$1,HY388&lt;$II$1,$AY$31),HY388+$II$3,II387)</f>
        <v>40.704999999999998</v>
      </c>
      <c r="IJ388" s="618"/>
      <c r="IK388" s="618">
        <f t="shared" ref="IK388:IK451" si="824">IF(AND(HX388&lt;$IK$1,HY388&lt;$IL$1,$AY$31),(HX388*1000)*IF($P$45&lt;0,-1,1),IK387)</f>
        <v>0</v>
      </c>
      <c r="IL388" s="618">
        <f t="shared" ref="IL388:IL451" si="825">IF(AND(HX388&lt;$IK$1,HY388&lt;$IL$1,$AY$31),HY388+$IL$3,IL387)</f>
        <v>40.704999999999998</v>
      </c>
      <c r="IM388" s="618"/>
      <c r="IN388" s="618">
        <f t="shared" ref="IN388:IN451" si="826">IF(AND(HX388&lt;$IN$1,HY388&lt;$IO$1,$AY$31),(HX388*1000)*IF($T$45&lt;0,-1,1),IN387)</f>
        <v>0</v>
      </c>
      <c r="IO388" s="618">
        <f t="shared" ref="IO388:IO451" si="827">IF(AND(HX388&lt;$IN$1,HY388&lt;$IO$1,$AY$31),HY388+$IO$3,IO387)</f>
        <v>40.704999999999998</v>
      </c>
      <c r="IP388" s="618"/>
      <c r="IQ388" s="618">
        <f t="shared" ref="IQ388:IQ451" si="828">IF(AND(HX388&lt;$IQ$1,HY388&lt;$IR$1,$AY$31),(HX388*1000)*IF($X$45&lt;0,-1,1),IQ387)</f>
        <v>0</v>
      </c>
      <c r="IR388" s="618">
        <f t="shared" ref="IR388:IR451" si="829">IF(AND(HX388&lt;$IQ$1,HY388&lt;$IR$1,$AY$31),HY388+$IR$3,IR387)</f>
        <v>40.704999999999998</v>
      </c>
      <c r="IS388" s="645"/>
      <c r="IT388" s="645"/>
      <c r="IU388" s="645"/>
      <c r="IV388" s="645"/>
      <c r="IW388" s="645"/>
      <c r="IX388" s="645"/>
      <c r="IY388" s="645"/>
      <c r="IZ388" s="645"/>
      <c r="JA388" s="645"/>
      <c r="JB388" s="645"/>
      <c r="JC388" s="645"/>
      <c r="JD388" s="645"/>
      <c r="JE388" s="645"/>
      <c r="JF388" s="645"/>
      <c r="JG388" s="645"/>
      <c r="JH388" s="645"/>
      <c r="JI388" s="645"/>
      <c r="JJ388" s="645"/>
      <c r="JK388" s="645"/>
      <c r="JL388" s="645"/>
      <c r="JM388" s="645"/>
      <c r="JN388" s="645"/>
      <c r="JO388" s="645"/>
      <c r="JP388" s="645"/>
      <c r="JQ388" s="645"/>
      <c r="JR388" s="645"/>
      <c r="JS388" s="645"/>
      <c r="JT388" s="645"/>
      <c r="JU388" s="645"/>
      <c r="JV388" s="653"/>
    </row>
    <row r="389" spans="1:282" s="612" customFormat="1">
      <c r="A389" s="611"/>
      <c r="U389" s="613"/>
      <c r="V389" s="613"/>
      <c r="AC389" s="613"/>
      <c r="AD389" s="613"/>
      <c r="AL389" s="613"/>
      <c r="AM389" s="613"/>
      <c r="AT389" s="613"/>
      <c r="AU389" s="613"/>
      <c r="CH389" s="611"/>
      <c r="CI389" s="611"/>
      <c r="CO389" s="695"/>
      <c r="CP389" s="645"/>
      <c r="CQ389" s="618"/>
      <c r="CR389" s="618"/>
      <c r="CS389" s="618"/>
      <c r="CT389" s="626"/>
      <c r="CU389" s="626"/>
      <c r="CV389" s="626"/>
      <c r="CW389" s="646"/>
      <c r="CX389" s="646"/>
      <c r="CY389" s="625"/>
      <c r="CZ389" s="625"/>
      <c r="DA389" s="625"/>
      <c r="DB389" s="625"/>
      <c r="DC389" s="645"/>
      <c r="DD389" s="645"/>
      <c r="DE389" s="645"/>
      <c r="DF389" s="645"/>
      <c r="DG389" s="645"/>
      <c r="DH389" s="645"/>
      <c r="DI389" s="645"/>
      <c r="DJ389" s="645"/>
      <c r="DK389" s="645"/>
      <c r="DL389" s="645"/>
      <c r="DM389" s="645"/>
      <c r="DN389" s="645"/>
      <c r="DO389" s="645"/>
      <c r="DP389" s="645"/>
      <c r="DQ389" s="645"/>
      <c r="DR389" s="645"/>
      <c r="DS389" s="645"/>
      <c r="DT389" s="645"/>
      <c r="DU389" s="645"/>
      <c r="DV389" s="645"/>
      <c r="DW389" s="645"/>
      <c r="DX389" s="645"/>
      <c r="DY389" s="645"/>
      <c r="DZ389" s="645"/>
      <c r="EA389" s="645"/>
      <c r="EB389" s="645"/>
      <c r="EC389" s="645"/>
      <c r="ED389" s="645"/>
      <c r="EE389" s="645"/>
      <c r="EF389" s="645"/>
      <c r="EG389" s="645"/>
      <c r="EH389" s="645"/>
      <c r="EI389" s="645"/>
      <c r="EJ389" s="645"/>
      <c r="EK389" s="645"/>
      <c r="EL389" s="645"/>
      <c r="EM389" s="645"/>
      <c r="EN389" s="645"/>
      <c r="EO389" s="645"/>
      <c r="EP389" s="645"/>
      <c r="EQ389" s="645"/>
      <c r="ER389" s="645"/>
      <c r="ES389" s="645"/>
      <c r="ET389" s="645"/>
      <c r="EU389" s="645"/>
      <c r="EV389" s="645"/>
      <c r="EW389" s="645"/>
      <c r="EX389" s="645"/>
      <c r="EY389" s="645"/>
      <c r="EZ389" s="645"/>
      <c r="FA389" s="645"/>
      <c r="FB389" s="645"/>
      <c r="FC389" s="645"/>
      <c r="FD389" s="645"/>
      <c r="FE389" s="645"/>
      <c r="FF389" s="645"/>
      <c r="FG389" s="645"/>
      <c r="FH389" s="645"/>
      <c r="FI389" s="645"/>
      <c r="FJ389" s="645"/>
      <c r="FK389" s="645"/>
      <c r="FL389" s="645"/>
      <c r="FM389" s="645"/>
      <c r="FN389" s="645"/>
      <c r="FO389" s="645"/>
      <c r="FP389" s="645"/>
      <c r="FQ389" s="645"/>
      <c r="FR389" s="645"/>
      <c r="FS389" s="645"/>
      <c r="FT389" s="645"/>
      <c r="FU389" s="645"/>
      <c r="FV389" s="645"/>
      <c r="FW389" s="645"/>
      <c r="FX389" s="645"/>
      <c r="FY389" s="645"/>
      <c r="FZ389" s="645"/>
      <c r="GA389" s="645"/>
      <c r="GB389" s="645"/>
      <c r="GC389" s="645"/>
      <c r="GD389" s="645"/>
      <c r="GE389" s="645"/>
      <c r="GF389" s="645"/>
      <c r="GG389" s="645"/>
      <c r="GH389" s="645"/>
      <c r="GI389" s="645"/>
      <c r="GJ389" s="645"/>
      <c r="GK389" s="645"/>
      <c r="GL389" s="645"/>
      <c r="GM389" s="645"/>
      <c r="GN389" s="645"/>
      <c r="GO389" s="645"/>
      <c r="GP389" s="645"/>
      <c r="GQ389" s="645"/>
      <c r="GR389" s="645"/>
      <c r="GS389" s="645"/>
      <c r="GT389" s="645"/>
      <c r="GU389" s="645"/>
      <c r="GV389" s="645"/>
      <c r="GW389" s="645"/>
      <c r="GX389" s="645"/>
      <c r="GY389" s="645"/>
      <c r="GZ389" s="645"/>
      <c r="HA389" s="645"/>
      <c r="HB389" s="645"/>
      <c r="HC389" s="645"/>
      <c r="HD389" s="645"/>
      <c r="HE389" s="645"/>
      <c r="HF389" s="645"/>
      <c r="HG389" s="645"/>
      <c r="HH389" s="645"/>
      <c r="HI389" s="645"/>
      <c r="HJ389" s="645"/>
      <c r="HK389" s="645"/>
      <c r="HL389" s="645"/>
      <c r="HM389" s="645"/>
      <c r="HN389" s="645"/>
      <c r="HO389" s="645"/>
      <c r="HP389" s="645"/>
      <c r="HQ389" s="645"/>
      <c r="HR389" s="645">
        <v>0.193</v>
      </c>
      <c r="HS389" s="645">
        <f t="shared" si="812"/>
        <v>1295.8571428571429</v>
      </c>
      <c r="HT389" s="645">
        <f t="shared" si="813"/>
        <v>1</v>
      </c>
      <c r="HU389" s="618">
        <f t="shared" si="814"/>
        <v>4.9168111976109463</v>
      </c>
      <c r="HV389" s="618"/>
      <c r="HW389" s="618">
        <f t="shared" si="817"/>
        <v>29.018128099392456</v>
      </c>
      <c r="HX389" s="618">
        <f t="shared" si="815"/>
        <v>4.4387906382049929</v>
      </c>
      <c r="HY389" s="618">
        <f t="shared" si="816"/>
        <v>0.193</v>
      </c>
      <c r="HZ389" s="618"/>
      <c r="IA389" s="618"/>
      <c r="IB389" s="618">
        <f t="shared" si="818"/>
        <v>25.000350341399081</v>
      </c>
      <c r="IC389" s="618">
        <f t="shared" si="819"/>
        <v>1E-3</v>
      </c>
      <c r="ID389" s="618"/>
      <c r="IE389" s="618">
        <f t="shared" si="820"/>
        <v>0</v>
      </c>
      <c r="IF389" s="618">
        <f t="shared" si="821"/>
        <v>40.704999999999998</v>
      </c>
      <c r="IG389" s="618"/>
      <c r="IH389" s="618">
        <f t="shared" si="822"/>
        <v>0</v>
      </c>
      <c r="II389" s="618">
        <f t="shared" si="823"/>
        <v>40.704999999999998</v>
      </c>
      <c r="IJ389" s="618"/>
      <c r="IK389" s="618">
        <f t="shared" si="824"/>
        <v>0</v>
      </c>
      <c r="IL389" s="618">
        <f t="shared" si="825"/>
        <v>40.704999999999998</v>
      </c>
      <c r="IM389" s="618"/>
      <c r="IN389" s="618">
        <f t="shared" si="826"/>
        <v>0</v>
      </c>
      <c r="IO389" s="618">
        <f t="shared" si="827"/>
        <v>40.704999999999998</v>
      </c>
      <c r="IP389" s="618"/>
      <c r="IQ389" s="618">
        <f t="shared" si="828"/>
        <v>0</v>
      </c>
      <c r="IR389" s="618">
        <f t="shared" si="829"/>
        <v>40.704999999999998</v>
      </c>
      <c r="IS389" s="645"/>
      <c r="IT389" s="645"/>
      <c r="IU389" s="645"/>
      <c r="IV389" s="645"/>
      <c r="IW389" s="645"/>
      <c r="IX389" s="645"/>
      <c r="IY389" s="645"/>
      <c r="IZ389" s="645"/>
      <c r="JA389" s="645"/>
      <c r="JB389" s="645"/>
      <c r="JC389" s="645"/>
      <c r="JD389" s="645"/>
      <c r="JE389" s="645"/>
      <c r="JF389" s="645"/>
      <c r="JG389" s="645"/>
      <c r="JH389" s="645"/>
      <c r="JI389" s="645"/>
      <c r="JJ389" s="645"/>
      <c r="JK389" s="645"/>
      <c r="JL389" s="645"/>
      <c r="JM389" s="645"/>
      <c r="JN389" s="645"/>
      <c r="JO389" s="645"/>
      <c r="JP389" s="645"/>
      <c r="JQ389" s="645"/>
      <c r="JR389" s="645"/>
      <c r="JS389" s="645"/>
      <c r="JT389" s="645"/>
      <c r="JU389" s="645"/>
      <c r="JV389" s="653"/>
    </row>
    <row r="390" spans="1:282" s="612" customFormat="1">
      <c r="A390" s="611"/>
      <c r="U390" s="613"/>
      <c r="V390" s="613"/>
      <c r="AC390" s="613"/>
      <c r="AD390" s="613"/>
      <c r="AL390" s="613"/>
      <c r="AM390" s="613"/>
      <c r="AT390" s="613"/>
      <c r="AU390" s="613"/>
      <c r="CH390" s="611"/>
      <c r="CI390" s="611"/>
      <c r="CO390" s="695"/>
      <c r="CP390" s="645"/>
      <c r="CQ390" s="618"/>
      <c r="CR390" s="618"/>
      <c r="CS390" s="618"/>
      <c r="CT390" s="626"/>
      <c r="CU390" s="626"/>
      <c r="CV390" s="626"/>
      <c r="CW390" s="646"/>
      <c r="CX390" s="646"/>
      <c r="CY390" s="625"/>
      <c r="CZ390" s="625"/>
      <c r="DA390" s="625"/>
      <c r="DB390" s="625"/>
      <c r="DC390" s="645"/>
      <c r="DD390" s="645"/>
      <c r="DE390" s="645"/>
      <c r="DF390" s="645"/>
      <c r="DG390" s="645"/>
      <c r="DH390" s="645"/>
      <c r="DI390" s="645"/>
      <c r="DJ390" s="645"/>
      <c r="DK390" s="645"/>
      <c r="DL390" s="645"/>
      <c r="DM390" s="645"/>
      <c r="DN390" s="645"/>
      <c r="DO390" s="645"/>
      <c r="DP390" s="645"/>
      <c r="DQ390" s="645"/>
      <c r="DR390" s="645"/>
      <c r="DS390" s="645"/>
      <c r="DT390" s="645"/>
      <c r="DU390" s="645"/>
      <c r="DV390" s="645"/>
      <c r="DW390" s="645"/>
      <c r="DX390" s="645"/>
      <c r="DY390" s="645"/>
      <c r="DZ390" s="645"/>
      <c r="EA390" s="645"/>
      <c r="EB390" s="645"/>
      <c r="EC390" s="645"/>
      <c r="ED390" s="645"/>
      <c r="EE390" s="645"/>
      <c r="EF390" s="645"/>
      <c r="EG390" s="645"/>
      <c r="EH390" s="645"/>
      <c r="EI390" s="645"/>
      <c r="EJ390" s="645"/>
      <c r="EK390" s="645"/>
      <c r="EL390" s="645"/>
      <c r="EM390" s="645"/>
      <c r="EN390" s="645"/>
      <c r="EO390" s="645"/>
      <c r="EP390" s="645"/>
      <c r="EQ390" s="645"/>
      <c r="ER390" s="645"/>
      <c r="ES390" s="645"/>
      <c r="ET390" s="645"/>
      <c r="EU390" s="645"/>
      <c r="EV390" s="645"/>
      <c r="EW390" s="645"/>
      <c r="EX390" s="645"/>
      <c r="EY390" s="645"/>
      <c r="EZ390" s="645"/>
      <c r="FA390" s="645"/>
      <c r="FB390" s="645"/>
      <c r="FC390" s="645"/>
      <c r="FD390" s="645"/>
      <c r="FE390" s="645"/>
      <c r="FF390" s="645"/>
      <c r="FG390" s="645"/>
      <c r="FH390" s="645"/>
      <c r="FI390" s="645"/>
      <c r="FJ390" s="645"/>
      <c r="FK390" s="645"/>
      <c r="FL390" s="645"/>
      <c r="FM390" s="645"/>
      <c r="FN390" s="645"/>
      <c r="FO390" s="645"/>
      <c r="FP390" s="645"/>
      <c r="FQ390" s="645"/>
      <c r="FR390" s="645"/>
      <c r="FS390" s="645"/>
      <c r="FT390" s="645"/>
      <c r="FU390" s="645"/>
      <c r="FV390" s="645"/>
      <c r="FW390" s="645"/>
      <c r="FX390" s="645"/>
      <c r="FY390" s="645"/>
      <c r="FZ390" s="645"/>
      <c r="GA390" s="645"/>
      <c r="GB390" s="645"/>
      <c r="GC390" s="645"/>
      <c r="GD390" s="645"/>
      <c r="GE390" s="645"/>
      <c r="GF390" s="645"/>
      <c r="GG390" s="645"/>
      <c r="GH390" s="645"/>
      <c r="GI390" s="645"/>
      <c r="GJ390" s="645"/>
      <c r="GK390" s="645"/>
      <c r="GL390" s="645"/>
      <c r="GM390" s="645"/>
      <c r="GN390" s="645"/>
      <c r="GO390" s="645"/>
      <c r="GP390" s="645"/>
      <c r="GQ390" s="645"/>
      <c r="GR390" s="645"/>
      <c r="GS390" s="645"/>
      <c r="GT390" s="645"/>
      <c r="GU390" s="645"/>
      <c r="GV390" s="645"/>
      <c r="GW390" s="645"/>
      <c r="GX390" s="645"/>
      <c r="GY390" s="645"/>
      <c r="GZ390" s="645"/>
      <c r="HA390" s="645"/>
      <c r="HB390" s="645"/>
      <c r="HC390" s="645"/>
      <c r="HD390" s="645"/>
      <c r="HE390" s="645"/>
      <c r="HF390" s="645"/>
      <c r="HG390" s="645"/>
      <c r="HH390" s="645"/>
      <c r="HI390" s="645"/>
      <c r="HJ390" s="645"/>
      <c r="HK390" s="645"/>
      <c r="HL390" s="645"/>
      <c r="HM390" s="645"/>
      <c r="HN390" s="645"/>
      <c r="HO390" s="645"/>
      <c r="HP390" s="645"/>
      <c r="HQ390" s="645"/>
      <c r="HR390" s="645">
        <v>0.19350000000000001</v>
      </c>
      <c r="HS390" s="645">
        <f t="shared" ref="HS390:HS453" si="830">HR390/$AQ$43</f>
        <v>1299.2142857142858</v>
      </c>
      <c r="HT390" s="645">
        <f t="shared" ref="HT390:HT453" si="831">1-EXP(-HS390)</f>
        <v>1</v>
      </c>
      <c r="HU390" s="618">
        <f t="shared" si="814"/>
        <v>4.9295502415845709</v>
      </c>
      <c r="HV390" s="618"/>
      <c r="HW390" s="618">
        <f t="shared" si="817"/>
        <v>29.000038656949911</v>
      </c>
      <c r="HX390" s="618">
        <f t="shared" si="815"/>
        <v>4.4490526595296513</v>
      </c>
      <c r="HY390" s="618">
        <f t="shared" si="816"/>
        <v>0.19350000000000001</v>
      </c>
      <c r="HZ390" s="618"/>
      <c r="IA390" s="618"/>
      <c r="IB390" s="618">
        <f t="shared" si="818"/>
        <v>25.000350341399081</v>
      </c>
      <c r="IC390" s="618">
        <f t="shared" si="819"/>
        <v>1E-3</v>
      </c>
      <c r="ID390" s="618"/>
      <c r="IE390" s="618">
        <f t="shared" si="820"/>
        <v>0</v>
      </c>
      <c r="IF390" s="618">
        <f t="shared" si="821"/>
        <v>40.704999999999998</v>
      </c>
      <c r="IG390" s="618"/>
      <c r="IH390" s="618">
        <f t="shared" si="822"/>
        <v>0</v>
      </c>
      <c r="II390" s="618">
        <f t="shared" si="823"/>
        <v>40.704999999999998</v>
      </c>
      <c r="IJ390" s="618"/>
      <c r="IK390" s="618">
        <f t="shared" si="824"/>
        <v>0</v>
      </c>
      <c r="IL390" s="618">
        <f t="shared" si="825"/>
        <v>40.704999999999998</v>
      </c>
      <c r="IM390" s="618"/>
      <c r="IN390" s="618">
        <f t="shared" si="826"/>
        <v>0</v>
      </c>
      <c r="IO390" s="618">
        <f t="shared" si="827"/>
        <v>40.704999999999998</v>
      </c>
      <c r="IP390" s="618"/>
      <c r="IQ390" s="618">
        <f t="shared" si="828"/>
        <v>0</v>
      </c>
      <c r="IR390" s="618">
        <f t="shared" si="829"/>
        <v>40.704999999999998</v>
      </c>
      <c r="IS390" s="645"/>
      <c r="IT390" s="645"/>
      <c r="IU390" s="645"/>
      <c r="IV390" s="645"/>
      <c r="IW390" s="645"/>
      <c r="IX390" s="645"/>
      <c r="IY390" s="645"/>
      <c r="IZ390" s="645"/>
      <c r="JA390" s="645"/>
      <c r="JB390" s="645"/>
      <c r="JC390" s="645"/>
      <c r="JD390" s="645"/>
      <c r="JE390" s="645"/>
      <c r="JF390" s="645"/>
      <c r="JG390" s="645"/>
      <c r="JH390" s="645"/>
      <c r="JI390" s="645"/>
      <c r="JJ390" s="645"/>
      <c r="JK390" s="645"/>
      <c r="JL390" s="645"/>
      <c r="JM390" s="645"/>
      <c r="JN390" s="645"/>
      <c r="JO390" s="645"/>
      <c r="JP390" s="645"/>
      <c r="JQ390" s="645"/>
      <c r="JR390" s="645"/>
      <c r="JS390" s="645"/>
      <c r="JT390" s="645"/>
      <c r="JU390" s="645"/>
      <c r="JV390" s="653"/>
    </row>
    <row r="391" spans="1:282" s="612" customFormat="1">
      <c r="A391" s="611"/>
      <c r="U391" s="613"/>
      <c r="V391" s="613"/>
      <c r="AC391" s="613"/>
      <c r="AD391" s="613"/>
      <c r="AL391" s="613"/>
      <c r="AM391" s="613"/>
      <c r="AT391" s="613"/>
      <c r="AU391" s="613"/>
      <c r="CH391" s="611"/>
      <c r="CI391" s="611"/>
      <c r="CO391" s="695"/>
      <c r="CP391" s="645"/>
      <c r="CQ391" s="618"/>
      <c r="CR391" s="618"/>
      <c r="CS391" s="618"/>
      <c r="CT391" s="626"/>
      <c r="CU391" s="626"/>
      <c r="CV391" s="626"/>
      <c r="CW391" s="646"/>
      <c r="CX391" s="646"/>
      <c r="CY391" s="625"/>
      <c r="CZ391" s="625"/>
      <c r="DA391" s="625"/>
      <c r="DB391" s="625"/>
      <c r="DC391" s="645"/>
      <c r="DD391" s="645"/>
      <c r="DE391" s="645"/>
      <c r="DF391" s="645"/>
      <c r="DG391" s="645"/>
      <c r="DH391" s="645"/>
      <c r="DI391" s="645"/>
      <c r="DJ391" s="645"/>
      <c r="DK391" s="645"/>
      <c r="DL391" s="645"/>
      <c r="DM391" s="645"/>
      <c r="DN391" s="645"/>
      <c r="DO391" s="645"/>
      <c r="DP391" s="645"/>
      <c r="DQ391" s="645"/>
      <c r="DR391" s="645"/>
      <c r="DS391" s="645"/>
      <c r="DT391" s="645"/>
      <c r="DU391" s="645"/>
      <c r="DV391" s="645"/>
      <c r="DW391" s="645"/>
      <c r="DX391" s="645"/>
      <c r="DY391" s="645"/>
      <c r="DZ391" s="645"/>
      <c r="EA391" s="645"/>
      <c r="EB391" s="645"/>
      <c r="EC391" s="645"/>
      <c r="ED391" s="645"/>
      <c r="EE391" s="645"/>
      <c r="EF391" s="645"/>
      <c r="EG391" s="645"/>
      <c r="EH391" s="645"/>
      <c r="EI391" s="645"/>
      <c r="EJ391" s="645"/>
      <c r="EK391" s="645"/>
      <c r="EL391" s="645"/>
      <c r="EM391" s="645"/>
      <c r="EN391" s="645"/>
      <c r="EO391" s="645"/>
      <c r="EP391" s="645"/>
      <c r="EQ391" s="645"/>
      <c r="ER391" s="645"/>
      <c r="ES391" s="645"/>
      <c r="ET391" s="645"/>
      <c r="EU391" s="645"/>
      <c r="EV391" s="645"/>
      <c r="EW391" s="645"/>
      <c r="EX391" s="645"/>
      <c r="EY391" s="645"/>
      <c r="EZ391" s="645"/>
      <c r="FA391" s="645"/>
      <c r="FB391" s="645"/>
      <c r="FC391" s="645"/>
      <c r="FD391" s="645"/>
      <c r="FE391" s="645"/>
      <c r="FF391" s="645"/>
      <c r="FG391" s="645"/>
      <c r="FH391" s="645"/>
      <c r="FI391" s="645"/>
      <c r="FJ391" s="645"/>
      <c r="FK391" s="645"/>
      <c r="FL391" s="645"/>
      <c r="FM391" s="645"/>
      <c r="FN391" s="645"/>
      <c r="FO391" s="645"/>
      <c r="FP391" s="645"/>
      <c r="FQ391" s="645"/>
      <c r="FR391" s="645"/>
      <c r="FS391" s="645"/>
      <c r="FT391" s="645"/>
      <c r="FU391" s="645"/>
      <c r="FV391" s="645"/>
      <c r="FW391" s="645"/>
      <c r="FX391" s="645"/>
      <c r="FY391" s="645"/>
      <c r="FZ391" s="645"/>
      <c r="GA391" s="645"/>
      <c r="GB391" s="645"/>
      <c r="GC391" s="645"/>
      <c r="GD391" s="645"/>
      <c r="GE391" s="645"/>
      <c r="GF391" s="645"/>
      <c r="GG391" s="645"/>
      <c r="GH391" s="645"/>
      <c r="GI391" s="645"/>
      <c r="GJ391" s="645"/>
      <c r="GK391" s="645"/>
      <c r="GL391" s="645"/>
      <c r="GM391" s="645"/>
      <c r="GN391" s="645"/>
      <c r="GO391" s="645"/>
      <c r="GP391" s="645"/>
      <c r="GQ391" s="645"/>
      <c r="GR391" s="645"/>
      <c r="GS391" s="645"/>
      <c r="GT391" s="645"/>
      <c r="GU391" s="645"/>
      <c r="GV391" s="645"/>
      <c r="GW391" s="645"/>
      <c r="GX391" s="645"/>
      <c r="GY391" s="645"/>
      <c r="GZ391" s="645"/>
      <c r="HA391" s="645"/>
      <c r="HB391" s="645"/>
      <c r="HC391" s="645"/>
      <c r="HD391" s="645"/>
      <c r="HE391" s="645"/>
      <c r="HF391" s="645"/>
      <c r="HG391" s="645"/>
      <c r="HH391" s="645"/>
      <c r="HI391" s="645"/>
      <c r="HJ391" s="645"/>
      <c r="HK391" s="645"/>
      <c r="HL391" s="645"/>
      <c r="HM391" s="645"/>
      <c r="HN391" s="645"/>
      <c r="HO391" s="645"/>
      <c r="HP391" s="645"/>
      <c r="HQ391" s="645"/>
      <c r="HR391" s="645">
        <v>0.19400000000000001</v>
      </c>
      <c r="HS391" s="645">
        <f t="shared" si="830"/>
        <v>1302.5714285714287</v>
      </c>
      <c r="HT391" s="645">
        <f t="shared" si="831"/>
        <v>1</v>
      </c>
      <c r="HU391" s="618">
        <f t="shared" si="814"/>
        <v>4.9422892855581955</v>
      </c>
      <c r="HV391" s="618"/>
      <c r="HW391" s="618">
        <f t="shared" si="817"/>
        <v>28.981949214507363</v>
      </c>
      <c r="HX391" s="618">
        <f t="shared" si="815"/>
        <v>4.4593082796820118</v>
      </c>
      <c r="HY391" s="618">
        <f t="shared" si="816"/>
        <v>0.19400000000000001</v>
      </c>
      <c r="HZ391" s="618"/>
      <c r="IA391" s="618"/>
      <c r="IB391" s="618">
        <f t="shared" si="818"/>
        <v>25.000350341399081</v>
      </c>
      <c r="IC391" s="618">
        <f t="shared" si="819"/>
        <v>1E-3</v>
      </c>
      <c r="ID391" s="618"/>
      <c r="IE391" s="618">
        <f t="shared" si="820"/>
        <v>0</v>
      </c>
      <c r="IF391" s="618">
        <f t="shared" si="821"/>
        <v>40.704999999999998</v>
      </c>
      <c r="IG391" s="618"/>
      <c r="IH391" s="618">
        <f t="shared" si="822"/>
        <v>0</v>
      </c>
      <c r="II391" s="618">
        <f t="shared" si="823"/>
        <v>40.704999999999998</v>
      </c>
      <c r="IJ391" s="618"/>
      <c r="IK391" s="618">
        <f t="shared" si="824"/>
        <v>0</v>
      </c>
      <c r="IL391" s="618">
        <f t="shared" si="825"/>
        <v>40.704999999999998</v>
      </c>
      <c r="IM391" s="618"/>
      <c r="IN391" s="618">
        <f t="shared" si="826"/>
        <v>0</v>
      </c>
      <c r="IO391" s="618">
        <f t="shared" si="827"/>
        <v>40.704999999999998</v>
      </c>
      <c r="IP391" s="618"/>
      <c r="IQ391" s="618">
        <f t="shared" si="828"/>
        <v>0</v>
      </c>
      <c r="IR391" s="618">
        <f t="shared" si="829"/>
        <v>40.704999999999998</v>
      </c>
      <c r="IS391" s="645"/>
      <c r="IT391" s="645"/>
      <c r="IU391" s="645"/>
      <c r="IV391" s="645"/>
      <c r="IW391" s="645"/>
      <c r="IX391" s="645"/>
      <c r="IY391" s="645"/>
      <c r="IZ391" s="645"/>
      <c r="JA391" s="645"/>
      <c r="JB391" s="645"/>
      <c r="JC391" s="645"/>
      <c r="JD391" s="645"/>
      <c r="JE391" s="645"/>
      <c r="JF391" s="645"/>
      <c r="JG391" s="645"/>
      <c r="JH391" s="645"/>
      <c r="JI391" s="645"/>
      <c r="JJ391" s="645"/>
      <c r="JK391" s="645"/>
      <c r="JL391" s="645"/>
      <c r="JM391" s="645"/>
      <c r="JN391" s="645"/>
      <c r="JO391" s="645"/>
      <c r="JP391" s="645"/>
      <c r="JQ391" s="645"/>
      <c r="JR391" s="645"/>
      <c r="JS391" s="645"/>
      <c r="JT391" s="645"/>
      <c r="JU391" s="645"/>
      <c r="JV391" s="653"/>
    </row>
    <row r="392" spans="1:282" s="612" customFormat="1">
      <c r="A392" s="611"/>
      <c r="U392" s="613"/>
      <c r="V392" s="613"/>
      <c r="AC392" s="613"/>
      <c r="AD392" s="613"/>
      <c r="AL392" s="613"/>
      <c r="AM392" s="613"/>
      <c r="AT392" s="613"/>
      <c r="AU392" s="613"/>
      <c r="CH392" s="611"/>
      <c r="CI392" s="611"/>
      <c r="CO392" s="695"/>
      <c r="CP392" s="645"/>
      <c r="CQ392" s="618"/>
      <c r="CR392" s="618"/>
      <c r="CS392" s="618"/>
      <c r="CT392" s="626"/>
      <c r="CU392" s="626"/>
      <c r="CV392" s="626"/>
      <c r="CW392" s="646"/>
      <c r="CX392" s="646"/>
      <c r="CY392" s="625"/>
      <c r="CZ392" s="625"/>
      <c r="DA392" s="625"/>
      <c r="DB392" s="625"/>
      <c r="DC392" s="645"/>
      <c r="DD392" s="645"/>
      <c r="DE392" s="645"/>
      <c r="DF392" s="645"/>
      <c r="DG392" s="645"/>
      <c r="DH392" s="645"/>
      <c r="DI392" s="645"/>
      <c r="DJ392" s="645"/>
      <c r="DK392" s="645"/>
      <c r="DL392" s="645"/>
      <c r="DM392" s="645"/>
      <c r="DN392" s="645"/>
      <c r="DO392" s="645"/>
      <c r="DP392" s="645"/>
      <c r="DQ392" s="645"/>
      <c r="DR392" s="645"/>
      <c r="DS392" s="645"/>
      <c r="DT392" s="645"/>
      <c r="DU392" s="645"/>
      <c r="DV392" s="645"/>
      <c r="DW392" s="645"/>
      <c r="DX392" s="645"/>
      <c r="DY392" s="645"/>
      <c r="DZ392" s="645"/>
      <c r="EA392" s="645"/>
      <c r="EB392" s="645"/>
      <c r="EC392" s="645"/>
      <c r="ED392" s="645"/>
      <c r="EE392" s="645"/>
      <c r="EF392" s="645"/>
      <c r="EG392" s="645"/>
      <c r="EH392" s="645"/>
      <c r="EI392" s="645"/>
      <c r="EJ392" s="645"/>
      <c r="EK392" s="645"/>
      <c r="EL392" s="645"/>
      <c r="EM392" s="645"/>
      <c r="EN392" s="645"/>
      <c r="EO392" s="645"/>
      <c r="EP392" s="645"/>
      <c r="EQ392" s="645"/>
      <c r="ER392" s="645"/>
      <c r="ES392" s="645"/>
      <c r="ET392" s="645"/>
      <c r="EU392" s="645"/>
      <c r="EV392" s="645"/>
      <c r="EW392" s="645"/>
      <c r="EX392" s="645"/>
      <c r="EY392" s="645"/>
      <c r="EZ392" s="645"/>
      <c r="FA392" s="645"/>
      <c r="FB392" s="645"/>
      <c r="FC392" s="645"/>
      <c r="FD392" s="645"/>
      <c r="FE392" s="645"/>
      <c r="FF392" s="645"/>
      <c r="FG392" s="645"/>
      <c r="FH392" s="645"/>
      <c r="FI392" s="645"/>
      <c r="FJ392" s="645"/>
      <c r="FK392" s="645"/>
      <c r="FL392" s="645"/>
      <c r="FM392" s="645"/>
      <c r="FN392" s="645"/>
      <c r="FO392" s="645"/>
      <c r="FP392" s="645"/>
      <c r="FQ392" s="645"/>
      <c r="FR392" s="645"/>
      <c r="FS392" s="645"/>
      <c r="FT392" s="645"/>
      <c r="FU392" s="645"/>
      <c r="FV392" s="645"/>
      <c r="FW392" s="645"/>
      <c r="FX392" s="645"/>
      <c r="FY392" s="645"/>
      <c r="FZ392" s="645"/>
      <c r="GA392" s="645"/>
      <c r="GB392" s="645"/>
      <c r="GC392" s="645"/>
      <c r="GD392" s="645"/>
      <c r="GE392" s="645"/>
      <c r="GF392" s="645"/>
      <c r="GG392" s="645"/>
      <c r="GH392" s="645"/>
      <c r="GI392" s="645"/>
      <c r="GJ392" s="645"/>
      <c r="GK392" s="645"/>
      <c r="GL392" s="645"/>
      <c r="GM392" s="645"/>
      <c r="GN392" s="645"/>
      <c r="GO392" s="645"/>
      <c r="GP392" s="645"/>
      <c r="GQ392" s="645"/>
      <c r="GR392" s="645"/>
      <c r="GS392" s="645"/>
      <c r="GT392" s="645"/>
      <c r="GU392" s="645"/>
      <c r="GV392" s="645"/>
      <c r="GW392" s="645"/>
      <c r="GX392" s="645"/>
      <c r="GY392" s="645"/>
      <c r="GZ392" s="645"/>
      <c r="HA392" s="645"/>
      <c r="HB392" s="645"/>
      <c r="HC392" s="645"/>
      <c r="HD392" s="645"/>
      <c r="HE392" s="645"/>
      <c r="HF392" s="645"/>
      <c r="HG392" s="645"/>
      <c r="HH392" s="645"/>
      <c r="HI392" s="645"/>
      <c r="HJ392" s="645"/>
      <c r="HK392" s="645"/>
      <c r="HL392" s="645"/>
      <c r="HM392" s="645"/>
      <c r="HN392" s="645"/>
      <c r="HO392" s="645"/>
      <c r="HP392" s="645"/>
      <c r="HQ392" s="645"/>
      <c r="HR392" s="645">
        <v>0.19450000000000001</v>
      </c>
      <c r="HS392" s="645">
        <f t="shared" si="830"/>
        <v>1305.9285714285716</v>
      </c>
      <c r="HT392" s="645">
        <f t="shared" si="831"/>
        <v>1</v>
      </c>
      <c r="HU392" s="618">
        <f t="shared" si="814"/>
        <v>4.95502832953182</v>
      </c>
      <c r="HV392" s="618"/>
      <c r="HW392" s="618">
        <f t="shared" si="817"/>
        <v>28.963859772064815</v>
      </c>
      <c r="HX392" s="618">
        <f t="shared" si="815"/>
        <v>4.4695574986620743</v>
      </c>
      <c r="HY392" s="618">
        <f t="shared" si="816"/>
        <v>0.19450000000000001</v>
      </c>
      <c r="HZ392" s="618"/>
      <c r="IA392" s="618"/>
      <c r="IB392" s="618">
        <f t="shared" si="818"/>
        <v>25.000350341399081</v>
      </c>
      <c r="IC392" s="618">
        <f t="shared" si="819"/>
        <v>1E-3</v>
      </c>
      <c r="ID392" s="618"/>
      <c r="IE392" s="618">
        <f t="shared" si="820"/>
        <v>0</v>
      </c>
      <c r="IF392" s="618">
        <f t="shared" si="821"/>
        <v>40.704999999999998</v>
      </c>
      <c r="IG392" s="618"/>
      <c r="IH392" s="618">
        <f t="shared" si="822"/>
        <v>0</v>
      </c>
      <c r="II392" s="618">
        <f t="shared" si="823"/>
        <v>40.704999999999998</v>
      </c>
      <c r="IJ392" s="618"/>
      <c r="IK392" s="618">
        <f t="shared" si="824"/>
        <v>0</v>
      </c>
      <c r="IL392" s="618">
        <f t="shared" si="825"/>
        <v>40.704999999999998</v>
      </c>
      <c r="IM392" s="618"/>
      <c r="IN392" s="618">
        <f t="shared" si="826"/>
        <v>0</v>
      </c>
      <c r="IO392" s="618">
        <f t="shared" si="827"/>
        <v>40.704999999999998</v>
      </c>
      <c r="IP392" s="618"/>
      <c r="IQ392" s="618">
        <f t="shared" si="828"/>
        <v>0</v>
      </c>
      <c r="IR392" s="618">
        <f t="shared" si="829"/>
        <v>40.704999999999998</v>
      </c>
      <c r="IS392" s="645"/>
      <c r="IT392" s="645"/>
      <c r="IU392" s="645"/>
      <c r="IV392" s="645"/>
      <c r="IW392" s="645"/>
      <c r="IX392" s="645"/>
      <c r="IY392" s="645"/>
      <c r="IZ392" s="645"/>
      <c r="JA392" s="645"/>
      <c r="JB392" s="645"/>
      <c r="JC392" s="645"/>
      <c r="JD392" s="645"/>
      <c r="JE392" s="645"/>
      <c r="JF392" s="645"/>
      <c r="JG392" s="645"/>
      <c r="JH392" s="645"/>
      <c r="JI392" s="645"/>
      <c r="JJ392" s="645"/>
      <c r="JK392" s="645"/>
      <c r="JL392" s="645"/>
      <c r="JM392" s="645"/>
      <c r="JN392" s="645"/>
      <c r="JO392" s="645"/>
      <c r="JP392" s="645"/>
      <c r="JQ392" s="645"/>
      <c r="JR392" s="645"/>
      <c r="JS392" s="645"/>
      <c r="JT392" s="645"/>
      <c r="JU392" s="645"/>
      <c r="JV392" s="653"/>
    </row>
    <row r="393" spans="1:282" s="612" customFormat="1">
      <c r="A393" s="611"/>
      <c r="U393" s="613"/>
      <c r="V393" s="613"/>
      <c r="AC393" s="613"/>
      <c r="AD393" s="613"/>
      <c r="AL393" s="613"/>
      <c r="AM393" s="613"/>
      <c r="AT393" s="613"/>
      <c r="AU393" s="613"/>
      <c r="CH393" s="611"/>
      <c r="CI393" s="611"/>
      <c r="CO393" s="695"/>
      <c r="CP393" s="645"/>
      <c r="CQ393" s="618"/>
      <c r="CR393" s="618"/>
      <c r="CS393" s="618"/>
      <c r="CT393" s="626"/>
      <c r="CU393" s="626"/>
      <c r="CV393" s="626"/>
      <c r="CW393" s="646"/>
      <c r="CX393" s="646"/>
      <c r="CY393" s="625"/>
      <c r="CZ393" s="625"/>
      <c r="DA393" s="625"/>
      <c r="DB393" s="625"/>
      <c r="DC393" s="645"/>
      <c r="DD393" s="645"/>
      <c r="DE393" s="645"/>
      <c r="DF393" s="645"/>
      <c r="DG393" s="645"/>
      <c r="DH393" s="645"/>
      <c r="DI393" s="645"/>
      <c r="DJ393" s="645"/>
      <c r="DK393" s="645"/>
      <c r="DL393" s="645"/>
      <c r="DM393" s="645"/>
      <c r="DN393" s="645"/>
      <c r="DO393" s="645"/>
      <c r="DP393" s="645"/>
      <c r="DQ393" s="645"/>
      <c r="DR393" s="645"/>
      <c r="DS393" s="645"/>
      <c r="DT393" s="645"/>
      <c r="DU393" s="645"/>
      <c r="DV393" s="645"/>
      <c r="DW393" s="645"/>
      <c r="DX393" s="645"/>
      <c r="DY393" s="645"/>
      <c r="DZ393" s="645"/>
      <c r="EA393" s="645"/>
      <c r="EB393" s="645"/>
      <c r="EC393" s="645"/>
      <c r="ED393" s="645"/>
      <c r="EE393" s="645"/>
      <c r="EF393" s="645"/>
      <c r="EG393" s="645"/>
      <c r="EH393" s="645"/>
      <c r="EI393" s="645"/>
      <c r="EJ393" s="645"/>
      <c r="EK393" s="645"/>
      <c r="EL393" s="645"/>
      <c r="EM393" s="645"/>
      <c r="EN393" s="645"/>
      <c r="EO393" s="645"/>
      <c r="EP393" s="645"/>
      <c r="EQ393" s="645"/>
      <c r="ER393" s="645"/>
      <c r="ES393" s="645"/>
      <c r="ET393" s="645"/>
      <c r="EU393" s="645"/>
      <c r="EV393" s="645"/>
      <c r="EW393" s="645"/>
      <c r="EX393" s="645"/>
      <c r="EY393" s="645"/>
      <c r="EZ393" s="645"/>
      <c r="FA393" s="645"/>
      <c r="FB393" s="645"/>
      <c r="FC393" s="645"/>
      <c r="FD393" s="645"/>
      <c r="FE393" s="645"/>
      <c r="FF393" s="645"/>
      <c r="FG393" s="645"/>
      <c r="FH393" s="645"/>
      <c r="FI393" s="645"/>
      <c r="FJ393" s="645"/>
      <c r="FK393" s="645"/>
      <c r="FL393" s="645"/>
      <c r="FM393" s="645"/>
      <c r="FN393" s="645"/>
      <c r="FO393" s="645"/>
      <c r="FP393" s="645"/>
      <c r="FQ393" s="645"/>
      <c r="FR393" s="645"/>
      <c r="FS393" s="645"/>
      <c r="FT393" s="645"/>
      <c r="FU393" s="645"/>
      <c r="FV393" s="645"/>
      <c r="FW393" s="645"/>
      <c r="FX393" s="645"/>
      <c r="FY393" s="645"/>
      <c r="FZ393" s="645"/>
      <c r="GA393" s="645"/>
      <c r="GB393" s="645"/>
      <c r="GC393" s="645"/>
      <c r="GD393" s="645"/>
      <c r="GE393" s="645"/>
      <c r="GF393" s="645"/>
      <c r="GG393" s="645"/>
      <c r="GH393" s="645"/>
      <c r="GI393" s="645"/>
      <c r="GJ393" s="645"/>
      <c r="GK393" s="645"/>
      <c r="GL393" s="645"/>
      <c r="GM393" s="645"/>
      <c r="GN393" s="645"/>
      <c r="GO393" s="645"/>
      <c r="GP393" s="645"/>
      <c r="GQ393" s="645"/>
      <c r="GR393" s="645"/>
      <c r="GS393" s="645"/>
      <c r="GT393" s="645"/>
      <c r="GU393" s="645"/>
      <c r="GV393" s="645"/>
      <c r="GW393" s="645"/>
      <c r="GX393" s="645"/>
      <c r="GY393" s="645"/>
      <c r="GZ393" s="645"/>
      <c r="HA393" s="645"/>
      <c r="HB393" s="645"/>
      <c r="HC393" s="645"/>
      <c r="HD393" s="645"/>
      <c r="HE393" s="645"/>
      <c r="HF393" s="645"/>
      <c r="HG393" s="645"/>
      <c r="HH393" s="645"/>
      <c r="HI393" s="645"/>
      <c r="HJ393" s="645"/>
      <c r="HK393" s="645"/>
      <c r="HL393" s="645"/>
      <c r="HM393" s="645"/>
      <c r="HN393" s="645"/>
      <c r="HO393" s="645"/>
      <c r="HP393" s="645"/>
      <c r="HQ393" s="645"/>
      <c r="HR393" s="645">
        <v>0.19500000000000001</v>
      </c>
      <c r="HS393" s="645">
        <f t="shared" si="830"/>
        <v>1309.2857142857142</v>
      </c>
      <c r="HT393" s="645">
        <f t="shared" si="831"/>
        <v>1</v>
      </c>
      <c r="HU393" s="618">
        <f t="shared" si="814"/>
        <v>4.9677673735054446</v>
      </c>
      <c r="HV393" s="618"/>
      <c r="HW393" s="618">
        <f t="shared" si="817"/>
        <v>28.94577032962227</v>
      </c>
      <c r="HX393" s="618">
        <f t="shared" si="815"/>
        <v>4.4798003164698379</v>
      </c>
      <c r="HY393" s="618">
        <f t="shared" si="816"/>
        <v>0.19500000000000001</v>
      </c>
      <c r="HZ393" s="618"/>
      <c r="IA393" s="618"/>
      <c r="IB393" s="618">
        <f t="shared" si="818"/>
        <v>25.000350341399081</v>
      </c>
      <c r="IC393" s="618">
        <f t="shared" si="819"/>
        <v>1E-3</v>
      </c>
      <c r="ID393" s="618"/>
      <c r="IE393" s="618">
        <f t="shared" si="820"/>
        <v>0</v>
      </c>
      <c r="IF393" s="618">
        <f t="shared" si="821"/>
        <v>40.704999999999998</v>
      </c>
      <c r="IG393" s="618"/>
      <c r="IH393" s="618">
        <f t="shared" si="822"/>
        <v>0</v>
      </c>
      <c r="II393" s="618">
        <f t="shared" si="823"/>
        <v>40.704999999999998</v>
      </c>
      <c r="IJ393" s="618"/>
      <c r="IK393" s="618">
        <f t="shared" si="824"/>
        <v>0</v>
      </c>
      <c r="IL393" s="618">
        <f t="shared" si="825"/>
        <v>40.704999999999998</v>
      </c>
      <c r="IM393" s="618"/>
      <c r="IN393" s="618">
        <f t="shared" si="826"/>
        <v>0</v>
      </c>
      <c r="IO393" s="618">
        <f t="shared" si="827"/>
        <v>40.704999999999998</v>
      </c>
      <c r="IP393" s="618"/>
      <c r="IQ393" s="618">
        <f t="shared" si="828"/>
        <v>0</v>
      </c>
      <c r="IR393" s="618">
        <f t="shared" si="829"/>
        <v>40.704999999999998</v>
      </c>
      <c r="IS393" s="645"/>
      <c r="IT393" s="645"/>
      <c r="IU393" s="645"/>
      <c r="IV393" s="645"/>
      <c r="IW393" s="645"/>
      <c r="IX393" s="645"/>
      <c r="IY393" s="645"/>
      <c r="IZ393" s="645"/>
      <c r="JA393" s="645"/>
      <c r="JB393" s="645"/>
      <c r="JC393" s="645"/>
      <c r="JD393" s="645"/>
      <c r="JE393" s="645"/>
      <c r="JF393" s="645"/>
      <c r="JG393" s="645"/>
      <c r="JH393" s="645"/>
      <c r="JI393" s="645"/>
      <c r="JJ393" s="645"/>
      <c r="JK393" s="645"/>
      <c r="JL393" s="645"/>
      <c r="JM393" s="645"/>
      <c r="JN393" s="645"/>
      <c r="JO393" s="645"/>
      <c r="JP393" s="645"/>
      <c r="JQ393" s="645"/>
      <c r="JR393" s="645"/>
      <c r="JS393" s="645"/>
      <c r="JT393" s="645"/>
      <c r="JU393" s="645"/>
      <c r="JV393" s="653"/>
    </row>
    <row r="394" spans="1:282" s="612" customFormat="1">
      <c r="A394" s="611"/>
      <c r="U394" s="613"/>
      <c r="V394" s="613"/>
      <c r="AC394" s="613"/>
      <c r="AD394" s="613"/>
      <c r="AL394" s="613"/>
      <c r="AM394" s="613"/>
      <c r="AT394" s="613"/>
      <c r="AU394" s="613"/>
      <c r="CH394" s="611"/>
      <c r="CI394" s="611"/>
      <c r="CO394" s="695"/>
      <c r="CP394" s="645"/>
      <c r="CQ394" s="618"/>
      <c r="CR394" s="618"/>
      <c r="CS394" s="618"/>
      <c r="CT394" s="626"/>
      <c r="CU394" s="626"/>
      <c r="CV394" s="626"/>
      <c r="CW394" s="646"/>
      <c r="CX394" s="646"/>
      <c r="CY394" s="625"/>
      <c r="CZ394" s="625"/>
      <c r="DA394" s="625"/>
      <c r="DB394" s="625"/>
      <c r="DC394" s="645"/>
      <c r="DD394" s="645"/>
      <c r="DE394" s="645"/>
      <c r="DF394" s="645"/>
      <c r="DG394" s="645"/>
      <c r="DH394" s="645"/>
      <c r="DI394" s="645"/>
      <c r="DJ394" s="645"/>
      <c r="DK394" s="645"/>
      <c r="DL394" s="645"/>
      <c r="DM394" s="645"/>
      <c r="DN394" s="645"/>
      <c r="DO394" s="645"/>
      <c r="DP394" s="645"/>
      <c r="DQ394" s="645"/>
      <c r="DR394" s="645"/>
      <c r="DS394" s="645"/>
      <c r="DT394" s="645"/>
      <c r="DU394" s="645"/>
      <c r="DV394" s="645"/>
      <c r="DW394" s="645"/>
      <c r="DX394" s="645"/>
      <c r="DY394" s="645"/>
      <c r="DZ394" s="645"/>
      <c r="EA394" s="645"/>
      <c r="EB394" s="645"/>
      <c r="EC394" s="645"/>
      <c r="ED394" s="645"/>
      <c r="EE394" s="645"/>
      <c r="EF394" s="645"/>
      <c r="EG394" s="645"/>
      <c r="EH394" s="645"/>
      <c r="EI394" s="645"/>
      <c r="EJ394" s="645"/>
      <c r="EK394" s="645"/>
      <c r="EL394" s="645"/>
      <c r="EM394" s="645"/>
      <c r="EN394" s="645"/>
      <c r="EO394" s="645"/>
      <c r="EP394" s="645"/>
      <c r="EQ394" s="645"/>
      <c r="ER394" s="645"/>
      <c r="ES394" s="645"/>
      <c r="ET394" s="645"/>
      <c r="EU394" s="645"/>
      <c r="EV394" s="645"/>
      <c r="EW394" s="645"/>
      <c r="EX394" s="645"/>
      <c r="EY394" s="645"/>
      <c r="EZ394" s="645"/>
      <c r="FA394" s="645"/>
      <c r="FB394" s="645"/>
      <c r="FC394" s="645"/>
      <c r="FD394" s="645"/>
      <c r="FE394" s="645"/>
      <c r="FF394" s="645"/>
      <c r="FG394" s="645"/>
      <c r="FH394" s="645"/>
      <c r="FI394" s="645"/>
      <c r="FJ394" s="645"/>
      <c r="FK394" s="645"/>
      <c r="FL394" s="645"/>
      <c r="FM394" s="645"/>
      <c r="FN394" s="645"/>
      <c r="FO394" s="645"/>
      <c r="FP394" s="645"/>
      <c r="FQ394" s="645"/>
      <c r="FR394" s="645"/>
      <c r="FS394" s="645"/>
      <c r="FT394" s="645"/>
      <c r="FU394" s="645"/>
      <c r="FV394" s="645"/>
      <c r="FW394" s="645"/>
      <c r="FX394" s="645"/>
      <c r="FY394" s="645"/>
      <c r="FZ394" s="645"/>
      <c r="GA394" s="645"/>
      <c r="GB394" s="645"/>
      <c r="GC394" s="645"/>
      <c r="GD394" s="645"/>
      <c r="GE394" s="645"/>
      <c r="GF394" s="645"/>
      <c r="GG394" s="645"/>
      <c r="GH394" s="645"/>
      <c r="GI394" s="645"/>
      <c r="GJ394" s="645"/>
      <c r="GK394" s="645"/>
      <c r="GL394" s="645"/>
      <c r="GM394" s="645"/>
      <c r="GN394" s="645"/>
      <c r="GO394" s="645"/>
      <c r="GP394" s="645"/>
      <c r="GQ394" s="645"/>
      <c r="GR394" s="645"/>
      <c r="GS394" s="645"/>
      <c r="GT394" s="645"/>
      <c r="GU394" s="645"/>
      <c r="GV394" s="645"/>
      <c r="GW394" s="645"/>
      <c r="GX394" s="645"/>
      <c r="GY394" s="645"/>
      <c r="GZ394" s="645"/>
      <c r="HA394" s="645"/>
      <c r="HB394" s="645"/>
      <c r="HC394" s="645"/>
      <c r="HD394" s="645"/>
      <c r="HE394" s="645"/>
      <c r="HF394" s="645"/>
      <c r="HG394" s="645"/>
      <c r="HH394" s="645"/>
      <c r="HI394" s="645"/>
      <c r="HJ394" s="645"/>
      <c r="HK394" s="645"/>
      <c r="HL394" s="645"/>
      <c r="HM394" s="645"/>
      <c r="HN394" s="645"/>
      <c r="HO394" s="645"/>
      <c r="HP394" s="645"/>
      <c r="HQ394" s="645"/>
      <c r="HR394" s="645">
        <v>0.19550000000000001</v>
      </c>
      <c r="HS394" s="645">
        <f t="shared" si="830"/>
        <v>1312.6428571428571</v>
      </c>
      <c r="HT394" s="645">
        <f t="shared" si="831"/>
        <v>1</v>
      </c>
      <c r="HU394" s="618">
        <f t="shared" si="814"/>
        <v>4.9805064174790692</v>
      </c>
      <c r="HV394" s="618"/>
      <c r="HW394" s="618">
        <f t="shared" si="817"/>
        <v>28.927680887179722</v>
      </c>
      <c r="HX394" s="618">
        <f t="shared" si="815"/>
        <v>4.4900367331053035</v>
      </c>
      <c r="HY394" s="618">
        <f t="shared" si="816"/>
        <v>0.19550000000000001</v>
      </c>
      <c r="HZ394" s="618"/>
      <c r="IA394" s="618"/>
      <c r="IB394" s="618">
        <f t="shared" si="818"/>
        <v>25.000350341399081</v>
      </c>
      <c r="IC394" s="618">
        <f t="shared" si="819"/>
        <v>1E-3</v>
      </c>
      <c r="ID394" s="618"/>
      <c r="IE394" s="618">
        <f t="shared" si="820"/>
        <v>0</v>
      </c>
      <c r="IF394" s="618">
        <f t="shared" si="821"/>
        <v>40.704999999999998</v>
      </c>
      <c r="IG394" s="618"/>
      <c r="IH394" s="618">
        <f t="shared" si="822"/>
        <v>0</v>
      </c>
      <c r="II394" s="618">
        <f t="shared" si="823"/>
        <v>40.704999999999998</v>
      </c>
      <c r="IJ394" s="618"/>
      <c r="IK394" s="618">
        <f t="shared" si="824"/>
        <v>0</v>
      </c>
      <c r="IL394" s="618">
        <f t="shared" si="825"/>
        <v>40.704999999999998</v>
      </c>
      <c r="IM394" s="618"/>
      <c r="IN394" s="618">
        <f t="shared" si="826"/>
        <v>0</v>
      </c>
      <c r="IO394" s="618">
        <f t="shared" si="827"/>
        <v>40.704999999999998</v>
      </c>
      <c r="IP394" s="618"/>
      <c r="IQ394" s="618">
        <f t="shared" si="828"/>
        <v>0</v>
      </c>
      <c r="IR394" s="618">
        <f t="shared" si="829"/>
        <v>40.704999999999998</v>
      </c>
      <c r="IS394" s="645"/>
      <c r="IT394" s="645"/>
      <c r="IU394" s="645"/>
      <c r="IV394" s="645"/>
      <c r="IW394" s="645"/>
      <c r="IX394" s="645"/>
      <c r="IY394" s="645"/>
      <c r="IZ394" s="645"/>
      <c r="JA394" s="645"/>
      <c r="JB394" s="645"/>
      <c r="JC394" s="645"/>
      <c r="JD394" s="645"/>
      <c r="JE394" s="645"/>
      <c r="JF394" s="645"/>
      <c r="JG394" s="645"/>
      <c r="JH394" s="645"/>
      <c r="JI394" s="645"/>
      <c r="JJ394" s="645"/>
      <c r="JK394" s="645"/>
      <c r="JL394" s="645"/>
      <c r="JM394" s="645"/>
      <c r="JN394" s="645"/>
      <c r="JO394" s="645"/>
      <c r="JP394" s="645"/>
      <c r="JQ394" s="645"/>
      <c r="JR394" s="645"/>
      <c r="JS394" s="645"/>
      <c r="JT394" s="645"/>
      <c r="JU394" s="645"/>
      <c r="JV394" s="653"/>
    </row>
    <row r="395" spans="1:282" s="612" customFormat="1">
      <c r="A395" s="611"/>
      <c r="U395" s="613"/>
      <c r="V395" s="613"/>
      <c r="AC395" s="613"/>
      <c r="AD395" s="613"/>
      <c r="AL395" s="613"/>
      <c r="AM395" s="613"/>
      <c r="AT395" s="613"/>
      <c r="AU395" s="613"/>
      <c r="CH395" s="611"/>
      <c r="CI395" s="611"/>
      <c r="CO395" s="695"/>
      <c r="CP395" s="645"/>
      <c r="CQ395" s="618"/>
      <c r="CR395" s="618"/>
      <c r="CS395" s="618"/>
      <c r="CT395" s="626"/>
      <c r="CU395" s="626"/>
      <c r="CV395" s="626"/>
      <c r="CW395" s="646"/>
      <c r="CX395" s="646"/>
      <c r="CY395" s="625"/>
      <c r="CZ395" s="625"/>
      <c r="DA395" s="625"/>
      <c r="DB395" s="625"/>
      <c r="DC395" s="645"/>
      <c r="DD395" s="645"/>
      <c r="DE395" s="645"/>
      <c r="DF395" s="645"/>
      <c r="DG395" s="645"/>
      <c r="DH395" s="645"/>
      <c r="DI395" s="645"/>
      <c r="DJ395" s="645"/>
      <c r="DK395" s="645"/>
      <c r="DL395" s="645"/>
      <c r="DM395" s="645"/>
      <c r="DN395" s="645"/>
      <c r="DO395" s="645"/>
      <c r="DP395" s="645"/>
      <c r="DQ395" s="645"/>
      <c r="DR395" s="645"/>
      <c r="DS395" s="645"/>
      <c r="DT395" s="645"/>
      <c r="DU395" s="645"/>
      <c r="DV395" s="645"/>
      <c r="DW395" s="645"/>
      <c r="DX395" s="645"/>
      <c r="DY395" s="645"/>
      <c r="DZ395" s="645"/>
      <c r="EA395" s="645"/>
      <c r="EB395" s="645"/>
      <c r="EC395" s="645"/>
      <c r="ED395" s="645"/>
      <c r="EE395" s="645"/>
      <c r="EF395" s="645"/>
      <c r="EG395" s="645"/>
      <c r="EH395" s="645"/>
      <c r="EI395" s="645"/>
      <c r="EJ395" s="645"/>
      <c r="EK395" s="645"/>
      <c r="EL395" s="645"/>
      <c r="EM395" s="645"/>
      <c r="EN395" s="645"/>
      <c r="EO395" s="645"/>
      <c r="EP395" s="645"/>
      <c r="EQ395" s="645"/>
      <c r="ER395" s="645"/>
      <c r="ES395" s="645"/>
      <c r="ET395" s="645"/>
      <c r="EU395" s="645"/>
      <c r="EV395" s="645"/>
      <c r="EW395" s="645"/>
      <c r="EX395" s="645"/>
      <c r="EY395" s="645"/>
      <c r="EZ395" s="645"/>
      <c r="FA395" s="645"/>
      <c r="FB395" s="645"/>
      <c r="FC395" s="645"/>
      <c r="FD395" s="645"/>
      <c r="FE395" s="645"/>
      <c r="FF395" s="645"/>
      <c r="FG395" s="645"/>
      <c r="FH395" s="645"/>
      <c r="FI395" s="645"/>
      <c r="FJ395" s="645"/>
      <c r="FK395" s="645"/>
      <c r="FL395" s="645"/>
      <c r="FM395" s="645"/>
      <c r="FN395" s="645"/>
      <c r="FO395" s="645"/>
      <c r="FP395" s="645"/>
      <c r="FQ395" s="645"/>
      <c r="FR395" s="645"/>
      <c r="FS395" s="645"/>
      <c r="FT395" s="645"/>
      <c r="FU395" s="645"/>
      <c r="FV395" s="645"/>
      <c r="FW395" s="645"/>
      <c r="FX395" s="645"/>
      <c r="FY395" s="645"/>
      <c r="FZ395" s="645"/>
      <c r="GA395" s="645"/>
      <c r="GB395" s="645"/>
      <c r="GC395" s="645"/>
      <c r="GD395" s="645"/>
      <c r="GE395" s="645"/>
      <c r="GF395" s="645"/>
      <c r="GG395" s="645"/>
      <c r="GH395" s="645"/>
      <c r="GI395" s="645"/>
      <c r="GJ395" s="645"/>
      <c r="GK395" s="645"/>
      <c r="GL395" s="645"/>
      <c r="GM395" s="645"/>
      <c r="GN395" s="645"/>
      <c r="GO395" s="645"/>
      <c r="GP395" s="645"/>
      <c r="GQ395" s="645"/>
      <c r="GR395" s="645"/>
      <c r="GS395" s="645"/>
      <c r="GT395" s="645"/>
      <c r="GU395" s="645"/>
      <c r="GV395" s="645"/>
      <c r="GW395" s="645"/>
      <c r="GX395" s="645"/>
      <c r="GY395" s="645"/>
      <c r="GZ395" s="645"/>
      <c r="HA395" s="645"/>
      <c r="HB395" s="645"/>
      <c r="HC395" s="645"/>
      <c r="HD395" s="645"/>
      <c r="HE395" s="645"/>
      <c r="HF395" s="645"/>
      <c r="HG395" s="645"/>
      <c r="HH395" s="645"/>
      <c r="HI395" s="645"/>
      <c r="HJ395" s="645"/>
      <c r="HK395" s="645"/>
      <c r="HL395" s="645"/>
      <c r="HM395" s="645"/>
      <c r="HN395" s="645"/>
      <c r="HO395" s="645"/>
      <c r="HP395" s="645"/>
      <c r="HQ395" s="645"/>
      <c r="HR395" s="645">
        <v>0.19600000000000001</v>
      </c>
      <c r="HS395" s="645">
        <f t="shared" si="830"/>
        <v>1316</v>
      </c>
      <c r="HT395" s="645">
        <f t="shared" si="831"/>
        <v>1</v>
      </c>
      <c r="HU395" s="618">
        <f t="shared" si="814"/>
        <v>4.9932454614526938</v>
      </c>
      <c r="HV395" s="618"/>
      <c r="HW395" s="618">
        <f t="shared" si="817"/>
        <v>28.909591444737174</v>
      </c>
      <c r="HX395" s="618">
        <f t="shared" si="815"/>
        <v>4.5002667485684711</v>
      </c>
      <c r="HY395" s="618">
        <f t="shared" si="816"/>
        <v>0.19600000000000001</v>
      </c>
      <c r="HZ395" s="618"/>
      <c r="IA395" s="618"/>
      <c r="IB395" s="618">
        <f t="shared" si="818"/>
        <v>25.000350341399081</v>
      </c>
      <c r="IC395" s="618">
        <f t="shared" si="819"/>
        <v>1E-3</v>
      </c>
      <c r="ID395" s="618"/>
      <c r="IE395" s="618">
        <f t="shared" si="820"/>
        <v>0</v>
      </c>
      <c r="IF395" s="618">
        <f t="shared" si="821"/>
        <v>40.704999999999998</v>
      </c>
      <c r="IG395" s="618"/>
      <c r="IH395" s="618">
        <f t="shared" si="822"/>
        <v>0</v>
      </c>
      <c r="II395" s="618">
        <f t="shared" si="823"/>
        <v>40.704999999999998</v>
      </c>
      <c r="IJ395" s="618"/>
      <c r="IK395" s="618">
        <f t="shared" si="824"/>
        <v>0</v>
      </c>
      <c r="IL395" s="618">
        <f t="shared" si="825"/>
        <v>40.704999999999998</v>
      </c>
      <c r="IM395" s="618"/>
      <c r="IN395" s="618">
        <f t="shared" si="826"/>
        <v>0</v>
      </c>
      <c r="IO395" s="618">
        <f t="shared" si="827"/>
        <v>40.704999999999998</v>
      </c>
      <c r="IP395" s="618"/>
      <c r="IQ395" s="618">
        <f t="shared" si="828"/>
        <v>0</v>
      </c>
      <c r="IR395" s="618">
        <f t="shared" si="829"/>
        <v>40.704999999999998</v>
      </c>
      <c r="IS395" s="645"/>
      <c r="IT395" s="645"/>
      <c r="IU395" s="645"/>
      <c r="IV395" s="645"/>
      <c r="IW395" s="645"/>
      <c r="IX395" s="645"/>
      <c r="IY395" s="645"/>
      <c r="IZ395" s="645"/>
      <c r="JA395" s="645"/>
      <c r="JB395" s="645"/>
      <c r="JC395" s="645"/>
      <c r="JD395" s="645"/>
      <c r="JE395" s="645"/>
      <c r="JF395" s="645"/>
      <c r="JG395" s="645"/>
      <c r="JH395" s="645"/>
      <c r="JI395" s="645"/>
      <c r="JJ395" s="645"/>
      <c r="JK395" s="645"/>
      <c r="JL395" s="645"/>
      <c r="JM395" s="645"/>
      <c r="JN395" s="645"/>
      <c r="JO395" s="645"/>
      <c r="JP395" s="645"/>
      <c r="JQ395" s="645"/>
      <c r="JR395" s="645"/>
      <c r="JS395" s="645"/>
      <c r="JT395" s="645"/>
      <c r="JU395" s="645"/>
      <c r="JV395" s="653"/>
    </row>
    <row r="396" spans="1:282" s="612" customFormat="1">
      <c r="A396" s="611"/>
      <c r="U396" s="613"/>
      <c r="V396" s="613"/>
      <c r="AC396" s="613"/>
      <c r="AD396" s="613"/>
      <c r="AL396" s="613"/>
      <c r="AM396" s="613"/>
      <c r="AT396" s="613"/>
      <c r="AU396" s="613"/>
      <c r="CH396" s="611"/>
      <c r="CI396" s="611"/>
      <c r="CO396" s="695"/>
      <c r="CP396" s="645"/>
      <c r="CQ396" s="618"/>
      <c r="CR396" s="618"/>
      <c r="CS396" s="618"/>
      <c r="CT396" s="626"/>
      <c r="CU396" s="626"/>
      <c r="CV396" s="626"/>
      <c r="CW396" s="646"/>
      <c r="CX396" s="646"/>
      <c r="CY396" s="625"/>
      <c r="CZ396" s="625"/>
      <c r="DA396" s="625"/>
      <c r="DB396" s="625"/>
      <c r="DC396" s="645"/>
      <c r="DD396" s="645"/>
      <c r="DE396" s="645"/>
      <c r="DF396" s="645"/>
      <c r="DG396" s="645"/>
      <c r="DH396" s="645"/>
      <c r="DI396" s="645"/>
      <c r="DJ396" s="645"/>
      <c r="DK396" s="645"/>
      <c r="DL396" s="645"/>
      <c r="DM396" s="645"/>
      <c r="DN396" s="645"/>
      <c r="DO396" s="645"/>
      <c r="DP396" s="645"/>
      <c r="DQ396" s="645"/>
      <c r="DR396" s="645"/>
      <c r="DS396" s="645"/>
      <c r="DT396" s="645"/>
      <c r="DU396" s="645"/>
      <c r="DV396" s="645"/>
      <c r="DW396" s="645"/>
      <c r="DX396" s="645"/>
      <c r="DY396" s="645"/>
      <c r="DZ396" s="645"/>
      <c r="EA396" s="645"/>
      <c r="EB396" s="645"/>
      <c r="EC396" s="645"/>
      <c r="ED396" s="645"/>
      <c r="EE396" s="645"/>
      <c r="EF396" s="645"/>
      <c r="EG396" s="645"/>
      <c r="EH396" s="645"/>
      <c r="EI396" s="645"/>
      <c r="EJ396" s="645"/>
      <c r="EK396" s="645"/>
      <c r="EL396" s="645"/>
      <c r="EM396" s="645"/>
      <c r="EN396" s="645"/>
      <c r="EO396" s="645"/>
      <c r="EP396" s="645"/>
      <c r="EQ396" s="645"/>
      <c r="ER396" s="645"/>
      <c r="ES396" s="645"/>
      <c r="ET396" s="645"/>
      <c r="EU396" s="645"/>
      <c r="EV396" s="645"/>
      <c r="EW396" s="645"/>
      <c r="EX396" s="645"/>
      <c r="EY396" s="645"/>
      <c r="EZ396" s="645"/>
      <c r="FA396" s="645"/>
      <c r="FB396" s="645"/>
      <c r="FC396" s="645"/>
      <c r="FD396" s="645"/>
      <c r="FE396" s="645"/>
      <c r="FF396" s="645"/>
      <c r="FG396" s="645"/>
      <c r="FH396" s="645"/>
      <c r="FI396" s="645"/>
      <c r="FJ396" s="645"/>
      <c r="FK396" s="645"/>
      <c r="FL396" s="645"/>
      <c r="FM396" s="645"/>
      <c r="FN396" s="645"/>
      <c r="FO396" s="645"/>
      <c r="FP396" s="645"/>
      <c r="FQ396" s="645"/>
      <c r="FR396" s="645"/>
      <c r="FS396" s="645"/>
      <c r="FT396" s="645"/>
      <c r="FU396" s="645"/>
      <c r="FV396" s="645"/>
      <c r="FW396" s="645"/>
      <c r="FX396" s="645"/>
      <c r="FY396" s="645"/>
      <c r="FZ396" s="645"/>
      <c r="GA396" s="645"/>
      <c r="GB396" s="645"/>
      <c r="GC396" s="645"/>
      <c r="GD396" s="645"/>
      <c r="GE396" s="645"/>
      <c r="GF396" s="645"/>
      <c r="GG396" s="645"/>
      <c r="GH396" s="645"/>
      <c r="GI396" s="645"/>
      <c r="GJ396" s="645"/>
      <c r="GK396" s="645"/>
      <c r="GL396" s="645"/>
      <c r="GM396" s="645"/>
      <c r="GN396" s="645"/>
      <c r="GO396" s="645"/>
      <c r="GP396" s="645"/>
      <c r="GQ396" s="645"/>
      <c r="GR396" s="645"/>
      <c r="GS396" s="645"/>
      <c r="GT396" s="645"/>
      <c r="GU396" s="645"/>
      <c r="GV396" s="645"/>
      <c r="GW396" s="645"/>
      <c r="GX396" s="645"/>
      <c r="GY396" s="645"/>
      <c r="GZ396" s="645"/>
      <c r="HA396" s="645"/>
      <c r="HB396" s="645"/>
      <c r="HC396" s="645"/>
      <c r="HD396" s="645"/>
      <c r="HE396" s="645"/>
      <c r="HF396" s="645"/>
      <c r="HG396" s="645"/>
      <c r="HH396" s="645"/>
      <c r="HI396" s="645"/>
      <c r="HJ396" s="645"/>
      <c r="HK396" s="645"/>
      <c r="HL396" s="645"/>
      <c r="HM396" s="645"/>
      <c r="HN396" s="645"/>
      <c r="HO396" s="645"/>
      <c r="HP396" s="645"/>
      <c r="HQ396" s="645"/>
      <c r="HR396" s="645">
        <v>0.19650000000000001</v>
      </c>
      <c r="HS396" s="645">
        <f t="shared" si="830"/>
        <v>1319.3571428571429</v>
      </c>
      <c r="HT396" s="645">
        <f t="shared" si="831"/>
        <v>1</v>
      </c>
      <c r="HU396" s="618">
        <f t="shared" si="814"/>
        <v>5.0059845054263183</v>
      </c>
      <c r="HV396" s="618"/>
      <c r="HW396" s="618">
        <f t="shared" si="817"/>
        <v>28.891502002294629</v>
      </c>
      <c r="HX396" s="618">
        <f t="shared" si="815"/>
        <v>4.5104903628593407</v>
      </c>
      <c r="HY396" s="618">
        <f t="shared" si="816"/>
        <v>0.19650000000000001</v>
      </c>
      <c r="HZ396" s="618"/>
      <c r="IA396" s="618"/>
      <c r="IB396" s="618">
        <f t="shared" si="818"/>
        <v>25.000350341399081</v>
      </c>
      <c r="IC396" s="618">
        <f t="shared" si="819"/>
        <v>1E-3</v>
      </c>
      <c r="ID396" s="618"/>
      <c r="IE396" s="618">
        <f t="shared" si="820"/>
        <v>0</v>
      </c>
      <c r="IF396" s="618">
        <f t="shared" si="821"/>
        <v>40.704999999999998</v>
      </c>
      <c r="IG396" s="618"/>
      <c r="IH396" s="618">
        <f t="shared" si="822"/>
        <v>0</v>
      </c>
      <c r="II396" s="618">
        <f t="shared" si="823"/>
        <v>40.704999999999998</v>
      </c>
      <c r="IJ396" s="618"/>
      <c r="IK396" s="618">
        <f t="shared" si="824"/>
        <v>0</v>
      </c>
      <c r="IL396" s="618">
        <f t="shared" si="825"/>
        <v>40.704999999999998</v>
      </c>
      <c r="IM396" s="618"/>
      <c r="IN396" s="618">
        <f t="shared" si="826"/>
        <v>0</v>
      </c>
      <c r="IO396" s="618">
        <f t="shared" si="827"/>
        <v>40.704999999999998</v>
      </c>
      <c r="IP396" s="618"/>
      <c r="IQ396" s="618">
        <f t="shared" si="828"/>
        <v>0</v>
      </c>
      <c r="IR396" s="618">
        <f t="shared" si="829"/>
        <v>40.704999999999998</v>
      </c>
      <c r="IS396" s="645"/>
      <c r="IT396" s="645"/>
      <c r="IU396" s="645"/>
      <c r="IV396" s="645"/>
      <c r="IW396" s="645"/>
      <c r="IX396" s="645"/>
      <c r="IY396" s="645"/>
      <c r="IZ396" s="645"/>
      <c r="JA396" s="645"/>
      <c r="JB396" s="645"/>
      <c r="JC396" s="645"/>
      <c r="JD396" s="645"/>
      <c r="JE396" s="645"/>
      <c r="JF396" s="645"/>
      <c r="JG396" s="645"/>
      <c r="JH396" s="645"/>
      <c r="JI396" s="645"/>
      <c r="JJ396" s="645"/>
      <c r="JK396" s="645"/>
      <c r="JL396" s="645"/>
      <c r="JM396" s="645"/>
      <c r="JN396" s="645"/>
      <c r="JO396" s="645"/>
      <c r="JP396" s="645"/>
      <c r="JQ396" s="645"/>
      <c r="JR396" s="645"/>
      <c r="JS396" s="645"/>
      <c r="JT396" s="645"/>
      <c r="JU396" s="645"/>
      <c r="JV396" s="653"/>
    </row>
    <row r="397" spans="1:282" s="612" customFormat="1">
      <c r="A397" s="611"/>
      <c r="U397" s="613"/>
      <c r="V397" s="613"/>
      <c r="AC397" s="613"/>
      <c r="AD397" s="613"/>
      <c r="AL397" s="613"/>
      <c r="AM397" s="613"/>
      <c r="AT397" s="613"/>
      <c r="AU397" s="613"/>
      <c r="CH397" s="611"/>
      <c r="CI397" s="611"/>
      <c r="CO397" s="695"/>
      <c r="CP397" s="645"/>
      <c r="CQ397" s="618"/>
      <c r="CR397" s="618"/>
      <c r="CS397" s="618"/>
      <c r="CT397" s="626"/>
      <c r="CU397" s="626"/>
      <c r="CV397" s="626"/>
      <c r="CW397" s="646"/>
      <c r="CX397" s="646"/>
      <c r="CY397" s="625"/>
      <c r="CZ397" s="625"/>
      <c r="DA397" s="625"/>
      <c r="DB397" s="625"/>
      <c r="DC397" s="645"/>
      <c r="DD397" s="645"/>
      <c r="DE397" s="645"/>
      <c r="DF397" s="645"/>
      <c r="DG397" s="645"/>
      <c r="DH397" s="645"/>
      <c r="DI397" s="645"/>
      <c r="DJ397" s="645"/>
      <c r="DK397" s="645"/>
      <c r="DL397" s="645"/>
      <c r="DM397" s="645"/>
      <c r="DN397" s="645"/>
      <c r="DO397" s="645"/>
      <c r="DP397" s="645"/>
      <c r="DQ397" s="645"/>
      <c r="DR397" s="645"/>
      <c r="DS397" s="645"/>
      <c r="DT397" s="645"/>
      <c r="DU397" s="645"/>
      <c r="DV397" s="645"/>
      <c r="DW397" s="645"/>
      <c r="DX397" s="645"/>
      <c r="DY397" s="645"/>
      <c r="DZ397" s="645"/>
      <c r="EA397" s="645"/>
      <c r="EB397" s="645"/>
      <c r="EC397" s="645"/>
      <c r="ED397" s="645"/>
      <c r="EE397" s="645"/>
      <c r="EF397" s="645"/>
      <c r="EG397" s="645"/>
      <c r="EH397" s="645"/>
      <c r="EI397" s="645"/>
      <c r="EJ397" s="645"/>
      <c r="EK397" s="645"/>
      <c r="EL397" s="645"/>
      <c r="EM397" s="645"/>
      <c r="EN397" s="645"/>
      <c r="EO397" s="645"/>
      <c r="EP397" s="645"/>
      <c r="EQ397" s="645"/>
      <c r="ER397" s="645"/>
      <c r="ES397" s="645"/>
      <c r="ET397" s="645"/>
      <c r="EU397" s="645"/>
      <c r="EV397" s="645"/>
      <c r="EW397" s="645"/>
      <c r="EX397" s="645"/>
      <c r="EY397" s="645"/>
      <c r="EZ397" s="645"/>
      <c r="FA397" s="645"/>
      <c r="FB397" s="645"/>
      <c r="FC397" s="645"/>
      <c r="FD397" s="645"/>
      <c r="FE397" s="645"/>
      <c r="FF397" s="645"/>
      <c r="FG397" s="645"/>
      <c r="FH397" s="645"/>
      <c r="FI397" s="645"/>
      <c r="FJ397" s="645"/>
      <c r="FK397" s="645"/>
      <c r="FL397" s="645"/>
      <c r="FM397" s="645"/>
      <c r="FN397" s="645"/>
      <c r="FO397" s="645"/>
      <c r="FP397" s="645"/>
      <c r="FQ397" s="645"/>
      <c r="FR397" s="645"/>
      <c r="FS397" s="645"/>
      <c r="FT397" s="645"/>
      <c r="FU397" s="645"/>
      <c r="FV397" s="645"/>
      <c r="FW397" s="645"/>
      <c r="FX397" s="645"/>
      <c r="FY397" s="645"/>
      <c r="FZ397" s="645"/>
      <c r="GA397" s="645"/>
      <c r="GB397" s="645"/>
      <c r="GC397" s="645"/>
      <c r="GD397" s="645"/>
      <c r="GE397" s="645"/>
      <c r="GF397" s="645"/>
      <c r="GG397" s="645"/>
      <c r="GH397" s="645"/>
      <c r="GI397" s="645"/>
      <c r="GJ397" s="645"/>
      <c r="GK397" s="645"/>
      <c r="GL397" s="645"/>
      <c r="GM397" s="645"/>
      <c r="GN397" s="645"/>
      <c r="GO397" s="645"/>
      <c r="GP397" s="645"/>
      <c r="GQ397" s="645"/>
      <c r="GR397" s="645"/>
      <c r="GS397" s="645"/>
      <c r="GT397" s="645"/>
      <c r="GU397" s="645"/>
      <c r="GV397" s="645"/>
      <c r="GW397" s="645"/>
      <c r="GX397" s="645"/>
      <c r="GY397" s="645"/>
      <c r="GZ397" s="645"/>
      <c r="HA397" s="645"/>
      <c r="HB397" s="645"/>
      <c r="HC397" s="645"/>
      <c r="HD397" s="645"/>
      <c r="HE397" s="645"/>
      <c r="HF397" s="645"/>
      <c r="HG397" s="645"/>
      <c r="HH397" s="645"/>
      <c r="HI397" s="645"/>
      <c r="HJ397" s="645"/>
      <c r="HK397" s="645"/>
      <c r="HL397" s="645"/>
      <c r="HM397" s="645"/>
      <c r="HN397" s="645"/>
      <c r="HO397" s="645"/>
      <c r="HP397" s="645"/>
      <c r="HQ397" s="645"/>
      <c r="HR397" s="645">
        <v>0.19700000000000001</v>
      </c>
      <c r="HS397" s="645">
        <f t="shared" si="830"/>
        <v>1322.7142857142858</v>
      </c>
      <c r="HT397" s="645">
        <f t="shared" si="831"/>
        <v>1</v>
      </c>
      <c r="HU397" s="618">
        <f t="shared" si="814"/>
        <v>5.0187235493999429</v>
      </c>
      <c r="HV397" s="618"/>
      <c r="HW397" s="618">
        <f t="shared" si="817"/>
        <v>28.873412559852081</v>
      </c>
      <c r="HX397" s="618">
        <f t="shared" si="815"/>
        <v>4.5207075759779123</v>
      </c>
      <c r="HY397" s="618">
        <f t="shared" si="816"/>
        <v>0.19700000000000001</v>
      </c>
      <c r="HZ397" s="618"/>
      <c r="IA397" s="618"/>
      <c r="IB397" s="618">
        <f t="shared" si="818"/>
        <v>25.000350341399081</v>
      </c>
      <c r="IC397" s="618">
        <f t="shared" si="819"/>
        <v>1E-3</v>
      </c>
      <c r="ID397" s="618"/>
      <c r="IE397" s="618">
        <f t="shared" si="820"/>
        <v>0</v>
      </c>
      <c r="IF397" s="618">
        <f t="shared" si="821"/>
        <v>40.704999999999998</v>
      </c>
      <c r="IG397" s="618"/>
      <c r="IH397" s="618">
        <f t="shared" si="822"/>
        <v>0</v>
      </c>
      <c r="II397" s="618">
        <f t="shared" si="823"/>
        <v>40.704999999999998</v>
      </c>
      <c r="IJ397" s="618"/>
      <c r="IK397" s="618">
        <f t="shared" si="824"/>
        <v>0</v>
      </c>
      <c r="IL397" s="618">
        <f t="shared" si="825"/>
        <v>40.704999999999998</v>
      </c>
      <c r="IM397" s="618"/>
      <c r="IN397" s="618">
        <f t="shared" si="826"/>
        <v>0</v>
      </c>
      <c r="IO397" s="618">
        <f t="shared" si="827"/>
        <v>40.704999999999998</v>
      </c>
      <c r="IP397" s="618"/>
      <c r="IQ397" s="618">
        <f t="shared" si="828"/>
        <v>0</v>
      </c>
      <c r="IR397" s="618">
        <f t="shared" si="829"/>
        <v>40.704999999999998</v>
      </c>
      <c r="IS397" s="645"/>
      <c r="IT397" s="645"/>
      <c r="IU397" s="645"/>
      <c r="IV397" s="645"/>
      <c r="IW397" s="645"/>
      <c r="IX397" s="645"/>
      <c r="IY397" s="645"/>
      <c r="IZ397" s="645"/>
      <c r="JA397" s="645"/>
      <c r="JB397" s="645"/>
      <c r="JC397" s="645"/>
      <c r="JD397" s="645"/>
      <c r="JE397" s="645"/>
      <c r="JF397" s="645"/>
      <c r="JG397" s="645"/>
      <c r="JH397" s="645"/>
      <c r="JI397" s="645"/>
      <c r="JJ397" s="645"/>
      <c r="JK397" s="645"/>
      <c r="JL397" s="645"/>
      <c r="JM397" s="645"/>
      <c r="JN397" s="645"/>
      <c r="JO397" s="645"/>
      <c r="JP397" s="645"/>
      <c r="JQ397" s="645"/>
      <c r="JR397" s="645"/>
      <c r="JS397" s="645"/>
      <c r="JT397" s="645"/>
      <c r="JU397" s="645"/>
      <c r="JV397" s="653"/>
    </row>
    <row r="398" spans="1:282" s="612" customFormat="1">
      <c r="A398" s="611"/>
      <c r="U398" s="613"/>
      <c r="V398" s="613"/>
      <c r="AC398" s="613"/>
      <c r="AD398" s="613"/>
      <c r="AL398" s="613"/>
      <c r="AM398" s="613"/>
      <c r="AT398" s="613"/>
      <c r="AU398" s="613"/>
      <c r="CH398" s="611"/>
      <c r="CI398" s="611"/>
      <c r="CO398" s="695"/>
      <c r="CP398" s="645"/>
      <c r="CQ398" s="618"/>
      <c r="CR398" s="618"/>
      <c r="CS398" s="618"/>
      <c r="CT398" s="626"/>
      <c r="CU398" s="626"/>
      <c r="CV398" s="626"/>
      <c r="CW398" s="646"/>
      <c r="CX398" s="646"/>
      <c r="CY398" s="625"/>
      <c r="CZ398" s="625"/>
      <c r="DA398" s="625"/>
      <c r="DB398" s="625"/>
      <c r="DC398" s="645"/>
      <c r="DD398" s="645"/>
      <c r="DE398" s="645"/>
      <c r="DF398" s="645"/>
      <c r="DG398" s="645"/>
      <c r="DH398" s="645"/>
      <c r="DI398" s="645"/>
      <c r="DJ398" s="645"/>
      <c r="DK398" s="645"/>
      <c r="DL398" s="645"/>
      <c r="DM398" s="645"/>
      <c r="DN398" s="645"/>
      <c r="DO398" s="645"/>
      <c r="DP398" s="645"/>
      <c r="DQ398" s="645"/>
      <c r="DR398" s="645"/>
      <c r="DS398" s="645"/>
      <c r="DT398" s="645"/>
      <c r="DU398" s="645"/>
      <c r="DV398" s="645"/>
      <c r="DW398" s="645"/>
      <c r="DX398" s="645"/>
      <c r="DY398" s="645"/>
      <c r="DZ398" s="645"/>
      <c r="EA398" s="645"/>
      <c r="EB398" s="645"/>
      <c r="EC398" s="645"/>
      <c r="ED398" s="645"/>
      <c r="EE398" s="645"/>
      <c r="EF398" s="645"/>
      <c r="EG398" s="645"/>
      <c r="EH398" s="645"/>
      <c r="EI398" s="645"/>
      <c r="EJ398" s="645"/>
      <c r="EK398" s="645"/>
      <c r="EL398" s="645"/>
      <c r="EM398" s="645"/>
      <c r="EN398" s="645"/>
      <c r="EO398" s="645"/>
      <c r="EP398" s="645"/>
      <c r="EQ398" s="645"/>
      <c r="ER398" s="645"/>
      <c r="ES398" s="645"/>
      <c r="ET398" s="645"/>
      <c r="EU398" s="645"/>
      <c r="EV398" s="645"/>
      <c r="EW398" s="645"/>
      <c r="EX398" s="645"/>
      <c r="EY398" s="645"/>
      <c r="EZ398" s="645"/>
      <c r="FA398" s="645"/>
      <c r="FB398" s="645"/>
      <c r="FC398" s="645"/>
      <c r="FD398" s="645"/>
      <c r="FE398" s="645"/>
      <c r="FF398" s="645"/>
      <c r="FG398" s="645"/>
      <c r="FH398" s="645"/>
      <c r="FI398" s="645"/>
      <c r="FJ398" s="645"/>
      <c r="FK398" s="645"/>
      <c r="FL398" s="645"/>
      <c r="FM398" s="645"/>
      <c r="FN398" s="645"/>
      <c r="FO398" s="645"/>
      <c r="FP398" s="645"/>
      <c r="FQ398" s="645"/>
      <c r="FR398" s="645"/>
      <c r="FS398" s="645"/>
      <c r="FT398" s="645"/>
      <c r="FU398" s="645"/>
      <c r="FV398" s="645"/>
      <c r="FW398" s="645"/>
      <c r="FX398" s="645"/>
      <c r="FY398" s="645"/>
      <c r="FZ398" s="645"/>
      <c r="GA398" s="645"/>
      <c r="GB398" s="645"/>
      <c r="GC398" s="645"/>
      <c r="GD398" s="645"/>
      <c r="GE398" s="645"/>
      <c r="GF398" s="645"/>
      <c r="GG398" s="645"/>
      <c r="GH398" s="645"/>
      <c r="GI398" s="645"/>
      <c r="GJ398" s="645"/>
      <c r="GK398" s="645"/>
      <c r="GL398" s="645"/>
      <c r="GM398" s="645"/>
      <c r="GN398" s="645"/>
      <c r="GO398" s="645"/>
      <c r="GP398" s="645"/>
      <c r="GQ398" s="645"/>
      <c r="GR398" s="645"/>
      <c r="GS398" s="645"/>
      <c r="GT398" s="645"/>
      <c r="GU398" s="645"/>
      <c r="GV398" s="645"/>
      <c r="GW398" s="645"/>
      <c r="GX398" s="645"/>
      <c r="GY398" s="645"/>
      <c r="GZ398" s="645"/>
      <c r="HA398" s="645"/>
      <c r="HB398" s="645"/>
      <c r="HC398" s="645"/>
      <c r="HD398" s="645"/>
      <c r="HE398" s="645"/>
      <c r="HF398" s="645"/>
      <c r="HG398" s="645"/>
      <c r="HH398" s="645"/>
      <c r="HI398" s="645"/>
      <c r="HJ398" s="645"/>
      <c r="HK398" s="645"/>
      <c r="HL398" s="645"/>
      <c r="HM398" s="645"/>
      <c r="HN398" s="645"/>
      <c r="HO398" s="645"/>
      <c r="HP398" s="645"/>
      <c r="HQ398" s="645"/>
      <c r="HR398" s="645">
        <v>0.19750000000000001</v>
      </c>
      <c r="HS398" s="645">
        <f t="shared" si="830"/>
        <v>1326.0714285714287</v>
      </c>
      <c r="HT398" s="645">
        <f t="shared" si="831"/>
        <v>1</v>
      </c>
      <c r="HU398" s="618">
        <f t="shared" si="814"/>
        <v>5.0314625933735675</v>
      </c>
      <c r="HV398" s="618"/>
      <c r="HW398" s="618">
        <f t="shared" si="817"/>
        <v>28.855323117409533</v>
      </c>
      <c r="HX398" s="618">
        <f t="shared" si="815"/>
        <v>4.530918387924185</v>
      </c>
      <c r="HY398" s="618">
        <f t="shared" si="816"/>
        <v>0.19750000000000001</v>
      </c>
      <c r="HZ398" s="618"/>
      <c r="IA398" s="618"/>
      <c r="IB398" s="618">
        <f t="shared" si="818"/>
        <v>25.000350341399081</v>
      </c>
      <c r="IC398" s="618">
        <f t="shared" si="819"/>
        <v>1E-3</v>
      </c>
      <c r="ID398" s="618"/>
      <c r="IE398" s="618">
        <f t="shared" si="820"/>
        <v>0</v>
      </c>
      <c r="IF398" s="618">
        <f t="shared" si="821"/>
        <v>40.704999999999998</v>
      </c>
      <c r="IG398" s="618"/>
      <c r="IH398" s="618">
        <f t="shared" si="822"/>
        <v>0</v>
      </c>
      <c r="II398" s="618">
        <f t="shared" si="823"/>
        <v>40.704999999999998</v>
      </c>
      <c r="IJ398" s="618"/>
      <c r="IK398" s="618">
        <f t="shared" si="824"/>
        <v>0</v>
      </c>
      <c r="IL398" s="618">
        <f t="shared" si="825"/>
        <v>40.704999999999998</v>
      </c>
      <c r="IM398" s="618"/>
      <c r="IN398" s="618">
        <f t="shared" si="826"/>
        <v>0</v>
      </c>
      <c r="IO398" s="618">
        <f t="shared" si="827"/>
        <v>40.704999999999998</v>
      </c>
      <c r="IP398" s="618"/>
      <c r="IQ398" s="618">
        <f t="shared" si="828"/>
        <v>0</v>
      </c>
      <c r="IR398" s="618">
        <f t="shared" si="829"/>
        <v>40.704999999999998</v>
      </c>
      <c r="IS398" s="645"/>
      <c r="IT398" s="645"/>
      <c r="IU398" s="645"/>
      <c r="IV398" s="645"/>
      <c r="IW398" s="645"/>
      <c r="IX398" s="645"/>
      <c r="IY398" s="645"/>
      <c r="IZ398" s="645"/>
      <c r="JA398" s="645"/>
      <c r="JB398" s="645"/>
      <c r="JC398" s="645"/>
      <c r="JD398" s="645"/>
      <c r="JE398" s="645"/>
      <c r="JF398" s="645"/>
      <c r="JG398" s="645"/>
      <c r="JH398" s="645"/>
      <c r="JI398" s="645"/>
      <c r="JJ398" s="645"/>
      <c r="JK398" s="645"/>
      <c r="JL398" s="645"/>
      <c r="JM398" s="645"/>
      <c r="JN398" s="645"/>
      <c r="JO398" s="645"/>
      <c r="JP398" s="645"/>
      <c r="JQ398" s="645"/>
      <c r="JR398" s="645"/>
      <c r="JS398" s="645"/>
      <c r="JT398" s="645"/>
      <c r="JU398" s="645"/>
      <c r="JV398" s="653"/>
    </row>
    <row r="399" spans="1:282" s="612" customFormat="1">
      <c r="A399" s="611"/>
      <c r="U399" s="613"/>
      <c r="V399" s="613"/>
      <c r="AC399" s="613"/>
      <c r="AD399" s="613"/>
      <c r="AL399" s="613"/>
      <c r="AM399" s="613"/>
      <c r="AT399" s="613"/>
      <c r="AU399" s="613"/>
      <c r="CH399" s="611"/>
      <c r="CI399" s="611"/>
      <c r="CO399" s="695"/>
      <c r="CP399" s="645"/>
      <c r="CQ399" s="618"/>
      <c r="CR399" s="618"/>
      <c r="CS399" s="618"/>
      <c r="CT399" s="626"/>
      <c r="CU399" s="626"/>
      <c r="CV399" s="626"/>
      <c r="CW399" s="646"/>
      <c r="CX399" s="646"/>
      <c r="CY399" s="625"/>
      <c r="CZ399" s="625"/>
      <c r="DA399" s="625"/>
      <c r="DB399" s="625"/>
      <c r="DC399" s="645"/>
      <c r="DD399" s="645"/>
      <c r="DE399" s="645"/>
      <c r="DF399" s="645"/>
      <c r="DG399" s="645"/>
      <c r="DH399" s="645"/>
      <c r="DI399" s="645"/>
      <c r="DJ399" s="645"/>
      <c r="DK399" s="645"/>
      <c r="DL399" s="645"/>
      <c r="DM399" s="645"/>
      <c r="DN399" s="645"/>
      <c r="DO399" s="645"/>
      <c r="DP399" s="645"/>
      <c r="DQ399" s="645"/>
      <c r="DR399" s="645"/>
      <c r="DS399" s="645"/>
      <c r="DT399" s="645"/>
      <c r="DU399" s="645"/>
      <c r="DV399" s="645"/>
      <c r="DW399" s="645"/>
      <c r="DX399" s="645"/>
      <c r="DY399" s="645"/>
      <c r="DZ399" s="645"/>
      <c r="EA399" s="645"/>
      <c r="EB399" s="645"/>
      <c r="EC399" s="645"/>
      <c r="ED399" s="645"/>
      <c r="EE399" s="645"/>
      <c r="EF399" s="645"/>
      <c r="EG399" s="645"/>
      <c r="EH399" s="645"/>
      <c r="EI399" s="645"/>
      <c r="EJ399" s="645"/>
      <c r="EK399" s="645"/>
      <c r="EL399" s="645"/>
      <c r="EM399" s="645"/>
      <c r="EN399" s="645"/>
      <c r="EO399" s="645"/>
      <c r="EP399" s="645"/>
      <c r="EQ399" s="645"/>
      <c r="ER399" s="645"/>
      <c r="ES399" s="645"/>
      <c r="ET399" s="645"/>
      <c r="EU399" s="645"/>
      <c r="EV399" s="645"/>
      <c r="EW399" s="645"/>
      <c r="EX399" s="645"/>
      <c r="EY399" s="645"/>
      <c r="EZ399" s="645"/>
      <c r="FA399" s="645"/>
      <c r="FB399" s="645"/>
      <c r="FC399" s="645"/>
      <c r="FD399" s="645"/>
      <c r="FE399" s="645"/>
      <c r="FF399" s="645"/>
      <c r="FG399" s="645"/>
      <c r="FH399" s="645"/>
      <c r="FI399" s="645"/>
      <c r="FJ399" s="645"/>
      <c r="FK399" s="645"/>
      <c r="FL399" s="645"/>
      <c r="FM399" s="645"/>
      <c r="FN399" s="645"/>
      <c r="FO399" s="645"/>
      <c r="FP399" s="645"/>
      <c r="FQ399" s="645"/>
      <c r="FR399" s="645"/>
      <c r="FS399" s="645"/>
      <c r="FT399" s="645"/>
      <c r="FU399" s="645"/>
      <c r="FV399" s="645"/>
      <c r="FW399" s="645"/>
      <c r="FX399" s="645"/>
      <c r="FY399" s="645"/>
      <c r="FZ399" s="645"/>
      <c r="GA399" s="645"/>
      <c r="GB399" s="645"/>
      <c r="GC399" s="645"/>
      <c r="GD399" s="645"/>
      <c r="GE399" s="645"/>
      <c r="GF399" s="645"/>
      <c r="GG399" s="645"/>
      <c r="GH399" s="645"/>
      <c r="GI399" s="645"/>
      <c r="GJ399" s="645"/>
      <c r="GK399" s="645"/>
      <c r="GL399" s="645"/>
      <c r="GM399" s="645"/>
      <c r="GN399" s="645"/>
      <c r="GO399" s="645"/>
      <c r="GP399" s="645"/>
      <c r="GQ399" s="645"/>
      <c r="GR399" s="645"/>
      <c r="GS399" s="645"/>
      <c r="GT399" s="645"/>
      <c r="GU399" s="645"/>
      <c r="GV399" s="645"/>
      <c r="GW399" s="645"/>
      <c r="GX399" s="645"/>
      <c r="GY399" s="645"/>
      <c r="GZ399" s="645"/>
      <c r="HA399" s="645"/>
      <c r="HB399" s="645"/>
      <c r="HC399" s="645"/>
      <c r="HD399" s="645"/>
      <c r="HE399" s="645"/>
      <c r="HF399" s="645"/>
      <c r="HG399" s="645"/>
      <c r="HH399" s="645"/>
      <c r="HI399" s="645"/>
      <c r="HJ399" s="645"/>
      <c r="HK399" s="645"/>
      <c r="HL399" s="645"/>
      <c r="HM399" s="645"/>
      <c r="HN399" s="645"/>
      <c r="HO399" s="645"/>
      <c r="HP399" s="645"/>
      <c r="HQ399" s="645"/>
      <c r="HR399" s="645">
        <v>0.19800000000000001</v>
      </c>
      <c r="HS399" s="645">
        <f t="shared" si="830"/>
        <v>1329.4285714285716</v>
      </c>
      <c r="HT399" s="645">
        <f t="shared" si="831"/>
        <v>1</v>
      </c>
      <c r="HU399" s="618">
        <f t="shared" si="814"/>
        <v>5.0442016373471921</v>
      </c>
      <c r="HV399" s="618"/>
      <c r="HW399" s="618">
        <f t="shared" si="817"/>
        <v>28.837233674966988</v>
      </c>
      <c r="HX399" s="618">
        <f t="shared" si="815"/>
        <v>4.5411227986981597</v>
      </c>
      <c r="HY399" s="618">
        <f t="shared" si="816"/>
        <v>0.19800000000000001</v>
      </c>
      <c r="HZ399" s="618"/>
      <c r="IA399" s="618"/>
      <c r="IB399" s="618">
        <f t="shared" si="818"/>
        <v>25.000350341399081</v>
      </c>
      <c r="IC399" s="618">
        <f t="shared" si="819"/>
        <v>1E-3</v>
      </c>
      <c r="ID399" s="618"/>
      <c r="IE399" s="618">
        <f t="shared" si="820"/>
        <v>0</v>
      </c>
      <c r="IF399" s="618">
        <f t="shared" si="821"/>
        <v>40.704999999999998</v>
      </c>
      <c r="IG399" s="618"/>
      <c r="IH399" s="618">
        <f t="shared" si="822"/>
        <v>0</v>
      </c>
      <c r="II399" s="618">
        <f t="shared" si="823"/>
        <v>40.704999999999998</v>
      </c>
      <c r="IJ399" s="618"/>
      <c r="IK399" s="618">
        <f t="shared" si="824"/>
        <v>0</v>
      </c>
      <c r="IL399" s="618">
        <f t="shared" si="825"/>
        <v>40.704999999999998</v>
      </c>
      <c r="IM399" s="618"/>
      <c r="IN399" s="618">
        <f t="shared" si="826"/>
        <v>0</v>
      </c>
      <c r="IO399" s="618">
        <f t="shared" si="827"/>
        <v>40.704999999999998</v>
      </c>
      <c r="IP399" s="618"/>
      <c r="IQ399" s="618">
        <f t="shared" si="828"/>
        <v>0</v>
      </c>
      <c r="IR399" s="618">
        <f t="shared" si="829"/>
        <v>40.704999999999998</v>
      </c>
      <c r="IS399" s="645"/>
      <c r="IT399" s="645"/>
      <c r="IU399" s="645"/>
      <c r="IV399" s="645"/>
      <c r="IW399" s="645"/>
      <c r="IX399" s="645"/>
      <c r="IY399" s="645"/>
      <c r="IZ399" s="645"/>
      <c r="JA399" s="645"/>
      <c r="JB399" s="645"/>
      <c r="JC399" s="645"/>
      <c r="JD399" s="645"/>
      <c r="JE399" s="645"/>
      <c r="JF399" s="645"/>
      <c r="JG399" s="645"/>
      <c r="JH399" s="645"/>
      <c r="JI399" s="645"/>
      <c r="JJ399" s="645"/>
      <c r="JK399" s="645"/>
      <c r="JL399" s="645"/>
      <c r="JM399" s="645"/>
      <c r="JN399" s="645"/>
      <c r="JO399" s="645"/>
      <c r="JP399" s="645"/>
      <c r="JQ399" s="645"/>
      <c r="JR399" s="645"/>
      <c r="JS399" s="645"/>
      <c r="JT399" s="645"/>
      <c r="JU399" s="645"/>
      <c r="JV399" s="653"/>
    </row>
    <row r="400" spans="1:282" s="612" customFormat="1">
      <c r="A400" s="611"/>
      <c r="U400" s="613"/>
      <c r="V400" s="613"/>
      <c r="AC400" s="613"/>
      <c r="AD400" s="613"/>
      <c r="AL400" s="613"/>
      <c r="AM400" s="613"/>
      <c r="AT400" s="613"/>
      <c r="AU400" s="613"/>
      <c r="CH400" s="611"/>
      <c r="CI400" s="611"/>
      <c r="CO400" s="695"/>
      <c r="CP400" s="645"/>
      <c r="CQ400" s="618"/>
      <c r="CR400" s="618"/>
      <c r="CS400" s="618"/>
      <c r="CT400" s="626"/>
      <c r="CU400" s="626"/>
      <c r="CV400" s="626"/>
      <c r="CW400" s="646"/>
      <c r="CX400" s="646"/>
      <c r="CY400" s="625"/>
      <c r="CZ400" s="625"/>
      <c r="DA400" s="625"/>
      <c r="DB400" s="625"/>
      <c r="DC400" s="645"/>
      <c r="DD400" s="645"/>
      <c r="DE400" s="645"/>
      <c r="DF400" s="645"/>
      <c r="DG400" s="645"/>
      <c r="DH400" s="645"/>
      <c r="DI400" s="645"/>
      <c r="DJ400" s="645"/>
      <c r="DK400" s="645"/>
      <c r="DL400" s="645"/>
      <c r="DM400" s="645"/>
      <c r="DN400" s="645"/>
      <c r="DO400" s="645"/>
      <c r="DP400" s="645"/>
      <c r="DQ400" s="645"/>
      <c r="DR400" s="645"/>
      <c r="DS400" s="645"/>
      <c r="DT400" s="645"/>
      <c r="DU400" s="645"/>
      <c r="DV400" s="645"/>
      <c r="DW400" s="645"/>
      <c r="DX400" s="645"/>
      <c r="DY400" s="645"/>
      <c r="DZ400" s="645"/>
      <c r="EA400" s="645"/>
      <c r="EB400" s="645"/>
      <c r="EC400" s="645"/>
      <c r="ED400" s="645"/>
      <c r="EE400" s="645"/>
      <c r="EF400" s="645"/>
      <c r="EG400" s="645"/>
      <c r="EH400" s="645"/>
      <c r="EI400" s="645"/>
      <c r="EJ400" s="645"/>
      <c r="EK400" s="645"/>
      <c r="EL400" s="645"/>
      <c r="EM400" s="645"/>
      <c r="EN400" s="645"/>
      <c r="EO400" s="645"/>
      <c r="EP400" s="645"/>
      <c r="EQ400" s="645"/>
      <c r="ER400" s="645"/>
      <c r="ES400" s="645"/>
      <c r="ET400" s="645"/>
      <c r="EU400" s="645"/>
      <c r="EV400" s="645"/>
      <c r="EW400" s="645"/>
      <c r="EX400" s="645"/>
      <c r="EY400" s="645"/>
      <c r="EZ400" s="645"/>
      <c r="FA400" s="645"/>
      <c r="FB400" s="645"/>
      <c r="FC400" s="645"/>
      <c r="FD400" s="645"/>
      <c r="FE400" s="645"/>
      <c r="FF400" s="645"/>
      <c r="FG400" s="645"/>
      <c r="FH400" s="645"/>
      <c r="FI400" s="645"/>
      <c r="FJ400" s="645"/>
      <c r="FK400" s="645"/>
      <c r="FL400" s="645"/>
      <c r="FM400" s="645"/>
      <c r="FN400" s="645"/>
      <c r="FO400" s="645"/>
      <c r="FP400" s="645"/>
      <c r="FQ400" s="645"/>
      <c r="FR400" s="645"/>
      <c r="FS400" s="645"/>
      <c r="FT400" s="645"/>
      <c r="FU400" s="645"/>
      <c r="FV400" s="645"/>
      <c r="FW400" s="645"/>
      <c r="FX400" s="645"/>
      <c r="FY400" s="645"/>
      <c r="FZ400" s="645"/>
      <c r="GA400" s="645"/>
      <c r="GB400" s="645"/>
      <c r="GC400" s="645"/>
      <c r="GD400" s="645"/>
      <c r="GE400" s="645"/>
      <c r="GF400" s="645"/>
      <c r="GG400" s="645"/>
      <c r="GH400" s="645"/>
      <c r="GI400" s="645"/>
      <c r="GJ400" s="645"/>
      <c r="GK400" s="645"/>
      <c r="GL400" s="645"/>
      <c r="GM400" s="645"/>
      <c r="GN400" s="645"/>
      <c r="GO400" s="645"/>
      <c r="GP400" s="645"/>
      <c r="GQ400" s="645"/>
      <c r="GR400" s="645"/>
      <c r="GS400" s="645"/>
      <c r="GT400" s="645"/>
      <c r="GU400" s="645"/>
      <c r="GV400" s="645"/>
      <c r="GW400" s="645"/>
      <c r="GX400" s="645"/>
      <c r="GY400" s="645"/>
      <c r="GZ400" s="645"/>
      <c r="HA400" s="645"/>
      <c r="HB400" s="645"/>
      <c r="HC400" s="645"/>
      <c r="HD400" s="645"/>
      <c r="HE400" s="645"/>
      <c r="HF400" s="645"/>
      <c r="HG400" s="645"/>
      <c r="HH400" s="645"/>
      <c r="HI400" s="645"/>
      <c r="HJ400" s="645"/>
      <c r="HK400" s="645"/>
      <c r="HL400" s="645"/>
      <c r="HM400" s="645"/>
      <c r="HN400" s="645"/>
      <c r="HO400" s="645"/>
      <c r="HP400" s="645"/>
      <c r="HQ400" s="645"/>
      <c r="HR400" s="645">
        <v>0.19850000000000001</v>
      </c>
      <c r="HS400" s="645">
        <f t="shared" si="830"/>
        <v>1332.7857142857144</v>
      </c>
      <c r="HT400" s="645">
        <f t="shared" si="831"/>
        <v>1</v>
      </c>
      <c r="HU400" s="618">
        <f t="shared" si="814"/>
        <v>5.0569406813208166</v>
      </c>
      <c r="HV400" s="618"/>
      <c r="HW400" s="618">
        <f t="shared" si="817"/>
        <v>28.81914423252444</v>
      </c>
      <c r="HX400" s="618">
        <f t="shared" si="815"/>
        <v>4.5513208082998364</v>
      </c>
      <c r="HY400" s="618">
        <f t="shared" si="816"/>
        <v>0.19850000000000001</v>
      </c>
      <c r="HZ400" s="618"/>
      <c r="IA400" s="618"/>
      <c r="IB400" s="618">
        <f t="shared" si="818"/>
        <v>25.000350341399081</v>
      </c>
      <c r="IC400" s="618">
        <f t="shared" si="819"/>
        <v>1E-3</v>
      </c>
      <c r="ID400" s="618"/>
      <c r="IE400" s="618">
        <f t="shared" si="820"/>
        <v>0</v>
      </c>
      <c r="IF400" s="618">
        <f t="shared" si="821"/>
        <v>40.704999999999998</v>
      </c>
      <c r="IG400" s="618"/>
      <c r="IH400" s="618">
        <f t="shared" si="822"/>
        <v>0</v>
      </c>
      <c r="II400" s="618">
        <f t="shared" si="823"/>
        <v>40.704999999999998</v>
      </c>
      <c r="IJ400" s="618"/>
      <c r="IK400" s="618">
        <f t="shared" si="824"/>
        <v>0</v>
      </c>
      <c r="IL400" s="618">
        <f t="shared" si="825"/>
        <v>40.704999999999998</v>
      </c>
      <c r="IM400" s="618"/>
      <c r="IN400" s="618">
        <f t="shared" si="826"/>
        <v>0</v>
      </c>
      <c r="IO400" s="618">
        <f t="shared" si="827"/>
        <v>40.704999999999998</v>
      </c>
      <c r="IP400" s="618"/>
      <c r="IQ400" s="618">
        <f t="shared" si="828"/>
        <v>0</v>
      </c>
      <c r="IR400" s="618">
        <f t="shared" si="829"/>
        <v>40.704999999999998</v>
      </c>
      <c r="IS400" s="645"/>
      <c r="IT400" s="645"/>
      <c r="IU400" s="645"/>
      <c r="IV400" s="645"/>
      <c r="IW400" s="645"/>
      <c r="IX400" s="645"/>
      <c r="IY400" s="645"/>
      <c r="IZ400" s="645"/>
      <c r="JA400" s="645"/>
      <c r="JB400" s="645"/>
      <c r="JC400" s="645"/>
      <c r="JD400" s="645"/>
      <c r="JE400" s="645"/>
      <c r="JF400" s="645"/>
      <c r="JG400" s="645"/>
      <c r="JH400" s="645"/>
      <c r="JI400" s="645"/>
      <c r="JJ400" s="645"/>
      <c r="JK400" s="645"/>
      <c r="JL400" s="645"/>
      <c r="JM400" s="645"/>
      <c r="JN400" s="645"/>
      <c r="JO400" s="645"/>
      <c r="JP400" s="645"/>
      <c r="JQ400" s="645"/>
      <c r="JR400" s="645"/>
      <c r="JS400" s="645"/>
      <c r="JT400" s="645"/>
      <c r="JU400" s="645"/>
      <c r="JV400" s="653"/>
    </row>
    <row r="401" spans="1:282" s="612" customFormat="1">
      <c r="A401" s="611"/>
      <c r="U401" s="613"/>
      <c r="V401" s="613"/>
      <c r="AC401" s="613"/>
      <c r="AD401" s="613"/>
      <c r="AL401" s="613"/>
      <c r="AM401" s="613"/>
      <c r="AT401" s="613"/>
      <c r="AU401" s="613"/>
      <c r="CH401" s="611"/>
      <c r="CI401" s="611"/>
      <c r="CO401" s="695"/>
      <c r="CP401" s="645"/>
      <c r="CQ401" s="618"/>
      <c r="CR401" s="618"/>
      <c r="CS401" s="618"/>
      <c r="CT401" s="626"/>
      <c r="CU401" s="626"/>
      <c r="CV401" s="626"/>
      <c r="CW401" s="646"/>
      <c r="CX401" s="646"/>
      <c r="CY401" s="625"/>
      <c r="CZ401" s="625"/>
      <c r="DA401" s="625"/>
      <c r="DB401" s="625"/>
      <c r="DC401" s="645"/>
      <c r="DD401" s="645"/>
      <c r="DE401" s="645"/>
      <c r="DF401" s="645"/>
      <c r="DG401" s="645"/>
      <c r="DH401" s="645"/>
      <c r="DI401" s="645"/>
      <c r="DJ401" s="645"/>
      <c r="DK401" s="645"/>
      <c r="DL401" s="645"/>
      <c r="DM401" s="645"/>
      <c r="DN401" s="645"/>
      <c r="DO401" s="645"/>
      <c r="DP401" s="645"/>
      <c r="DQ401" s="645"/>
      <c r="DR401" s="645"/>
      <c r="DS401" s="645"/>
      <c r="DT401" s="645"/>
      <c r="DU401" s="645"/>
      <c r="DV401" s="645"/>
      <c r="DW401" s="645"/>
      <c r="DX401" s="645"/>
      <c r="DY401" s="645"/>
      <c r="DZ401" s="645"/>
      <c r="EA401" s="645"/>
      <c r="EB401" s="645"/>
      <c r="EC401" s="645"/>
      <c r="ED401" s="645"/>
      <c r="EE401" s="645"/>
      <c r="EF401" s="645"/>
      <c r="EG401" s="645"/>
      <c r="EH401" s="645"/>
      <c r="EI401" s="645"/>
      <c r="EJ401" s="645"/>
      <c r="EK401" s="645"/>
      <c r="EL401" s="645"/>
      <c r="EM401" s="645"/>
      <c r="EN401" s="645"/>
      <c r="EO401" s="645"/>
      <c r="EP401" s="645"/>
      <c r="EQ401" s="645"/>
      <c r="ER401" s="645"/>
      <c r="ES401" s="645"/>
      <c r="ET401" s="645"/>
      <c r="EU401" s="645"/>
      <c r="EV401" s="645"/>
      <c r="EW401" s="645"/>
      <c r="EX401" s="645"/>
      <c r="EY401" s="645"/>
      <c r="EZ401" s="645"/>
      <c r="FA401" s="645"/>
      <c r="FB401" s="645"/>
      <c r="FC401" s="645"/>
      <c r="FD401" s="645"/>
      <c r="FE401" s="645"/>
      <c r="FF401" s="645"/>
      <c r="FG401" s="645"/>
      <c r="FH401" s="645"/>
      <c r="FI401" s="645"/>
      <c r="FJ401" s="645"/>
      <c r="FK401" s="645"/>
      <c r="FL401" s="645"/>
      <c r="FM401" s="645"/>
      <c r="FN401" s="645"/>
      <c r="FO401" s="645"/>
      <c r="FP401" s="645"/>
      <c r="FQ401" s="645"/>
      <c r="FR401" s="645"/>
      <c r="FS401" s="645"/>
      <c r="FT401" s="645"/>
      <c r="FU401" s="645"/>
      <c r="FV401" s="645"/>
      <c r="FW401" s="645"/>
      <c r="FX401" s="645"/>
      <c r="FY401" s="645"/>
      <c r="FZ401" s="645"/>
      <c r="GA401" s="645"/>
      <c r="GB401" s="645"/>
      <c r="GC401" s="645"/>
      <c r="GD401" s="645"/>
      <c r="GE401" s="645"/>
      <c r="GF401" s="645"/>
      <c r="GG401" s="645"/>
      <c r="GH401" s="645"/>
      <c r="GI401" s="645"/>
      <c r="GJ401" s="645"/>
      <c r="GK401" s="645"/>
      <c r="GL401" s="645"/>
      <c r="GM401" s="645"/>
      <c r="GN401" s="645"/>
      <c r="GO401" s="645"/>
      <c r="GP401" s="645"/>
      <c r="GQ401" s="645"/>
      <c r="GR401" s="645"/>
      <c r="GS401" s="645"/>
      <c r="GT401" s="645"/>
      <c r="GU401" s="645"/>
      <c r="GV401" s="645"/>
      <c r="GW401" s="645"/>
      <c r="GX401" s="645"/>
      <c r="GY401" s="645"/>
      <c r="GZ401" s="645"/>
      <c r="HA401" s="645"/>
      <c r="HB401" s="645"/>
      <c r="HC401" s="645"/>
      <c r="HD401" s="645"/>
      <c r="HE401" s="645"/>
      <c r="HF401" s="645"/>
      <c r="HG401" s="645"/>
      <c r="HH401" s="645"/>
      <c r="HI401" s="645"/>
      <c r="HJ401" s="645"/>
      <c r="HK401" s="645"/>
      <c r="HL401" s="645"/>
      <c r="HM401" s="645"/>
      <c r="HN401" s="645"/>
      <c r="HO401" s="645"/>
      <c r="HP401" s="645"/>
      <c r="HQ401" s="645"/>
      <c r="HR401" s="645">
        <v>0.19900000000000001</v>
      </c>
      <c r="HS401" s="645">
        <f t="shared" si="830"/>
        <v>1336.1428571428571</v>
      </c>
      <c r="HT401" s="645">
        <f t="shared" si="831"/>
        <v>1</v>
      </c>
      <c r="HU401" s="618">
        <f t="shared" si="814"/>
        <v>5.0696797252944412</v>
      </c>
      <c r="HV401" s="618"/>
      <c r="HW401" s="618">
        <f t="shared" si="817"/>
        <v>28.801054790081892</v>
      </c>
      <c r="HX401" s="618">
        <f t="shared" si="815"/>
        <v>4.5615124167292151</v>
      </c>
      <c r="HY401" s="618">
        <f t="shared" si="816"/>
        <v>0.19900000000000001</v>
      </c>
      <c r="HZ401" s="618"/>
      <c r="IA401" s="618"/>
      <c r="IB401" s="618">
        <f t="shared" si="818"/>
        <v>25.000350341399081</v>
      </c>
      <c r="IC401" s="618">
        <f t="shared" si="819"/>
        <v>1E-3</v>
      </c>
      <c r="ID401" s="618"/>
      <c r="IE401" s="618">
        <f t="shared" si="820"/>
        <v>0</v>
      </c>
      <c r="IF401" s="618">
        <f t="shared" si="821"/>
        <v>40.704999999999998</v>
      </c>
      <c r="IG401" s="618"/>
      <c r="IH401" s="618">
        <f t="shared" si="822"/>
        <v>0</v>
      </c>
      <c r="II401" s="618">
        <f t="shared" si="823"/>
        <v>40.704999999999998</v>
      </c>
      <c r="IJ401" s="618"/>
      <c r="IK401" s="618">
        <f t="shared" si="824"/>
        <v>0</v>
      </c>
      <c r="IL401" s="618">
        <f t="shared" si="825"/>
        <v>40.704999999999998</v>
      </c>
      <c r="IM401" s="618"/>
      <c r="IN401" s="618">
        <f t="shared" si="826"/>
        <v>0</v>
      </c>
      <c r="IO401" s="618">
        <f t="shared" si="827"/>
        <v>40.704999999999998</v>
      </c>
      <c r="IP401" s="618"/>
      <c r="IQ401" s="618">
        <f t="shared" si="828"/>
        <v>0</v>
      </c>
      <c r="IR401" s="618">
        <f t="shared" si="829"/>
        <v>40.704999999999998</v>
      </c>
      <c r="IS401" s="645"/>
      <c r="IT401" s="645"/>
      <c r="IU401" s="645"/>
      <c r="IV401" s="645"/>
      <c r="IW401" s="645"/>
      <c r="IX401" s="645"/>
      <c r="IY401" s="645"/>
      <c r="IZ401" s="645"/>
      <c r="JA401" s="645"/>
      <c r="JB401" s="645"/>
      <c r="JC401" s="645"/>
      <c r="JD401" s="645"/>
      <c r="JE401" s="645"/>
      <c r="JF401" s="645"/>
      <c r="JG401" s="645"/>
      <c r="JH401" s="645"/>
      <c r="JI401" s="645"/>
      <c r="JJ401" s="645"/>
      <c r="JK401" s="645"/>
      <c r="JL401" s="645"/>
      <c r="JM401" s="645"/>
      <c r="JN401" s="645"/>
      <c r="JO401" s="645"/>
      <c r="JP401" s="645"/>
      <c r="JQ401" s="645"/>
      <c r="JR401" s="645"/>
      <c r="JS401" s="645"/>
      <c r="JT401" s="645"/>
      <c r="JU401" s="645"/>
      <c r="JV401" s="653"/>
    </row>
    <row r="402" spans="1:282" s="612" customFormat="1">
      <c r="A402" s="611"/>
      <c r="U402" s="613"/>
      <c r="V402" s="613"/>
      <c r="AC402" s="613"/>
      <c r="AD402" s="613"/>
      <c r="AL402" s="613"/>
      <c r="AM402" s="613"/>
      <c r="AT402" s="613"/>
      <c r="AU402" s="613"/>
      <c r="CH402" s="611"/>
      <c r="CI402" s="611"/>
      <c r="CO402" s="695"/>
      <c r="CP402" s="645"/>
      <c r="CQ402" s="618"/>
      <c r="CR402" s="618"/>
      <c r="CS402" s="618"/>
      <c r="CT402" s="626"/>
      <c r="CU402" s="626"/>
      <c r="CV402" s="626"/>
      <c r="CW402" s="646"/>
      <c r="CX402" s="646"/>
      <c r="CY402" s="625"/>
      <c r="CZ402" s="625"/>
      <c r="DA402" s="625"/>
      <c r="DB402" s="625"/>
      <c r="DC402" s="645"/>
      <c r="DD402" s="645"/>
      <c r="DE402" s="645"/>
      <c r="DF402" s="645"/>
      <c r="DG402" s="645"/>
      <c r="DH402" s="645"/>
      <c r="DI402" s="645"/>
      <c r="DJ402" s="645"/>
      <c r="DK402" s="645"/>
      <c r="DL402" s="645"/>
      <c r="DM402" s="645"/>
      <c r="DN402" s="645"/>
      <c r="DO402" s="645"/>
      <c r="DP402" s="645"/>
      <c r="DQ402" s="645"/>
      <c r="DR402" s="645"/>
      <c r="DS402" s="645"/>
      <c r="DT402" s="645"/>
      <c r="DU402" s="645"/>
      <c r="DV402" s="645"/>
      <c r="DW402" s="645"/>
      <c r="DX402" s="645"/>
      <c r="DY402" s="645"/>
      <c r="DZ402" s="645"/>
      <c r="EA402" s="645"/>
      <c r="EB402" s="645"/>
      <c r="EC402" s="645"/>
      <c r="ED402" s="645"/>
      <c r="EE402" s="645"/>
      <c r="EF402" s="645"/>
      <c r="EG402" s="645"/>
      <c r="EH402" s="645"/>
      <c r="EI402" s="645"/>
      <c r="EJ402" s="645"/>
      <c r="EK402" s="645"/>
      <c r="EL402" s="645"/>
      <c r="EM402" s="645"/>
      <c r="EN402" s="645"/>
      <c r="EO402" s="645"/>
      <c r="EP402" s="645"/>
      <c r="EQ402" s="645"/>
      <c r="ER402" s="645"/>
      <c r="ES402" s="645"/>
      <c r="ET402" s="645"/>
      <c r="EU402" s="645"/>
      <c r="EV402" s="645"/>
      <c r="EW402" s="645"/>
      <c r="EX402" s="645"/>
      <c r="EY402" s="645"/>
      <c r="EZ402" s="645"/>
      <c r="FA402" s="645"/>
      <c r="FB402" s="645"/>
      <c r="FC402" s="645"/>
      <c r="FD402" s="645"/>
      <c r="FE402" s="645"/>
      <c r="FF402" s="645"/>
      <c r="FG402" s="645"/>
      <c r="FH402" s="645"/>
      <c r="FI402" s="645"/>
      <c r="FJ402" s="645"/>
      <c r="FK402" s="645"/>
      <c r="FL402" s="645"/>
      <c r="FM402" s="645"/>
      <c r="FN402" s="645"/>
      <c r="FO402" s="645"/>
      <c r="FP402" s="645"/>
      <c r="FQ402" s="645"/>
      <c r="FR402" s="645"/>
      <c r="FS402" s="645"/>
      <c r="FT402" s="645"/>
      <c r="FU402" s="645"/>
      <c r="FV402" s="645"/>
      <c r="FW402" s="645"/>
      <c r="FX402" s="645"/>
      <c r="FY402" s="645"/>
      <c r="FZ402" s="645"/>
      <c r="GA402" s="645"/>
      <c r="GB402" s="645"/>
      <c r="GC402" s="645"/>
      <c r="GD402" s="645"/>
      <c r="GE402" s="645"/>
      <c r="GF402" s="645"/>
      <c r="GG402" s="645"/>
      <c r="GH402" s="645"/>
      <c r="GI402" s="645"/>
      <c r="GJ402" s="645"/>
      <c r="GK402" s="645"/>
      <c r="GL402" s="645"/>
      <c r="GM402" s="645"/>
      <c r="GN402" s="645"/>
      <c r="GO402" s="645"/>
      <c r="GP402" s="645"/>
      <c r="GQ402" s="645"/>
      <c r="GR402" s="645"/>
      <c r="GS402" s="645"/>
      <c r="GT402" s="645"/>
      <c r="GU402" s="645"/>
      <c r="GV402" s="645"/>
      <c r="GW402" s="645"/>
      <c r="GX402" s="645"/>
      <c r="GY402" s="645"/>
      <c r="GZ402" s="645"/>
      <c r="HA402" s="645"/>
      <c r="HB402" s="645"/>
      <c r="HC402" s="645"/>
      <c r="HD402" s="645"/>
      <c r="HE402" s="645"/>
      <c r="HF402" s="645"/>
      <c r="HG402" s="645"/>
      <c r="HH402" s="645"/>
      <c r="HI402" s="645"/>
      <c r="HJ402" s="645"/>
      <c r="HK402" s="645"/>
      <c r="HL402" s="645"/>
      <c r="HM402" s="645"/>
      <c r="HN402" s="645"/>
      <c r="HO402" s="645"/>
      <c r="HP402" s="645"/>
      <c r="HQ402" s="645"/>
      <c r="HR402" s="645">
        <v>0.19950000000000001</v>
      </c>
      <c r="HS402" s="645">
        <f t="shared" si="830"/>
        <v>1339.5</v>
      </c>
      <c r="HT402" s="645">
        <f t="shared" si="831"/>
        <v>1</v>
      </c>
      <c r="HU402" s="618">
        <f t="shared" si="814"/>
        <v>5.0824187692680658</v>
      </c>
      <c r="HV402" s="618"/>
      <c r="HW402" s="618">
        <f t="shared" si="817"/>
        <v>28.782965347639347</v>
      </c>
      <c r="HX402" s="618">
        <f t="shared" si="815"/>
        <v>4.5716976239862959</v>
      </c>
      <c r="HY402" s="618">
        <f t="shared" si="816"/>
        <v>0.19950000000000001</v>
      </c>
      <c r="HZ402" s="618"/>
      <c r="IA402" s="618"/>
      <c r="IB402" s="618">
        <f t="shared" si="818"/>
        <v>25.000350341399081</v>
      </c>
      <c r="IC402" s="618">
        <f t="shared" si="819"/>
        <v>1E-3</v>
      </c>
      <c r="ID402" s="618"/>
      <c r="IE402" s="618">
        <f t="shared" si="820"/>
        <v>0</v>
      </c>
      <c r="IF402" s="618">
        <f t="shared" si="821"/>
        <v>40.704999999999998</v>
      </c>
      <c r="IG402" s="618"/>
      <c r="IH402" s="618">
        <f t="shared" si="822"/>
        <v>0</v>
      </c>
      <c r="II402" s="618">
        <f t="shared" si="823"/>
        <v>40.704999999999998</v>
      </c>
      <c r="IJ402" s="618"/>
      <c r="IK402" s="618">
        <f t="shared" si="824"/>
        <v>0</v>
      </c>
      <c r="IL402" s="618">
        <f t="shared" si="825"/>
        <v>40.704999999999998</v>
      </c>
      <c r="IM402" s="618"/>
      <c r="IN402" s="618">
        <f t="shared" si="826"/>
        <v>0</v>
      </c>
      <c r="IO402" s="618">
        <f t="shared" si="827"/>
        <v>40.704999999999998</v>
      </c>
      <c r="IP402" s="618"/>
      <c r="IQ402" s="618">
        <f t="shared" si="828"/>
        <v>0</v>
      </c>
      <c r="IR402" s="618">
        <f t="shared" si="829"/>
        <v>40.704999999999998</v>
      </c>
      <c r="IS402" s="645"/>
      <c r="IT402" s="645"/>
      <c r="IU402" s="645"/>
      <c r="IV402" s="645"/>
      <c r="IW402" s="645"/>
      <c r="IX402" s="645"/>
      <c r="IY402" s="645"/>
      <c r="IZ402" s="645"/>
      <c r="JA402" s="645"/>
      <c r="JB402" s="645"/>
      <c r="JC402" s="645"/>
      <c r="JD402" s="645"/>
      <c r="JE402" s="645"/>
      <c r="JF402" s="645"/>
      <c r="JG402" s="645"/>
      <c r="JH402" s="645"/>
      <c r="JI402" s="645"/>
      <c r="JJ402" s="645"/>
      <c r="JK402" s="645"/>
      <c r="JL402" s="645"/>
      <c r="JM402" s="645"/>
      <c r="JN402" s="645"/>
      <c r="JO402" s="645"/>
      <c r="JP402" s="645"/>
      <c r="JQ402" s="645"/>
      <c r="JR402" s="645"/>
      <c r="JS402" s="645"/>
      <c r="JT402" s="645"/>
      <c r="JU402" s="645"/>
      <c r="JV402" s="653"/>
    </row>
    <row r="403" spans="1:282" s="612" customFormat="1">
      <c r="A403" s="611"/>
      <c r="U403" s="613"/>
      <c r="V403" s="613"/>
      <c r="AC403" s="613"/>
      <c r="AD403" s="613"/>
      <c r="AL403" s="613"/>
      <c r="AM403" s="613"/>
      <c r="AT403" s="613"/>
      <c r="AU403" s="613"/>
      <c r="CH403" s="611"/>
      <c r="CI403" s="611"/>
      <c r="CO403" s="695"/>
      <c r="CP403" s="645"/>
      <c r="CQ403" s="618"/>
      <c r="CR403" s="618"/>
      <c r="CS403" s="618"/>
      <c r="CT403" s="626"/>
      <c r="CU403" s="626"/>
      <c r="CV403" s="626"/>
      <c r="CW403" s="646"/>
      <c r="CX403" s="646"/>
      <c r="CY403" s="625"/>
      <c r="CZ403" s="625"/>
      <c r="DA403" s="625"/>
      <c r="DB403" s="625"/>
      <c r="DC403" s="645"/>
      <c r="DD403" s="645"/>
      <c r="DE403" s="645"/>
      <c r="DF403" s="645"/>
      <c r="DG403" s="645"/>
      <c r="DH403" s="645"/>
      <c r="DI403" s="645"/>
      <c r="DJ403" s="645"/>
      <c r="DK403" s="645"/>
      <c r="DL403" s="645"/>
      <c r="DM403" s="645"/>
      <c r="DN403" s="645"/>
      <c r="DO403" s="645"/>
      <c r="DP403" s="645"/>
      <c r="DQ403" s="645"/>
      <c r="DR403" s="645"/>
      <c r="DS403" s="645"/>
      <c r="DT403" s="645"/>
      <c r="DU403" s="645"/>
      <c r="DV403" s="645"/>
      <c r="DW403" s="645"/>
      <c r="DX403" s="645"/>
      <c r="DY403" s="645"/>
      <c r="DZ403" s="645"/>
      <c r="EA403" s="645"/>
      <c r="EB403" s="645"/>
      <c r="EC403" s="645"/>
      <c r="ED403" s="645"/>
      <c r="EE403" s="645"/>
      <c r="EF403" s="645"/>
      <c r="EG403" s="645"/>
      <c r="EH403" s="645"/>
      <c r="EI403" s="645"/>
      <c r="EJ403" s="645"/>
      <c r="EK403" s="645"/>
      <c r="EL403" s="645"/>
      <c r="EM403" s="645"/>
      <c r="EN403" s="645"/>
      <c r="EO403" s="645"/>
      <c r="EP403" s="645"/>
      <c r="EQ403" s="645"/>
      <c r="ER403" s="645"/>
      <c r="ES403" s="645"/>
      <c r="ET403" s="645"/>
      <c r="EU403" s="645"/>
      <c r="EV403" s="645"/>
      <c r="EW403" s="645"/>
      <c r="EX403" s="645"/>
      <c r="EY403" s="645"/>
      <c r="EZ403" s="645"/>
      <c r="FA403" s="645"/>
      <c r="FB403" s="645"/>
      <c r="FC403" s="645"/>
      <c r="FD403" s="645"/>
      <c r="FE403" s="645"/>
      <c r="FF403" s="645"/>
      <c r="FG403" s="645"/>
      <c r="FH403" s="645"/>
      <c r="FI403" s="645"/>
      <c r="FJ403" s="645"/>
      <c r="FK403" s="645"/>
      <c r="FL403" s="645"/>
      <c r="FM403" s="645"/>
      <c r="FN403" s="645"/>
      <c r="FO403" s="645"/>
      <c r="FP403" s="645"/>
      <c r="FQ403" s="645"/>
      <c r="FR403" s="645"/>
      <c r="FS403" s="645"/>
      <c r="FT403" s="645"/>
      <c r="FU403" s="645"/>
      <c r="FV403" s="645"/>
      <c r="FW403" s="645"/>
      <c r="FX403" s="645"/>
      <c r="FY403" s="645"/>
      <c r="FZ403" s="645"/>
      <c r="GA403" s="645"/>
      <c r="GB403" s="645"/>
      <c r="GC403" s="645"/>
      <c r="GD403" s="645"/>
      <c r="GE403" s="645"/>
      <c r="GF403" s="645"/>
      <c r="GG403" s="645"/>
      <c r="GH403" s="645"/>
      <c r="GI403" s="645"/>
      <c r="GJ403" s="645"/>
      <c r="GK403" s="645"/>
      <c r="GL403" s="645"/>
      <c r="GM403" s="645"/>
      <c r="GN403" s="645"/>
      <c r="GO403" s="645"/>
      <c r="GP403" s="645"/>
      <c r="GQ403" s="645"/>
      <c r="GR403" s="645"/>
      <c r="GS403" s="645"/>
      <c r="GT403" s="645"/>
      <c r="GU403" s="645"/>
      <c r="GV403" s="645"/>
      <c r="GW403" s="645"/>
      <c r="GX403" s="645"/>
      <c r="GY403" s="645"/>
      <c r="GZ403" s="645"/>
      <c r="HA403" s="645"/>
      <c r="HB403" s="645"/>
      <c r="HC403" s="645"/>
      <c r="HD403" s="645"/>
      <c r="HE403" s="645"/>
      <c r="HF403" s="645"/>
      <c r="HG403" s="645"/>
      <c r="HH403" s="645"/>
      <c r="HI403" s="645"/>
      <c r="HJ403" s="645"/>
      <c r="HK403" s="645"/>
      <c r="HL403" s="645"/>
      <c r="HM403" s="645"/>
      <c r="HN403" s="645"/>
      <c r="HO403" s="645"/>
      <c r="HP403" s="645"/>
      <c r="HQ403" s="645"/>
      <c r="HR403" s="645">
        <v>0.2</v>
      </c>
      <c r="HS403" s="645">
        <f t="shared" si="830"/>
        <v>1342.8571428571429</v>
      </c>
      <c r="HT403" s="645">
        <f t="shared" si="831"/>
        <v>1</v>
      </c>
      <c r="HU403" s="618">
        <f t="shared" ref="HU403:HU466" si="832">(((($AQ$45*HT403)*$AQ$34)/(Mc+ML)))*(HR403-HR402)+HU402</f>
        <v>5.0951578132416904</v>
      </c>
      <c r="HV403" s="618"/>
      <c r="HW403" s="618">
        <f t="shared" si="817"/>
        <v>28.764875905196799</v>
      </c>
      <c r="HX403" s="618">
        <f t="shared" ref="HX403:HX466" si="833">IF(HW403&lt;0,HX402,(((HW403/$AQ$44*HT403)*$AQ$34)/(Mc+ML))*(HR403-HR402)+HX402)</f>
        <v>4.5818764300710786</v>
      </c>
      <c r="HY403" s="618">
        <f t="shared" ref="HY403:HY466" si="834">HR403</f>
        <v>0.2</v>
      </c>
      <c r="HZ403" s="618"/>
      <c r="IA403" s="618"/>
      <c r="IB403" s="618">
        <f t="shared" si="818"/>
        <v>25.000350341399081</v>
      </c>
      <c r="IC403" s="618">
        <f t="shared" si="819"/>
        <v>1E-3</v>
      </c>
      <c r="ID403" s="618"/>
      <c r="IE403" s="618">
        <f t="shared" si="820"/>
        <v>0</v>
      </c>
      <c r="IF403" s="618">
        <f t="shared" si="821"/>
        <v>40.704999999999998</v>
      </c>
      <c r="IG403" s="618"/>
      <c r="IH403" s="618">
        <f t="shared" si="822"/>
        <v>0</v>
      </c>
      <c r="II403" s="618">
        <f t="shared" si="823"/>
        <v>40.704999999999998</v>
      </c>
      <c r="IJ403" s="618"/>
      <c r="IK403" s="618">
        <f t="shared" si="824"/>
        <v>0</v>
      </c>
      <c r="IL403" s="618">
        <f t="shared" si="825"/>
        <v>40.704999999999998</v>
      </c>
      <c r="IM403" s="618"/>
      <c r="IN403" s="618">
        <f t="shared" si="826"/>
        <v>0</v>
      </c>
      <c r="IO403" s="618">
        <f t="shared" si="827"/>
        <v>40.704999999999998</v>
      </c>
      <c r="IP403" s="618"/>
      <c r="IQ403" s="618">
        <f t="shared" si="828"/>
        <v>0</v>
      </c>
      <c r="IR403" s="618">
        <f t="shared" si="829"/>
        <v>40.704999999999998</v>
      </c>
      <c r="IS403" s="645"/>
      <c r="IT403" s="645"/>
      <c r="IU403" s="645"/>
      <c r="IV403" s="645"/>
      <c r="IW403" s="645"/>
      <c r="IX403" s="645"/>
      <c r="IY403" s="645"/>
      <c r="IZ403" s="645"/>
      <c r="JA403" s="645"/>
      <c r="JB403" s="645"/>
      <c r="JC403" s="645"/>
      <c r="JD403" s="645"/>
      <c r="JE403" s="645"/>
      <c r="JF403" s="645"/>
      <c r="JG403" s="645"/>
      <c r="JH403" s="645"/>
      <c r="JI403" s="645"/>
      <c r="JJ403" s="645"/>
      <c r="JK403" s="645"/>
      <c r="JL403" s="645"/>
      <c r="JM403" s="645"/>
      <c r="JN403" s="645"/>
      <c r="JO403" s="645"/>
      <c r="JP403" s="645"/>
      <c r="JQ403" s="645"/>
      <c r="JR403" s="645"/>
      <c r="JS403" s="645"/>
      <c r="JT403" s="645"/>
      <c r="JU403" s="645"/>
      <c r="JV403" s="653"/>
    </row>
    <row r="404" spans="1:282" s="612" customFormat="1">
      <c r="A404" s="611"/>
      <c r="U404" s="613"/>
      <c r="V404" s="613"/>
      <c r="AC404" s="613"/>
      <c r="AD404" s="613"/>
      <c r="AL404" s="613"/>
      <c r="AM404" s="613"/>
      <c r="AT404" s="613"/>
      <c r="AU404" s="613"/>
      <c r="CH404" s="611"/>
      <c r="CI404" s="611"/>
      <c r="CO404" s="695"/>
      <c r="CP404" s="645"/>
      <c r="CQ404" s="618"/>
      <c r="CR404" s="618"/>
      <c r="CS404" s="618"/>
      <c r="CT404" s="626"/>
      <c r="CU404" s="626"/>
      <c r="CV404" s="626"/>
      <c r="CW404" s="646"/>
      <c r="CX404" s="646"/>
      <c r="CY404" s="625"/>
      <c r="CZ404" s="625"/>
      <c r="DA404" s="625"/>
      <c r="DB404" s="625"/>
      <c r="DC404" s="645"/>
      <c r="DD404" s="645"/>
      <c r="DE404" s="645"/>
      <c r="DF404" s="645"/>
      <c r="DG404" s="645"/>
      <c r="DH404" s="645"/>
      <c r="DI404" s="645"/>
      <c r="DJ404" s="645"/>
      <c r="DK404" s="645"/>
      <c r="DL404" s="645"/>
      <c r="DM404" s="645"/>
      <c r="DN404" s="645"/>
      <c r="DO404" s="645"/>
      <c r="DP404" s="645"/>
      <c r="DQ404" s="645"/>
      <c r="DR404" s="645"/>
      <c r="DS404" s="645"/>
      <c r="DT404" s="645"/>
      <c r="DU404" s="645"/>
      <c r="DV404" s="645"/>
      <c r="DW404" s="645"/>
      <c r="DX404" s="645"/>
      <c r="DY404" s="645"/>
      <c r="DZ404" s="645"/>
      <c r="EA404" s="645"/>
      <c r="EB404" s="645"/>
      <c r="EC404" s="645"/>
      <c r="ED404" s="645"/>
      <c r="EE404" s="645"/>
      <c r="EF404" s="645"/>
      <c r="EG404" s="645"/>
      <c r="EH404" s="645"/>
      <c r="EI404" s="645"/>
      <c r="EJ404" s="645"/>
      <c r="EK404" s="645"/>
      <c r="EL404" s="645"/>
      <c r="EM404" s="645"/>
      <c r="EN404" s="645"/>
      <c r="EO404" s="645"/>
      <c r="EP404" s="645"/>
      <c r="EQ404" s="645"/>
      <c r="ER404" s="645"/>
      <c r="ES404" s="645"/>
      <c r="ET404" s="645"/>
      <c r="EU404" s="645"/>
      <c r="EV404" s="645"/>
      <c r="EW404" s="645"/>
      <c r="EX404" s="645"/>
      <c r="EY404" s="645"/>
      <c r="EZ404" s="645"/>
      <c r="FA404" s="645"/>
      <c r="FB404" s="645"/>
      <c r="FC404" s="645"/>
      <c r="FD404" s="645"/>
      <c r="FE404" s="645"/>
      <c r="FF404" s="645"/>
      <c r="FG404" s="645"/>
      <c r="FH404" s="645"/>
      <c r="FI404" s="645"/>
      <c r="FJ404" s="645"/>
      <c r="FK404" s="645"/>
      <c r="FL404" s="645"/>
      <c r="FM404" s="645"/>
      <c r="FN404" s="645"/>
      <c r="FO404" s="645"/>
      <c r="FP404" s="645"/>
      <c r="FQ404" s="645"/>
      <c r="FR404" s="645"/>
      <c r="FS404" s="645"/>
      <c r="FT404" s="645"/>
      <c r="FU404" s="645"/>
      <c r="FV404" s="645"/>
      <c r="FW404" s="645"/>
      <c r="FX404" s="645"/>
      <c r="FY404" s="645"/>
      <c r="FZ404" s="645"/>
      <c r="GA404" s="645"/>
      <c r="GB404" s="645"/>
      <c r="GC404" s="645"/>
      <c r="GD404" s="645"/>
      <c r="GE404" s="645"/>
      <c r="GF404" s="645"/>
      <c r="GG404" s="645"/>
      <c r="GH404" s="645"/>
      <c r="GI404" s="645"/>
      <c r="GJ404" s="645"/>
      <c r="GK404" s="645"/>
      <c r="GL404" s="645"/>
      <c r="GM404" s="645"/>
      <c r="GN404" s="645"/>
      <c r="GO404" s="645"/>
      <c r="GP404" s="645"/>
      <c r="GQ404" s="645"/>
      <c r="GR404" s="645"/>
      <c r="GS404" s="645"/>
      <c r="GT404" s="645"/>
      <c r="GU404" s="645"/>
      <c r="GV404" s="645"/>
      <c r="GW404" s="645"/>
      <c r="GX404" s="645"/>
      <c r="GY404" s="645"/>
      <c r="GZ404" s="645"/>
      <c r="HA404" s="645"/>
      <c r="HB404" s="645"/>
      <c r="HC404" s="645"/>
      <c r="HD404" s="645"/>
      <c r="HE404" s="645"/>
      <c r="HF404" s="645"/>
      <c r="HG404" s="645"/>
      <c r="HH404" s="645"/>
      <c r="HI404" s="645"/>
      <c r="HJ404" s="645"/>
      <c r="HK404" s="645"/>
      <c r="HL404" s="645"/>
      <c r="HM404" s="645"/>
      <c r="HN404" s="645"/>
      <c r="HO404" s="645"/>
      <c r="HP404" s="645"/>
      <c r="HQ404" s="645"/>
      <c r="HR404" s="645">
        <v>0.20050000000000001</v>
      </c>
      <c r="HS404" s="645">
        <f t="shared" si="830"/>
        <v>1346.2142857142858</v>
      </c>
      <c r="HT404" s="645">
        <f t="shared" si="831"/>
        <v>1</v>
      </c>
      <c r="HU404" s="618">
        <f t="shared" si="832"/>
        <v>5.1078968572153149</v>
      </c>
      <c r="HV404" s="618"/>
      <c r="HW404" s="618">
        <f t="shared" si="817"/>
        <v>28.746786462754251</v>
      </c>
      <c r="HX404" s="618">
        <f t="shared" si="833"/>
        <v>4.5920488349835624</v>
      </c>
      <c r="HY404" s="618">
        <f t="shared" si="834"/>
        <v>0.20050000000000001</v>
      </c>
      <c r="HZ404" s="618"/>
      <c r="IA404" s="618"/>
      <c r="IB404" s="618">
        <f t="shared" si="818"/>
        <v>25.000350341399081</v>
      </c>
      <c r="IC404" s="618">
        <f t="shared" si="819"/>
        <v>1E-3</v>
      </c>
      <c r="ID404" s="618"/>
      <c r="IE404" s="618">
        <f t="shared" si="820"/>
        <v>0</v>
      </c>
      <c r="IF404" s="618">
        <f t="shared" si="821"/>
        <v>40.704999999999998</v>
      </c>
      <c r="IG404" s="618"/>
      <c r="IH404" s="618">
        <f t="shared" si="822"/>
        <v>0</v>
      </c>
      <c r="II404" s="618">
        <f t="shared" si="823"/>
        <v>40.704999999999998</v>
      </c>
      <c r="IJ404" s="618"/>
      <c r="IK404" s="618">
        <f t="shared" si="824"/>
        <v>0</v>
      </c>
      <c r="IL404" s="618">
        <f t="shared" si="825"/>
        <v>40.704999999999998</v>
      </c>
      <c r="IM404" s="618"/>
      <c r="IN404" s="618">
        <f t="shared" si="826"/>
        <v>0</v>
      </c>
      <c r="IO404" s="618">
        <f t="shared" si="827"/>
        <v>40.704999999999998</v>
      </c>
      <c r="IP404" s="618"/>
      <c r="IQ404" s="618">
        <f t="shared" si="828"/>
        <v>0</v>
      </c>
      <c r="IR404" s="618">
        <f t="shared" si="829"/>
        <v>40.704999999999998</v>
      </c>
      <c r="IS404" s="645"/>
      <c r="IT404" s="645"/>
      <c r="IU404" s="645"/>
      <c r="IV404" s="645"/>
      <c r="IW404" s="645"/>
      <c r="IX404" s="645"/>
      <c r="IY404" s="645"/>
      <c r="IZ404" s="645"/>
      <c r="JA404" s="645"/>
      <c r="JB404" s="645"/>
      <c r="JC404" s="645"/>
      <c r="JD404" s="645"/>
      <c r="JE404" s="645"/>
      <c r="JF404" s="645"/>
      <c r="JG404" s="645"/>
      <c r="JH404" s="645"/>
      <c r="JI404" s="645"/>
      <c r="JJ404" s="645"/>
      <c r="JK404" s="645"/>
      <c r="JL404" s="645"/>
      <c r="JM404" s="645"/>
      <c r="JN404" s="645"/>
      <c r="JO404" s="645"/>
      <c r="JP404" s="645"/>
      <c r="JQ404" s="645"/>
      <c r="JR404" s="645"/>
      <c r="JS404" s="645"/>
      <c r="JT404" s="645"/>
      <c r="JU404" s="645"/>
      <c r="JV404" s="653"/>
    </row>
    <row r="405" spans="1:282" s="612" customFormat="1">
      <c r="A405" s="611"/>
      <c r="U405" s="613"/>
      <c r="V405" s="613"/>
      <c r="AC405" s="613"/>
      <c r="AD405" s="613"/>
      <c r="AL405" s="613"/>
      <c r="AM405" s="613"/>
      <c r="AT405" s="613"/>
      <c r="AU405" s="613"/>
      <c r="CH405" s="611"/>
      <c r="CI405" s="611"/>
      <c r="CO405" s="695"/>
      <c r="CP405" s="645"/>
      <c r="CQ405" s="618"/>
      <c r="CR405" s="618"/>
      <c r="CS405" s="618"/>
      <c r="CT405" s="626"/>
      <c r="CU405" s="626"/>
      <c r="CV405" s="626"/>
      <c r="CW405" s="646"/>
      <c r="CX405" s="646"/>
      <c r="CY405" s="625"/>
      <c r="CZ405" s="625"/>
      <c r="DA405" s="625"/>
      <c r="DB405" s="625"/>
      <c r="DC405" s="645"/>
      <c r="DD405" s="645"/>
      <c r="DE405" s="645"/>
      <c r="DF405" s="645"/>
      <c r="DG405" s="645"/>
      <c r="DH405" s="645"/>
      <c r="DI405" s="645"/>
      <c r="DJ405" s="645"/>
      <c r="DK405" s="645"/>
      <c r="DL405" s="645"/>
      <c r="DM405" s="645"/>
      <c r="DN405" s="645"/>
      <c r="DO405" s="645"/>
      <c r="DP405" s="645"/>
      <c r="DQ405" s="645"/>
      <c r="DR405" s="645"/>
      <c r="DS405" s="645"/>
      <c r="DT405" s="645"/>
      <c r="DU405" s="645"/>
      <c r="DV405" s="645"/>
      <c r="DW405" s="645"/>
      <c r="DX405" s="645"/>
      <c r="DY405" s="645"/>
      <c r="DZ405" s="645"/>
      <c r="EA405" s="645"/>
      <c r="EB405" s="645"/>
      <c r="EC405" s="645"/>
      <c r="ED405" s="645"/>
      <c r="EE405" s="645"/>
      <c r="EF405" s="645"/>
      <c r="EG405" s="645"/>
      <c r="EH405" s="645"/>
      <c r="EI405" s="645"/>
      <c r="EJ405" s="645"/>
      <c r="EK405" s="645"/>
      <c r="EL405" s="645"/>
      <c r="EM405" s="645"/>
      <c r="EN405" s="645"/>
      <c r="EO405" s="645"/>
      <c r="EP405" s="645"/>
      <c r="EQ405" s="645"/>
      <c r="ER405" s="645"/>
      <c r="ES405" s="645"/>
      <c r="ET405" s="645"/>
      <c r="EU405" s="645"/>
      <c r="EV405" s="645"/>
      <c r="EW405" s="645"/>
      <c r="EX405" s="645"/>
      <c r="EY405" s="645"/>
      <c r="EZ405" s="645"/>
      <c r="FA405" s="645"/>
      <c r="FB405" s="645"/>
      <c r="FC405" s="645"/>
      <c r="FD405" s="645"/>
      <c r="FE405" s="645"/>
      <c r="FF405" s="645"/>
      <c r="FG405" s="645"/>
      <c r="FH405" s="645"/>
      <c r="FI405" s="645"/>
      <c r="FJ405" s="645"/>
      <c r="FK405" s="645"/>
      <c r="FL405" s="645"/>
      <c r="FM405" s="645"/>
      <c r="FN405" s="645"/>
      <c r="FO405" s="645"/>
      <c r="FP405" s="645"/>
      <c r="FQ405" s="645"/>
      <c r="FR405" s="645"/>
      <c r="FS405" s="645"/>
      <c r="FT405" s="645"/>
      <c r="FU405" s="645"/>
      <c r="FV405" s="645"/>
      <c r="FW405" s="645"/>
      <c r="FX405" s="645"/>
      <c r="FY405" s="645"/>
      <c r="FZ405" s="645"/>
      <c r="GA405" s="645"/>
      <c r="GB405" s="645"/>
      <c r="GC405" s="645"/>
      <c r="GD405" s="645"/>
      <c r="GE405" s="645"/>
      <c r="GF405" s="645"/>
      <c r="GG405" s="645"/>
      <c r="GH405" s="645"/>
      <c r="GI405" s="645"/>
      <c r="GJ405" s="645"/>
      <c r="GK405" s="645"/>
      <c r="GL405" s="645"/>
      <c r="GM405" s="645"/>
      <c r="GN405" s="645"/>
      <c r="GO405" s="645"/>
      <c r="GP405" s="645"/>
      <c r="GQ405" s="645"/>
      <c r="GR405" s="645"/>
      <c r="GS405" s="645"/>
      <c r="GT405" s="645"/>
      <c r="GU405" s="645"/>
      <c r="GV405" s="645"/>
      <c r="GW405" s="645"/>
      <c r="GX405" s="645"/>
      <c r="GY405" s="645"/>
      <c r="GZ405" s="645"/>
      <c r="HA405" s="645"/>
      <c r="HB405" s="645"/>
      <c r="HC405" s="645"/>
      <c r="HD405" s="645"/>
      <c r="HE405" s="645"/>
      <c r="HF405" s="645"/>
      <c r="HG405" s="645"/>
      <c r="HH405" s="645"/>
      <c r="HI405" s="645"/>
      <c r="HJ405" s="645"/>
      <c r="HK405" s="645"/>
      <c r="HL405" s="645"/>
      <c r="HM405" s="645"/>
      <c r="HN405" s="645"/>
      <c r="HO405" s="645"/>
      <c r="HP405" s="645"/>
      <c r="HQ405" s="645"/>
      <c r="HR405" s="645">
        <v>0.20100000000000001</v>
      </c>
      <c r="HS405" s="645">
        <f t="shared" si="830"/>
        <v>1349.5714285714287</v>
      </c>
      <c r="HT405" s="645">
        <f t="shared" si="831"/>
        <v>1</v>
      </c>
      <c r="HU405" s="618">
        <f t="shared" si="832"/>
        <v>5.1206359011889395</v>
      </c>
      <c r="HV405" s="618"/>
      <c r="HW405" s="618">
        <f t="shared" si="817"/>
        <v>28.728697020311706</v>
      </c>
      <c r="HX405" s="618">
        <f t="shared" si="833"/>
        <v>4.6022148387237483</v>
      </c>
      <c r="HY405" s="618">
        <f t="shared" si="834"/>
        <v>0.20100000000000001</v>
      </c>
      <c r="HZ405" s="618"/>
      <c r="IA405" s="618"/>
      <c r="IB405" s="618">
        <f t="shared" si="818"/>
        <v>25.000350341399081</v>
      </c>
      <c r="IC405" s="618">
        <f t="shared" si="819"/>
        <v>1E-3</v>
      </c>
      <c r="ID405" s="618"/>
      <c r="IE405" s="618">
        <f t="shared" si="820"/>
        <v>0</v>
      </c>
      <c r="IF405" s="618">
        <f t="shared" si="821"/>
        <v>40.704999999999998</v>
      </c>
      <c r="IG405" s="618"/>
      <c r="IH405" s="618">
        <f t="shared" si="822"/>
        <v>0</v>
      </c>
      <c r="II405" s="618">
        <f t="shared" si="823"/>
        <v>40.704999999999998</v>
      </c>
      <c r="IJ405" s="618"/>
      <c r="IK405" s="618">
        <f t="shared" si="824"/>
        <v>0</v>
      </c>
      <c r="IL405" s="618">
        <f t="shared" si="825"/>
        <v>40.704999999999998</v>
      </c>
      <c r="IM405" s="618"/>
      <c r="IN405" s="618">
        <f t="shared" si="826"/>
        <v>0</v>
      </c>
      <c r="IO405" s="618">
        <f t="shared" si="827"/>
        <v>40.704999999999998</v>
      </c>
      <c r="IP405" s="618"/>
      <c r="IQ405" s="618">
        <f t="shared" si="828"/>
        <v>0</v>
      </c>
      <c r="IR405" s="618">
        <f t="shared" si="829"/>
        <v>40.704999999999998</v>
      </c>
      <c r="IS405" s="645"/>
      <c r="IT405" s="645"/>
      <c r="IU405" s="645"/>
      <c r="IV405" s="645"/>
      <c r="IW405" s="645"/>
      <c r="IX405" s="645"/>
      <c r="IY405" s="645"/>
      <c r="IZ405" s="645"/>
      <c r="JA405" s="645"/>
      <c r="JB405" s="645"/>
      <c r="JC405" s="645"/>
      <c r="JD405" s="645"/>
      <c r="JE405" s="645"/>
      <c r="JF405" s="645"/>
      <c r="JG405" s="645"/>
      <c r="JH405" s="645"/>
      <c r="JI405" s="645"/>
      <c r="JJ405" s="645"/>
      <c r="JK405" s="645"/>
      <c r="JL405" s="645"/>
      <c r="JM405" s="645"/>
      <c r="JN405" s="645"/>
      <c r="JO405" s="645"/>
      <c r="JP405" s="645"/>
      <c r="JQ405" s="645"/>
      <c r="JR405" s="645"/>
      <c r="JS405" s="645"/>
      <c r="JT405" s="645"/>
      <c r="JU405" s="645"/>
      <c r="JV405" s="653"/>
    </row>
    <row r="406" spans="1:282" s="612" customFormat="1">
      <c r="A406" s="611"/>
      <c r="U406" s="613"/>
      <c r="V406" s="613"/>
      <c r="AC406" s="613"/>
      <c r="AD406" s="613"/>
      <c r="AL406" s="613"/>
      <c r="AM406" s="613"/>
      <c r="AT406" s="613"/>
      <c r="AU406" s="613"/>
      <c r="CH406" s="611"/>
      <c r="CI406" s="611"/>
      <c r="CO406" s="695"/>
      <c r="CP406" s="645"/>
      <c r="CQ406" s="618"/>
      <c r="CR406" s="618"/>
      <c r="CS406" s="618"/>
      <c r="CT406" s="626"/>
      <c r="CU406" s="626"/>
      <c r="CV406" s="626"/>
      <c r="CW406" s="646"/>
      <c r="CX406" s="646"/>
      <c r="CY406" s="625"/>
      <c r="CZ406" s="625"/>
      <c r="DA406" s="625"/>
      <c r="DB406" s="625"/>
      <c r="DC406" s="645"/>
      <c r="DD406" s="645"/>
      <c r="DE406" s="645"/>
      <c r="DF406" s="645"/>
      <c r="DG406" s="645"/>
      <c r="DH406" s="645"/>
      <c r="DI406" s="645"/>
      <c r="DJ406" s="645"/>
      <c r="DK406" s="645"/>
      <c r="DL406" s="645"/>
      <c r="DM406" s="645"/>
      <c r="DN406" s="645"/>
      <c r="DO406" s="645"/>
      <c r="DP406" s="645"/>
      <c r="DQ406" s="645"/>
      <c r="DR406" s="645"/>
      <c r="DS406" s="645"/>
      <c r="DT406" s="645"/>
      <c r="DU406" s="645"/>
      <c r="DV406" s="645"/>
      <c r="DW406" s="645"/>
      <c r="DX406" s="645"/>
      <c r="DY406" s="645"/>
      <c r="DZ406" s="645"/>
      <c r="EA406" s="645"/>
      <c r="EB406" s="645"/>
      <c r="EC406" s="645"/>
      <c r="ED406" s="645"/>
      <c r="EE406" s="645"/>
      <c r="EF406" s="645"/>
      <c r="EG406" s="645"/>
      <c r="EH406" s="645"/>
      <c r="EI406" s="645"/>
      <c r="EJ406" s="645"/>
      <c r="EK406" s="645"/>
      <c r="EL406" s="645"/>
      <c r="EM406" s="645"/>
      <c r="EN406" s="645"/>
      <c r="EO406" s="645"/>
      <c r="EP406" s="645"/>
      <c r="EQ406" s="645"/>
      <c r="ER406" s="645"/>
      <c r="ES406" s="645"/>
      <c r="ET406" s="645"/>
      <c r="EU406" s="645"/>
      <c r="EV406" s="645"/>
      <c r="EW406" s="645"/>
      <c r="EX406" s="645"/>
      <c r="EY406" s="645"/>
      <c r="EZ406" s="645"/>
      <c r="FA406" s="645"/>
      <c r="FB406" s="645"/>
      <c r="FC406" s="645"/>
      <c r="FD406" s="645"/>
      <c r="FE406" s="645"/>
      <c r="FF406" s="645"/>
      <c r="FG406" s="645"/>
      <c r="FH406" s="645"/>
      <c r="FI406" s="645"/>
      <c r="FJ406" s="645"/>
      <c r="FK406" s="645"/>
      <c r="FL406" s="645"/>
      <c r="FM406" s="645"/>
      <c r="FN406" s="645"/>
      <c r="FO406" s="645"/>
      <c r="FP406" s="645"/>
      <c r="FQ406" s="645"/>
      <c r="FR406" s="645"/>
      <c r="FS406" s="645"/>
      <c r="FT406" s="645"/>
      <c r="FU406" s="645"/>
      <c r="FV406" s="645"/>
      <c r="FW406" s="645"/>
      <c r="FX406" s="645"/>
      <c r="FY406" s="645"/>
      <c r="FZ406" s="645"/>
      <c r="GA406" s="645"/>
      <c r="GB406" s="645"/>
      <c r="GC406" s="645"/>
      <c r="GD406" s="645"/>
      <c r="GE406" s="645"/>
      <c r="GF406" s="645"/>
      <c r="GG406" s="645"/>
      <c r="GH406" s="645"/>
      <c r="GI406" s="645"/>
      <c r="GJ406" s="645"/>
      <c r="GK406" s="645"/>
      <c r="GL406" s="645"/>
      <c r="GM406" s="645"/>
      <c r="GN406" s="645"/>
      <c r="GO406" s="645"/>
      <c r="GP406" s="645"/>
      <c r="GQ406" s="645"/>
      <c r="GR406" s="645"/>
      <c r="GS406" s="645"/>
      <c r="GT406" s="645"/>
      <c r="GU406" s="645"/>
      <c r="GV406" s="645"/>
      <c r="GW406" s="645"/>
      <c r="GX406" s="645"/>
      <c r="GY406" s="645"/>
      <c r="GZ406" s="645"/>
      <c r="HA406" s="645"/>
      <c r="HB406" s="645"/>
      <c r="HC406" s="645"/>
      <c r="HD406" s="645"/>
      <c r="HE406" s="645"/>
      <c r="HF406" s="645"/>
      <c r="HG406" s="645"/>
      <c r="HH406" s="645"/>
      <c r="HI406" s="645"/>
      <c r="HJ406" s="645"/>
      <c r="HK406" s="645"/>
      <c r="HL406" s="645"/>
      <c r="HM406" s="645"/>
      <c r="HN406" s="645"/>
      <c r="HO406" s="645"/>
      <c r="HP406" s="645"/>
      <c r="HQ406" s="645"/>
      <c r="HR406" s="645">
        <v>0.20150000000000001</v>
      </c>
      <c r="HS406" s="645">
        <f t="shared" si="830"/>
        <v>1352.9285714285716</v>
      </c>
      <c r="HT406" s="645">
        <f t="shared" si="831"/>
        <v>1</v>
      </c>
      <c r="HU406" s="618">
        <f t="shared" si="832"/>
        <v>5.1333749451625641</v>
      </c>
      <c r="HV406" s="618"/>
      <c r="HW406" s="618">
        <f t="shared" si="817"/>
        <v>28.710607577869158</v>
      </c>
      <c r="HX406" s="618">
        <f t="shared" si="833"/>
        <v>4.6123744412916361</v>
      </c>
      <c r="HY406" s="618">
        <f t="shared" si="834"/>
        <v>0.20150000000000001</v>
      </c>
      <c r="HZ406" s="618"/>
      <c r="IA406" s="618"/>
      <c r="IB406" s="618">
        <f t="shared" si="818"/>
        <v>25.000350341399081</v>
      </c>
      <c r="IC406" s="618">
        <f t="shared" si="819"/>
        <v>1E-3</v>
      </c>
      <c r="ID406" s="618"/>
      <c r="IE406" s="618">
        <f t="shared" si="820"/>
        <v>0</v>
      </c>
      <c r="IF406" s="618">
        <f t="shared" si="821"/>
        <v>40.704999999999998</v>
      </c>
      <c r="IG406" s="618"/>
      <c r="IH406" s="618">
        <f t="shared" si="822"/>
        <v>0</v>
      </c>
      <c r="II406" s="618">
        <f t="shared" si="823"/>
        <v>40.704999999999998</v>
      </c>
      <c r="IJ406" s="618"/>
      <c r="IK406" s="618">
        <f t="shared" si="824"/>
        <v>0</v>
      </c>
      <c r="IL406" s="618">
        <f t="shared" si="825"/>
        <v>40.704999999999998</v>
      </c>
      <c r="IM406" s="618"/>
      <c r="IN406" s="618">
        <f t="shared" si="826"/>
        <v>0</v>
      </c>
      <c r="IO406" s="618">
        <f t="shared" si="827"/>
        <v>40.704999999999998</v>
      </c>
      <c r="IP406" s="618"/>
      <c r="IQ406" s="618">
        <f t="shared" si="828"/>
        <v>0</v>
      </c>
      <c r="IR406" s="618">
        <f t="shared" si="829"/>
        <v>40.704999999999998</v>
      </c>
      <c r="IS406" s="645"/>
      <c r="IT406" s="645"/>
      <c r="IU406" s="645"/>
      <c r="IV406" s="645"/>
      <c r="IW406" s="645"/>
      <c r="IX406" s="645"/>
      <c r="IY406" s="645"/>
      <c r="IZ406" s="645"/>
      <c r="JA406" s="645"/>
      <c r="JB406" s="645"/>
      <c r="JC406" s="645"/>
      <c r="JD406" s="645"/>
      <c r="JE406" s="645"/>
      <c r="JF406" s="645"/>
      <c r="JG406" s="645"/>
      <c r="JH406" s="645"/>
      <c r="JI406" s="645"/>
      <c r="JJ406" s="645"/>
      <c r="JK406" s="645"/>
      <c r="JL406" s="645"/>
      <c r="JM406" s="645"/>
      <c r="JN406" s="645"/>
      <c r="JO406" s="645"/>
      <c r="JP406" s="645"/>
      <c r="JQ406" s="645"/>
      <c r="JR406" s="645"/>
      <c r="JS406" s="645"/>
      <c r="JT406" s="645"/>
      <c r="JU406" s="645"/>
      <c r="JV406" s="653"/>
    </row>
    <row r="407" spans="1:282" s="612" customFormat="1">
      <c r="A407" s="611"/>
      <c r="U407" s="613"/>
      <c r="V407" s="613"/>
      <c r="AC407" s="613"/>
      <c r="AD407" s="613"/>
      <c r="AL407" s="613"/>
      <c r="AM407" s="613"/>
      <c r="AT407" s="613"/>
      <c r="AU407" s="613"/>
      <c r="CH407" s="611"/>
      <c r="CI407" s="611"/>
      <c r="CO407" s="695"/>
      <c r="CP407" s="645"/>
      <c r="CQ407" s="618"/>
      <c r="CR407" s="618"/>
      <c r="CS407" s="618"/>
      <c r="CT407" s="626"/>
      <c r="CU407" s="626"/>
      <c r="CV407" s="626"/>
      <c r="CW407" s="646"/>
      <c r="CX407" s="646"/>
      <c r="CY407" s="625"/>
      <c r="CZ407" s="625"/>
      <c r="DA407" s="625"/>
      <c r="DB407" s="625"/>
      <c r="DC407" s="645"/>
      <c r="DD407" s="645"/>
      <c r="DE407" s="645"/>
      <c r="DF407" s="645"/>
      <c r="DG407" s="645"/>
      <c r="DH407" s="645"/>
      <c r="DI407" s="645"/>
      <c r="DJ407" s="645"/>
      <c r="DK407" s="645"/>
      <c r="DL407" s="645"/>
      <c r="DM407" s="645"/>
      <c r="DN407" s="645"/>
      <c r="DO407" s="645"/>
      <c r="DP407" s="645"/>
      <c r="DQ407" s="645"/>
      <c r="DR407" s="645"/>
      <c r="DS407" s="645"/>
      <c r="DT407" s="645"/>
      <c r="DU407" s="645"/>
      <c r="DV407" s="645"/>
      <c r="DW407" s="645"/>
      <c r="DX407" s="645"/>
      <c r="DY407" s="645"/>
      <c r="DZ407" s="645"/>
      <c r="EA407" s="645"/>
      <c r="EB407" s="645"/>
      <c r="EC407" s="645"/>
      <c r="ED407" s="645"/>
      <c r="EE407" s="645"/>
      <c r="EF407" s="645"/>
      <c r="EG407" s="645"/>
      <c r="EH407" s="645"/>
      <c r="EI407" s="645"/>
      <c r="EJ407" s="645"/>
      <c r="EK407" s="645"/>
      <c r="EL407" s="645"/>
      <c r="EM407" s="645"/>
      <c r="EN407" s="645"/>
      <c r="EO407" s="645"/>
      <c r="EP407" s="645"/>
      <c r="EQ407" s="645"/>
      <c r="ER407" s="645"/>
      <c r="ES407" s="645"/>
      <c r="ET407" s="645"/>
      <c r="EU407" s="645"/>
      <c r="EV407" s="645"/>
      <c r="EW407" s="645"/>
      <c r="EX407" s="645"/>
      <c r="EY407" s="645"/>
      <c r="EZ407" s="645"/>
      <c r="FA407" s="645"/>
      <c r="FB407" s="645"/>
      <c r="FC407" s="645"/>
      <c r="FD407" s="645"/>
      <c r="FE407" s="645"/>
      <c r="FF407" s="645"/>
      <c r="FG407" s="645"/>
      <c r="FH407" s="645"/>
      <c r="FI407" s="645"/>
      <c r="FJ407" s="645"/>
      <c r="FK407" s="645"/>
      <c r="FL407" s="645"/>
      <c r="FM407" s="645"/>
      <c r="FN407" s="645"/>
      <c r="FO407" s="645"/>
      <c r="FP407" s="645"/>
      <c r="FQ407" s="645"/>
      <c r="FR407" s="645"/>
      <c r="FS407" s="645"/>
      <c r="FT407" s="645"/>
      <c r="FU407" s="645"/>
      <c r="FV407" s="645"/>
      <c r="FW407" s="645"/>
      <c r="FX407" s="645"/>
      <c r="FY407" s="645"/>
      <c r="FZ407" s="645"/>
      <c r="GA407" s="645"/>
      <c r="GB407" s="645"/>
      <c r="GC407" s="645"/>
      <c r="GD407" s="645"/>
      <c r="GE407" s="645"/>
      <c r="GF407" s="645"/>
      <c r="GG407" s="645"/>
      <c r="GH407" s="645"/>
      <c r="GI407" s="645"/>
      <c r="GJ407" s="645"/>
      <c r="GK407" s="645"/>
      <c r="GL407" s="645"/>
      <c r="GM407" s="645"/>
      <c r="GN407" s="645"/>
      <c r="GO407" s="645"/>
      <c r="GP407" s="645"/>
      <c r="GQ407" s="645"/>
      <c r="GR407" s="645"/>
      <c r="GS407" s="645"/>
      <c r="GT407" s="645"/>
      <c r="GU407" s="645"/>
      <c r="GV407" s="645"/>
      <c r="GW407" s="645"/>
      <c r="GX407" s="645"/>
      <c r="GY407" s="645"/>
      <c r="GZ407" s="645"/>
      <c r="HA407" s="645"/>
      <c r="HB407" s="645"/>
      <c r="HC407" s="645"/>
      <c r="HD407" s="645"/>
      <c r="HE407" s="645"/>
      <c r="HF407" s="645"/>
      <c r="HG407" s="645"/>
      <c r="HH407" s="645"/>
      <c r="HI407" s="645"/>
      <c r="HJ407" s="645"/>
      <c r="HK407" s="645"/>
      <c r="HL407" s="645"/>
      <c r="HM407" s="645"/>
      <c r="HN407" s="645"/>
      <c r="HO407" s="645"/>
      <c r="HP407" s="645"/>
      <c r="HQ407" s="645"/>
      <c r="HR407" s="645">
        <v>0.20200000000000001</v>
      </c>
      <c r="HS407" s="645">
        <f t="shared" si="830"/>
        <v>1356.2857142857144</v>
      </c>
      <c r="HT407" s="645">
        <f t="shared" si="831"/>
        <v>1</v>
      </c>
      <c r="HU407" s="618">
        <f t="shared" si="832"/>
        <v>5.1461139891361887</v>
      </c>
      <c r="HV407" s="618"/>
      <c r="HW407" s="618">
        <f t="shared" si="817"/>
        <v>28.692518135426614</v>
      </c>
      <c r="HX407" s="618">
        <f t="shared" si="833"/>
        <v>4.6225276426872259</v>
      </c>
      <c r="HY407" s="618">
        <f t="shared" si="834"/>
        <v>0.20200000000000001</v>
      </c>
      <c r="HZ407" s="618"/>
      <c r="IA407" s="618"/>
      <c r="IB407" s="618">
        <f t="shared" si="818"/>
        <v>25.000350341399081</v>
      </c>
      <c r="IC407" s="618">
        <f t="shared" si="819"/>
        <v>1E-3</v>
      </c>
      <c r="ID407" s="618"/>
      <c r="IE407" s="618">
        <f t="shared" si="820"/>
        <v>0</v>
      </c>
      <c r="IF407" s="618">
        <f t="shared" si="821"/>
        <v>40.704999999999998</v>
      </c>
      <c r="IG407" s="618"/>
      <c r="IH407" s="618">
        <f t="shared" si="822"/>
        <v>0</v>
      </c>
      <c r="II407" s="618">
        <f t="shared" si="823"/>
        <v>40.704999999999998</v>
      </c>
      <c r="IJ407" s="618"/>
      <c r="IK407" s="618">
        <f t="shared" si="824"/>
        <v>0</v>
      </c>
      <c r="IL407" s="618">
        <f t="shared" si="825"/>
        <v>40.704999999999998</v>
      </c>
      <c r="IM407" s="618"/>
      <c r="IN407" s="618">
        <f t="shared" si="826"/>
        <v>0</v>
      </c>
      <c r="IO407" s="618">
        <f t="shared" si="827"/>
        <v>40.704999999999998</v>
      </c>
      <c r="IP407" s="618"/>
      <c r="IQ407" s="618">
        <f t="shared" si="828"/>
        <v>0</v>
      </c>
      <c r="IR407" s="618">
        <f t="shared" si="829"/>
        <v>40.704999999999998</v>
      </c>
      <c r="IS407" s="645"/>
      <c r="IT407" s="645"/>
      <c r="IU407" s="645"/>
      <c r="IV407" s="645"/>
      <c r="IW407" s="645"/>
      <c r="IX407" s="645"/>
      <c r="IY407" s="645"/>
      <c r="IZ407" s="645"/>
      <c r="JA407" s="645"/>
      <c r="JB407" s="645"/>
      <c r="JC407" s="645"/>
      <c r="JD407" s="645"/>
      <c r="JE407" s="645"/>
      <c r="JF407" s="645"/>
      <c r="JG407" s="645"/>
      <c r="JH407" s="645"/>
      <c r="JI407" s="645"/>
      <c r="JJ407" s="645"/>
      <c r="JK407" s="645"/>
      <c r="JL407" s="645"/>
      <c r="JM407" s="645"/>
      <c r="JN407" s="645"/>
      <c r="JO407" s="645"/>
      <c r="JP407" s="645"/>
      <c r="JQ407" s="645"/>
      <c r="JR407" s="645"/>
      <c r="JS407" s="645"/>
      <c r="JT407" s="645"/>
      <c r="JU407" s="645"/>
      <c r="JV407" s="653"/>
    </row>
    <row r="408" spans="1:282" s="612" customFormat="1">
      <c r="A408" s="611"/>
      <c r="U408" s="613"/>
      <c r="V408" s="613"/>
      <c r="AC408" s="613"/>
      <c r="AD408" s="613"/>
      <c r="AL408" s="613"/>
      <c r="AM408" s="613"/>
      <c r="AT408" s="613"/>
      <c r="AU408" s="613"/>
      <c r="CH408" s="611"/>
      <c r="CI408" s="611"/>
      <c r="CO408" s="695"/>
      <c r="CP408" s="645"/>
      <c r="CQ408" s="618"/>
      <c r="CR408" s="618"/>
      <c r="CS408" s="618"/>
      <c r="CT408" s="626"/>
      <c r="CU408" s="626"/>
      <c r="CV408" s="626"/>
      <c r="CW408" s="646"/>
      <c r="CX408" s="646"/>
      <c r="CY408" s="625"/>
      <c r="CZ408" s="625"/>
      <c r="DA408" s="625"/>
      <c r="DB408" s="625"/>
      <c r="DC408" s="645"/>
      <c r="DD408" s="645"/>
      <c r="DE408" s="645"/>
      <c r="DF408" s="645"/>
      <c r="DG408" s="645"/>
      <c r="DH408" s="645"/>
      <c r="DI408" s="645"/>
      <c r="DJ408" s="645"/>
      <c r="DK408" s="645"/>
      <c r="DL408" s="645"/>
      <c r="DM408" s="645"/>
      <c r="DN408" s="645"/>
      <c r="DO408" s="645"/>
      <c r="DP408" s="645"/>
      <c r="DQ408" s="645"/>
      <c r="DR408" s="645"/>
      <c r="DS408" s="645"/>
      <c r="DT408" s="645"/>
      <c r="DU408" s="645"/>
      <c r="DV408" s="645"/>
      <c r="DW408" s="645"/>
      <c r="DX408" s="645"/>
      <c r="DY408" s="645"/>
      <c r="DZ408" s="645"/>
      <c r="EA408" s="645"/>
      <c r="EB408" s="645"/>
      <c r="EC408" s="645"/>
      <c r="ED408" s="645"/>
      <c r="EE408" s="645"/>
      <c r="EF408" s="645"/>
      <c r="EG408" s="645"/>
      <c r="EH408" s="645"/>
      <c r="EI408" s="645"/>
      <c r="EJ408" s="645"/>
      <c r="EK408" s="645"/>
      <c r="EL408" s="645"/>
      <c r="EM408" s="645"/>
      <c r="EN408" s="645"/>
      <c r="EO408" s="645"/>
      <c r="EP408" s="645"/>
      <c r="EQ408" s="645"/>
      <c r="ER408" s="645"/>
      <c r="ES408" s="645"/>
      <c r="ET408" s="645"/>
      <c r="EU408" s="645"/>
      <c r="EV408" s="645"/>
      <c r="EW408" s="645"/>
      <c r="EX408" s="645"/>
      <c r="EY408" s="645"/>
      <c r="EZ408" s="645"/>
      <c r="FA408" s="645"/>
      <c r="FB408" s="645"/>
      <c r="FC408" s="645"/>
      <c r="FD408" s="645"/>
      <c r="FE408" s="645"/>
      <c r="FF408" s="645"/>
      <c r="FG408" s="645"/>
      <c r="FH408" s="645"/>
      <c r="FI408" s="645"/>
      <c r="FJ408" s="645"/>
      <c r="FK408" s="645"/>
      <c r="FL408" s="645"/>
      <c r="FM408" s="645"/>
      <c r="FN408" s="645"/>
      <c r="FO408" s="645"/>
      <c r="FP408" s="645"/>
      <c r="FQ408" s="645"/>
      <c r="FR408" s="645"/>
      <c r="FS408" s="645"/>
      <c r="FT408" s="645"/>
      <c r="FU408" s="645"/>
      <c r="FV408" s="645"/>
      <c r="FW408" s="645"/>
      <c r="FX408" s="645"/>
      <c r="FY408" s="645"/>
      <c r="FZ408" s="645"/>
      <c r="GA408" s="645"/>
      <c r="GB408" s="645"/>
      <c r="GC408" s="645"/>
      <c r="GD408" s="645"/>
      <c r="GE408" s="645"/>
      <c r="GF408" s="645"/>
      <c r="GG408" s="645"/>
      <c r="GH408" s="645"/>
      <c r="GI408" s="645"/>
      <c r="GJ408" s="645"/>
      <c r="GK408" s="645"/>
      <c r="GL408" s="645"/>
      <c r="GM408" s="645"/>
      <c r="GN408" s="645"/>
      <c r="GO408" s="645"/>
      <c r="GP408" s="645"/>
      <c r="GQ408" s="645"/>
      <c r="GR408" s="645"/>
      <c r="GS408" s="645"/>
      <c r="GT408" s="645"/>
      <c r="GU408" s="645"/>
      <c r="GV408" s="645"/>
      <c r="GW408" s="645"/>
      <c r="GX408" s="645"/>
      <c r="GY408" s="645"/>
      <c r="GZ408" s="645"/>
      <c r="HA408" s="645"/>
      <c r="HB408" s="645"/>
      <c r="HC408" s="645"/>
      <c r="HD408" s="645"/>
      <c r="HE408" s="645"/>
      <c r="HF408" s="645"/>
      <c r="HG408" s="645"/>
      <c r="HH408" s="645"/>
      <c r="HI408" s="645"/>
      <c r="HJ408" s="645"/>
      <c r="HK408" s="645"/>
      <c r="HL408" s="645"/>
      <c r="HM408" s="645"/>
      <c r="HN408" s="645"/>
      <c r="HO408" s="645"/>
      <c r="HP408" s="645"/>
      <c r="HQ408" s="645"/>
      <c r="HR408" s="645">
        <v>0.20250000000000001</v>
      </c>
      <c r="HS408" s="645">
        <f t="shared" si="830"/>
        <v>1359.6428571428571</v>
      </c>
      <c r="HT408" s="645">
        <f t="shared" si="831"/>
        <v>1</v>
      </c>
      <c r="HU408" s="618">
        <f t="shared" si="832"/>
        <v>5.1588530331098132</v>
      </c>
      <c r="HV408" s="618"/>
      <c r="HW408" s="618">
        <f t="shared" si="817"/>
        <v>28.674428692984065</v>
      </c>
      <c r="HX408" s="618">
        <f t="shared" si="833"/>
        <v>4.6326744429105178</v>
      </c>
      <c r="HY408" s="618">
        <f t="shared" si="834"/>
        <v>0.20250000000000001</v>
      </c>
      <c r="HZ408" s="618"/>
      <c r="IA408" s="618"/>
      <c r="IB408" s="618">
        <f t="shared" si="818"/>
        <v>25.000350341399081</v>
      </c>
      <c r="IC408" s="618">
        <f t="shared" si="819"/>
        <v>1E-3</v>
      </c>
      <c r="ID408" s="618"/>
      <c r="IE408" s="618">
        <f t="shared" si="820"/>
        <v>0</v>
      </c>
      <c r="IF408" s="618">
        <f t="shared" si="821"/>
        <v>40.704999999999998</v>
      </c>
      <c r="IG408" s="618"/>
      <c r="IH408" s="618">
        <f t="shared" si="822"/>
        <v>0</v>
      </c>
      <c r="II408" s="618">
        <f t="shared" si="823"/>
        <v>40.704999999999998</v>
      </c>
      <c r="IJ408" s="618"/>
      <c r="IK408" s="618">
        <f t="shared" si="824"/>
        <v>0</v>
      </c>
      <c r="IL408" s="618">
        <f t="shared" si="825"/>
        <v>40.704999999999998</v>
      </c>
      <c r="IM408" s="618"/>
      <c r="IN408" s="618">
        <f t="shared" si="826"/>
        <v>0</v>
      </c>
      <c r="IO408" s="618">
        <f t="shared" si="827"/>
        <v>40.704999999999998</v>
      </c>
      <c r="IP408" s="618"/>
      <c r="IQ408" s="618">
        <f t="shared" si="828"/>
        <v>0</v>
      </c>
      <c r="IR408" s="618">
        <f t="shared" si="829"/>
        <v>40.704999999999998</v>
      </c>
      <c r="IS408" s="645"/>
      <c r="IT408" s="645"/>
      <c r="IU408" s="645"/>
      <c r="IV408" s="645"/>
      <c r="IW408" s="645"/>
      <c r="IX408" s="645"/>
      <c r="IY408" s="645"/>
      <c r="IZ408" s="645"/>
      <c r="JA408" s="645"/>
      <c r="JB408" s="645"/>
      <c r="JC408" s="645"/>
      <c r="JD408" s="645"/>
      <c r="JE408" s="645"/>
      <c r="JF408" s="645"/>
      <c r="JG408" s="645"/>
      <c r="JH408" s="645"/>
      <c r="JI408" s="645"/>
      <c r="JJ408" s="645"/>
      <c r="JK408" s="645"/>
      <c r="JL408" s="645"/>
      <c r="JM408" s="645"/>
      <c r="JN408" s="645"/>
      <c r="JO408" s="645"/>
      <c r="JP408" s="645"/>
      <c r="JQ408" s="645"/>
      <c r="JR408" s="645"/>
      <c r="JS408" s="645"/>
      <c r="JT408" s="645"/>
      <c r="JU408" s="645"/>
      <c r="JV408" s="653"/>
    </row>
    <row r="409" spans="1:282" s="612" customFormat="1">
      <c r="A409" s="611"/>
      <c r="U409" s="613"/>
      <c r="V409" s="613"/>
      <c r="AC409" s="613"/>
      <c r="AD409" s="613"/>
      <c r="AL409" s="613"/>
      <c r="AM409" s="613"/>
      <c r="AT409" s="613"/>
      <c r="AU409" s="613"/>
      <c r="CH409" s="611"/>
      <c r="CI409" s="611"/>
      <c r="CO409" s="695"/>
      <c r="CP409" s="645"/>
      <c r="CQ409" s="618"/>
      <c r="CR409" s="618"/>
      <c r="CS409" s="618"/>
      <c r="CT409" s="626"/>
      <c r="CU409" s="626"/>
      <c r="CV409" s="626"/>
      <c r="CW409" s="646"/>
      <c r="CX409" s="646"/>
      <c r="CY409" s="625"/>
      <c r="CZ409" s="625"/>
      <c r="DA409" s="625"/>
      <c r="DB409" s="625"/>
      <c r="DC409" s="645"/>
      <c r="DD409" s="645"/>
      <c r="DE409" s="645"/>
      <c r="DF409" s="645"/>
      <c r="DG409" s="645"/>
      <c r="DH409" s="645"/>
      <c r="DI409" s="645"/>
      <c r="DJ409" s="645"/>
      <c r="DK409" s="645"/>
      <c r="DL409" s="645"/>
      <c r="DM409" s="645"/>
      <c r="DN409" s="645"/>
      <c r="DO409" s="645"/>
      <c r="DP409" s="645"/>
      <c r="DQ409" s="645"/>
      <c r="DR409" s="645"/>
      <c r="DS409" s="645"/>
      <c r="DT409" s="645"/>
      <c r="DU409" s="645"/>
      <c r="DV409" s="645"/>
      <c r="DW409" s="645"/>
      <c r="DX409" s="645"/>
      <c r="DY409" s="645"/>
      <c r="DZ409" s="645"/>
      <c r="EA409" s="645"/>
      <c r="EB409" s="645"/>
      <c r="EC409" s="645"/>
      <c r="ED409" s="645"/>
      <c r="EE409" s="645"/>
      <c r="EF409" s="645"/>
      <c r="EG409" s="645"/>
      <c r="EH409" s="645"/>
      <c r="EI409" s="645"/>
      <c r="EJ409" s="645"/>
      <c r="EK409" s="645"/>
      <c r="EL409" s="645"/>
      <c r="EM409" s="645"/>
      <c r="EN409" s="645"/>
      <c r="EO409" s="645"/>
      <c r="EP409" s="645"/>
      <c r="EQ409" s="645"/>
      <c r="ER409" s="645"/>
      <c r="ES409" s="645"/>
      <c r="ET409" s="645"/>
      <c r="EU409" s="645"/>
      <c r="EV409" s="645"/>
      <c r="EW409" s="645"/>
      <c r="EX409" s="645"/>
      <c r="EY409" s="645"/>
      <c r="EZ409" s="645"/>
      <c r="FA409" s="645"/>
      <c r="FB409" s="645"/>
      <c r="FC409" s="645"/>
      <c r="FD409" s="645"/>
      <c r="FE409" s="645"/>
      <c r="FF409" s="645"/>
      <c r="FG409" s="645"/>
      <c r="FH409" s="645"/>
      <c r="FI409" s="645"/>
      <c r="FJ409" s="645"/>
      <c r="FK409" s="645"/>
      <c r="FL409" s="645"/>
      <c r="FM409" s="645"/>
      <c r="FN409" s="645"/>
      <c r="FO409" s="645"/>
      <c r="FP409" s="645"/>
      <c r="FQ409" s="645"/>
      <c r="FR409" s="645"/>
      <c r="FS409" s="645"/>
      <c r="FT409" s="645"/>
      <c r="FU409" s="645"/>
      <c r="FV409" s="645"/>
      <c r="FW409" s="645"/>
      <c r="FX409" s="645"/>
      <c r="FY409" s="645"/>
      <c r="FZ409" s="645"/>
      <c r="GA409" s="645"/>
      <c r="GB409" s="645"/>
      <c r="GC409" s="645"/>
      <c r="GD409" s="645"/>
      <c r="GE409" s="645"/>
      <c r="GF409" s="645"/>
      <c r="GG409" s="645"/>
      <c r="GH409" s="645"/>
      <c r="GI409" s="645"/>
      <c r="GJ409" s="645"/>
      <c r="GK409" s="645"/>
      <c r="GL409" s="645"/>
      <c r="GM409" s="645"/>
      <c r="GN409" s="645"/>
      <c r="GO409" s="645"/>
      <c r="GP409" s="645"/>
      <c r="GQ409" s="645"/>
      <c r="GR409" s="645"/>
      <c r="GS409" s="645"/>
      <c r="GT409" s="645"/>
      <c r="GU409" s="645"/>
      <c r="GV409" s="645"/>
      <c r="GW409" s="645"/>
      <c r="GX409" s="645"/>
      <c r="GY409" s="645"/>
      <c r="GZ409" s="645"/>
      <c r="HA409" s="645"/>
      <c r="HB409" s="645"/>
      <c r="HC409" s="645"/>
      <c r="HD409" s="645"/>
      <c r="HE409" s="645"/>
      <c r="HF409" s="645"/>
      <c r="HG409" s="645"/>
      <c r="HH409" s="645"/>
      <c r="HI409" s="645"/>
      <c r="HJ409" s="645"/>
      <c r="HK409" s="645"/>
      <c r="HL409" s="645"/>
      <c r="HM409" s="645"/>
      <c r="HN409" s="645"/>
      <c r="HO409" s="645"/>
      <c r="HP409" s="645"/>
      <c r="HQ409" s="645"/>
      <c r="HR409" s="645">
        <v>0.20300000000000001</v>
      </c>
      <c r="HS409" s="645">
        <f t="shared" si="830"/>
        <v>1363</v>
      </c>
      <c r="HT409" s="645">
        <f t="shared" si="831"/>
        <v>1</v>
      </c>
      <c r="HU409" s="618">
        <f t="shared" si="832"/>
        <v>5.1715920770834378</v>
      </c>
      <c r="HV409" s="618"/>
      <c r="HW409" s="618">
        <f t="shared" si="817"/>
        <v>28.656339250541521</v>
      </c>
      <c r="HX409" s="618">
        <f t="shared" si="833"/>
        <v>4.6428148419615107</v>
      </c>
      <c r="HY409" s="618">
        <f t="shared" si="834"/>
        <v>0.20300000000000001</v>
      </c>
      <c r="HZ409" s="618"/>
      <c r="IA409" s="618"/>
      <c r="IB409" s="618">
        <f t="shared" si="818"/>
        <v>25.000350341399081</v>
      </c>
      <c r="IC409" s="618">
        <f t="shared" si="819"/>
        <v>1E-3</v>
      </c>
      <c r="ID409" s="618"/>
      <c r="IE409" s="618">
        <f t="shared" si="820"/>
        <v>0</v>
      </c>
      <c r="IF409" s="618">
        <f t="shared" si="821"/>
        <v>40.704999999999998</v>
      </c>
      <c r="IG409" s="618"/>
      <c r="IH409" s="618">
        <f t="shared" si="822"/>
        <v>0</v>
      </c>
      <c r="II409" s="618">
        <f t="shared" si="823"/>
        <v>40.704999999999998</v>
      </c>
      <c r="IJ409" s="618"/>
      <c r="IK409" s="618">
        <f t="shared" si="824"/>
        <v>0</v>
      </c>
      <c r="IL409" s="618">
        <f t="shared" si="825"/>
        <v>40.704999999999998</v>
      </c>
      <c r="IM409" s="618"/>
      <c r="IN409" s="618">
        <f t="shared" si="826"/>
        <v>0</v>
      </c>
      <c r="IO409" s="618">
        <f t="shared" si="827"/>
        <v>40.704999999999998</v>
      </c>
      <c r="IP409" s="618"/>
      <c r="IQ409" s="618">
        <f t="shared" si="828"/>
        <v>0</v>
      </c>
      <c r="IR409" s="618">
        <f t="shared" si="829"/>
        <v>40.704999999999998</v>
      </c>
      <c r="IS409" s="645"/>
      <c r="IT409" s="645"/>
      <c r="IU409" s="645"/>
      <c r="IV409" s="645"/>
      <c r="IW409" s="645"/>
      <c r="IX409" s="645"/>
      <c r="IY409" s="645"/>
      <c r="IZ409" s="645"/>
      <c r="JA409" s="645"/>
      <c r="JB409" s="645"/>
      <c r="JC409" s="645"/>
      <c r="JD409" s="645"/>
      <c r="JE409" s="645"/>
      <c r="JF409" s="645"/>
      <c r="JG409" s="645"/>
      <c r="JH409" s="645"/>
      <c r="JI409" s="645"/>
      <c r="JJ409" s="645"/>
      <c r="JK409" s="645"/>
      <c r="JL409" s="645"/>
      <c r="JM409" s="645"/>
      <c r="JN409" s="645"/>
      <c r="JO409" s="645"/>
      <c r="JP409" s="645"/>
      <c r="JQ409" s="645"/>
      <c r="JR409" s="645"/>
      <c r="JS409" s="645"/>
      <c r="JT409" s="645"/>
      <c r="JU409" s="645"/>
      <c r="JV409" s="653"/>
    </row>
    <row r="410" spans="1:282" s="612" customFormat="1">
      <c r="A410" s="611"/>
      <c r="U410" s="613"/>
      <c r="V410" s="613"/>
      <c r="AC410" s="613"/>
      <c r="AD410" s="613"/>
      <c r="AL410" s="613"/>
      <c r="AM410" s="613"/>
      <c r="AT410" s="613"/>
      <c r="AU410" s="613"/>
      <c r="CH410" s="611"/>
      <c r="CI410" s="611"/>
      <c r="CO410" s="695"/>
      <c r="CP410" s="645"/>
      <c r="CQ410" s="618"/>
      <c r="CR410" s="618"/>
      <c r="CS410" s="618"/>
      <c r="CT410" s="626"/>
      <c r="CU410" s="626"/>
      <c r="CV410" s="626"/>
      <c r="CW410" s="646"/>
      <c r="CX410" s="646"/>
      <c r="CY410" s="625"/>
      <c r="CZ410" s="625"/>
      <c r="DA410" s="625"/>
      <c r="DB410" s="625"/>
      <c r="DC410" s="645"/>
      <c r="DD410" s="645"/>
      <c r="DE410" s="645"/>
      <c r="DF410" s="645"/>
      <c r="DG410" s="645"/>
      <c r="DH410" s="645"/>
      <c r="DI410" s="645"/>
      <c r="DJ410" s="645"/>
      <c r="DK410" s="645"/>
      <c r="DL410" s="645"/>
      <c r="DM410" s="645"/>
      <c r="DN410" s="645"/>
      <c r="DO410" s="645"/>
      <c r="DP410" s="645"/>
      <c r="DQ410" s="645"/>
      <c r="DR410" s="645"/>
      <c r="DS410" s="645"/>
      <c r="DT410" s="645"/>
      <c r="DU410" s="645"/>
      <c r="DV410" s="645"/>
      <c r="DW410" s="645"/>
      <c r="DX410" s="645"/>
      <c r="DY410" s="645"/>
      <c r="DZ410" s="645"/>
      <c r="EA410" s="645"/>
      <c r="EB410" s="645"/>
      <c r="EC410" s="645"/>
      <c r="ED410" s="645"/>
      <c r="EE410" s="645"/>
      <c r="EF410" s="645"/>
      <c r="EG410" s="645"/>
      <c r="EH410" s="645"/>
      <c r="EI410" s="645"/>
      <c r="EJ410" s="645"/>
      <c r="EK410" s="645"/>
      <c r="EL410" s="645"/>
      <c r="EM410" s="645"/>
      <c r="EN410" s="645"/>
      <c r="EO410" s="645"/>
      <c r="EP410" s="645"/>
      <c r="EQ410" s="645"/>
      <c r="ER410" s="645"/>
      <c r="ES410" s="645"/>
      <c r="ET410" s="645"/>
      <c r="EU410" s="645"/>
      <c r="EV410" s="645"/>
      <c r="EW410" s="645"/>
      <c r="EX410" s="645"/>
      <c r="EY410" s="645"/>
      <c r="EZ410" s="645"/>
      <c r="FA410" s="645"/>
      <c r="FB410" s="645"/>
      <c r="FC410" s="645"/>
      <c r="FD410" s="645"/>
      <c r="FE410" s="645"/>
      <c r="FF410" s="645"/>
      <c r="FG410" s="645"/>
      <c r="FH410" s="645"/>
      <c r="FI410" s="645"/>
      <c r="FJ410" s="645"/>
      <c r="FK410" s="645"/>
      <c r="FL410" s="645"/>
      <c r="FM410" s="645"/>
      <c r="FN410" s="645"/>
      <c r="FO410" s="645"/>
      <c r="FP410" s="645"/>
      <c r="FQ410" s="645"/>
      <c r="FR410" s="645"/>
      <c r="FS410" s="645"/>
      <c r="FT410" s="645"/>
      <c r="FU410" s="645"/>
      <c r="FV410" s="645"/>
      <c r="FW410" s="645"/>
      <c r="FX410" s="645"/>
      <c r="FY410" s="645"/>
      <c r="FZ410" s="645"/>
      <c r="GA410" s="645"/>
      <c r="GB410" s="645"/>
      <c r="GC410" s="645"/>
      <c r="GD410" s="645"/>
      <c r="GE410" s="645"/>
      <c r="GF410" s="645"/>
      <c r="GG410" s="645"/>
      <c r="GH410" s="645"/>
      <c r="GI410" s="645"/>
      <c r="GJ410" s="645"/>
      <c r="GK410" s="645"/>
      <c r="GL410" s="645"/>
      <c r="GM410" s="645"/>
      <c r="GN410" s="645"/>
      <c r="GO410" s="645"/>
      <c r="GP410" s="645"/>
      <c r="GQ410" s="645"/>
      <c r="GR410" s="645"/>
      <c r="GS410" s="645"/>
      <c r="GT410" s="645"/>
      <c r="GU410" s="645"/>
      <c r="GV410" s="645"/>
      <c r="GW410" s="645"/>
      <c r="GX410" s="645"/>
      <c r="GY410" s="645"/>
      <c r="GZ410" s="645"/>
      <c r="HA410" s="645"/>
      <c r="HB410" s="645"/>
      <c r="HC410" s="645"/>
      <c r="HD410" s="645"/>
      <c r="HE410" s="645"/>
      <c r="HF410" s="645"/>
      <c r="HG410" s="645"/>
      <c r="HH410" s="645"/>
      <c r="HI410" s="645"/>
      <c r="HJ410" s="645"/>
      <c r="HK410" s="645"/>
      <c r="HL410" s="645"/>
      <c r="HM410" s="645"/>
      <c r="HN410" s="645"/>
      <c r="HO410" s="645"/>
      <c r="HP410" s="645"/>
      <c r="HQ410" s="645"/>
      <c r="HR410" s="645">
        <v>0.20349999999999999</v>
      </c>
      <c r="HS410" s="645">
        <f t="shared" si="830"/>
        <v>1366.3571428571427</v>
      </c>
      <c r="HT410" s="645">
        <f t="shared" si="831"/>
        <v>1</v>
      </c>
      <c r="HU410" s="618">
        <f t="shared" si="832"/>
        <v>5.1843311210570615</v>
      </c>
      <c r="HV410" s="618"/>
      <c r="HW410" s="618">
        <f t="shared" si="817"/>
        <v>28.638249808098973</v>
      </c>
      <c r="HX410" s="618">
        <f t="shared" si="833"/>
        <v>4.6529488398402057</v>
      </c>
      <c r="HY410" s="618">
        <f t="shared" si="834"/>
        <v>0.20349999999999999</v>
      </c>
      <c r="HZ410" s="618"/>
      <c r="IA410" s="618"/>
      <c r="IB410" s="618">
        <f t="shared" si="818"/>
        <v>25.000350341399081</v>
      </c>
      <c r="IC410" s="618">
        <f t="shared" si="819"/>
        <v>1E-3</v>
      </c>
      <c r="ID410" s="618"/>
      <c r="IE410" s="618">
        <f t="shared" si="820"/>
        <v>0</v>
      </c>
      <c r="IF410" s="618">
        <f t="shared" si="821"/>
        <v>40.704999999999998</v>
      </c>
      <c r="IG410" s="618"/>
      <c r="IH410" s="618">
        <f t="shared" si="822"/>
        <v>0</v>
      </c>
      <c r="II410" s="618">
        <f t="shared" si="823"/>
        <v>40.704999999999998</v>
      </c>
      <c r="IJ410" s="618"/>
      <c r="IK410" s="618">
        <f t="shared" si="824"/>
        <v>0</v>
      </c>
      <c r="IL410" s="618">
        <f t="shared" si="825"/>
        <v>40.704999999999998</v>
      </c>
      <c r="IM410" s="618"/>
      <c r="IN410" s="618">
        <f t="shared" si="826"/>
        <v>0</v>
      </c>
      <c r="IO410" s="618">
        <f t="shared" si="827"/>
        <v>40.704999999999998</v>
      </c>
      <c r="IP410" s="618"/>
      <c r="IQ410" s="618">
        <f t="shared" si="828"/>
        <v>0</v>
      </c>
      <c r="IR410" s="618">
        <f t="shared" si="829"/>
        <v>40.704999999999998</v>
      </c>
      <c r="IS410" s="645"/>
      <c r="IT410" s="645"/>
      <c r="IU410" s="645"/>
      <c r="IV410" s="645"/>
      <c r="IW410" s="645"/>
      <c r="IX410" s="645"/>
      <c r="IY410" s="645"/>
      <c r="IZ410" s="645"/>
      <c r="JA410" s="645"/>
      <c r="JB410" s="645"/>
      <c r="JC410" s="645"/>
      <c r="JD410" s="645"/>
      <c r="JE410" s="645"/>
      <c r="JF410" s="645"/>
      <c r="JG410" s="645"/>
      <c r="JH410" s="645"/>
      <c r="JI410" s="645"/>
      <c r="JJ410" s="645"/>
      <c r="JK410" s="645"/>
      <c r="JL410" s="645"/>
      <c r="JM410" s="645"/>
      <c r="JN410" s="645"/>
      <c r="JO410" s="645"/>
      <c r="JP410" s="645"/>
      <c r="JQ410" s="645"/>
      <c r="JR410" s="645"/>
      <c r="JS410" s="645"/>
      <c r="JT410" s="645"/>
      <c r="JU410" s="645"/>
      <c r="JV410" s="653"/>
    </row>
    <row r="411" spans="1:282" s="612" customFormat="1">
      <c r="A411" s="611"/>
      <c r="U411" s="613"/>
      <c r="V411" s="613"/>
      <c r="AC411" s="613"/>
      <c r="AD411" s="613"/>
      <c r="AL411" s="613"/>
      <c r="AM411" s="613"/>
      <c r="AT411" s="613"/>
      <c r="AU411" s="613"/>
      <c r="CH411" s="611"/>
      <c r="CI411" s="611"/>
      <c r="CO411" s="695"/>
      <c r="CP411" s="645"/>
      <c r="CQ411" s="618"/>
      <c r="CR411" s="618"/>
      <c r="CS411" s="618"/>
      <c r="CT411" s="626"/>
      <c r="CU411" s="626"/>
      <c r="CV411" s="626"/>
      <c r="CW411" s="646"/>
      <c r="CX411" s="646"/>
      <c r="CY411" s="625"/>
      <c r="CZ411" s="625"/>
      <c r="DA411" s="625"/>
      <c r="DB411" s="625"/>
      <c r="DC411" s="645"/>
      <c r="DD411" s="645"/>
      <c r="DE411" s="645"/>
      <c r="DF411" s="645"/>
      <c r="DG411" s="645"/>
      <c r="DH411" s="645"/>
      <c r="DI411" s="645"/>
      <c r="DJ411" s="645"/>
      <c r="DK411" s="645"/>
      <c r="DL411" s="645"/>
      <c r="DM411" s="645"/>
      <c r="DN411" s="645"/>
      <c r="DO411" s="645"/>
      <c r="DP411" s="645"/>
      <c r="DQ411" s="645"/>
      <c r="DR411" s="645"/>
      <c r="DS411" s="645"/>
      <c r="DT411" s="645"/>
      <c r="DU411" s="645"/>
      <c r="DV411" s="645"/>
      <c r="DW411" s="645"/>
      <c r="DX411" s="645"/>
      <c r="DY411" s="645"/>
      <c r="DZ411" s="645"/>
      <c r="EA411" s="645"/>
      <c r="EB411" s="645"/>
      <c r="EC411" s="645"/>
      <c r="ED411" s="645"/>
      <c r="EE411" s="645"/>
      <c r="EF411" s="645"/>
      <c r="EG411" s="645"/>
      <c r="EH411" s="645"/>
      <c r="EI411" s="645"/>
      <c r="EJ411" s="645"/>
      <c r="EK411" s="645"/>
      <c r="EL411" s="645"/>
      <c r="EM411" s="645"/>
      <c r="EN411" s="645"/>
      <c r="EO411" s="645"/>
      <c r="EP411" s="645"/>
      <c r="EQ411" s="645"/>
      <c r="ER411" s="645"/>
      <c r="ES411" s="645"/>
      <c r="ET411" s="645"/>
      <c r="EU411" s="645"/>
      <c r="EV411" s="645"/>
      <c r="EW411" s="645"/>
      <c r="EX411" s="645"/>
      <c r="EY411" s="645"/>
      <c r="EZ411" s="645"/>
      <c r="FA411" s="645"/>
      <c r="FB411" s="645"/>
      <c r="FC411" s="645"/>
      <c r="FD411" s="645"/>
      <c r="FE411" s="645"/>
      <c r="FF411" s="645"/>
      <c r="FG411" s="645"/>
      <c r="FH411" s="645"/>
      <c r="FI411" s="645"/>
      <c r="FJ411" s="645"/>
      <c r="FK411" s="645"/>
      <c r="FL411" s="645"/>
      <c r="FM411" s="645"/>
      <c r="FN411" s="645"/>
      <c r="FO411" s="645"/>
      <c r="FP411" s="645"/>
      <c r="FQ411" s="645"/>
      <c r="FR411" s="645"/>
      <c r="FS411" s="645"/>
      <c r="FT411" s="645"/>
      <c r="FU411" s="645"/>
      <c r="FV411" s="645"/>
      <c r="FW411" s="645"/>
      <c r="FX411" s="645"/>
      <c r="FY411" s="645"/>
      <c r="FZ411" s="645"/>
      <c r="GA411" s="645"/>
      <c r="GB411" s="645"/>
      <c r="GC411" s="645"/>
      <c r="GD411" s="645"/>
      <c r="GE411" s="645"/>
      <c r="GF411" s="645"/>
      <c r="GG411" s="645"/>
      <c r="GH411" s="645"/>
      <c r="GI411" s="645"/>
      <c r="GJ411" s="645"/>
      <c r="GK411" s="645"/>
      <c r="GL411" s="645"/>
      <c r="GM411" s="645"/>
      <c r="GN411" s="645"/>
      <c r="GO411" s="645"/>
      <c r="GP411" s="645"/>
      <c r="GQ411" s="645"/>
      <c r="GR411" s="645"/>
      <c r="GS411" s="645"/>
      <c r="GT411" s="645"/>
      <c r="GU411" s="645"/>
      <c r="GV411" s="645"/>
      <c r="GW411" s="645"/>
      <c r="GX411" s="645"/>
      <c r="GY411" s="645"/>
      <c r="GZ411" s="645"/>
      <c r="HA411" s="645"/>
      <c r="HB411" s="645"/>
      <c r="HC411" s="645"/>
      <c r="HD411" s="645"/>
      <c r="HE411" s="645"/>
      <c r="HF411" s="645"/>
      <c r="HG411" s="645"/>
      <c r="HH411" s="645"/>
      <c r="HI411" s="645"/>
      <c r="HJ411" s="645"/>
      <c r="HK411" s="645"/>
      <c r="HL411" s="645"/>
      <c r="HM411" s="645"/>
      <c r="HN411" s="645"/>
      <c r="HO411" s="645"/>
      <c r="HP411" s="645"/>
      <c r="HQ411" s="645"/>
      <c r="HR411" s="645">
        <v>0.20399999999999999</v>
      </c>
      <c r="HS411" s="645">
        <f t="shared" si="830"/>
        <v>1369.7142857142856</v>
      </c>
      <c r="HT411" s="645">
        <f t="shared" si="831"/>
        <v>1</v>
      </c>
      <c r="HU411" s="618">
        <f t="shared" si="832"/>
        <v>5.1970701650306861</v>
      </c>
      <c r="HV411" s="618"/>
      <c r="HW411" s="618">
        <f t="shared" si="817"/>
        <v>28.620160365656425</v>
      </c>
      <c r="HX411" s="618">
        <f t="shared" si="833"/>
        <v>4.6630764365466026</v>
      </c>
      <c r="HY411" s="618">
        <f t="shared" si="834"/>
        <v>0.20399999999999999</v>
      </c>
      <c r="HZ411" s="618"/>
      <c r="IA411" s="618"/>
      <c r="IB411" s="618">
        <f t="shared" si="818"/>
        <v>25.000350341399081</v>
      </c>
      <c r="IC411" s="618">
        <f t="shared" si="819"/>
        <v>1E-3</v>
      </c>
      <c r="ID411" s="618"/>
      <c r="IE411" s="618">
        <f t="shared" si="820"/>
        <v>0</v>
      </c>
      <c r="IF411" s="618">
        <f t="shared" si="821"/>
        <v>40.704999999999998</v>
      </c>
      <c r="IG411" s="618"/>
      <c r="IH411" s="618">
        <f t="shared" si="822"/>
        <v>0</v>
      </c>
      <c r="II411" s="618">
        <f t="shared" si="823"/>
        <v>40.704999999999998</v>
      </c>
      <c r="IJ411" s="618"/>
      <c r="IK411" s="618">
        <f t="shared" si="824"/>
        <v>0</v>
      </c>
      <c r="IL411" s="618">
        <f t="shared" si="825"/>
        <v>40.704999999999998</v>
      </c>
      <c r="IM411" s="618"/>
      <c r="IN411" s="618">
        <f t="shared" si="826"/>
        <v>0</v>
      </c>
      <c r="IO411" s="618">
        <f t="shared" si="827"/>
        <v>40.704999999999998</v>
      </c>
      <c r="IP411" s="618"/>
      <c r="IQ411" s="618">
        <f t="shared" si="828"/>
        <v>0</v>
      </c>
      <c r="IR411" s="618">
        <f t="shared" si="829"/>
        <v>40.704999999999998</v>
      </c>
      <c r="IS411" s="645"/>
      <c r="IT411" s="645"/>
      <c r="IU411" s="645"/>
      <c r="IV411" s="645"/>
      <c r="IW411" s="645"/>
      <c r="IX411" s="645"/>
      <c r="IY411" s="645"/>
      <c r="IZ411" s="645"/>
      <c r="JA411" s="645"/>
      <c r="JB411" s="645"/>
      <c r="JC411" s="645"/>
      <c r="JD411" s="645"/>
      <c r="JE411" s="645"/>
      <c r="JF411" s="645"/>
      <c r="JG411" s="645"/>
      <c r="JH411" s="645"/>
      <c r="JI411" s="645"/>
      <c r="JJ411" s="645"/>
      <c r="JK411" s="645"/>
      <c r="JL411" s="645"/>
      <c r="JM411" s="645"/>
      <c r="JN411" s="645"/>
      <c r="JO411" s="645"/>
      <c r="JP411" s="645"/>
      <c r="JQ411" s="645"/>
      <c r="JR411" s="645"/>
      <c r="JS411" s="645"/>
      <c r="JT411" s="645"/>
      <c r="JU411" s="645"/>
      <c r="JV411" s="653"/>
    </row>
    <row r="412" spans="1:282" s="612" customFormat="1">
      <c r="A412" s="611"/>
      <c r="U412" s="613"/>
      <c r="V412" s="613"/>
      <c r="AC412" s="613"/>
      <c r="AD412" s="613"/>
      <c r="AL412" s="613"/>
      <c r="AM412" s="613"/>
      <c r="AT412" s="613"/>
      <c r="AU412" s="613"/>
      <c r="CH412" s="611"/>
      <c r="CI412" s="611"/>
      <c r="CO412" s="695"/>
      <c r="CP412" s="645"/>
      <c r="CQ412" s="618"/>
      <c r="CR412" s="618"/>
      <c r="CS412" s="618"/>
      <c r="CT412" s="626"/>
      <c r="CU412" s="626"/>
      <c r="CV412" s="626"/>
      <c r="CW412" s="646"/>
      <c r="CX412" s="646"/>
      <c r="CY412" s="625"/>
      <c r="CZ412" s="625"/>
      <c r="DA412" s="625"/>
      <c r="DB412" s="625"/>
      <c r="DC412" s="645"/>
      <c r="DD412" s="645"/>
      <c r="DE412" s="645"/>
      <c r="DF412" s="645"/>
      <c r="DG412" s="645"/>
      <c r="DH412" s="645"/>
      <c r="DI412" s="645"/>
      <c r="DJ412" s="645"/>
      <c r="DK412" s="645"/>
      <c r="DL412" s="645"/>
      <c r="DM412" s="645"/>
      <c r="DN412" s="645"/>
      <c r="DO412" s="645"/>
      <c r="DP412" s="645"/>
      <c r="DQ412" s="645"/>
      <c r="DR412" s="645"/>
      <c r="DS412" s="645"/>
      <c r="DT412" s="645"/>
      <c r="DU412" s="645"/>
      <c r="DV412" s="645"/>
      <c r="DW412" s="645"/>
      <c r="DX412" s="645"/>
      <c r="DY412" s="645"/>
      <c r="DZ412" s="645"/>
      <c r="EA412" s="645"/>
      <c r="EB412" s="645"/>
      <c r="EC412" s="645"/>
      <c r="ED412" s="645"/>
      <c r="EE412" s="645"/>
      <c r="EF412" s="645"/>
      <c r="EG412" s="645"/>
      <c r="EH412" s="645"/>
      <c r="EI412" s="645"/>
      <c r="EJ412" s="645"/>
      <c r="EK412" s="645"/>
      <c r="EL412" s="645"/>
      <c r="EM412" s="645"/>
      <c r="EN412" s="645"/>
      <c r="EO412" s="645"/>
      <c r="EP412" s="645"/>
      <c r="EQ412" s="645"/>
      <c r="ER412" s="645"/>
      <c r="ES412" s="645"/>
      <c r="ET412" s="645"/>
      <c r="EU412" s="645"/>
      <c r="EV412" s="645"/>
      <c r="EW412" s="645"/>
      <c r="EX412" s="645"/>
      <c r="EY412" s="645"/>
      <c r="EZ412" s="645"/>
      <c r="FA412" s="645"/>
      <c r="FB412" s="645"/>
      <c r="FC412" s="645"/>
      <c r="FD412" s="645"/>
      <c r="FE412" s="645"/>
      <c r="FF412" s="645"/>
      <c r="FG412" s="645"/>
      <c r="FH412" s="645"/>
      <c r="FI412" s="645"/>
      <c r="FJ412" s="645"/>
      <c r="FK412" s="645"/>
      <c r="FL412" s="645"/>
      <c r="FM412" s="645"/>
      <c r="FN412" s="645"/>
      <c r="FO412" s="645"/>
      <c r="FP412" s="645"/>
      <c r="FQ412" s="645"/>
      <c r="FR412" s="645"/>
      <c r="FS412" s="645"/>
      <c r="FT412" s="645"/>
      <c r="FU412" s="645"/>
      <c r="FV412" s="645"/>
      <c r="FW412" s="645"/>
      <c r="FX412" s="645"/>
      <c r="FY412" s="645"/>
      <c r="FZ412" s="645"/>
      <c r="GA412" s="645"/>
      <c r="GB412" s="645"/>
      <c r="GC412" s="645"/>
      <c r="GD412" s="645"/>
      <c r="GE412" s="645"/>
      <c r="GF412" s="645"/>
      <c r="GG412" s="645"/>
      <c r="GH412" s="645"/>
      <c r="GI412" s="645"/>
      <c r="GJ412" s="645"/>
      <c r="GK412" s="645"/>
      <c r="GL412" s="645"/>
      <c r="GM412" s="645"/>
      <c r="GN412" s="645"/>
      <c r="GO412" s="645"/>
      <c r="GP412" s="645"/>
      <c r="GQ412" s="645"/>
      <c r="GR412" s="645"/>
      <c r="GS412" s="645"/>
      <c r="GT412" s="645"/>
      <c r="GU412" s="645"/>
      <c r="GV412" s="645"/>
      <c r="GW412" s="645"/>
      <c r="GX412" s="645"/>
      <c r="GY412" s="645"/>
      <c r="GZ412" s="645"/>
      <c r="HA412" s="645"/>
      <c r="HB412" s="645"/>
      <c r="HC412" s="645"/>
      <c r="HD412" s="645"/>
      <c r="HE412" s="645"/>
      <c r="HF412" s="645"/>
      <c r="HG412" s="645"/>
      <c r="HH412" s="645"/>
      <c r="HI412" s="645"/>
      <c r="HJ412" s="645"/>
      <c r="HK412" s="645"/>
      <c r="HL412" s="645"/>
      <c r="HM412" s="645"/>
      <c r="HN412" s="645"/>
      <c r="HO412" s="645"/>
      <c r="HP412" s="645"/>
      <c r="HQ412" s="645"/>
      <c r="HR412" s="645">
        <v>0.20449999999999999</v>
      </c>
      <c r="HS412" s="645">
        <f t="shared" si="830"/>
        <v>1373.0714285714284</v>
      </c>
      <c r="HT412" s="645">
        <f t="shared" si="831"/>
        <v>1</v>
      </c>
      <c r="HU412" s="618">
        <f t="shared" si="832"/>
        <v>5.2098092090043107</v>
      </c>
      <c r="HV412" s="618"/>
      <c r="HW412" s="618">
        <f t="shared" si="817"/>
        <v>28.60207092321388</v>
      </c>
      <c r="HX412" s="618">
        <f t="shared" si="833"/>
        <v>4.6731976320807016</v>
      </c>
      <c r="HY412" s="618">
        <f t="shared" si="834"/>
        <v>0.20449999999999999</v>
      </c>
      <c r="HZ412" s="618"/>
      <c r="IA412" s="618"/>
      <c r="IB412" s="618">
        <f t="shared" si="818"/>
        <v>25.000350341399081</v>
      </c>
      <c r="IC412" s="618">
        <f t="shared" si="819"/>
        <v>1E-3</v>
      </c>
      <c r="ID412" s="618"/>
      <c r="IE412" s="618">
        <f t="shared" si="820"/>
        <v>0</v>
      </c>
      <c r="IF412" s="618">
        <f t="shared" si="821"/>
        <v>40.704999999999998</v>
      </c>
      <c r="IG412" s="618"/>
      <c r="IH412" s="618">
        <f t="shared" si="822"/>
        <v>0</v>
      </c>
      <c r="II412" s="618">
        <f t="shared" si="823"/>
        <v>40.704999999999998</v>
      </c>
      <c r="IJ412" s="618"/>
      <c r="IK412" s="618">
        <f t="shared" si="824"/>
        <v>0</v>
      </c>
      <c r="IL412" s="618">
        <f t="shared" si="825"/>
        <v>40.704999999999998</v>
      </c>
      <c r="IM412" s="618"/>
      <c r="IN412" s="618">
        <f t="shared" si="826"/>
        <v>0</v>
      </c>
      <c r="IO412" s="618">
        <f t="shared" si="827"/>
        <v>40.704999999999998</v>
      </c>
      <c r="IP412" s="618"/>
      <c r="IQ412" s="618">
        <f t="shared" si="828"/>
        <v>0</v>
      </c>
      <c r="IR412" s="618">
        <f t="shared" si="829"/>
        <v>40.704999999999998</v>
      </c>
      <c r="IS412" s="645"/>
      <c r="IT412" s="645"/>
      <c r="IU412" s="645"/>
      <c r="IV412" s="645"/>
      <c r="IW412" s="645"/>
      <c r="IX412" s="645"/>
      <c r="IY412" s="645"/>
      <c r="IZ412" s="645"/>
      <c r="JA412" s="645"/>
      <c r="JB412" s="645"/>
      <c r="JC412" s="645"/>
      <c r="JD412" s="645"/>
      <c r="JE412" s="645"/>
      <c r="JF412" s="645"/>
      <c r="JG412" s="645"/>
      <c r="JH412" s="645"/>
      <c r="JI412" s="645"/>
      <c r="JJ412" s="645"/>
      <c r="JK412" s="645"/>
      <c r="JL412" s="645"/>
      <c r="JM412" s="645"/>
      <c r="JN412" s="645"/>
      <c r="JO412" s="645"/>
      <c r="JP412" s="645"/>
      <c r="JQ412" s="645"/>
      <c r="JR412" s="645"/>
      <c r="JS412" s="645"/>
      <c r="JT412" s="645"/>
      <c r="JU412" s="645"/>
      <c r="JV412" s="653"/>
    </row>
    <row r="413" spans="1:282" s="612" customFormat="1">
      <c r="A413" s="611"/>
      <c r="U413" s="613"/>
      <c r="V413" s="613"/>
      <c r="AC413" s="613"/>
      <c r="AD413" s="613"/>
      <c r="AL413" s="613"/>
      <c r="AM413" s="613"/>
      <c r="AT413" s="613"/>
      <c r="AU413" s="613"/>
      <c r="CH413" s="611"/>
      <c r="CI413" s="611"/>
      <c r="CO413" s="695"/>
      <c r="CP413" s="645"/>
      <c r="CQ413" s="618"/>
      <c r="CR413" s="618"/>
      <c r="CS413" s="618"/>
      <c r="CT413" s="626"/>
      <c r="CU413" s="626"/>
      <c r="CV413" s="626"/>
      <c r="CW413" s="646"/>
      <c r="CX413" s="646"/>
      <c r="CY413" s="625"/>
      <c r="CZ413" s="625"/>
      <c r="DA413" s="625"/>
      <c r="DB413" s="625"/>
      <c r="DC413" s="645"/>
      <c r="DD413" s="645"/>
      <c r="DE413" s="645"/>
      <c r="DF413" s="645"/>
      <c r="DG413" s="645"/>
      <c r="DH413" s="645"/>
      <c r="DI413" s="645"/>
      <c r="DJ413" s="645"/>
      <c r="DK413" s="645"/>
      <c r="DL413" s="645"/>
      <c r="DM413" s="645"/>
      <c r="DN413" s="645"/>
      <c r="DO413" s="645"/>
      <c r="DP413" s="645"/>
      <c r="DQ413" s="645"/>
      <c r="DR413" s="645"/>
      <c r="DS413" s="645"/>
      <c r="DT413" s="645"/>
      <c r="DU413" s="645"/>
      <c r="DV413" s="645"/>
      <c r="DW413" s="645"/>
      <c r="DX413" s="645"/>
      <c r="DY413" s="645"/>
      <c r="DZ413" s="645"/>
      <c r="EA413" s="645"/>
      <c r="EB413" s="645"/>
      <c r="EC413" s="645"/>
      <c r="ED413" s="645"/>
      <c r="EE413" s="645"/>
      <c r="EF413" s="645"/>
      <c r="EG413" s="645"/>
      <c r="EH413" s="645"/>
      <c r="EI413" s="645"/>
      <c r="EJ413" s="645"/>
      <c r="EK413" s="645"/>
      <c r="EL413" s="645"/>
      <c r="EM413" s="645"/>
      <c r="EN413" s="645"/>
      <c r="EO413" s="645"/>
      <c r="EP413" s="645"/>
      <c r="EQ413" s="645"/>
      <c r="ER413" s="645"/>
      <c r="ES413" s="645"/>
      <c r="ET413" s="645"/>
      <c r="EU413" s="645"/>
      <c r="EV413" s="645"/>
      <c r="EW413" s="645"/>
      <c r="EX413" s="645"/>
      <c r="EY413" s="645"/>
      <c r="EZ413" s="645"/>
      <c r="FA413" s="645"/>
      <c r="FB413" s="645"/>
      <c r="FC413" s="645"/>
      <c r="FD413" s="645"/>
      <c r="FE413" s="645"/>
      <c r="FF413" s="645"/>
      <c r="FG413" s="645"/>
      <c r="FH413" s="645"/>
      <c r="FI413" s="645"/>
      <c r="FJ413" s="645"/>
      <c r="FK413" s="645"/>
      <c r="FL413" s="645"/>
      <c r="FM413" s="645"/>
      <c r="FN413" s="645"/>
      <c r="FO413" s="645"/>
      <c r="FP413" s="645"/>
      <c r="FQ413" s="645"/>
      <c r="FR413" s="645"/>
      <c r="FS413" s="645"/>
      <c r="FT413" s="645"/>
      <c r="FU413" s="645"/>
      <c r="FV413" s="645"/>
      <c r="FW413" s="645"/>
      <c r="FX413" s="645"/>
      <c r="FY413" s="645"/>
      <c r="FZ413" s="645"/>
      <c r="GA413" s="645"/>
      <c r="GB413" s="645"/>
      <c r="GC413" s="645"/>
      <c r="GD413" s="645"/>
      <c r="GE413" s="645"/>
      <c r="GF413" s="645"/>
      <c r="GG413" s="645"/>
      <c r="GH413" s="645"/>
      <c r="GI413" s="645"/>
      <c r="GJ413" s="645"/>
      <c r="GK413" s="645"/>
      <c r="GL413" s="645"/>
      <c r="GM413" s="645"/>
      <c r="GN413" s="645"/>
      <c r="GO413" s="645"/>
      <c r="GP413" s="645"/>
      <c r="GQ413" s="645"/>
      <c r="GR413" s="645"/>
      <c r="GS413" s="645"/>
      <c r="GT413" s="645"/>
      <c r="GU413" s="645"/>
      <c r="GV413" s="645"/>
      <c r="GW413" s="645"/>
      <c r="GX413" s="645"/>
      <c r="GY413" s="645"/>
      <c r="GZ413" s="645"/>
      <c r="HA413" s="645"/>
      <c r="HB413" s="645"/>
      <c r="HC413" s="645"/>
      <c r="HD413" s="645"/>
      <c r="HE413" s="645"/>
      <c r="HF413" s="645"/>
      <c r="HG413" s="645"/>
      <c r="HH413" s="645"/>
      <c r="HI413" s="645"/>
      <c r="HJ413" s="645"/>
      <c r="HK413" s="645"/>
      <c r="HL413" s="645"/>
      <c r="HM413" s="645"/>
      <c r="HN413" s="645"/>
      <c r="HO413" s="645"/>
      <c r="HP413" s="645"/>
      <c r="HQ413" s="645"/>
      <c r="HR413" s="645">
        <v>0.20499999999999999</v>
      </c>
      <c r="HS413" s="645">
        <f t="shared" si="830"/>
        <v>1376.4285714285713</v>
      </c>
      <c r="HT413" s="645">
        <f t="shared" si="831"/>
        <v>1</v>
      </c>
      <c r="HU413" s="618">
        <f t="shared" si="832"/>
        <v>5.2225482529779352</v>
      </c>
      <c r="HV413" s="618"/>
      <c r="HW413" s="618">
        <f t="shared" si="817"/>
        <v>28.583981480771332</v>
      </c>
      <c r="HX413" s="618">
        <f t="shared" si="833"/>
        <v>4.6833124264425026</v>
      </c>
      <c r="HY413" s="618">
        <f t="shared" si="834"/>
        <v>0.20499999999999999</v>
      </c>
      <c r="HZ413" s="618"/>
      <c r="IA413" s="618"/>
      <c r="IB413" s="618">
        <f t="shared" si="818"/>
        <v>25.000350341399081</v>
      </c>
      <c r="IC413" s="618">
        <f t="shared" si="819"/>
        <v>1E-3</v>
      </c>
      <c r="ID413" s="618"/>
      <c r="IE413" s="618">
        <f t="shared" si="820"/>
        <v>0</v>
      </c>
      <c r="IF413" s="618">
        <f t="shared" si="821"/>
        <v>40.704999999999998</v>
      </c>
      <c r="IG413" s="618"/>
      <c r="IH413" s="618">
        <f t="shared" si="822"/>
        <v>0</v>
      </c>
      <c r="II413" s="618">
        <f t="shared" si="823"/>
        <v>40.704999999999998</v>
      </c>
      <c r="IJ413" s="618"/>
      <c r="IK413" s="618">
        <f t="shared" si="824"/>
        <v>0</v>
      </c>
      <c r="IL413" s="618">
        <f t="shared" si="825"/>
        <v>40.704999999999998</v>
      </c>
      <c r="IM413" s="618"/>
      <c r="IN413" s="618">
        <f t="shared" si="826"/>
        <v>0</v>
      </c>
      <c r="IO413" s="618">
        <f t="shared" si="827"/>
        <v>40.704999999999998</v>
      </c>
      <c r="IP413" s="618"/>
      <c r="IQ413" s="618">
        <f t="shared" si="828"/>
        <v>0</v>
      </c>
      <c r="IR413" s="618">
        <f t="shared" si="829"/>
        <v>40.704999999999998</v>
      </c>
      <c r="IS413" s="645"/>
      <c r="IT413" s="645"/>
      <c r="IU413" s="645"/>
      <c r="IV413" s="645"/>
      <c r="IW413" s="645"/>
      <c r="IX413" s="645"/>
      <c r="IY413" s="645"/>
      <c r="IZ413" s="645"/>
      <c r="JA413" s="645"/>
      <c r="JB413" s="645"/>
      <c r="JC413" s="645"/>
      <c r="JD413" s="645"/>
      <c r="JE413" s="645"/>
      <c r="JF413" s="645"/>
      <c r="JG413" s="645"/>
      <c r="JH413" s="645"/>
      <c r="JI413" s="645"/>
      <c r="JJ413" s="645"/>
      <c r="JK413" s="645"/>
      <c r="JL413" s="645"/>
      <c r="JM413" s="645"/>
      <c r="JN413" s="645"/>
      <c r="JO413" s="645"/>
      <c r="JP413" s="645"/>
      <c r="JQ413" s="645"/>
      <c r="JR413" s="645"/>
      <c r="JS413" s="645"/>
      <c r="JT413" s="645"/>
      <c r="JU413" s="645"/>
      <c r="JV413" s="653"/>
    </row>
    <row r="414" spans="1:282" s="612" customFormat="1">
      <c r="A414" s="611"/>
      <c r="U414" s="613"/>
      <c r="V414" s="613"/>
      <c r="AC414" s="613"/>
      <c r="AD414" s="613"/>
      <c r="AL414" s="613"/>
      <c r="AM414" s="613"/>
      <c r="AT414" s="613"/>
      <c r="AU414" s="613"/>
      <c r="CH414" s="611"/>
      <c r="CI414" s="611"/>
      <c r="CO414" s="695"/>
      <c r="CP414" s="645"/>
      <c r="CQ414" s="618"/>
      <c r="CR414" s="618"/>
      <c r="CS414" s="618"/>
      <c r="CT414" s="626"/>
      <c r="CU414" s="626"/>
      <c r="CV414" s="626"/>
      <c r="CW414" s="646"/>
      <c r="CX414" s="646"/>
      <c r="CY414" s="625"/>
      <c r="CZ414" s="625"/>
      <c r="DA414" s="625"/>
      <c r="DB414" s="625"/>
      <c r="DC414" s="645"/>
      <c r="DD414" s="645"/>
      <c r="DE414" s="645"/>
      <c r="DF414" s="645"/>
      <c r="DG414" s="645"/>
      <c r="DH414" s="645"/>
      <c r="DI414" s="645"/>
      <c r="DJ414" s="645"/>
      <c r="DK414" s="645"/>
      <c r="DL414" s="645"/>
      <c r="DM414" s="645"/>
      <c r="DN414" s="645"/>
      <c r="DO414" s="645"/>
      <c r="DP414" s="645"/>
      <c r="DQ414" s="645"/>
      <c r="DR414" s="645"/>
      <c r="DS414" s="645"/>
      <c r="DT414" s="645"/>
      <c r="DU414" s="645"/>
      <c r="DV414" s="645"/>
      <c r="DW414" s="645"/>
      <c r="DX414" s="645"/>
      <c r="DY414" s="645"/>
      <c r="DZ414" s="645"/>
      <c r="EA414" s="645"/>
      <c r="EB414" s="645"/>
      <c r="EC414" s="645"/>
      <c r="ED414" s="645"/>
      <c r="EE414" s="645"/>
      <c r="EF414" s="645"/>
      <c r="EG414" s="645"/>
      <c r="EH414" s="645"/>
      <c r="EI414" s="645"/>
      <c r="EJ414" s="645"/>
      <c r="EK414" s="645"/>
      <c r="EL414" s="645"/>
      <c r="EM414" s="645"/>
      <c r="EN414" s="645"/>
      <c r="EO414" s="645"/>
      <c r="EP414" s="645"/>
      <c r="EQ414" s="645"/>
      <c r="ER414" s="645"/>
      <c r="ES414" s="645"/>
      <c r="ET414" s="645"/>
      <c r="EU414" s="645"/>
      <c r="EV414" s="645"/>
      <c r="EW414" s="645"/>
      <c r="EX414" s="645"/>
      <c r="EY414" s="645"/>
      <c r="EZ414" s="645"/>
      <c r="FA414" s="645"/>
      <c r="FB414" s="645"/>
      <c r="FC414" s="645"/>
      <c r="FD414" s="645"/>
      <c r="FE414" s="645"/>
      <c r="FF414" s="645"/>
      <c r="FG414" s="645"/>
      <c r="FH414" s="645"/>
      <c r="FI414" s="645"/>
      <c r="FJ414" s="645"/>
      <c r="FK414" s="645"/>
      <c r="FL414" s="645"/>
      <c r="FM414" s="645"/>
      <c r="FN414" s="645"/>
      <c r="FO414" s="645"/>
      <c r="FP414" s="645"/>
      <c r="FQ414" s="645"/>
      <c r="FR414" s="645"/>
      <c r="FS414" s="645"/>
      <c r="FT414" s="645"/>
      <c r="FU414" s="645"/>
      <c r="FV414" s="645"/>
      <c r="FW414" s="645"/>
      <c r="FX414" s="645"/>
      <c r="FY414" s="645"/>
      <c r="FZ414" s="645"/>
      <c r="GA414" s="645"/>
      <c r="GB414" s="645"/>
      <c r="GC414" s="645"/>
      <c r="GD414" s="645"/>
      <c r="GE414" s="645"/>
      <c r="GF414" s="645"/>
      <c r="GG414" s="645"/>
      <c r="GH414" s="645"/>
      <c r="GI414" s="645"/>
      <c r="GJ414" s="645"/>
      <c r="GK414" s="645"/>
      <c r="GL414" s="645"/>
      <c r="GM414" s="645"/>
      <c r="GN414" s="645"/>
      <c r="GO414" s="645"/>
      <c r="GP414" s="645"/>
      <c r="GQ414" s="645"/>
      <c r="GR414" s="645"/>
      <c r="GS414" s="645"/>
      <c r="GT414" s="645"/>
      <c r="GU414" s="645"/>
      <c r="GV414" s="645"/>
      <c r="GW414" s="645"/>
      <c r="GX414" s="645"/>
      <c r="GY414" s="645"/>
      <c r="GZ414" s="645"/>
      <c r="HA414" s="645"/>
      <c r="HB414" s="645"/>
      <c r="HC414" s="645"/>
      <c r="HD414" s="645"/>
      <c r="HE414" s="645"/>
      <c r="HF414" s="645"/>
      <c r="HG414" s="645"/>
      <c r="HH414" s="645"/>
      <c r="HI414" s="645"/>
      <c r="HJ414" s="645"/>
      <c r="HK414" s="645"/>
      <c r="HL414" s="645"/>
      <c r="HM414" s="645"/>
      <c r="HN414" s="645"/>
      <c r="HO414" s="645"/>
      <c r="HP414" s="645"/>
      <c r="HQ414" s="645"/>
      <c r="HR414" s="645">
        <v>0.20549999999999999</v>
      </c>
      <c r="HS414" s="645">
        <f t="shared" si="830"/>
        <v>1379.7857142857142</v>
      </c>
      <c r="HT414" s="645">
        <f t="shared" si="831"/>
        <v>1</v>
      </c>
      <c r="HU414" s="618">
        <f t="shared" si="832"/>
        <v>5.2352872969515598</v>
      </c>
      <c r="HV414" s="618"/>
      <c r="HW414" s="618">
        <f t="shared" si="817"/>
        <v>28.565892038328784</v>
      </c>
      <c r="HX414" s="618">
        <f t="shared" si="833"/>
        <v>4.6934208196320046</v>
      </c>
      <c r="HY414" s="618">
        <f t="shared" si="834"/>
        <v>0.20549999999999999</v>
      </c>
      <c r="HZ414" s="618"/>
      <c r="IA414" s="618"/>
      <c r="IB414" s="618">
        <f t="shared" si="818"/>
        <v>25.000350341399081</v>
      </c>
      <c r="IC414" s="618">
        <f t="shared" si="819"/>
        <v>1E-3</v>
      </c>
      <c r="ID414" s="618"/>
      <c r="IE414" s="618">
        <f t="shared" si="820"/>
        <v>0</v>
      </c>
      <c r="IF414" s="618">
        <f t="shared" si="821"/>
        <v>40.704999999999998</v>
      </c>
      <c r="IG414" s="618"/>
      <c r="IH414" s="618">
        <f t="shared" si="822"/>
        <v>0</v>
      </c>
      <c r="II414" s="618">
        <f t="shared" si="823"/>
        <v>40.704999999999998</v>
      </c>
      <c r="IJ414" s="618"/>
      <c r="IK414" s="618">
        <f t="shared" si="824"/>
        <v>0</v>
      </c>
      <c r="IL414" s="618">
        <f t="shared" si="825"/>
        <v>40.704999999999998</v>
      </c>
      <c r="IM414" s="618"/>
      <c r="IN414" s="618">
        <f t="shared" si="826"/>
        <v>0</v>
      </c>
      <c r="IO414" s="618">
        <f t="shared" si="827"/>
        <v>40.704999999999998</v>
      </c>
      <c r="IP414" s="618"/>
      <c r="IQ414" s="618">
        <f t="shared" si="828"/>
        <v>0</v>
      </c>
      <c r="IR414" s="618">
        <f t="shared" si="829"/>
        <v>40.704999999999998</v>
      </c>
      <c r="IS414" s="645"/>
      <c r="IT414" s="645"/>
      <c r="IU414" s="645"/>
      <c r="IV414" s="645"/>
      <c r="IW414" s="645"/>
      <c r="IX414" s="645"/>
      <c r="IY414" s="645"/>
      <c r="IZ414" s="645"/>
      <c r="JA414" s="645"/>
      <c r="JB414" s="645"/>
      <c r="JC414" s="645"/>
      <c r="JD414" s="645"/>
      <c r="JE414" s="645"/>
      <c r="JF414" s="645"/>
      <c r="JG414" s="645"/>
      <c r="JH414" s="645"/>
      <c r="JI414" s="645"/>
      <c r="JJ414" s="645"/>
      <c r="JK414" s="645"/>
      <c r="JL414" s="645"/>
      <c r="JM414" s="645"/>
      <c r="JN414" s="645"/>
      <c r="JO414" s="645"/>
      <c r="JP414" s="645"/>
      <c r="JQ414" s="645"/>
      <c r="JR414" s="645"/>
      <c r="JS414" s="645"/>
      <c r="JT414" s="645"/>
      <c r="JU414" s="645"/>
      <c r="JV414" s="653"/>
    </row>
    <row r="415" spans="1:282" s="612" customFormat="1">
      <c r="A415" s="611"/>
      <c r="U415" s="613"/>
      <c r="V415" s="613"/>
      <c r="AC415" s="613"/>
      <c r="AD415" s="613"/>
      <c r="AL415" s="613"/>
      <c r="AM415" s="613"/>
      <c r="AT415" s="613"/>
      <c r="AU415" s="613"/>
      <c r="CH415" s="611"/>
      <c r="CI415" s="611"/>
      <c r="CO415" s="695"/>
      <c r="CP415" s="645"/>
      <c r="CQ415" s="618"/>
      <c r="CR415" s="618"/>
      <c r="CS415" s="618"/>
      <c r="CT415" s="626"/>
      <c r="CU415" s="626"/>
      <c r="CV415" s="626"/>
      <c r="CW415" s="646"/>
      <c r="CX415" s="646"/>
      <c r="CY415" s="625"/>
      <c r="CZ415" s="625"/>
      <c r="DA415" s="625"/>
      <c r="DB415" s="625"/>
      <c r="DC415" s="645"/>
      <c r="DD415" s="645"/>
      <c r="DE415" s="645"/>
      <c r="DF415" s="645"/>
      <c r="DG415" s="645"/>
      <c r="DH415" s="645"/>
      <c r="DI415" s="645"/>
      <c r="DJ415" s="645"/>
      <c r="DK415" s="645"/>
      <c r="DL415" s="645"/>
      <c r="DM415" s="645"/>
      <c r="DN415" s="645"/>
      <c r="DO415" s="645"/>
      <c r="DP415" s="645"/>
      <c r="DQ415" s="645"/>
      <c r="DR415" s="645"/>
      <c r="DS415" s="645"/>
      <c r="DT415" s="645"/>
      <c r="DU415" s="645"/>
      <c r="DV415" s="645"/>
      <c r="DW415" s="645"/>
      <c r="DX415" s="645"/>
      <c r="DY415" s="645"/>
      <c r="DZ415" s="645"/>
      <c r="EA415" s="645"/>
      <c r="EB415" s="645"/>
      <c r="EC415" s="645"/>
      <c r="ED415" s="645"/>
      <c r="EE415" s="645"/>
      <c r="EF415" s="645"/>
      <c r="EG415" s="645"/>
      <c r="EH415" s="645"/>
      <c r="EI415" s="645"/>
      <c r="EJ415" s="645"/>
      <c r="EK415" s="645"/>
      <c r="EL415" s="645"/>
      <c r="EM415" s="645"/>
      <c r="EN415" s="645"/>
      <c r="EO415" s="645"/>
      <c r="EP415" s="645"/>
      <c r="EQ415" s="645"/>
      <c r="ER415" s="645"/>
      <c r="ES415" s="645"/>
      <c r="ET415" s="645"/>
      <c r="EU415" s="645"/>
      <c r="EV415" s="645"/>
      <c r="EW415" s="645"/>
      <c r="EX415" s="645"/>
      <c r="EY415" s="645"/>
      <c r="EZ415" s="645"/>
      <c r="FA415" s="645"/>
      <c r="FB415" s="645"/>
      <c r="FC415" s="645"/>
      <c r="FD415" s="645"/>
      <c r="FE415" s="645"/>
      <c r="FF415" s="645"/>
      <c r="FG415" s="645"/>
      <c r="FH415" s="645"/>
      <c r="FI415" s="645"/>
      <c r="FJ415" s="645"/>
      <c r="FK415" s="645"/>
      <c r="FL415" s="645"/>
      <c r="FM415" s="645"/>
      <c r="FN415" s="645"/>
      <c r="FO415" s="645"/>
      <c r="FP415" s="645"/>
      <c r="FQ415" s="645"/>
      <c r="FR415" s="645"/>
      <c r="FS415" s="645"/>
      <c r="FT415" s="645"/>
      <c r="FU415" s="645"/>
      <c r="FV415" s="645"/>
      <c r="FW415" s="645"/>
      <c r="FX415" s="645"/>
      <c r="FY415" s="645"/>
      <c r="FZ415" s="645"/>
      <c r="GA415" s="645"/>
      <c r="GB415" s="645"/>
      <c r="GC415" s="645"/>
      <c r="GD415" s="645"/>
      <c r="GE415" s="645"/>
      <c r="GF415" s="645"/>
      <c r="GG415" s="645"/>
      <c r="GH415" s="645"/>
      <c r="GI415" s="645"/>
      <c r="GJ415" s="645"/>
      <c r="GK415" s="645"/>
      <c r="GL415" s="645"/>
      <c r="GM415" s="645"/>
      <c r="GN415" s="645"/>
      <c r="GO415" s="645"/>
      <c r="GP415" s="645"/>
      <c r="GQ415" s="645"/>
      <c r="GR415" s="645"/>
      <c r="GS415" s="645"/>
      <c r="GT415" s="645"/>
      <c r="GU415" s="645"/>
      <c r="GV415" s="645"/>
      <c r="GW415" s="645"/>
      <c r="GX415" s="645"/>
      <c r="GY415" s="645"/>
      <c r="GZ415" s="645"/>
      <c r="HA415" s="645"/>
      <c r="HB415" s="645"/>
      <c r="HC415" s="645"/>
      <c r="HD415" s="645"/>
      <c r="HE415" s="645"/>
      <c r="HF415" s="645"/>
      <c r="HG415" s="645"/>
      <c r="HH415" s="645"/>
      <c r="HI415" s="645"/>
      <c r="HJ415" s="645"/>
      <c r="HK415" s="645"/>
      <c r="HL415" s="645"/>
      <c r="HM415" s="645"/>
      <c r="HN415" s="645"/>
      <c r="HO415" s="645"/>
      <c r="HP415" s="645"/>
      <c r="HQ415" s="645"/>
      <c r="HR415" s="645">
        <v>0.20599999999999999</v>
      </c>
      <c r="HS415" s="645">
        <f t="shared" si="830"/>
        <v>1383.1428571428571</v>
      </c>
      <c r="HT415" s="645">
        <f t="shared" si="831"/>
        <v>1</v>
      </c>
      <c r="HU415" s="618">
        <f t="shared" si="832"/>
        <v>5.2480263409251844</v>
      </c>
      <c r="HV415" s="618"/>
      <c r="HW415" s="618">
        <f t="shared" si="817"/>
        <v>28.547802595886239</v>
      </c>
      <c r="HX415" s="618">
        <f t="shared" si="833"/>
        <v>4.7035228116492087</v>
      </c>
      <c r="HY415" s="618">
        <f t="shared" si="834"/>
        <v>0.20599999999999999</v>
      </c>
      <c r="HZ415" s="618"/>
      <c r="IA415" s="618"/>
      <c r="IB415" s="618">
        <f t="shared" si="818"/>
        <v>25.000350341399081</v>
      </c>
      <c r="IC415" s="618">
        <f t="shared" si="819"/>
        <v>1E-3</v>
      </c>
      <c r="ID415" s="618"/>
      <c r="IE415" s="618">
        <f t="shared" si="820"/>
        <v>0</v>
      </c>
      <c r="IF415" s="618">
        <f t="shared" si="821"/>
        <v>40.704999999999998</v>
      </c>
      <c r="IG415" s="618"/>
      <c r="IH415" s="618">
        <f t="shared" si="822"/>
        <v>0</v>
      </c>
      <c r="II415" s="618">
        <f t="shared" si="823"/>
        <v>40.704999999999998</v>
      </c>
      <c r="IJ415" s="618"/>
      <c r="IK415" s="618">
        <f t="shared" si="824"/>
        <v>0</v>
      </c>
      <c r="IL415" s="618">
        <f t="shared" si="825"/>
        <v>40.704999999999998</v>
      </c>
      <c r="IM415" s="618"/>
      <c r="IN415" s="618">
        <f t="shared" si="826"/>
        <v>0</v>
      </c>
      <c r="IO415" s="618">
        <f t="shared" si="827"/>
        <v>40.704999999999998</v>
      </c>
      <c r="IP415" s="618"/>
      <c r="IQ415" s="618">
        <f t="shared" si="828"/>
        <v>0</v>
      </c>
      <c r="IR415" s="618">
        <f t="shared" si="829"/>
        <v>40.704999999999998</v>
      </c>
      <c r="IS415" s="645"/>
      <c r="IT415" s="645"/>
      <c r="IU415" s="645"/>
      <c r="IV415" s="645"/>
      <c r="IW415" s="645"/>
      <c r="IX415" s="645"/>
      <c r="IY415" s="645"/>
      <c r="IZ415" s="645"/>
      <c r="JA415" s="645"/>
      <c r="JB415" s="645"/>
      <c r="JC415" s="645"/>
      <c r="JD415" s="645"/>
      <c r="JE415" s="645"/>
      <c r="JF415" s="645"/>
      <c r="JG415" s="645"/>
      <c r="JH415" s="645"/>
      <c r="JI415" s="645"/>
      <c r="JJ415" s="645"/>
      <c r="JK415" s="645"/>
      <c r="JL415" s="645"/>
      <c r="JM415" s="645"/>
      <c r="JN415" s="645"/>
      <c r="JO415" s="645"/>
      <c r="JP415" s="645"/>
      <c r="JQ415" s="645"/>
      <c r="JR415" s="645"/>
      <c r="JS415" s="645"/>
      <c r="JT415" s="645"/>
      <c r="JU415" s="645"/>
      <c r="JV415" s="653"/>
    </row>
    <row r="416" spans="1:282" s="612" customFormat="1">
      <c r="A416" s="611"/>
      <c r="U416" s="613"/>
      <c r="V416" s="613"/>
      <c r="AC416" s="613"/>
      <c r="AD416" s="613"/>
      <c r="AL416" s="613"/>
      <c r="AM416" s="613"/>
      <c r="AT416" s="613"/>
      <c r="AU416" s="613"/>
      <c r="CH416" s="611"/>
      <c r="CI416" s="611"/>
      <c r="CO416" s="695"/>
      <c r="CP416" s="645"/>
      <c r="CQ416" s="618"/>
      <c r="CR416" s="618"/>
      <c r="CS416" s="618"/>
      <c r="CT416" s="626"/>
      <c r="CU416" s="626"/>
      <c r="CV416" s="626"/>
      <c r="CW416" s="646"/>
      <c r="CX416" s="646"/>
      <c r="CY416" s="625"/>
      <c r="CZ416" s="625"/>
      <c r="DA416" s="625"/>
      <c r="DB416" s="625"/>
      <c r="DC416" s="645"/>
      <c r="DD416" s="645"/>
      <c r="DE416" s="645"/>
      <c r="DF416" s="645"/>
      <c r="DG416" s="645"/>
      <c r="DH416" s="645"/>
      <c r="DI416" s="645"/>
      <c r="DJ416" s="645"/>
      <c r="DK416" s="645"/>
      <c r="DL416" s="645"/>
      <c r="DM416" s="645"/>
      <c r="DN416" s="645"/>
      <c r="DO416" s="645"/>
      <c r="DP416" s="645"/>
      <c r="DQ416" s="645"/>
      <c r="DR416" s="645"/>
      <c r="DS416" s="645"/>
      <c r="DT416" s="645"/>
      <c r="DU416" s="645"/>
      <c r="DV416" s="645"/>
      <c r="DW416" s="645"/>
      <c r="DX416" s="645"/>
      <c r="DY416" s="645"/>
      <c r="DZ416" s="645"/>
      <c r="EA416" s="645"/>
      <c r="EB416" s="645"/>
      <c r="EC416" s="645"/>
      <c r="ED416" s="645"/>
      <c r="EE416" s="645"/>
      <c r="EF416" s="645"/>
      <c r="EG416" s="645"/>
      <c r="EH416" s="645"/>
      <c r="EI416" s="645"/>
      <c r="EJ416" s="645"/>
      <c r="EK416" s="645"/>
      <c r="EL416" s="645"/>
      <c r="EM416" s="645"/>
      <c r="EN416" s="645"/>
      <c r="EO416" s="645"/>
      <c r="EP416" s="645"/>
      <c r="EQ416" s="645"/>
      <c r="ER416" s="645"/>
      <c r="ES416" s="645"/>
      <c r="ET416" s="645"/>
      <c r="EU416" s="645"/>
      <c r="EV416" s="645"/>
      <c r="EW416" s="645"/>
      <c r="EX416" s="645"/>
      <c r="EY416" s="645"/>
      <c r="EZ416" s="645"/>
      <c r="FA416" s="645"/>
      <c r="FB416" s="645"/>
      <c r="FC416" s="645"/>
      <c r="FD416" s="645"/>
      <c r="FE416" s="645"/>
      <c r="FF416" s="645"/>
      <c r="FG416" s="645"/>
      <c r="FH416" s="645"/>
      <c r="FI416" s="645"/>
      <c r="FJ416" s="645"/>
      <c r="FK416" s="645"/>
      <c r="FL416" s="645"/>
      <c r="FM416" s="645"/>
      <c r="FN416" s="645"/>
      <c r="FO416" s="645"/>
      <c r="FP416" s="645"/>
      <c r="FQ416" s="645"/>
      <c r="FR416" s="645"/>
      <c r="FS416" s="645"/>
      <c r="FT416" s="645"/>
      <c r="FU416" s="645"/>
      <c r="FV416" s="645"/>
      <c r="FW416" s="645"/>
      <c r="FX416" s="645"/>
      <c r="FY416" s="645"/>
      <c r="FZ416" s="645"/>
      <c r="GA416" s="645"/>
      <c r="GB416" s="645"/>
      <c r="GC416" s="645"/>
      <c r="GD416" s="645"/>
      <c r="GE416" s="645"/>
      <c r="GF416" s="645"/>
      <c r="GG416" s="645"/>
      <c r="GH416" s="645"/>
      <c r="GI416" s="645"/>
      <c r="GJ416" s="645"/>
      <c r="GK416" s="645"/>
      <c r="GL416" s="645"/>
      <c r="GM416" s="645"/>
      <c r="GN416" s="645"/>
      <c r="GO416" s="645"/>
      <c r="GP416" s="645"/>
      <c r="GQ416" s="645"/>
      <c r="GR416" s="645"/>
      <c r="GS416" s="645"/>
      <c r="GT416" s="645"/>
      <c r="GU416" s="645"/>
      <c r="GV416" s="645"/>
      <c r="GW416" s="645"/>
      <c r="GX416" s="645"/>
      <c r="GY416" s="645"/>
      <c r="GZ416" s="645"/>
      <c r="HA416" s="645"/>
      <c r="HB416" s="645"/>
      <c r="HC416" s="645"/>
      <c r="HD416" s="645"/>
      <c r="HE416" s="645"/>
      <c r="HF416" s="645"/>
      <c r="HG416" s="645"/>
      <c r="HH416" s="645"/>
      <c r="HI416" s="645"/>
      <c r="HJ416" s="645"/>
      <c r="HK416" s="645"/>
      <c r="HL416" s="645"/>
      <c r="HM416" s="645"/>
      <c r="HN416" s="645"/>
      <c r="HO416" s="645"/>
      <c r="HP416" s="645"/>
      <c r="HQ416" s="645"/>
      <c r="HR416" s="645">
        <v>0.20649999999999999</v>
      </c>
      <c r="HS416" s="645">
        <f t="shared" si="830"/>
        <v>1386.5</v>
      </c>
      <c r="HT416" s="645">
        <f t="shared" si="831"/>
        <v>1</v>
      </c>
      <c r="HU416" s="618">
        <f t="shared" si="832"/>
        <v>5.260765384898809</v>
      </c>
      <c r="HV416" s="618"/>
      <c r="HW416" s="618">
        <f t="shared" si="817"/>
        <v>28.529713153443691</v>
      </c>
      <c r="HX416" s="618">
        <f t="shared" si="833"/>
        <v>4.7136184024941148</v>
      </c>
      <c r="HY416" s="618">
        <f t="shared" si="834"/>
        <v>0.20649999999999999</v>
      </c>
      <c r="HZ416" s="618"/>
      <c r="IA416" s="618"/>
      <c r="IB416" s="618">
        <f t="shared" si="818"/>
        <v>25.000350341399081</v>
      </c>
      <c r="IC416" s="618">
        <f t="shared" si="819"/>
        <v>1E-3</v>
      </c>
      <c r="ID416" s="618"/>
      <c r="IE416" s="618">
        <f t="shared" si="820"/>
        <v>0</v>
      </c>
      <c r="IF416" s="618">
        <f t="shared" si="821"/>
        <v>40.704999999999998</v>
      </c>
      <c r="IG416" s="618"/>
      <c r="IH416" s="618">
        <f t="shared" si="822"/>
        <v>0</v>
      </c>
      <c r="II416" s="618">
        <f t="shared" si="823"/>
        <v>40.704999999999998</v>
      </c>
      <c r="IJ416" s="618"/>
      <c r="IK416" s="618">
        <f t="shared" si="824"/>
        <v>0</v>
      </c>
      <c r="IL416" s="618">
        <f t="shared" si="825"/>
        <v>40.704999999999998</v>
      </c>
      <c r="IM416" s="618"/>
      <c r="IN416" s="618">
        <f t="shared" si="826"/>
        <v>0</v>
      </c>
      <c r="IO416" s="618">
        <f t="shared" si="827"/>
        <v>40.704999999999998</v>
      </c>
      <c r="IP416" s="618"/>
      <c r="IQ416" s="618">
        <f t="shared" si="828"/>
        <v>0</v>
      </c>
      <c r="IR416" s="618">
        <f t="shared" si="829"/>
        <v>40.704999999999998</v>
      </c>
      <c r="IS416" s="645"/>
      <c r="IT416" s="645"/>
      <c r="IU416" s="645"/>
      <c r="IV416" s="645"/>
      <c r="IW416" s="645"/>
      <c r="IX416" s="645"/>
      <c r="IY416" s="645"/>
      <c r="IZ416" s="645"/>
      <c r="JA416" s="645"/>
      <c r="JB416" s="645"/>
      <c r="JC416" s="645"/>
      <c r="JD416" s="645"/>
      <c r="JE416" s="645"/>
      <c r="JF416" s="645"/>
      <c r="JG416" s="645"/>
      <c r="JH416" s="645"/>
      <c r="JI416" s="645"/>
      <c r="JJ416" s="645"/>
      <c r="JK416" s="645"/>
      <c r="JL416" s="645"/>
      <c r="JM416" s="645"/>
      <c r="JN416" s="645"/>
      <c r="JO416" s="645"/>
      <c r="JP416" s="645"/>
      <c r="JQ416" s="645"/>
      <c r="JR416" s="645"/>
      <c r="JS416" s="645"/>
      <c r="JT416" s="645"/>
      <c r="JU416" s="645"/>
      <c r="JV416" s="653"/>
    </row>
    <row r="417" spans="1:282" s="612" customFormat="1">
      <c r="A417" s="611"/>
      <c r="U417" s="613"/>
      <c r="V417" s="613"/>
      <c r="AC417" s="613"/>
      <c r="AD417" s="613"/>
      <c r="AL417" s="613"/>
      <c r="AM417" s="613"/>
      <c r="AT417" s="613"/>
      <c r="AU417" s="613"/>
      <c r="CH417" s="611"/>
      <c r="CI417" s="611"/>
      <c r="CO417" s="695"/>
      <c r="CP417" s="645"/>
      <c r="CQ417" s="618"/>
      <c r="CR417" s="618"/>
      <c r="CS417" s="618"/>
      <c r="CT417" s="626"/>
      <c r="CU417" s="626"/>
      <c r="CV417" s="626"/>
      <c r="CW417" s="646"/>
      <c r="CX417" s="646"/>
      <c r="CY417" s="625"/>
      <c r="CZ417" s="625"/>
      <c r="DA417" s="625"/>
      <c r="DB417" s="625"/>
      <c r="DC417" s="645"/>
      <c r="DD417" s="645"/>
      <c r="DE417" s="645"/>
      <c r="DF417" s="645"/>
      <c r="DG417" s="645"/>
      <c r="DH417" s="645"/>
      <c r="DI417" s="645"/>
      <c r="DJ417" s="645"/>
      <c r="DK417" s="645"/>
      <c r="DL417" s="645"/>
      <c r="DM417" s="645"/>
      <c r="DN417" s="645"/>
      <c r="DO417" s="645"/>
      <c r="DP417" s="645"/>
      <c r="DQ417" s="645"/>
      <c r="DR417" s="645"/>
      <c r="DS417" s="645"/>
      <c r="DT417" s="645"/>
      <c r="DU417" s="645"/>
      <c r="DV417" s="645"/>
      <c r="DW417" s="645"/>
      <c r="DX417" s="645"/>
      <c r="DY417" s="645"/>
      <c r="DZ417" s="645"/>
      <c r="EA417" s="645"/>
      <c r="EB417" s="645"/>
      <c r="EC417" s="645"/>
      <c r="ED417" s="645"/>
      <c r="EE417" s="645"/>
      <c r="EF417" s="645"/>
      <c r="EG417" s="645"/>
      <c r="EH417" s="645"/>
      <c r="EI417" s="645"/>
      <c r="EJ417" s="645"/>
      <c r="EK417" s="645"/>
      <c r="EL417" s="645"/>
      <c r="EM417" s="645"/>
      <c r="EN417" s="645"/>
      <c r="EO417" s="645"/>
      <c r="EP417" s="645"/>
      <c r="EQ417" s="645"/>
      <c r="ER417" s="645"/>
      <c r="ES417" s="645"/>
      <c r="ET417" s="645"/>
      <c r="EU417" s="645"/>
      <c r="EV417" s="645"/>
      <c r="EW417" s="645"/>
      <c r="EX417" s="645"/>
      <c r="EY417" s="645"/>
      <c r="EZ417" s="645"/>
      <c r="FA417" s="645"/>
      <c r="FB417" s="645"/>
      <c r="FC417" s="645"/>
      <c r="FD417" s="645"/>
      <c r="FE417" s="645"/>
      <c r="FF417" s="645"/>
      <c r="FG417" s="645"/>
      <c r="FH417" s="645"/>
      <c r="FI417" s="645"/>
      <c r="FJ417" s="645"/>
      <c r="FK417" s="645"/>
      <c r="FL417" s="645"/>
      <c r="FM417" s="645"/>
      <c r="FN417" s="645"/>
      <c r="FO417" s="645"/>
      <c r="FP417" s="645"/>
      <c r="FQ417" s="645"/>
      <c r="FR417" s="645"/>
      <c r="FS417" s="645"/>
      <c r="FT417" s="645"/>
      <c r="FU417" s="645"/>
      <c r="FV417" s="645"/>
      <c r="FW417" s="645"/>
      <c r="FX417" s="645"/>
      <c r="FY417" s="645"/>
      <c r="FZ417" s="645"/>
      <c r="GA417" s="645"/>
      <c r="GB417" s="645"/>
      <c r="GC417" s="645"/>
      <c r="GD417" s="645"/>
      <c r="GE417" s="645"/>
      <c r="GF417" s="645"/>
      <c r="GG417" s="645"/>
      <c r="GH417" s="645"/>
      <c r="GI417" s="645"/>
      <c r="GJ417" s="645"/>
      <c r="GK417" s="645"/>
      <c r="GL417" s="645"/>
      <c r="GM417" s="645"/>
      <c r="GN417" s="645"/>
      <c r="GO417" s="645"/>
      <c r="GP417" s="645"/>
      <c r="GQ417" s="645"/>
      <c r="GR417" s="645"/>
      <c r="GS417" s="645"/>
      <c r="GT417" s="645"/>
      <c r="GU417" s="645"/>
      <c r="GV417" s="645"/>
      <c r="GW417" s="645"/>
      <c r="GX417" s="645"/>
      <c r="GY417" s="645"/>
      <c r="GZ417" s="645"/>
      <c r="HA417" s="645"/>
      <c r="HB417" s="645"/>
      <c r="HC417" s="645"/>
      <c r="HD417" s="645"/>
      <c r="HE417" s="645"/>
      <c r="HF417" s="645"/>
      <c r="HG417" s="645"/>
      <c r="HH417" s="645"/>
      <c r="HI417" s="645"/>
      <c r="HJ417" s="645"/>
      <c r="HK417" s="645"/>
      <c r="HL417" s="645"/>
      <c r="HM417" s="645"/>
      <c r="HN417" s="645"/>
      <c r="HO417" s="645"/>
      <c r="HP417" s="645"/>
      <c r="HQ417" s="645"/>
      <c r="HR417" s="645">
        <v>0.20699999999999999</v>
      </c>
      <c r="HS417" s="645">
        <f t="shared" si="830"/>
        <v>1389.8571428571427</v>
      </c>
      <c r="HT417" s="645">
        <f t="shared" si="831"/>
        <v>1</v>
      </c>
      <c r="HU417" s="618">
        <f t="shared" si="832"/>
        <v>5.2735044288724335</v>
      </c>
      <c r="HV417" s="618"/>
      <c r="HW417" s="618">
        <f t="shared" si="817"/>
        <v>28.511623711001143</v>
      </c>
      <c r="HX417" s="618">
        <f t="shared" si="833"/>
        <v>4.7237075921667229</v>
      </c>
      <c r="HY417" s="618">
        <f t="shared" si="834"/>
        <v>0.20699999999999999</v>
      </c>
      <c r="HZ417" s="618"/>
      <c r="IA417" s="618"/>
      <c r="IB417" s="618">
        <f t="shared" si="818"/>
        <v>25.000350341399081</v>
      </c>
      <c r="IC417" s="618">
        <f t="shared" si="819"/>
        <v>1E-3</v>
      </c>
      <c r="ID417" s="618"/>
      <c r="IE417" s="618">
        <f t="shared" si="820"/>
        <v>0</v>
      </c>
      <c r="IF417" s="618">
        <f t="shared" si="821"/>
        <v>40.704999999999998</v>
      </c>
      <c r="IG417" s="618"/>
      <c r="IH417" s="618">
        <f t="shared" si="822"/>
        <v>0</v>
      </c>
      <c r="II417" s="618">
        <f t="shared" si="823"/>
        <v>40.704999999999998</v>
      </c>
      <c r="IJ417" s="618"/>
      <c r="IK417" s="618">
        <f t="shared" si="824"/>
        <v>0</v>
      </c>
      <c r="IL417" s="618">
        <f t="shared" si="825"/>
        <v>40.704999999999998</v>
      </c>
      <c r="IM417" s="618"/>
      <c r="IN417" s="618">
        <f t="shared" si="826"/>
        <v>0</v>
      </c>
      <c r="IO417" s="618">
        <f t="shared" si="827"/>
        <v>40.704999999999998</v>
      </c>
      <c r="IP417" s="618"/>
      <c r="IQ417" s="618">
        <f t="shared" si="828"/>
        <v>0</v>
      </c>
      <c r="IR417" s="618">
        <f t="shared" si="829"/>
        <v>40.704999999999998</v>
      </c>
      <c r="IS417" s="645"/>
      <c r="IT417" s="645"/>
      <c r="IU417" s="645"/>
      <c r="IV417" s="645"/>
      <c r="IW417" s="645"/>
      <c r="IX417" s="645"/>
      <c r="IY417" s="645"/>
      <c r="IZ417" s="645"/>
      <c r="JA417" s="645"/>
      <c r="JB417" s="645"/>
      <c r="JC417" s="645"/>
      <c r="JD417" s="645"/>
      <c r="JE417" s="645"/>
      <c r="JF417" s="645"/>
      <c r="JG417" s="645"/>
      <c r="JH417" s="645"/>
      <c r="JI417" s="645"/>
      <c r="JJ417" s="645"/>
      <c r="JK417" s="645"/>
      <c r="JL417" s="645"/>
      <c r="JM417" s="645"/>
      <c r="JN417" s="645"/>
      <c r="JO417" s="645"/>
      <c r="JP417" s="645"/>
      <c r="JQ417" s="645"/>
      <c r="JR417" s="645"/>
      <c r="JS417" s="645"/>
      <c r="JT417" s="645"/>
      <c r="JU417" s="645"/>
      <c r="JV417" s="653"/>
    </row>
    <row r="418" spans="1:282" s="612" customFormat="1">
      <c r="A418" s="611"/>
      <c r="U418" s="613"/>
      <c r="V418" s="613"/>
      <c r="AC418" s="613"/>
      <c r="AD418" s="613"/>
      <c r="AL418" s="613"/>
      <c r="AM418" s="613"/>
      <c r="AT418" s="613"/>
      <c r="AU418" s="613"/>
      <c r="CH418" s="611"/>
      <c r="CI418" s="611"/>
      <c r="CO418" s="695"/>
      <c r="CP418" s="645"/>
      <c r="CQ418" s="618"/>
      <c r="CR418" s="618"/>
      <c r="CS418" s="618"/>
      <c r="CT418" s="626"/>
      <c r="CU418" s="626"/>
      <c r="CV418" s="626"/>
      <c r="CW418" s="646"/>
      <c r="CX418" s="646"/>
      <c r="CY418" s="625"/>
      <c r="CZ418" s="625"/>
      <c r="DA418" s="625"/>
      <c r="DB418" s="625"/>
      <c r="DC418" s="645"/>
      <c r="DD418" s="645"/>
      <c r="DE418" s="645"/>
      <c r="DF418" s="645"/>
      <c r="DG418" s="645"/>
      <c r="DH418" s="645"/>
      <c r="DI418" s="645"/>
      <c r="DJ418" s="645"/>
      <c r="DK418" s="645"/>
      <c r="DL418" s="645"/>
      <c r="DM418" s="645"/>
      <c r="DN418" s="645"/>
      <c r="DO418" s="645"/>
      <c r="DP418" s="645"/>
      <c r="DQ418" s="645"/>
      <c r="DR418" s="645"/>
      <c r="DS418" s="645"/>
      <c r="DT418" s="645"/>
      <c r="DU418" s="645"/>
      <c r="DV418" s="645"/>
      <c r="DW418" s="645"/>
      <c r="DX418" s="645"/>
      <c r="DY418" s="645"/>
      <c r="DZ418" s="645"/>
      <c r="EA418" s="645"/>
      <c r="EB418" s="645"/>
      <c r="EC418" s="645"/>
      <c r="ED418" s="645"/>
      <c r="EE418" s="645"/>
      <c r="EF418" s="645"/>
      <c r="EG418" s="645"/>
      <c r="EH418" s="645"/>
      <c r="EI418" s="645"/>
      <c r="EJ418" s="645"/>
      <c r="EK418" s="645"/>
      <c r="EL418" s="645"/>
      <c r="EM418" s="645"/>
      <c r="EN418" s="645"/>
      <c r="EO418" s="645"/>
      <c r="EP418" s="645"/>
      <c r="EQ418" s="645"/>
      <c r="ER418" s="645"/>
      <c r="ES418" s="645"/>
      <c r="ET418" s="645"/>
      <c r="EU418" s="645"/>
      <c r="EV418" s="645"/>
      <c r="EW418" s="645"/>
      <c r="EX418" s="645"/>
      <c r="EY418" s="645"/>
      <c r="EZ418" s="645"/>
      <c r="FA418" s="645"/>
      <c r="FB418" s="645"/>
      <c r="FC418" s="645"/>
      <c r="FD418" s="645"/>
      <c r="FE418" s="645"/>
      <c r="FF418" s="645"/>
      <c r="FG418" s="645"/>
      <c r="FH418" s="645"/>
      <c r="FI418" s="645"/>
      <c r="FJ418" s="645"/>
      <c r="FK418" s="645"/>
      <c r="FL418" s="645"/>
      <c r="FM418" s="645"/>
      <c r="FN418" s="645"/>
      <c r="FO418" s="645"/>
      <c r="FP418" s="645"/>
      <c r="FQ418" s="645"/>
      <c r="FR418" s="645"/>
      <c r="FS418" s="645"/>
      <c r="FT418" s="645"/>
      <c r="FU418" s="645"/>
      <c r="FV418" s="645"/>
      <c r="FW418" s="645"/>
      <c r="FX418" s="645"/>
      <c r="FY418" s="645"/>
      <c r="FZ418" s="645"/>
      <c r="GA418" s="645"/>
      <c r="GB418" s="645"/>
      <c r="GC418" s="645"/>
      <c r="GD418" s="645"/>
      <c r="GE418" s="645"/>
      <c r="GF418" s="645"/>
      <c r="GG418" s="645"/>
      <c r="GH418" s="645"/>
      <c r="GI418" s="645"/>
      <c r="GJ418" s="645"/>
      <c r="GK418" s="645"/>
      <c r="GL418" s="645"/>
      <c r="GM418" s="645"/>
      <c r="GN418" s="645"/>
      <c r="GO418" s="645"/>
      <c r="GP418" s="645"/>
      <c r="GQ418" s="645"/>
      <c r="GR418" s="645"/>
      <c r="GS418" s="645"/>
      <c r="GT418" s="645"/>
      <c r="GU418" s="645"/>
      <c r="GV418" s="645"/>
      <c r="GW418" s="645"/>
      <c r="GX418" s="645"/>
      <c r="GY418" s="645"/>
      <c r="GZ418" s="645"/>
      <c r="HA418" s="645"/>
      <c r="HB418" s="645"/>
      <c r="HC418" s="645"/>
      <c r="HD418" s="645"/>
      <c r="HE418" s="645"/>
      <c r="HF418" s="645"/>
      <c r="HG418" s="645"/>
      <c r="HH418" s="645"/>
      <c r="HI418" s="645"/>
      <c r="HJ418" s="645"/>
      <c r="HK418" s="645"/>
      <c r="HL418" s="645"/>
      <c r="HM418" s="645"/>
      <c r="HN418" s="645"/>
      <c r="HO418" s="645"/>
      <c r="HP418" s="645"/>
      <c r="HQ418" s="645"/>
      <c r="HR418" s="645">
        <v>0.20749999999999999</v>
      </c>
      <c r="HS418" s="645">
        <f t="shared" si="830"/>
        <v>1393.2142857142856</v>
      </c>
      <c r="HT418" s="645">
        <f t="shared" si="831"/>
        <v>1</v>
      </c>
      <c r="HU418" s="618">
        <f t="shared" si="832"/>
        <v>5.2862434728460581</v>
      </c>
      <c r="HV418" s="618"/>
      <c r="HW418" s="618">
        <f t="shared" si="817"/>
        <v>28.493534268558598</v>
      </c>
      <c r="HX418" s="618">
        <f t="shared" si="833"/>
        <v>4.7337903806670329</v>
      </c>
      <c r="HY418" s="618">
        <f t="shared" si="834"/>
        <v>0.20749999999999999</v>
      </c>
      <c r="HZ418" s="618"/>
      <c r="IA418" s="618"/>
      <c r="IB418" s="618">
        <f t="shared" si="818"/>
        <v>25.000350341399081</v>
      </c>
      <c r="IC418" s="618">
        <f t="shared" si="819"/>
        <v>1E-3</v>
      </c>
      <c r="ID418" s="618"/>
      <c r="IE418" s="618">
        <f t="shared" si="820"/>
        <v>0</v>
      </c>
      <c r="IF418" s="618">
        <f t="shared" si="821"/>
        <v>40.704999999999998</v>
      </c>
      <c r="IG418" s="618"/>
      <c r="IH418" s="618">
        <f t="shared" si="822"/>
        <v>0</v>
      </c>
      <c r="II418" s="618">
        <f t="shared" si="823"/>
        <v>40.704999999999998</v>
      </c>
      <c r="IJ418" s="618"/>
      <c r="IK418" s="618">
        <f t="shared" si="824"/>
        <v>0</v>
      </c>
      <c r="IL418" s="618">
        <f t="shared" si="825"/>
        <v>40.704999999999998</v>
      </c>
      <c r="IM418" s="618"/>
      <c r="IN418" s="618">
        <f t="shared" si="826"/>
        <v>0</v>
      </c>
      <c r="IO418" s="618">
        <f t="shared" si="827"/>
        <v>40.704999999999998</v>
      </c>
      <c r="IP418" s="618"/>
      <c r="IQ418" s="618">
        <f t="shared" si="828"/>
        <v>0</v>
      </c>
      <c r="IR418" s="618">
        <f t="shared" si="829"/>
        <v>40.704999999999998</v>
      </c>
      <c r="IS418" s="645"/>
      <c r="IT418" s="645"/>
      <c r="IU418" s="645"/>
      <c r="IV418" s="645"/>
      <c r="IW418" s="645"/>
      <c r="IX418" s="645"/>
      <c r="IY418" s="645"/>
      <c r="IZ418" s="645"/>
      <c r="JA418" s="645"/>
      <c r="JB418" s="645"/>
      <c r="JC418" s="645"/>
      <c r="JD418" s="645"/>
      <c r="JE418" s="645"/>
      <c r="JF418" s="645"/>
      <c r="JG418" s="645"/>
      <c r="JH418" s="645"/>
      <c r="JI418" s="645"/>
      <c r="JJ418" s="645"/>
      <c r="JK418" s="645"/>
      <c r="JL418" s="645"/>
      <c r="JM418" s="645"/>
      <c r="JN418" s="645"/>
      <c r="JO418" s="645"/>
      <c r="JP418" s="645"/>
      <c r="JQ418" s="645"/>
      <c r="JR418" s="645"/>
      <c r="JS418" s="645"/>
      <c r="JT418" s="645"/>
      <c r="JU418" s="645"/>
      <c r="JV418" s="653"/>
    </row>
    <row r="419" spans="1:282" s="612" customFormat="1">
      <c r="A419" s="611"/>
      <c r="U419" s="613"/>
      <c r="V419" s="613"/>
      <c r="AC419" s="613"/>
      <c r="AD419" s="613"/>
      <c r="AL419" s="613"/>
      <c r="AM419" s="613"/>
      <c r="AT419" s="613"/>
      <c r="AU419" s="613"/>
      <c r="CH419" s="611"/>
      <c r="CI419" s="611"/>
      <c r="CO419" s="695"/>
      <c r="CP419" s="645"/>
      <c r="CQ419" s="618"/>
      <c r="CR419" s="618"/>
      <c r="CS419" s="618"/>
      <c r="CT419" s="626"/>
      <c r="CU419" s="626"/>
      <c r="CV419" s="626"/>
      <c r="CW419" s="646"/>
      <c r="CX419" s="646"/>
      <c r="CY419" s="625"/>
      <c r="CZ419" s="625"/>
      <c r="DA419" s="625"/>
      <c r="DB419" s="625"/>
      <c r="DC419" s="645"/>
      <c r="DD419" s="645"/>
      <c r="DE419" s="645"/>
      <c r="DF419" s="645"/>
      <c r="DG419" s="645"/>
      <c r="DH419" s="645"/>
      <c r="DI419" s="645"/>
      <c r="DJ419" s="645"/>
      <c r="DK419" s="645"/>
      <c r="DL419" s="645"/>
      <c r="DM419" s="645"/>
      <c r="DN419" s="645"/>
      <c r="DO419" s="645"/>
      <c r="DP419" s="645"/>
      <c r="DQ419" s="645"/>
      <c r="DR419" s="645"/>
      <c r="DS419" s="645"/>
      <c r="DT419" s="645"/>
      <c r="DU419" s="645"/>
      <c r="DV419" s="645"/>
      <c r="DW419" s="645"/>
      <c r="DX419" s="645"/>
      <c r="DY419" s="645"/>
      <c r="DZ419" s="645"/>
      <c r="EA419" s="645"/>
      <c r="EB419" s="645"/>
      <c r="EC419" s="645"/>
      <c r="ED419" s="645"/>
      <c r="EE419" s="645"/>
      <c r="EF419" s="645"/>
      <c r="EG419" s="645"/>
      <c r="EH419" s="645"/>
      <c r="EI419" s="645"/>
      <c r="EJ419" s="645"/>
      <c r="EK419" s="645"/>
      <c r="EL419" s="645"/>
      <c r="EM419" s="645"/>
      <c r="EN419" s="645"/>
      <c r="EO419" s="645"/>
      <c r="EP419" s="645"/>
      <c r="EQ419" s="645"/>
      <c r="ER419" s="645"/>
      <c r="ES419" s="645"/>
      <c r="ET419" s="645"/>
      <c r="EU419" s="645"/>
      <c r="EV419" s="645"/>
      <c r="EW419" s="645"/>
      <c r="EX419" s="645"/>
      <c r="EY419" s="645"/>
      <c r="EZ419" s="645"/>
      <c r="FA419" s="645"/>
      <c r="FB419" s="645"/>
      <c r="FC419" s="645"/>
      <c r="FD419" s="645"/>
      <c r="FE419" s="645"/>
      <c r="FF419" s="645"/>
      <c r="FG419" s="645"/>
      <c r="FH419" s="645"/>
      <c r="FI419" s="645"/>
      <c r="FJ419" s="645"/>
      <c r="FK419" s="645"/>
      <c r="FL419" s="645"/>
      <c r="FM419" s="645"/>
      <c r="FN419" s="645"/>
      <c r="FO419" s="645"/>
      <c r="FP419" s="645"/>
      <c r="FQ419" s="645"/>
      <c r="FR419" s="645"/>
      <c r="FS419" s="645"/>
      <c r="FT419" s="645"/>
      <c r="FU419" s="645"/>
      <c r="FV419" s="645"/>
      <c r="FW419" s="645"/>
      <c r="FX419" s="645"/>
      <c r="FY419" s="645"/>
      <c r="FZ419" s="645"/>
      <c r="GA419" s="645"/>
      <c r="GB419" s="645"/>
      <c r="GC419" s="645"/>
      <c r="GD419" s="645"/>
      <c r="GE419" s="645"/>
      <c r="GF419" s="645"/>
      <c r="GG419" s="645"/>
      <c r="GH419" s="645"/>
      <c r="GI419" s="645"/>
      <c r="GJ419" s="645"/>
      <c r="GK419" s="645"/>
      <c r="GL419" s="645"/>
      <c r="GM419" s="645"/>
      <c r="GN419" s="645"/>
      <c r="GO419" s="645"/>
      <c r="GP419" s="645"/>
      <c r="GQ419" s="645"/>
      <c r="GR419" s="645"/>
      <c r="GS419" s="645"/>
      <c r="GT419" s="645"/>
      <c r="GU419" s="645"/>
      <c r="GV419" s="645"/>
      <c r="GW419" s="645"/>
      <c r="GX419" s="645"/>
      <c r="GY419" s="645"/>
      <c r="GZ419" s="645"/>
      <c r="HA419" s="645"/>
      <c r="HB419" s="645"/>
      <c r="HC419" s="645"/>
      <c r="HD419" s="645"/>
      <c r="HE419" s="645"/>
      <c r="HF419" s="645"/>
      <c r="HG419" s="645"/>
      <c r="HH419" s="645"/>
      <c r="HI419" s="645"/>
      <c r="HJ419" s="645"/>
      <c r="HK419" s="645"/>
      <c r="HL419" s="645"/>
      <c r="HM419" s="645"/>
      <c r="HN419" s="645"/>
      <c r="HO419" s="645"/>
      <c r="HP419" s="645"/>
      <c r="HQ419" s="645"/>
      <c r="HR419" s="645">
        <v>0.20799999999999999</v>
      </c>
      <c r="HS419" s="645">
        <f t="shared" si="830"/>
        <v>1396.5714285714284</v>
      </c>
      <c r="HT419" s="645">
        <f t="shared" si="831"/>
        <v>1</v>
      </c>
      <c r="HU419" s="618">
        <f t="shared" si="832"/>
        <v>5.2989825168196827</v>
      </c>
      <c r="HV419" s="618"/>
      <c r="HW419" s="618">
        <f t="shared" si="817"/>
        <v>28.47544482611605</v>
      </c>
      <c r="HX419" s="618">
        <f t="shared" si="833"/>
        <v>4.743866767995045</v>
      </c>
      <c r="HY419" s="618">
        <f t="shared" si="834"/>
        <v>0.20799999999999999</v>
      </c>
      <c r="HZ419" s="618"/>
      <c r="IA419" s="618"/>
      <c r="IB419" s="618">
        <f t="shared" si="818"/>
        <v>25.000350341399081</v>
      </c>
      <c r="IC419" s="618">
        <f t="shared" si="819"/>
        <v>1E-3</v>
      </c>
      <c r="ID419" s="618"/>
      <c r="IE419" s="618">
        <f t="shared" si="820"/>
        <v>0</v>
      </c>
      <c r="IF419" s="618">
        <f t="shared" si="821"/>
        <v>40.704999999999998</v>
      </c>
      <c r="IG419" s="618"/>
      <c r="IH419" s="618">
        <f t="shared" si="822"/>
        <v>0</v>
      </c>
      <c r="II419" s="618">
        <f t="shared" si="823"/>
        <v>40.704999999999998</v>
      </c>
      <c r="IJ419" s="618"/>
      <c r="IK419" s="618">
        <f t="shared" si="824"/>
        <v>0</v>
      </c>
      <c r="IL419" s="618">
        <f t="shared" si="825"/>
        <v>40.704999999999998</v>
      </c>
      <c r="IM419" s="618"/>
      <c r="IN419" s="618">
        <f t="shared" si="826"/>
        <v>0</v>
      </c>
      <c r="IO419" s="618">
        <f t="shared" si="827"/>
        <v>40.704999999999998</v>
      </c>
      <c r="IP419" s="618"/>
      <c r="IQ419" s="618">
        <f t="shared" si="828"/>
        <v>0</v>
      </c>
      <c r="IR419" s="618">
        <f t="shared" si="829"/>
        <v>40.704999999999998</v>
      </c>
      <c r="IS419" s="645"/>
      <c r="IT419" s="645"/>
      <c r="IU419" s="645"/>
      <c r="IV419" s="645"/>
      <c r="IW419" s="645"/>
      <c r="IX419" s="645"/>
      <c r="IY419" s="645"/>
      <c r="IZ419" s="645"/>
      <c r="JA419" s="645"/>
      <c r="JB419" s="645"/>
      <c r="JC419" s="645"/>
      <c r="JD419" s="645"/>
      <c r="JE419" s="645"/>
      <c r="JF419" s="645"/>
      <c r="JG419" s="645"/>
      <c r="JH419" s="645"/>
      <c r="JI419" s="645"/>
      <c r="JJ419" s="645"/>
      <c r="JK419" s="645"/>
      <c r="JL419" s="645"/>
      <c r="JM419" s="645"/>
      <c r="JN419" s="645"/>
      <c r="JO419" s="645"/>
      <c r="JP419" s="645"/>
      <c r="JQ419" s="645"/>
      <c r="JR419" s="645"/>
      <c r="JS419" s="645"/>
      <c r="JT419" s="645"/>
      <c r="JU419" s="645"/>
      <c r="JV419" s="653"/>
    </row>
    <row r="420" spans="1:282" s="612" customFormat="1">
      <c r="A420" s="611"/>
      <c r="U420" s="613"/>
      <c r="V420" s="613"/>
      <c r="AC420" s="613"/>
      <c r="AD420" s="613"/>
      <c r="AL420" s="613"/>
      <c r="AM420" s="613"/>
      <c r="AT420" s="613"/>
      <c r="AU420" s="613"/>
      <c r="CH420" s="611"/>
      <c r="CI420" s="611"/>
      <c r="CO420" s="695"/>
      <c r="CP420" s="645"/>
      <c r="CQ420" s="618"/>
      <c r="CR420" s="618"/>
      <c r="CS420" s="618"/>
      <c r="CT420" s="626"/>
      <c r="CU420" s="626"/>
      <c r="CV420" s="626"/>
      <c r="CW420" s="646"/>
      <c r="CX420" s="646"/>
      <c r="CY420" s="625"/>
      <c r="CZ420" s="625"/>
      <c r="DA420" s="625"/>
      <c r="DB420" s="625"/>
      <c r="DC420" s="645"/>
      <c r="DD420" s="645"/>
      <c r="DE420" s="645"/>
      <c r="DF420" s="645"/>
      <c r="DG420" s="645"/>
      <c r="DH420" s="645"/>
      <c r="DI420" s="645"/>
      <c r="DJ420" s="645"/>
      <c r="DK420" s="645"/>
      <c r="DL420" s="645"/>
      <c r="DM420" s="645"/>
      <c r="DN420" s="645"/>
      <c r="DO420" s="645"/>
      <c r="DP420" s="645"/>
      <c r="DQ420" s="645"/>
      <c r="DR420" s="645"/>
      <c r="DS420" s="645"/>
      <c r="DT420" s="645"/>
      <c r="DU420" s="645"/>
      <c r="DV420" s="645"/>
      <c r="DW420" s="645"/>
      <c r="DX420" s="645"/>
      <c r="DY420" s="645"/>
      <c r="DZ420" s="645"/>
      <c r="EA420" s="645"/>
      <c r="EB420" s="645"/>
      <c r="EC420" s="645"/>
      <c r="ED420" s="645"/>
      <c r="EE420" s="645"/>
      <c r="EF420" s="645"/>
      <c r="EG420" s="645"/>
      <c r="EH420" s="645"/>
      <c r="EI420" s="645"/>
      <c r="EJ420" s="645"/>
      <c r="EK420" s="645"/>
      <c r="EL420" s="645"/>
      <c r="EM420" s="645"/>
      <c r="EN420" s="645"/>
      <c r="EO420" s="645"/>
      <c r="EP420" s="645"/>
      <c r="EQ420" s="645"/>
      <c r="ER420" s="645"/>
      <c r="ES420" s="645"/>
      <c r="ET420" s="645"/>
      <c r="EU420" s="645"/>
      <c r="EV420" s="645"/>
      <c r="EW420" s="645"/>
      <c r="EX420" s="645"/>
      <c r="EY420" s="645"/>
      <c r="EZ420" s="645"/>
      <c r="FA420" s="645"/>
      <c r="FB420" s="645"/>
      <c r="FC420" s="645"/>
      <c r="FD420" s="645"/>
      <c r="FE420" s="645"/>
      <c r="FF420" s="645"/>
      <c r="FG420" s="645"/>
      <c r="FH420" s="645"/>
      <c r="FI420" s="645"/>
      <c r="FJ420" s="645"/>
      <c r="FK420" s="645"/>
      <c r="FL420" s="645"/>
      <c r="FM420" s="645"/>
      <c r="FN420" s="645"/>
      <c r="FO420" s="645"/>
      <c r="FP420" s="645"/>
      <c r="FQ420" s="645"/>
      <c r="FR420" s="645"/>
      <c r="FS420" s="645"/>
      <c r="FT420" s="645"/>
      <c r="FU420" s="645"/>
      <c r="FV420" s="645"/>
      <c r="FW420" s="645"/>
      <c r="FX420" s="645"/>
      <c r="FY420" s="645"/>
      <c r="FZ420" s="645"/>
      <c r="GA420" s="645"/>
      <c r="GB420" s="645"/>
      <c r="GC420" s="645"/>
      <c r="GD420" s="645"/>
      <c r="GE420" s="645"/>
      <c r="GF420" s="645"/>
      <c r="GG420" s="645"/>
      <c r="GH420" s="645"/>
      <c r="GI420" s="645"/>
      <c r="GJ420" s="645"/>
      <c r="GK420" s="645"/>
      <c r="GL420" s="645"/>
      <c r="GM420" s="645"/>
      <c r="GN420" s="645"/>
      <c r="GO420" s="645"/>
      <c r="GP420" s="645"/>
      <c r="GQ420" s="645"/>
      <c r="GR420" s="645"/>
      <c r="GS420" s="645"/>
      <c r="GT420" s="645"/>
      <c r="GU420" s="645"/>
      <c r="GV420" s="645"/>
      <c r="GW420" s="645"/>
      <c r="GX420" s="645"/>
      <c r="GY420" s="645"/>
      <c r="GZ420" s="645"/>
      <c r="HA420" s="645"/>
      <c r="HB420" s="645"/>
      <c r="HC420" s="645"/>
      <c r="HD420" s="645"/>
      <c r="HE420" s="645"/>
      <c r="HF420" s="645"/>
      <c r="HG420" s="645"/>
      <c r="HH420" s="645"/>
      <c r="HI420" s="645"/>
      <c r="HJ420" s="645"/>
      <c r="HK420" s="645"/>
      <c r="HL420" s="645"/>
      <c r="HM420" s="645"/>
      <c r="HN420" s="645"/>
      <c r="HO420" s="645"/>
      <c r="HP420" s="645"/>
      <c r="HQ420" s="645"/>
      <c r="HR420" s="645">
        <v>0.20849999999999999</v>
      </c>
      <c r="HS420" s="645">
        <f t="shared" si="830"/>
        <v>1399.9285714285713</v>
      </c>
      <c r="HT420" s="645">
        <f t="shared" si="831"/>
        <v>1</v>
      </c>
      <c r="HU420" s="618">
        <f t="shared" si="832"/>
        <v>5.3117215607933073</v>
      </c>
      <c r="HV420" s="618"/>
      <c r="HW420" s="618">
        <f t="shared" si="817"/>
        <v>28.457355383673505</v>
      </c>
      <c r="HX420" s="618">
        <f t="shared" si="833"/>
        <v>4.7539367541507582</v>
      </c>
      <c r="HY420" s="618">
        <f t="shared" si="834"/>
        <v>0.20849999999999999</v>
      </c>
      <c r="HZ420" s="618"/>
      <c r="IA420" s="618"/>
      <c r="IB420" s="618">
        <f t="shared" si="818"/>
        <v>25.000350341399081</v>
      </c>
      <c r="IC420" s="618">
        <f t="shared" si="819"/>
        <v>1E-3</v>
      </c>
      <c r="ID420" s="618"/>
      <c r="IE420" s="618">
        <f t="shared" si="820"/>
        <v>0</v>
      </c>
      <c r="IF420" s="618">
        <f t="shared" si="821"/>
        <v>40.704999999999998</v>
      </c>
      <c r="IG420" s="618"/>
      <c r="IH420" s="618">
        <f t="shared" si="822"/>
        <v>0</v>
      </c>
      <c r="II420" s="618">
        <f t="shared" si="823"/>
        <v>40.704999999999998</v>
      </c>
      <c r="IJ420" s="618"/>
      <c r="IK420" s="618">
        <f t="shared" si="824"/>
        <v>0</v>
      </c>
      <c r="IL420" s="618">
        <f t="shared" si="825"/>
        <v>40.704999999999998</v>
      </c>
      <c r="IM420" s="618"/>
      <c r="IN420" s="618">
        <f t="shared" si="826"/>
        <v>0</v>
      </c>
      <c r="IO420" s="618">
        <f t="shared" si="827"/>
        <v>40.704999999999998</v>
      </c>
      <c r="IP420" s="618"/>
      <c r="IQ420" s="618">
        <f t="shared" si="828"/>
        <v>0</v>
      </c>
      <c r="IR420" s="618">
        <f t="shared" si="829"/>
        <v>40.704999999999998</v>
      </c>
      <c r="IS420" s="645"/>
      <c r="IT420" s="645"/>
      <c r="IU420" s="645"/>
      <c r="IV420" s="645"/>
      <c r="IW420" s="645"/>
      <c r="IX420" s="645"/>
      <c r="IY420" s="645"/>
      <c r="IZ420" s="645"/>
      <c r="JA420" s="645"/>
      <c r="JB420" s="645"/>
      <c r="JC420" s="645"/>
      <c r="JD420" s="645"/>
      <c r="JE420" s="645"/>
      <c r="JF420" s="645"/>
      <c r="JG420" s="645"/>
      <c r="JH420" s="645"/>
      <c r="JI420" s="645"/>
      <c r="JJ420" s="645"/>
      <c r="JK420" s="645"/>
      <c r="JL420" s="645"/>
      <c r="JM420" s="645"/>
      <c r="JN420" s="645"/>
      <c r="JO420" s="645"/>
      <c r="JP420" s="645"/>
      <c r="JQ420" s="645"/>
      <c r="JR420" s="645"/>
      <c r="JS420" s="645"/>
      <c r="JT420" s="645"/>
      <c r="JU420" s="645"/>
      <c r="JV420" s="653"/>
    </row>
    <row r="421" spans="1:282" s="612" customFormat="1">
      <c r="A421" s="611"/>
      <c r="U421" s="613"/>
      <c r="V421" s="613"/>
      <c r="AC421" s="613"/>
      <c r="AD421" s="613"/>
      <c r="AL421" s="613"/>
      <c r="AM421" s="613"/>
      <c r="AT421" s="613"/>
      <c r="AU421" s="613"/>
      <c r="CH421" s="611"/>
      <c r="CI421" s="611"/>
      <c r="CO421" s="695"/>
      <c r="CP421" s="645"/>
      <c r="CQ421" s="618"/>
      <c r="CR421" s="618"/>
      <c r="CS421" s="618"/>
      <c r="CT421" s="626"/>
      <c r="CU421" s="626"/>
      <c r="CV421" s="626"/>
      <c r="CW421" s="646"/>
      <c r="CX421" s="646"/>
      <c r="CY421" s="625"/>
      <c r="CZ421" s="625"/>
      <c r="DA421" s="625"/>
      <c r="DB421" s="625"/>
      <c r="DC421" s="645"/>
      <c r="DD421" s="645"/>
      <c r="DE421" s="645"/>
      <c r="DF421" s="645"/>
      <c r="DG421" s="645"/>
      <c r="DH421" s="645"/>
      <c r="DI421" s="645"/>
      <c r="DJ421" s="645"/>
      <c r="DK421" s="645"/>
      <c r="DL421" s="645"/>
      <c r="DM421" s="645"/>
      <c r="DN421" s="645"/>
      <c r="DO421" s="645"/>
      <c r="DP421" s="645"/>
      <c r="DQ421" s="645"/>
      <c r="DR421" s="645"/>
      <c r="DS421" s="645"/>
      <c r="DT421" s="645"/>
      <c r="DU421" s="645"/>
      <c r="DV421" s="645"/>
      <c r="DW421" s="645"/>
      <c r="DX421" s="645"/>
      <c r="DY421" s="645"/>
      <c r="DZ421" s="645"/>
      <c r="EA421" s="645"/>
      <c r="EB421" s="645"/>
      <c r="EC421" s="645"/>
      <c r="ED421" s="645"/>
      <c r="EE421" s="645"/>
      <c r="EF421" s="645"/>
      <c r="EG421" s="645"/>
      <c r="EH421" s="645"/>
      <c r="EI421" s="645"/>
      <c r="EJ421" s="645"/>
      <c r="EK421" s="645"/>
      <c r="EL421" s="645"/>
      <c r="EM421" s="645"/>
      <c r="EN421" s="645"/>
      <c r="EO421" s="645"/>
      <c r="EP421" s="645"/>
      <c r="EQ421" s="645"/>
      <c r="ER421" s="645"/>
      <c r="ES421" s="645"/>
      <c r="ET421" s="645"/>
      <c r="EU421" s="645"/>
      <c r="EV421" s="645"/>
      <c r="EW421" s="645"/>
      <c r="EX421" s="645"/>
      <c r="EY421" s="645"/>
      <c r="EZ421" s="645"/>
      <c r="FA421" s="645"/>
      <c r="FB421" s="645"/>
      <c r="FC421" s="645"/>
      <c r="FD421" s="645"/>
      <c r="FE421" s="645"/>
      <c r="FF421" s="645"/>
      <c r="FG421" s="645"/>
      <c r="FH421" s="645"/>
      <c r="FI421" s="645"/>
      <c r="FJ421" s="645"/>
      <c r="FK421" s="645"/>
      <c r="FL421" s="645"/>
      <c r="FM421" s="645"/>
      <c r="FN421" s="645"/>
      <c r="FO421" s="645"/>
      <c r="FP421" s="645"/>
      <c r="FQ421" s="645"/>
      <c r="FR421" s="645"/>
      <c r="FS421" s="645"/>
      <c r="FT421" s="645"/>
      <c r="FU421" s="645"/>
      <c r="FV421" s="645"/>
      <c r="FW421" s="645"/>
      <c r="FX421" s="645"/>
      <c r="FY421" s="645"/>
      <c r="FZ421" s="645"/>
      <c r="GA421" s="645"/>
      <c r="GB421" s="645"/>
      <c r="GC421" s="645"/>
      <c r="GD421" s="645"/>
      <c r="GE421" s="645"/>
      <c r="GF421" s="645"/>
      <c r="GG421" s="645"/>
      <c r="GH421" s="645"/>
      <c r="GI421" s="645"/>
      <c r="GJ421" s="645"/>
      <c r="GK421" s="645"/>
      <c r="GL421" s="645"/>
      <c r="GM421" s="645"/>
      <c r="GN421" s="645"/>
      <c r="GO421" s="645"/>
      <c r="GP421" s="645"/>
      <c r="GQ421" s="645"/>
      <c r="GR421" s="645"/>
      <c r="GS421" s="645"/>
      <c r="GT421" s="645"/>
      <c r="GU421" s="645"/>
      <c r="GV421" s="645"/>
      <c r="GW421" s="645"/>
      <c r="GX421" s="645"/>
      <c r="GY421" s="645"/>
      <c r="GZ421" s="645"/>
      <c r="HA421" s="645"/>
      <c r="HB421" s="645"/>
      <c r="HC421" s="645"/>
      <c r="HD421" s="645"/>
      <c r="HE421" s="645"/>
      <c r="HF421" s="645"/>
      <c r="HG421" s="645"/>
      <c r="HH421" s="645"/>
      <c r="HI421" s="645"/>
      <c r="HJ421" s="645"/>
      <c r="HK421" s="645"/>
      <c r="HL421" s="645"/>
      <c r="HM421" s="645"/>
      <c r="HN421" s="645"/>
      <c r="HO421" s="645"/>
      <c r="HP421" s="645"/>
      <c r="HQ421" s="645"/>
      <c r="HR421" s="645">
        <v>0.20899999999999999</v>
      </c>
      <c r="HS421" s="645">
        <f t="shared" si="830"/>
        <v>1403.2857142857142</v>
      </c>
      <c r="HT421" s="645">
        <f t="shared" si="831"/>
        <v>1</v>
      </c>
      <c r="HU421" s="618">
        <f t="shared" si="832"/>
        <v>5.3244606047669318</v>
      </c>
      <c r="HV421" s="618"/>
      <c r="HW421" s="618">
        <f t="shared" si="817"/>
        <v>28.439265941230957</v>
      </c>
      <c r="HX421" s="618">
        <f t="shared" si="833"/>
        <v>4.7640003391341734</v>
      </c>
      <c r="HY421" s="618">
        <f t="shared" si="834"/>
        <v>0.20899999999999999</v>
      </c>
      <c r="HZ421" s="618"/>
      <c r="IA421" s="618"/>
      <c r="IB421" s="618">
        <f t="shared" si="818"/>
        <v>25.000350341399081</v>
      </c>
      <c r="IC421" s="618">
        <f t="shared" si="819"/>
        <v>1E-3</v>
      </c>
      <c r="ID421" s="618"/>
      <c r="IE421" s="618">
        <f t="shared" si="820"/>
        <v>0</v>
      </c>
      <c r="IF421" s="618">
        <f t="shared" si="821"/>
        <v>40.704999999999998</v>
      </c>
      <c r="IG421" s="618"/>
      <c r="IH421" s="618">
        <f t="shared" si="822"/>
        <v>0</v>
      </c>
      <c r="II421" s="618">
        <f t="shared" si="823"/>
        <v>40.704999999999998</v>
      </c>
      <c r="IJ421" s="618"/>
      <c r="IK421" s="618">
        <f t="shared" si="824"/>
        <v>0</v>
      </c>
      <c r="IL421" s="618">
        <f t="shared" si="825"/>
        <v>40.704999999999998</v>
      </c>
      <c r="IM421" s="618"/>
      <c r="IN421" s="618">
        <f t="shared" si="826"/>
        <v>0</v>
      </c>
      <c r="IO421" s="618">
        <f t="shared" si="827"/>
        <v>40.704999999999998</v>
      </c>
      <c r="IP421" s="618"/>
      <c r="IQ421" s="618">
        <f t="shared" si="828"/>
        <v>0</v>
      </c>
      <c r="IR421" s="618">
        <f t="shared" si="829"/>
        <v>40.704999999999998</v>
      </c>
      <c r="IS421" s="645"/>
      <c r="IT421" s="645"/>
      <c r="IU421" s="645"/>
      <c r="IV421" s="645"/>
      <c r="IW421" s="645"/>
      <c r="IX421" s="645"/>
      <c r="IY421" s="645"/>
      <c r="IZ421" s="645"/>
      <c r="JA421" s="645"/>
      <c r="JB421" s="645"/>
      <c r="JC421" s="645"/>
      <c r="JD421" s="645"/>
      <c r="JE421" s="645"/>
      <c r="JF421" s="645"/>
      <c r="JG421" s="645"/>
      <c r="JH421" s="645"/>
      <c r="JI421" s="645"/>
      <c r="JJ421" s="645"/>
      <c r="JK421" s="645"/>
      <c r="JL421" s="645"/>
      <c r="JM421" s="645"/>
      <c r="JN421" s="645"/>
      <c r="JO421" s="645"/>
      <c r="JP421" s="645"/>
      <c r="JQ421" s="645"/>
      <c r="JR421" s="645"/>
      <c r="JS421" s="645"/>
      <c r="JT421" s="645"/>
      <c r="JU421" s="645"/>
      <c r="JV421" s="653"/>
    </row>
    <row r="422" spans="1:282" s="612" customFormat="1">
      <c r="A422" s="611"/>
      <c r="U422" s="613"/>
      <c r="V422" s="613"/>
      <c r="AC422" s="613"/>
      <c r="AD422" s="613"/>
      <c r="AL422" s="613"/>
      <c r="AM422" s="613"/>
      <c r="AT422" s="613"/>
      <c r="AU422" s="613"/>
      <c r="CH422" s="611"/>
      <c r="CI422" s="611"/>
      <c r="CO422" s="695"/>
      <c r="CP422" s="645"/>
      <c r="CQ422" s="618"/>
      <c r="CR422" s="618"/>
      <c r="CS422" s="618"/>
      <c r="CT422" s="626"/>
      <c r="CU422" s="626"/>
      <c r="CV422" s="626"/>
      <c r="CW422" s="646"/>
      <c r="CX422" s="646"/>
      <c r="CY422" s="625"/>
      <c r="CZ422" s="625"/>
      <c r="DA422" s="625"/>
      <c r="DB422" s="625"/>
      <c r="DC422" s="645"/>
      <c r="DD422" s="645"/>
      <c r="DE422" s="645"/>
      <c r="DF422" s="645"/>
      <c r="DG422" s="645"/>
      <c r="DH422" s="645"/>
      <c r="DI422" s="645"/>
      <c r="DJ422" s="645"/>
      <c r="DK422" s="645"/>
      <c r="DL422" s="645"/>
      <c r="DM422" s="645"/>
      <c r="DN422" s="645"/>
      <c r="DO422" s="645"/>
      <c r="DP422" s="645"/>
      <c r="DQ422" s="645"/>
      <c r="DR422" s="645"/>
      <c r="DS422" s="645"/>
      <c r="DT422" s="645"/>
      <c r="DU422" s="645"/>
      <c r="DV422" s="645"/>
      <c r="DW422" s="645"/>
      <c r="DX422" s="645"/>
      <c r="DY422" s="645"/>
      <c r="DZ422" s="645"/>
      <c r="EA422" s="645"/>
      <c r="EB422" s="645"/>
      <c r="EC422" s="645"/>
      <c r="ED422" s="645"/>
      <c r="EE422" s="645"/>
      <c r="EF422" s="645"/>
      <c r="EG422" s="645"/>
      <c r="EH422" s="645"/>
      <c r="EI422" s="645"/>
      <c r="EJ422" s="645"/>
      <c r="EK422" s="645"/>
      <c r="EL422" s="645"/>
      <c r="EM422" s="645"/>
      <c r="EN422" s="645"/>
      <c r="EO422" s="645"/>
      <c r="EP422" s="645"/>
      <c r="EQ422" s="645"/>
      <c r="ER422" s="645"/>
      <c r="ES422" s="645"/>
      <c r="ET422" s="645"/>
      <c r="EU422" s="645"/>
      <c r="EV422" s="645"/>
      <c r="EW422" s="645"/>
      <c r="EX422" s="645"/>
      <c r="EY422" s="645"/>
      <c r="EZ422" s="645"/>
      <c r="FA422" s="645"/>
      <c r="FB422" s="645"/>
      <c r="FC422" s="645"/>
      <c r="FD422" s="645"/>
      <c r="FE422" s="645"/>
      <c r="FF422" s="645"/>
      <c r="FG422" s="645"/>
      <c r="FH422" s="645"/>
      <c r="FI422" s="645"/>
      <c r="FJ422" s="645"/>
      <c r="FK422" s="645"/>
      <c r="FL422" s="645"/>
      <c r="FM422" s="645"/>
      <c r="FN422" s="645"/>
      <c r="FO422" s="645"/>
      <c r="FP422" s="645"/>
      <c r="FQ422" s="645"/>
      <c r="FR422" s="645"/>
      <c r="FS422" s="645"/>
      <c r="FT422" s="645"/>
      <c r="FU422" s="645"/>
      <c r="FV422" s="645"/>
      <c r="FW422" s="645"/>
      <c r="FX422" s="645"/>
      <c r="FY422" s="645"/>
      <c r="FZ422" s="645"/>
      <c r="GA422" s="645"/>
      <c r="GB422" s="645"/>
      <c r="GC422" s="645"/>
      <c r="GD422" s="645"/>
      <c r="GE422" s="645"/>
      <c r="GF422" s="645"/>
      <c r="GG422" s="645"/>
      <c r="GH422" s="645"/>
      <c r="GI422" s="645"/>
      <c r="GJ422" s="645"/>
      <c r="GK422" s="645"/>
      <c r="GL422" s="645"/>
      <c r="GM422" s="645"/>
      <c r="GN422" s="645"/>
      <c r="GO422" s="645"/>
      <c r="GP422" s="645"/>
      <c r="GQ422" s="645"/>
      <c r="GR422" s="645"/>
      <c r="GS422" s="645"/>
      <c r="GT422" s="645"/>
      <c r="GU422" s="645"/>
      <c r="GV422" s="645"/>
      <c r="GW422" s="645"/>
      <c r="GX422" s="645"/>
      <c r="GY422" s="645"/>
      <c r="GZ422" s="645"/>
      <c r="HA422" s="645"/>
      <c r="HB422" s="645"/>
      <c r="HC422" s="645"/>
      <c r="HD422" s="645"/>
      <c r="HE422" s="645"/>
      <c r="HF422" s="645"/>
      <c r="HG422" s="645"/>
      <c r="HH422" s="645"/>
      <c r="HI422" s="645"/>
      <c r="HJ422" s="645"/>
      <c r="HK422" s="645"/>
      <c r="HL422" s="645"/>
      <c r="HM422" s="645"/>
      <c r="HN422" s="645"/>
      <c r="HO422" s="645"/>
      <c r="HP422" s="645"/>
      <c r="HQ422" s="645"/>
      <c r="HR422" s="645">
        <v>0.20949999999999999</v>
      </c>
      <c r="HS422" s="645">
        <f t="shared" si="830"/>
        <v>1406.6428571428571</v>
      </c>
      <c r="HT422" s="645">
        <f t="shared" si="831"/>
        <v>1</v>
      </c>
      <c r="HU422" s="618">
        <f t="shared" si="832"/>
        <v>5.3371996487405564</v>
      </c>
      <c r="HV422" s="618"/>
      <c r="HW422" s="618">
        <f t="shared" si="817"/>
        <v>28.421176498788412</v>
      </c>
      <c r="HX422" s="618">
        <f t="shared" si="833"/>
        <v>4.7740575229452906</v>
      </c>
      <c r="HY422" s="618">
        <f t="shared" si="834"/>
        <v>0.20949999999999999</v>
      </c>
      <c r="HZ422" s="618"/>
      <c r="IA422" s="618"/>
      <c r="IB422" s="618">
        <f t="shared" si="818"/>
        <v>25.000350341399081</v>
      </c>
      <c r="IC422" s="618">
        <f t="shared" si="819"/>
        <v>1E-3</v>
      </c>
      <c r="ID422" s="618"/>
      <c r="IE422" s="618">
        <f t="shared" si="820"/>
        <v>0</v>
      </c>
      <c r="IF422" s="618">
        <f t="shared" si="821"/>
        <v>40.704999999999998</v>
      </c>
      <c r="IG422" s="618"/>
      <c r="IH422" s="618">
        <f t="shared" si="822"/>
        <v>0</v>
      </c>
      <c r="II422" s="618">
        <f t="shared" si="823"/>
        <v>40.704999999999998</v>
      </c>
      <c r="IJ422" s="618"/>
      <c r="IK422" s="618">
        <f t="shared" si="824"/>
        <v>0</v>
      </c>
      <c r="IL422" s="618">
        <f t="shared" si="825"/>
        <v>40.704999999999998</v>
      </c>
      <c r="IM422" s="618"/>
      <c r="IN422" s="618">
        <f t="shared" si="826"/>
        <v>0</v>
      </c>
      <c r="IO422" s="618">
        <f t="shared" si="827"/>
        <v>40.704999999999998</v>
      </c>
      <c r="IP422" s="618"/>
      <c r="IQ422" s="618">
        <f t="shared" si="828"/>
        <v>0</v>
      </c>
      <c r="IR422" s="618">
        <f t="shared" si="829"/>
        <v>40.704999999999998</v>
      </c>
      <c r="IS422" s="645"/>
      <c r="IT422" s="645"/>
      <c r="IU422" s="645"/>
      <c r="IV422" s="645"/>
      <c r="IW422" s="645"/>
      <c r="IX422" s="645"/>
      <c r="IY422" s="645"/>
      <c r="IZ422" s="645"/>
      <c r="JA422" s="645"/>
      <c r="JB422" s="645"/>
      <c r="JC422" s="645"/>
      <c r="JD422" s="645"/>
      <c r="JE422" s="645"/>
      <c r="JF422" s="645"/>
      <c r="JG422" s="645"/>
      <c r="JH422" s="645"/>
      <c r="JI422" s="645"/>
      <c r="JJ422" s="645"/>
      <c r="JK422" s="645"/>
      <c r="JL422" s="645"/>
      <c r="JM422" s="645"/>
      <c r="JN422" s="645"/>
      <c r="JO422" s="645"/>
      <c r="JP422" s="645"/>
      <c r="JQ422" s="645"/>
      <c r="JR422" s="645"/>
      <c r="JS422" s="645"/>
      <c r="JT422" s="645"/>
      <c r="JU422" s="645"/>
      <c r="JV422" s="653"/>
    </row>
    <row r="423" spans="1:282" s="612" customFormat="1">
      <c r="A423" s="611"/>
      <c r="U423" s="613"/>
      <c r="V423" s="613"/>
      <c r="AC423" s="613"/>
      <c r="AD423" s="613"/>
      <c r="AL423" s="613"/>
      <c r="AM423" s="613"/>
      <c r="AT423" s="613"/>
      <c r="AU423" s="613"/>
      <c r="CH423" s="611"/>
      <c r="CI423" s="611"/>
      <c r="CO423" s="695"/>
      <c r="CP423" s="645"/>
      <c r="CQ423" s="618"/>
      <c r="CR423" s="618"/>
      <c r="CS423" s="618"/>
      <c r="CT423" s="626"/>
      <c r="CU423" s="626"/>
      <c r="CV423" s="626"/>
      <c r="CW423" s="646"/>
      <c r="CX423" s="646"/>
      <c r="CY423" s="625"/>
      <c r="CZ423" s="625"/>
      <c r="DA423" s="625"/>
      <c r="DB423" s="625"/>
      <c r="DC423" s="645"/>
      <c r="DD423" s="645"/>
      <c r="DE423" s="645"/>
      <c r="DF423" s="645"/>
      <c r="DG423" s="645"/>
      <c r="DH423" s="645"/>
      <c r="DI423" s="645"/>
      <c r="DJ423" s="645"/>
      <c r="DK423" s="645"/>
      <c r="DL423" s="645"/>
      <c r="DM423" s="645"/>
      <c r="DN423" s="645"/>
      <c r="DO423" s="645"/>
      <c r="DP423" s="645"/>
      <c r="DQ423" s="645"/>
      <c r="DR423" s="645"/>
      <c r="DS423" s="645"/>
      <c r="DT423" s="645"/>
      <c r="DU423" s="645"/>
      <c r="DV423" s="645"/>
      <c r="DW423" s="645"/>
      <c r="DX423" s="645"/>
      <c r="DY423" s="645"/>
      <c r="DZ423" s="645"/>
      <c r="EA423" s="645"/>
      <c r="EB423" s="645"/>
      <c r="EC423" s="645"/>
      <c r="ED423" s="645"/>
      <c r="EE423" s="645"/>
      <c r="EF423" s="645"/>
      <c r="EG423" s="645"/>
      <c r="EH423" s="645"/>
      <c r="EI423" s="645"/>
      <c r="EJ423" s="645"/>
      <c r="EK423" s="645"/>
      <c r="EL423" s="645"/>
      <c r="EM423" s="645"/>
      <c r="EN423" s="645"/>
      <c r="EO423" s="645"/>
      <c r="EP423" s="645"/>
      <c r="EQ423" s="645"/>
      <c r="ER423" s="645"/>
      <c r="ES423" s="645"/>
      <c r="ET423" s="645"/>
      <c r="EU423" s="645"/>
      <c r="EV423" s="645"/>
      <c r="EW423" s="645"/>
      <c r="EX423" s="645"/>
      <c r="EY423" s="645"/>
      <c r="EZ423" s="645"/>
      <c r="FA423" s="645"/>
      <c r="FB423" s="645"/>
      <c r="FC423" s="645"/>
      <c r="FD423" s="645"/>
      <c r="FE423" s="645"/>
      <c r="FF423" s="645"/>
      <c r="FG423" s="645"/>
      <c r="FH423" s="645"/>
      <c r="FI423" s="645"/>
      <c r="FJ423" s="645"/>
      <c r="FK423" s="645"/>
      <c r="FL423" s="645"/>
      <c r="FM423" s="645"/>
      <c r="FN423" s="645"/>
      <c r="FO423" s="645"/>
      <c r="FP423" s="645"/>
      <c r="FQ423" s="645"/>
      <c r="FR423" s="645"/>
      <c r="FS423" s="645"/>
      <c r="FT423" s="645"/>
      <c r="FU423" s="645"/>
      <c r="FV423" s="645"/>
      <c r="FW423" s="645"/>
      <c r="FX423" s="645"/>
      <c r="FY423" s="645"/>
      <c r="FZ423" s="645"/>
      <c r="GA423" s="645"/>
      <c r="GB423" s="645"/>
      <c r="GC423" s="645"/>
      <c r="GD423" s="645"/>
      <c r="GE423" s="645"/>
      <c r="GF423" s="645"/>
      <c r="GG423" s="645"/>
      <c r="GH423" s="645"/>
      <c r="GI423" s="645"/>
      <c r="GJ423" s="645"/>
      <c r="GK423" s="645"/>
      <c r="GL423" s="645"/>
      <c r="GM423" s="645"/>
      <c r="GN423" s="645"/>
      <c r="GO423" s="645"/>
      <c r="GP423" s="645"/>
      <c r="GQ423" s="645"/>
      <c r="GR423" s="645"/>
      <c r="GS423" s="645"/>
      <c r="GT423" s="645"/>
      <c r="GU423" s="645"/>
      <c r="GV423" s="645"/>
      <c r="GW423" s="645"/>
      <c r="GX423" s="645"/>
      <c r="GY423" s="645"/>
      <c r="GZ423" s="645"/>
      <c r="HA423" s="645"/>
      <c r="HB423" s="645"/>
      <c r="HC423" s="645"/>
      <c r="HD423" s="645"/>
      <c r="HE423" s="645"/>
      <c r="HF423" s="645"/>
      <c r="HG423" s="645"/>
      <c r="HH423" s="645"/>
      <c r="HI423" s="645"/>
      <c r="HJ423" s="645"/>
      <c r="HK423" s="645"/>
      <c r="HL423" s="645"/>
      <c r="HM423" s="645"/>
      <c r="HN423" s="645"/>
      <c r="HO423" s="645"/>
      <c r="HP423" s="645"/>
      <c r="HQ423" s="645"/>
      <c r="HR423" s="645">
        <v>0.21</v>
      </c>
      <c r="HS423" s="645">
        <f t="shared" si="830"/>
        <v>1410</v>
      </c>
      <c r="HT423" s="645">
        <f t="shared" si="831"/>
        <v>1</v>
      </c>
      <c r="HU423" s="618">
        <f t="shared" si="832"/>
        <v>5.349938692714181</v>
      </c>
      <c r="HV423" s="618"/>
      <c r="HW423" s="618">
        <f t="shared" si="817"/>
        <v>28.403087056345864</v>
      </c>
      <c r="HX423" s="618">
        <f t="shared" si="833"/>
        <v>4.7841083055841098</v>
      </c>
      <c r="HY423" s="618">
        <f t="shared" si="834"/>
        <v>0.21</v>
      </c>
      <c r="HZ423" s="618"/>
      <c r="IA423" s="618"/>
      <c r="IB423" s="618">
        <f t="shared" si="818"/>
        <v>25.000350341399081</v>
      </c>
      <c r="IC423" s="618">
        <f t="shared" si="819"/>
        <v>1E-3</v>
      </c>
      <c r="ID423" s="618"/>
      <c r="IE423" s="618">
        <f t="shared" si="820"/>
        <v>0</v>
      </c>
      <c r="IF423" s="618">
        <f t="shared" si="821"/>
        <v>40.704999999999998</v>
      </c>
      <c r="IG423" s="618"/>
      <c r="IH423" s="618">
        <f t="shared" si="822"/>
        <v>0</v>
      </c>
      <c r="II423" s="618">
        <f t="shared" si="823"/>
        <v>40.704999999999998</v>
      </c>
      <c r="IJ423" s="618"/>
      <c r="IK423" s="618">
        <f t="shared" si="824"/>
        <v>0</v>
      </c>
      <c r="IL423" s="618">
        <f t="shared" si="825"/>
        <v>40.704999999999998</v>
      </c>
      <c r="IM423" s="618"/>
      <c r="IN423" s="618">
        <f t="shared" si="826"/>
        <v>0</v>
      </c>
      <c r="IO423" s="618">
        <f t="shared" si="827"/>
        <v>40.704999999999998</v>
      </c>
      <c r="IP423" s="618"/>
      <c r="IQ423" s="618">
        <f t="shared" si="828"/>
        <v>0</v>
      </c>
      <c r="IR423" s="618">
        <f t="shared" si="829"/>
        <v>40.704999999999998</v>
      </c>
      <c r="IS423" s="645"/>
      <c r="IT423" s="645"/>
      <c r="IU423" s="645"/>
      <c r="IV423" s="645"/>
      <c r="IW423" s="645"/>
      <c r="IX423" s="645"/>
      <c r="IY423" s="645"/>
      <c r="IZ423" s="645"/>
      <c r="JA423" s="645"/>
      <c r="JB423" s="645"/>
      <c r="JC423" s="645"/>
      <c r="JD423" s="645"/>
      <c r="JE423" s="645"/>
      <c r="JF423" s="645"/>
      <c r="JG423" s="645"/>
      <c r="JH423" s="645"/>
      <c r="JI423" s="645"/>
      <c r="JJ423" s="645"/>
      <c r="JK423" s="645"/>
      <c r="JL423" s="645"/>
      <c r="JM423" s="645"/>
      <c r="JN423" s="645"/>
      <c r="JO423" s="645"/>
      <c r="JP423" s="645"/>
      <c r="JQ423" s="645"/>
      <c r="JR423" s="645"/>
      <c r="JS423" s="645"/>
      <c r="JT423" s="645"/>
      <c r="JU423" s="645"/>
      <c r="JV423" s="653"/>
    </row>
    <row r="424" spans="1:282" s="612" customFormat="1">
      <c r="A424" s="611"/>
      <c r="U424" s="613"/>
      <c r="V424" s="613"/>
      <c r="AC424" s="613"/>
      <c r="AD424" s="613"/>
      <c r="AL424" s="613"/>
      <c r="AM424" s="613"/>
      <c r="AT424" s="613"/>
      <c r="AU424" s="613"/>
      <c r="CH424" s="611"/>
      <c r="CI424" s="611"/>
      <c r="CO424" s="695"/>
      <c r="CP424" s="645"/>
      <c r="CQ424" s="618"/>
      <c r="CR424" s="618"/>
      <c r="CS424" s="618"/>
      <c r="CT424" s="626"/>
      <c r="CU424" s="626"/>
      <c r="CV424" s="626"/>
      <c r="CW424" s="646"/>
      <c r="CX424" s="646"/>
      <c r="CY424" s="625"/>
      <c r="CZ424" s="625"/>
      <c r="DA424" s="625"/>
      <c r="DB424" s="625"/>
      <c r="DC424" s="645"/>
      <c r="DD424" s="645"/>
      <c r="DE424" s="645"/>
      <c r="DF424" s="645"/>
      <c r="DG424" s="645"/>
      <c r="DH424" s="645"/>
      <c r="DI424" s="645"/>
      <c r="DJ424" s="645"/>
      <c r="DK424" s="645"/>
      <c r="DL424" s="645"/>
      <c r="DM424" s="645"/>
      <c r="DN424" s="645"/>
      <c r="DO424" s="645"/>
      <c r="DP424" s="645"/>
      <c r="DQ424" s="645"/>
      <c r="DR424" s="645"/>
      <c r="DS424" s="645"/>
      <c r="DT424" s="645"/>
      <c r="DU424" s="645"/>
      <c r="DV424" s="645"/>
      <c r="DW424" s="645"/>
      <c r="DX424" s="645"/>
      <c r="DY424" s="645"/>
      <c r="DZ424" s="645"/>
      <c r="EA424" s="645"/>
      <c r="EB424" s="645"/>
      <c r="EC424" s="645"/>
      <c r="ED424" s="645"/>
      <c r="EE424" s="645"/>
      <c r="EF424" s="645"/>
      <c r="EG424" s="645"/>
      <c r="EH424" s="645"/>
      <c r="EI424" s="645"/>
      <c r="EJ424" s="645"/>
      <c r="EK424" s="645"/>
      <c r="EL424" s="645"/>
      <c r="EM424" s="645"/>
      <c r="EN424" s="645"/>
      <c r="EO424" s="645"/>
      <c r="EP424" s="645"/>
      <c r="EQ424" s="645"/>
      <c r="ER424" s="645"/>
      <c r="ES424" s="645"/>
      <c r="ET424" s="645"/>
      <c r="EU424" s="645"/>
      <c r="EV424" s="645"/>
      <c r="EW424" s="645"/>
      <c r="EX424" s="645"/>
      <c r="EY424" s="645"/>
      <c r="EZ424" s="645"/>
      <c r="FA424" s="645"/>
      <c r="FB424" s="645"/>
      <c r="FC424" s="645"/>
      <c r="FD424" s="645"/>
      <c r="FE424" s="645"/>
      <c r="FF424" s="645"/>
      <c r="FG424" s="645"/>
      <c r="FH424" s="645"/>
      <c r="FI424" s="645"/>
      <c r="FJ424" s="645"/>
      <c r="FK424" s="645"/>
      <c r="FL424" s="645"/>
      <c r="FM424" s="645"/>
      <c r="FN424" s="645"/>
      <c r="FO424" s="645"/>
      <c r="FP424" s="645"/>
      <c r="FQ424" s="645"/>
      <c r="FR424" s="645"/>
      <c r="FS424" s="645"/>
      <c r="FT424" s="645"/>
      <c r="FU424" s="645"/>
      <c r="FV424" s="645"/>
      <c r="FW424" s="645"/>
      <c r="FX424" s="645"/>
      <c r="FY424" s="645"/>
      <c r="FZ424" s="645"/>
      <c r="GA424" s="645"/>
      <c r="GB424" s="645"/>
      <c r="GC424" s="645"/>
      <c r="GD424" s="645"/>
      <c r="GE424" s="645"/>
      <c r="GF424" s="645"/>
      <c r="GG424" s="645"/>
      <c r="GH424" s="645"/>
      <c r="GI424" s="645"/>
      <c r="GJ424" s="645"/>
      <c r="GK424" s="645"/>
      <c r="GL424" s="645"/>
      <c r="GM424" s="645"/>
      <c r="GN424" s="645"/>
      <c r="GO424" s="645"/>
      <c r="GP424" s="645"/>
      <c r="GQ424" s="645"/>
      <c r="GR424" s="645"/>
      <c r="GS424" s="645"/>
      <c r="GT424" s="645"/>
      <c r="GU424" s="645"/>
      <c r="GV424" s="645"/>
      <c r="GW424" s="645"/>
      <c r="GX424" s="645"/>
      <c r="GY424" s="645"/>
      <c r="GZ424" s="645"/>
      <c r="HA424" s="645"/>
      <c r="HB424" s="645"/>
      <c r="HC424" s="645"/>
      <c r="HD424" s="645"/>
      <c r="HE424" s="645"/>
      <c r="HF424" s="645"/>
      <c r="HG424" s="645"/>
      <c r="HH424" s="645"/>
      <c r="HI424" s="645"/>
      <c r="HJ424" s="645"/>
      <c r="HK424" s="645"/>
      <c r="HL424" s="645"/>
      <c r="HM424" s="645"/>
      <c r="HN424" s="645"/>
      <c r="HO424" s="645"/>
      <c r="HP424" s="645"/>
      <c r="HQ424" s="645"/>
      <c r="HR424" s="645">
        <v>0.21049999999999999</v>
      </c>
      <c r="HS424" s="645">
        <f t="shared" si="830"/>
        <v>1413.3571428571429</v>
      </c>
      <c r="HT424" s="645">
        <f t="shared" si="831"/>
        <v>1</v>
      </c>
      <c r="HU424" s="618">
        <f t="shared" si="832"/>
        <v>5.3626777366878056</v>
      </c>
      <c r="HV424" s="618"/>
      <c r="HW424" s="618">
        <f t="shared" si="817"/>
        <v>28.384997613903316</v>
      </c>
      <c r="HX424" s="618">
        <f t="shared" si="833"/>
        <v>4.794152687050631</v>
      </c>
      <c r="HY424" s="618">
        <f t="shared" si="834"/>
        <v>0.21049999999999999</v>
      </c>
      <c r="HZ424" s="618"/>
      <c r="IA424" s="618"/>
      <c r="IB424" s="618">
        <f t="shared" si="818"/>
        <v>25.000350341399081</v>
      </c>
      <c r="IC424" s="618">
        <f t="shared" si="819"/>
        <v>1E-3</v>
      </c>
      <c r="ID424" s="618"/>
      <c r="IE424" s="618">
        <f t="shared" si="820"/>
        <v>0</v>
      </c>
      <c r="IF424" s="618">
        <f t="shared" si="821"/>
        <v>40.704999999999998</v>
      </c>
      <c r="IG424" s="618"/>
      <c r="IH424" s="618">
        <f t="shared" si="822"/>
        <v>0</v>
      </c>
      <c r="II424" s="618">
        <f t="shared" si="823"/>
        <v>40.704999999999998</v>
      </c>
      <c r="IJ424" s="618"/>
      <c r="IK424" s="618">
        <f t="shared" si="824"/>
        <v>0</v>
      </c>
      <c r="IL424" s="618">
        <f t="shared" si="825"/>
        <v>40.704999999999998</v>
      </c>
      <c r="IM424" s="618"/>
      <c r="IN424" s="618">
        <f t="shared" si="826"/>
        <v>0</v>
      </c>
      <c r="IO424" s="618">
        <f t="shared" si="827"/>
        <v>40.704999999999998</v>
      </c>
      <c r="IP424" s="618"/>
      <c r="IQ424" s="618">
        <f t="shared" si="828"/>
        <v>0</v>
      </c>
      <c r="IR424" s="618">
        <f t="shared" si="829"/>
        <v>40.704999999999998</v>
      </c>
      <c r="IS424" s="645"/>
      <c r="IT424" s="645"/>
      <c r="IU424" s="645"/>
      <c r="IV424" s="645"/>
      <c r="IW424" s="645"/>
      <c r="IX424" s="645"/>
      <c r="IY424" s="645"/>
      <c r="IZ424" s="645"/>
      <c r="JA424" s="645"/>
      <c r="JB424" s="645"/>
      <c r="JC424" s="645"/>
      <c r="JD424" s="645"/>
      <c r="JE424" s="645"/>
      <c r="JF424" s="645"/>
      <c r="JG424" s="645"/>
      <c r="JH424" s="645"/>
      <c r="JI424" s="645"/>
      <c r="JJ424" s="645"/>
      <c r="JK424" s="645"/>
      <c r="JL424" s="645"/>
      <c r="JM424" s="645"/>
      <c r="JN424" s="645"/>
      <c r="JO424" s="645"/>
      <c r="JP424" s="645"/>
      <c r="JQ424" s="645"/>
      <c r="JR424" s="645"/>
      <c r="JS424" s="645"/>
      <c r="JT424" s="645"/>
      <c r="JU424" s="645"/>
      <c r="JV424" s="653"/>
    </row>
    <row r="425" spans="1:282" s="612" customFormat="1">
      <c r="A425" s="611"/>
      <c r="U425" s="613"/>
      <c r="V425" s="613"/>
      <c r="AC425" s="613"/>
      <c r="AD425" s="613"/>
      <c r="AL425" s="613"/>
      <c r="AM425" s="613"/>
      <c r="AT425" s="613"/>
      <c r="AU425" s="613"/>
      <c r="CH425" s="611"/>
      <c r="CI425" s="611"/>
      <c r="CO425" s="695"/>
      <c r="CP425" s="645"/>
      <c r="CQ425" s="618"/>
      <c r="CR425" s="618"/>
      <c r="CS425" s="618"/>
      <c r="CT425" s="626"/>
      <c r="CU425" s="626"/>
      <c r="CV425" s="626"/>
      <c r="CW425" s="646"/>
      <c r="CX425" s="646"/>
      <c r="CY425" s="625"/>
      <c r="CZ425" s="625"/>
      <c r="DA425" s="625"/>
      <c r="DB425" s="625"/>
      <c r="DC425" s="645"/>
      <c r="DD425" s="645"/>
      <c r="DE425" s="645"/>
      <c r="DF425" s="645"/>
      <c r="DG425" s="645"/>
      <c r="DH425" s="645"/>
      <c r="DI425" s="645"/>
      <c r="DJ425" s="645"/>
      <c r="DK425" s="645"/>
      <c r="DL425" s="645"/>
      <c r="DM425" s="645"/>
      <c r="DN425" s="645"/>
      <c r="DO425" s="645"/>
      <c r="DP425" s="645"/>
      <c r="DQ425" s="645"/>
      <c r="DR425" s="645"/>
      <c r="DS425" s="645"/>
      <c r="DT425" s="645"/>
      <c r="DU425" s="645"/>
      <c r="DV425" s="645"/>
      <c r="DW425" s="645"/>
      <c r="DX425" s="645"/>
      <c r="DY425" s="645"/>
      <c r="DZ425" s="645"/>
      <c r="EA425" s="645"/>
      <c r="EB425" s="645"/>
      <c r="EC425" s="645"/>
      <c r="ED425" s="645"/>
      <c r="EE425" s="645"/>
      <c r="EF425" s="645"/>
      <c r="EG425" s="645"/>
      <c r="EH425" s="645"/>
      <c r="EI425" s="645"/>
      <c r="EJ425" s="645"/>
      <c r="EK425" s="645"/>
      <c r="EL425" s="645"/>
      <c r="EM425" s="645"/>
      <c r="EN425" s="645"/>
      <c r="EO425" s="645"/>
      <c r="EP425" s="645"/>
      <c r="EQ425" s="645"/>
      <c r="ER425" s="645"/>
      <c r="ES425" s="645"/>
      <c r="ET425" s="645"/>
      <c r="EU425" s="645"/>
      <c r="EV425" s="645"/>
      <c r="EW425" s="645"/>
      <c r="EX425" s="645"/>
      <c r="EY425" s="645"/>
      <c r="EZ425" s="645"/>
      <c r="FA425" s="645"/>
      <c r="FB425" s="645"/>
      <c r="FC425" s="645"/>
      <c r="FD425" s="645"/>
      <c r="FE425" s="645"/>
      <c r="FF425" s="645"/>
      <c r="FG425" s="645"/>
      <c r="FH425" s="645"/>
      <c r="FI425" s="645"/>
      <c r="FJ425" s="645"/>
      <c r="FK425" s="645"/>
      <c r="FL425" s="645"/>
      <c r="FM425" s="645"/>
      <c r="FN425" s="645"/>
      <c r="FO425" s="645"/>
      <c r="FP425" s="645"/>
      <c r="FQ425" s="645"/>
      <c r="FR425" s="645"/>
      <c r="FS425" s="645"/>
      <c r="FT425" s="645"/>
      <c r="FU425" s="645"/>
      <c r="FV425" s="645"/>
      <c r="FW425" s="645"/>
      <c r="FX425" s="645"/>
      <c r="FY425" s="645"/>
      <c r="FZ425" s="645"/>
      <c r="GA425" s="645"/>
      <c r="GB425" s="645"/>
      <c r="GC425" s="645"/>
      <c r="GD425" s="645"/>
      <c r="GE425" s="645"/>
      <c r="GF425" s="645"/>
      <c r="GG425" s="645"/>
      <c r="GH425" s="645"/>
      <c r="GI425" s="645"/>
      <c r="GJ425" s="645"/>
      <c r="GK425" s="645"/>
      <c r="GL425" s="645"/>
      <c r="GM425" s="645"/>
      <c r="GN425" s="645"/>
      <c r="GO425" s="645"/>
      <c r="GP425" s="645"/>
      <c r="GQ425" s="645"/>
      <c r="GR425" s="645"/>
      <c r="GS425" s="645"/>
      <c r="GT425" s="645"/>
      <c r="GU425" s="645"/>
      <c r="GV425" s="645"/>
      <c r="GW425" s="645"/>
      <c r="GX425" s="645"/>
      <c r="GY425" s="645"/>
      <c r="GZ425" s="645"/>
      <c r="HA425" s="645"/>
      <c r="HB425" s="645"/>
      <c r="HC425" s="645"/>
      <c r="HD425" s="645"/>
      <c r="HE425" s="645"/>
      <c r="HF425" s="645"/>
      <c r="HG425" s="645"/>
      <c r="HH425" s="645"/>
      <c r="HI425" s="645"/>
      <c r="HJ425" s="645"/>
      <c r="HK425" s="645"/>
      <c r="HL425" s="645"/>
      <c r="HM425" s="645"/>
      <c r="HN425" s="645"/>
      <c r="HO425" s="645"/>
      <c r="HP425" s="645"/>
      <c r="HQ425" s="645"/>
      <c r="HR425" s="645">
        <v>0.21099999999999999</v>
      </c>
      <c r="HS425" s="645">
        <f t="shared" si="830"/>
        <v>1416.7142857142856</v>
      </c>
      <c r="HT425" s="645">
        <f t="shared" si="831"/>
        <v>1</v>
      </c>
      <c r="HU425" s="618">
        <f t="shared" si="832"/>
        <v>5.3754167806614301</v>
      </c>
      <c r="HV425" s="618"/>
      <c r="HW425" s="618">
        <f t="shared" si="817"/>
        <v>28.366908171460771</v>
      </c>
      <c r="HX425" s="618">
        <f t="shared" si="833"/>
        <v>4.8041906673448533</v>
      </c>
      <c r="HY425" s="618">
        <f t="shared" si="834"/>
        <v>0.21099999999999999</v>
      </c>
      <c r="HZ425" s="618"/>
      <c r="IA425" s="618"/>
      <c r="IB425" s="618">
        <f t="shared" si="818"/>
        <v>25.000350341399081</v>
      </c>
      <c r="IC425" s="618">
        <f t="shared" si="819"/>
        <v>1E-3</v>
      </c>
      <c r="ID425" s="618"/>
      <c r="IE425" s="618">
        <f t="shared" si="820"/>
        <v>0</v>
      </c>
      <c r="IF425" s="618">
        <f t="shared" si="821"/>
        <v>40.704999999999998</v>
      </c>
      <c r="IG425" s="618"/>
      <c r="IH425" s="618">
        <f t="shared" si="822"/>
        <v>0</v>
      </c>
      <c r="II425" s="618">
        <f t="shared" si="823"/>
        <v>40.704999999999998</v>
      </c>
      <c r="IJ425" s="618"/>
      <c r="IK425" s="618">
        <f t="shared" si="824"/>
        <v>0</v>
      </c>
      <c r="IL425" s="618">
        <f t="shared" si="825"/>
        <v>40.704999999999998</v>
      </c>
      <c r="IM425" s="618"/>
      <c r="IN425" s="618">
        <f t="shared" si="826"/>
        <v>0</v>
      </c>
      <c r="IO425" s="618">
        <f t="shared" si="827"/>
        <v>40.704999999999998</v>
      </c>
      <c r="IP425" s="618"/>
      <c r="IQ425" s="618">
        <f t="shared" si="828"/>
        <v>0</v>
      </c>
      <c r="IR425" s="618">
        <f t="shared" si="829"/>
        <v>40.704999999999998</v>
      </c>
      <c r="IS425" s="645"/>
      <c r="IT425" s="645"/>
      <c r="IU425" s="645"/>
      <c r="IV425" s="645"/>
      <c r="IW425" s="645"/>
      <c r="IX425" s="645"/>
      <c r="IY425" s="645"/>
      <c r="IZ425" s="645"/>
      <c r="JA425" s="645"/>
      <c r="JB425" s="645"/>
      <c r="JC425" s="645"/>
      <c r="JD425" s="645"/>
      <c r="JE425" s="645"/>
      <c r="JF425" s="645"/>
      <c r="JG425" s="645"/>
      <c r="JH425" s="645"/>
      <c r="JI425" s="645"/>
      <c r="JJ425" s="645"/>
      <c r="JK425" s="645"/>
      <c r="JL425" s="645"/>
      <c r="JM425" s="645"/>
      <c r="JN425" s="645"/>
      <c r="JO425" s="645"/>
      <c r="JP425" s="645"/>
      <c r="JQ425" s="645"/>
      <c r="JR425" s="645"/>
      <c r="JS425" s="645"/>
      <c r="JT425" s="645"/>
      <c r="JU425" s="645"/>
      <c r="JV425" s="653"/>
    </row>
    <row r="426" spans="1:282" s="612" customFormat="1">
      <c r="A426" s="611"/>
      <c r="U426" s="613"/>
      <c r="V426" s="613"/>
      <c r="AC426" s="613"/>
      <c r="AD426" s="613"/>
      <c r="AL426" s="613"/>
      <c r="AM426" s="613"/>
      <c r="AT426" s="613"/>
      <c r="AU426" s="613"/>
      <c r="CH426" s="611"/>
      <c r="CI426" s="611"/>
      <c r="CO426" s="695"/>
      <c r="CP426" s="645"/>
      <c r="CQ426" s="618"/>
      <c r="CR426" s="618"/>
      <c r="CS426" s="618"/>
      <c r="CT426" s="626"/>
      <c r="CU426" s="626"/>
      <c r="CV426" s="626"/>
      <c r="CW426" s="646"/>
      <c r="CX426" s="646"/>
      <c r="CY426" s="625"/>
      <c r="CZ426" s="625"/>
      <c r="DA426" s="625"/>
      <c r="DB426" s="625"/>
      <c r="DC426" s="645"/>
      <c r="DD426" s="645"/>
      <c r="DE426" s="645"/>
      <c r="DF426" s="645"/>
      <c r="DG426" s="645"/>
      <c r="DH426" s="645"/>
      <c r="DI426" s="645"/>
      <c r="DJ426" s="645"/>
      <c r="DK426" s="645"/>
      <c r="DL426" s="645"/>
      <c r="DM426" s="645"/>
      <c r="DN426" s="645"/>
      <c r="DO426" s="645"/>
      <c r="DP426" s="645"/>
      <c r="DQ426" s="645"/>
      <c r="DR426" s="645"/>
      <c r="DS426" s="645"/>
      <c r="DT426" s="645"/>
      <c r="DU426" s="645"/>
      <c r="DV426" s="645"/>
      <c r="DW426" s="645"/>
      <c r="DX426" s="645"/>
      <c r="DY426" s="645"/>
      <c r="DZ426" s="645"/>
      <c r="EA426" s="645"/>
      <c r="EB426" s="645"/>
      <c r="EC426" s="645"/>
      <c r="ED426" s="645"/>
      <c r="EE426" s="645"/>
      <c r="EF426" s="645"/>
      <c r="EG426" s="645"/>
      <c r="EH426" s="645"/>
      <c r="EI426" s="645"/>
      <c r="EJ426" s="645"/>
      <c r="EK426" s="645"/>
      <c r="EL426" s="645"/>
      <c r="EM426" s="645"/>
      <c r="EN426" s="645"/>
      <c r="EO426" s="645"/>
      <c r="EP426" s="645"/>
      <c r="EQ426" s="645"/>
      <c r="ER426" s="645"/>
      <c r="ES426" s="645"/>
      <c r="ET426" s="645"/>
      <c r="EU426" s="645"/>
      <c r="EV426" s="645"/>
      <c r="EW426" s="645"/>
      <c r="EX426" s="645"/>
      <c r="EY426" s="645"/>
      <c r="EZ426" s="645"/>
      <c r="FA426" s="645"/>
      <c r="FB426" s="645"/>
      <c r="FC426" s="645"/>
      <c r="FD426" s="645"/>
      <c r="FE426" s="645"/>
      <c r="FF426" s="645"/>
      <c r="FG426" s="645"/>
      <c r="FH426" s="645"/>
      <c r="FI426" s="645"/>
      <c r="FJ426" s="645"/>
      <c r="FK426" s="645"/>
      <c r="FL426" s="645"/>
      <c r="FM426" s="645"/>
      <c r="FN426" s="645"/>
      <c r="FO426" s="645"/>
      <c r="FP426" s="645"/>
      <c r="FQ426" s="645"/>
      <c r="FR426" s="645"/>
      <c r="FS426" s="645"/>
      <c r="FT426" s="645"/>
      <c r="FU426" s="645"/>
      <c r="FV426" s="645"/>
      <c r="FW426" s="645"/>
      <c r="FX426" s="645"/>
      <c r="FY426" s="645"/>
      <c r="FZ426" s="645"/>
      <c r="GA426" s="645"/>
      <c r="GB426" s="645"/>
      <c r="GC426" s="645"/>
      <c r="GD426" s="645"/>
      <c r="GE426" s="645"/>
      <c r="GF426" s="645"/>
      <c r="GG426" s="645"/>
      <c r="GH426" s="645"/>
      <c r="GI426" s="645"/>
      <c r="GJ426" s="645"/>
      <c r="GK426" s="645"/>
      <c r="GL426" s="645"/>
      <c r="GM426" s="645"/>
      <c r="GN426" s="645"/>
      <c r="GO426" s="645"/>
      <c r="GP426" s="645"/>
      <c r="GQ426" s="645"/>
      <c r="GR426" s="645"/>
      <c r="GS426" s="645"/>
      <c r="GT426" s="645"/>
      <c r="GU426" s="645"/>
      <c r="GV426" s="645"/>
      <c r="GW426" s="645"/>
      <c r="GX426" s="645"/>
      <c r="GY426" s="645"/>
      <c r="GZ426" s="645"/>
      <c r="HA426" s="645"/>
      <c r="HB426" s="645"/>
      <c r="HC426" s="645"/>
      <c r="HD426" s="645"/>
      <c r="HE426" s="645"/>
      <c r="HF426" s="645"/>
      <c r="HG426" s="645"/>
      <c r="HH426" s="645"/>
      <c r="HI426" s="645"/>
      <c r="HJ426" s="645"/>
      <c r="HK426" s="645"/>
      <c r="HL426" s="645"/>
      <c r="HM426" s="645"/>
      <c r="HN426" s="645"/>
      <c r="HO426" s="645"/>
      <c r="HP426" s="645"/>
      <c r="HQ426" s="645"/>
      <c r="HR426" s="645">
        <v>0.21149999999999999</v>
      </c>
      <c r="HS426" s="645">
        <f t="shared" si="830"/>
        <v>1420.0714285714284</v>
      </c>
      <c r="HT426" s="645">
        <f t="shared" si="831"/>
        <v>1</v>
      </c>
      <c r="HU426" s="618">
        <f t="shared" si="832"/>
        <v>5.3881558246350547</v>
      </c>
      <c r="HV426" s="618"/>
      <c r="HW426" s="618">
        <f t="shared" si="817"/>
        <v>28.348818729018223</v>
      </c>
      <c r="HX426" s="618">
        <f t="shared" si="833"/>
        <v>4.8142222464667777</v>
      </c>
      <c r="HY426" s="618">
        <f t="shared" si="834"/>
        <v>0.21149999999999999</v>
      </c>
      <c r="HZ426" s="618"/>
      <c r="IA426" s="618"/>
      <c r="IB426" s="618">
        <f t="shared" si="818"/>
        <v>25.000350341399081</v>
      </c>
      <c r="IC426" s="618">
        <f t="shared" si="819"/>
        <v>1E-3</v>
      </c>
      <c r="ID426" s="618"/>
      <c r="IE426" s="618">
        <f t="shared" si="820"/>
        <v>0</v>
      </c>
      <c r="IF426" s="618">
        <f t="shared" si="821"/>
        <v>40.704999999999998</v>
      </c>
      <c r="IG426" s="618"/>
      <c r="IH426" s="618">
        <f t="shared" si="822"/>
        <v>0</v>
      </c>
      <c r="II426" s="618">
        <f t="shared" si="823"/>
        <v>40.704999999999998</v>
      </c>
      <c r="IJ426" s="618"/>
      <c r="IK426" s="618">
        <f t="shared" si="824"/>
        <v>0</v>
      </c>
      <c r="IL426" s="618">
        <f t="shared" si="825"/>
        <v>40.704999999999998</v>
      </c>
      <c r="IM426" s="618"/>
      <c r="IN426" s="618">
        <f t="shared" si="826"/>
        <v>0</v>
      </c>
      <c r="IO426" s="618">
        <f t="shared" si="827"/>
        <v>40.704999999999998</v>
      </c>
      <c r="IP426" s="618"/>
      <c r="IQ426" s="618">
        <f t="shared" si="828"/>
        <v>0</v>
      </c>
      <c r="IR426" s="618">
        <f t="shared" si="829"/>
        <v>40.704999999999998</v>
      </c>
      <c r="IS426" s="645"/>
      <c r="IT426" s="645"/>
      <c r="IU426" s="645"/>
      <c r="IV426" s="645"/>
      <c r="IW426" s="645"/>
      <c r="IX426" s="645"/>
      <c r="IY426" s="645"/>
      <c r="IZ426" s="645"/>
      <c r="JA426" s="645"/>
      <c r="JB426" s="645"/>
      <c r="JC426" s="645"/>
      <c r="JD426" s="645"/>
      <c r="JE426" s="645"/>
      <c r="JF426" s="645"/>
      <c r="JG426" s="645"/>
      <c r="JH426" s="645"/>
      <c r="JI426" s="645"/>
      <c r="JJ426" s="645"/>
      <c r="JK426" s="645"/>
      <c r="JL426" s="645"/>
      <c r="JM426" s="645"/>
      <c r="JN426" s="645"/>
      <c r="JO426" s="645"/>
      <c r="JP426" s="645"/>
      <c r="JQ426" s="645"/>
      <c r="JR426" s="645"/>
      <c r="JS426" s="645"/>
      <c r="JT426" s="645"/>
      <c r="JU426" s="645"/>
      <c r="JV426" s="653"/>
    </row>
    <row r="427" spans="1:282" s="612" customFormat="1">
      <c r="A427" s="611"/>
      <c r="U427" s="613"/>
      <c r="V427" s="613"/>
      <c r="AC427" s="613"/>
      <c r="AD427" s="613"/>
      <c r="AL427" s="613"/>
      <c r="AM427" s="613"/>
      <c r="AT427" s="613"/>
      <c r="AU427" s="613"/>
      <c r="CH427" s="611"/>
      <c r="CI427" s="611"/>
      <c r="CO427" s="695"/>
      <c r="CP427" s="645"/>
      <c r="CQ427" s="618"/>
      <c r="CR427" s="618"/>
      <c r="CS427" s="618"/>
      <c r="CT427" s="626"/>
      <c r="CU427" s="626"/>
      <c r="CV427" s="626"/>
      <c r="CW427" s="646"/>
      <c r="CX427" s="646"/>
      <c r="CY427" s="625"/>
      <c r="CZ427" s="625"/>
      <c r="DA427" s="625"/>
      <c r="DB427" s="625"/>
      <c r="DC427" s="645"/>
      <c r="DD427" s="645"/>
      <c r="DE427" s="645"/>
      <c r="DF427" s="645"/>
      <c r="DG427" s="645"/>
      <c r="DH427" s="645"/>
      <c r="DI427" s="645"/>
      <c r="DJ427" s="645"/>
      <c r="DK427" s="645"/>
      <c r="DL427" s="645"/>
      <c r="DM427" s="645"/>
      <c r="DN427" s="645"/>
      <c r="DO427" s="645"/>
      <c r="DP427" s="645"/>
      <c r="DQ427" s="645"/>
      <c r="DR427" s="645"/>
      <c r="DS427" s="645"/>
      <c r="DT427" s="645"/>
      <c r="DU427" s="645"/>
      <c r="DV427" s="645"/>
      <c r="DW427" s="645"/>
      <c r="DX427" s="645"/>
      <c r="DY427" s="645"/>
      <c r="DZ427" s="645"/>
      <c r="EA427" s="645"/>
      <c r="EB427" s="645"/>
      <c r="EC427" s="645"/>
      <c r="ED427" s="645"/>
      <c r="EE427" s="645"/>
      <c r="EF427" s="645"/>
      <c r="EG427" s="645"/>
      <c r="EH427" s="645"/>
      <c r="EI427" s="645"/>
      <c r="EJ427" s="645"/>
      <c r="EK427" s="645"/>
      <c r="EL427" s="645"/>
      <c r="EM427" s="645"/>
      <c r="EN427" s="645"/>
      <c r="EO427" s="645"/>
      <c r="EP427" s="645"/>
      <c r="EQ427" s="645"/>
      <c r="ER427" s="645"/>
      <c r="ES427" s="645"/>
      <c r="ET427" s="645"/>
      <c r="EU427" s="645"/>
      <c r="EV427" s="645"/>
      <c r="EW427" s="645"/>
      <c r="EX427" s="645"/>
      <c r="EY427" s="645"/>
      <c r="EZ427" s="645"/>
      <c r="FA427" s="645"/>
      <c r="FB427" s="645"/>
      <c r="FC427" s="645"/>
      <c r="FD427" s="645"/>
      <c r="FE427" s="645"/>
      <c r="FF427" s="645"/>
      <c r="FG427" s="645"/>
      <c r="FH427" s="645"/>
      <c r="FI427" s="645"/>
      <c r="FJ427" s="645"/>
      <c r="FK427" s="645"/>
      <c r="FL427" s="645"/>
      <c r="FM427" s="645"/>
      <c r="FN427" s="645"/>
      <c r="FO427" s="645"/>
      <c r="FP427" s="645"/>
      <c r="FQ427" s="645"/>
      <c r="FR427" s="645"/>
      <c r="FS427" s="645"/>
      <c r="FT427" s="645"/>
      <c r="FU427" s="645"/>
      <c r="FV427" s="645"/>
      <c r="FW427" s="645"/>
      <c r="FX427" s="645"/>
      <c r="FY427" s="645"/>
      <c r="FZ427" s="645"/>
      <c r="GA427" s="645"/>
      <c r="GB427" s="645"/>
      <c r="GC427" s="645"/>
      <c r="GD427" s="645"/>
      <c r="GE427" s="645"/>
      <c r="GF427" s="645"/>
      <c r="GG427" s="645"/>
      <c r="GH427" s="645"/>
      <c r="GI427" s="645"/>
      <c r="GJ427" s="645"/>
      <c r="GK427" s="645"/>
      <c r="GL427" s="645"/>
      <c r="GM427" s="645"/>
      <c r="GN427" s="645"/>
      <c r="GO427" s="645"/>
      <c r="GP427" s="645"/>
      <c r="GQ427" s="645"/>
      <c r="GR427" s="645"/>
      <c r="GS427" s="645"/>
      <c r="GT427" s="645"/>
      <c r="GU427" s="645"/>
      <c r="GV427" s="645"/>
      <c r="GW427" s="645"/>
      <c r="GX427" s="645"/>
      <c r="GY427" s="645"/>
      <c r="GZ427" s="645"/>
      <c r="HA427" s="645"/>
      <c r="HB427" s="645"/>
      <c r="HC427" s="645"/>
      <c r="HD427" s="645"/>
      <c r="HE427" s="645"/>
      <c r="HF427" s="645"/>
      <c r="HG427" s="645"/>
      <c r="HH427" s="645"/>
      <c r="HI427" s="645"/>
      <c r="HJ427" s="645"/>
      <c r="HK427" s="645"/>
      <c r="HL427" s="645"/>
      <c r="HM427" s="645"/>
      <c r="HN427" s="645"/>
      <c r="HO427" s="645"/>
      <c r="HP427" s="645"/>
      <c r="HQ427" s="645"/>
      <c r="HR427" s="645">
        <v>0.21199999999999999</v>
      </c>
      <c r="HS427" s="645">
        <f t="shared" si="830"/>
        <v>1423.4285714285713</v>
      </c>
      <c r="HT427" s="645">
        <f t="shared" si="831"/>
        <v>1</v>
      </c>
      <c r="HU427" s="618">
        <f t="shared" si="832"/>
        <v>5.4008948686086793</v>
      </c>
      <c r="HV427" s="618"/>
      <c r="HW427" s="618">
        <f t="shared" si="817"/>
        <v>28.330729286575675</v>
      </c>
      <c r="HX427" s="618">
        <f t="shared" si="833"/>
        <v>4.824247424416404</v>
      </c>
      <c r="HY427" s="618">
        <f t="shared" si="834"/>
        <v>0.21199999999999999</v>
      </c>
      <c r="HZ427" s="618"/>
      <c r="IA427" s="618"/>
      <c r="IB427" s="618">
        <f t="shared" si="818"/>
        <v>25.000350341399081</v>
      </c>
      <c r="IC427" s="618">
        <f t="shared" si="819"/>
        <v>1E-3</v>
      </c>
      <c r="ID427" s="618"/>
      <c r="IE427" s="618">
        <f t="shared" si="820"/>
        <v>0</v>
      </c>
      <c r="IF427" s="618">
        <f t="shared" si="821"/>
        <v>40.704999999999998</v>
      </c>
      <c r="IG427" s="618"/>
      <c r="IH427" s="618">
        <f t="shared" si="822"/>
        <v>0</v>
      </c>
      <c r="II427" s="618">
        <f t="shared" si="823"/>
        <v>40.704999999999998</v>
      </c>
      <c r="IJ427" s="618"/>
      <c r="IK427" s="618">
        <f t="shared" si="824"/>
        <v>0</v>
      </c>
      <c r="IL427" s="618">
        <f t="shared" si="825"/>
        <v>40.704999999999998</v>
      </c>
      <c r="IM427" s="618"/>
      <c r="IN427" s="618">
        <f t="shared" si="826"/>
        <v>0</v>
      </c>
      <c r="IO427" s="618">
        <f t="shared" si="827"/>
        <v>40.704999999999998</v>
      </c>
      <c r="IP427" s="618"/>
      <c r="IQ427" s="618">
        <f t="shared" si="828"/>
        <v>0</v>
      </c>
      <c r="IR427" s="618">
        <f t="shared" si="829"/>
        <v>40.704999999999998</v>
      </c>
      <c r="IS427" s="645"/>
      <c r="IT427" s="645"/>
      <c r="IU427" s="645"/>
      <c r="IV427" s="645"/>
      <c r="IW427" s="645"/>
      <c r="IX427" s="645"/>
      <c r="IY427" s="645"/>
      <c r="IZ427" s="645"/>
      <c r="JA427" s="645"/>
      <c r="JB427" s="645"/>
      <c r="JC427" s="645"/>
      <c r="JD427" s="645"/>
      <c r="JE427" s="645"/>
      <c r="JF427" s="645"/>
      <c r="JG427" s="645"/>
      <c r="JH427" s="645"/>
      <c r="JI427" s="645"/>
      <c r="JJ427" s="645"/>
      <c r="JK427" s="645"/>
      <c r="JL427" s="645"/>
      <c r="JM427" s="645"/>
      <c r="JN427" s="645"/>
      <c r="JO427" s="645"/>
      <c r="JP427" s="645"/>
      <c r="JQ427" s="645"/>
      <c r="JR427" s="645"/>
      <c r="JS427" s="645"/>
      <c r="JT427" s="645"/>
      <c r="JU427" s="645"/>
      <c r="JV427" s="653"/>
    </row>
    <row r="428" spans="1:282" s="612" customFormat="1">
      <c r="A428" s="611"/>
      <c r="U428" s="613"/>
      <c r="V428" s="613"/>
      <c r="AC428" s="613"/>
      <c r="AD428" s="613"/>
      <c r="AL428" s="613"/>
      <c r="AM428" s="613"/>
      <c r="AT428" s="613"/>
      <c r="AU428" s="613"/>
      <c r="CH428" s="611"/>
      <c r="CI428" s="611"/>
      <c r="CO428" s="695"/>
      <c r="CP428" s="645"/>
      <c r="CQ428" s="618"/>
      <c r="CR428" s="618"/>
      <c r="CS428" s="618"/>
      <c r="CT428" s="626"/>
      <c r="CU428" s="626"/>
      <c r="CV428" s="626"/>
      <c r="CW428" s="646"/>
      <c r="CX428" s="646"/>
      <c r="CY428" s="625"/>
      <c r="CZ428" s="625"/>
      <c r="DA428" s="625"/>
      <c r="DB428" s="625"/>
      <c r="DC428" s="645"/>
      <c r="DD428" s="645"/>
      <c r="DE428" s="645"/>
      <c r="DF428" s="645"/>
      <c r="DG428" s="645"/>
      <c r="DH428" s="645"/>
      <c r="DI428" s="645"/>
      <c r="DJ428" s="645"/>
      <c r="DK428" s="645"/>
      <c r="DL428" s="645"/>
      <c r="DM428" s="645"/>
      <c r="DN428" s="645"/>
      <c r="DO428" s="645"/>
      <c r="DP428" s="645"/>
      <c r="DQ428" s="645"/>
      <c r="DR428" s="645"/>
      <c r="DS428" s="645"/>
      <c r="DT428" s="645"/>
      <c r="DU428" s="645"/>
      <c r="DV428" s="645"/>
      <c r="DW428" s="645"/>
      <c r="DX428" s="645"/>
      <c r="DY428" s="645"/>
      <c r="DZ428" s="645"/>
      <c r="EA428" s="645"/>
      <c r="EB428" s="645"/>
      <c r="EC428" s="645"/>
      <c r="ED428" s="645"/>
      <c r="EE428" s="645"/>
      <c r="EF428" s="645"/>
      <c r="EG428" s="645"/>
      <c r="EH428" s="645"/>
      <c r="EI428" s="645"/>
      <c r="EJ428" s="645"/>
      <c r="EK428" s="645"/>
      <c r="EL428" s="645"/>
      <c r="EM428" s="645"/>
      <c r="EN428" s="645"/>
      <c r="EO428" s="645"/>
      <c r="EP428" s="645"/>
      <c r="EQ428" s="645"/>
      <c r="ER428" s="645"/>
      <c r="ES428" s="645"/>
      <c r="ET428" s="645"/>
      <c r="EU428" s="645"/>
      <c r="EV428" s="645"/>
      <c r="EW428" s="645"/>
      <c r="EX428" s="645"/>
      <c r="EY428" s="645"/>
      <c r="EZ428" s="645"/>
      <c r="FA428" s="645"/>
      <c r="FB428" s="645"/>
      <c r="FC428" s="645"/>
      <c r="FD428" s="645"/>
      <c r="FE428" s="645"/>
      <c r="FF428" s="645"/>
      <c r="FG428" s="645"/>
      <c r="FH428" s="645"/>
      <c r="FI428" s="645"/>
      <c r="FJ428" s="645"/>
      <c r="FK428" s="645"/>
      <c r="FL428" s="645"/>
      <c r="FM428" s="645"/>
      <c r="FN428" s="645"/>
      <c r="FO428" s="645"/>
      <c r="FP428" s="645"/>
      <c r="FQ428" s="645"/>
      <c r="FR428" s="645"/>
      <c r="FS428" s="645"/>
      <c r="FT428" s="645"/>
      <c r="FU428" s="645"/>
      <c r="FV428" s="645"/>
      <c r="FW428" s="645"/>
      <c r="FX428" s="645"/>
      <c r="FY428" s="645"/>
      <c r="FZ428" s="645"/>
      <c r="GA428" s="645"/>
      <c r="GB428" s="645"/>
      <c r="GC428" s="645"/>
      <c r="GD428" s="645"/>
      <c r="GE428" s="645"/>
      <c r="GF428" s="645"/>
      <c r="GG428" s="645"/>
      <c r="GH428" s="645"/>
      <c r="GI428" s="645"/>
      <c r="GJ428" s="645"/>
      <c r="GK428" s="645"/>
      <c r="GL428" s="645"/>
      <c r="GM428" s="645"/>
      <c r="GN428" s="645"/>
      <c r="GO428" s="645"/>
      <c r="GP428" s="645"/>
      <c r="GQ428" s="645"/>
      <c r="GR428" s="645"/>
      <c r="GS428" s="645"/>
      <c r="GT428" s="645"/>
      <c r="GU428" s="645"/>
      <c r="GV428" s="645"/>
      <c r="GW428" s="645"/>
      <c r="GX428" s="645"/>
      <c r="GY428" s="645"/>
      <c r="GZ428" s="645"/>
      <c r="HA428" s="645"/>
      <c r="HB428" s="645"/>
      <c r="HC428" s="645"/>
      <c r="HD428" s="645"/>
      <c r="HE428" s="645"/>
      <c r="HF428" s="645"/>
      <c r="HG428" s="645"/>
      <c r="HH428" s="645"/>
      <c r="HI428" s="645"/>
      <c r="HJ428" s="645"/>
      <c r="HK428" s="645"/>
      <c r="HL428" s="645"/>
      <c r="HM428" s="645"/>
      <c r="HN428" s="645"/>
      <c r="HO428" s="645"/>
      <c r="HP428" s="645"/>
      <c r="HQ428" s="645"/>
      <c r="HR428" s="645">
        <v>0.21249999999999999</v>
      </c>
      <c r="HS428" s="645">
        <f t="shared" si="830"/>
        <v>1426.7857142857142</v>
      </c>
      <c r="HT428" s="645">
        <f t="shared" si="831"/>
        <v>1</v>
      </c>
      <c r="HU428" s="618">
        <f t="shared" si="832"/>
        <v>5.4136339125823039</v>
      </c>
      <c r="HV428" s="618"/>
      <c r="HW428" s="618">
        <f t="shared" si="817"/>
        <v>28.31263984413313</v>
      </c>
      <c r="HX428" s="618">
        <f t="shared" si="833"/>
        <v>4.8342662011937323</v>
      </c>
      <c r="HY428" s="618">
        <f t="shared" si="834"/>
        <v>0.21249999999999999</v>
      </c>
      <c r="HZ428" s="618"/>
      <c r="IA428" s="618"/>
      <c r="IB428" s="618">
        <f t="shared" si="818"/>
        <v>25.000350341399081</v>
      </c>
      <c r="IC428" s="618">
        <f t="shared" si="819"/>
        <v>1E-3</v>
      </c>
      <c r="ID428" s="618"/>
      <c r="IE428" s="618">
        <f t="shared" si="820"/>
        <v>0</v>
      </c>
      <c r="IF428" s="618">
        <f t="shared" si="821"/>
        <v>40.704999999999998</v>
      </c>
      <c r="IG428" s="618"/>
      <c r="IH428" s="618">
        <f t="shared" si="822"/>
        <v>0</v>
      </c>
      <c r="II428" s="618">
        <f t="shared" si="823"/>
        <v>40.704999999999998</v>
      </c>
      <c r="IJ428" s="618"/>
      <c r="IK428" s="618">
        <f t="shared" si="824"/>
        <v>0</v>
      </c>
      <c r="IL428" s="618">
        <f t="shared" si="825"/>
        <v>40.704999999999998</v>
      </c>
      <c r="IM428" s="618"/>
      <c r="IN428" s="618">
        <f t="shared" si="826"/>
        <v>0</v>
      </c>
      <c r="IO428" s="618">
        <f t="shared" si="827"/>
        <v>40.704999999999998</v>
      </c>
      <c r="IP428" s="618"/>
      <c r="IQ428" s="618">
        <f t="shared" si="828"/>
        <v>0</v>
      </c>
      <c r="IR428" s="618">
        <f t="shared" si="829"/>
        <v>40.704999999999998</v>
      </c>
      <c r="IS428" s="645"/>
      <c r="IT428" s="645"/>
      <c r="IU428" s="645"/>
      <c r="IV428" s="645"/>
      <c r="IW428" s="645"/>
      <c r="IX428" s="645"/>
      <c r="IY428" s="645"/>
      <c r="IZ428" s="645"/>
      <c r="JA428" s="645"/>
      <c r="JB428" s="645"/>
      <c r="JC428" s="645"/>
      <c r="JD428" s="645"/>
      <c r="JE428" s="645"/>
      <c r="JF428" s="645"/>
      <c r="JG428" s="645"/>
      <c r="JH428" s="645"/>
      <c r="JI428" s="645"/>
      <c r="JJ428" s="645"/>
      <c r="JK428" s="645"/>
      <c r="JL428" s="645"/>
      <c r="JM428" s="645"/>
      <c r="JN428" s="645"/>
      <c r="JO428" s="645"/>
      <c r="JP428" s="645"/>
      <c r="JQ428" s="645"/>
      <c r="JR428" s="645"/>
      <c r="JS428" s="645"/>
      <c r="JT428" s="645"/>
      <c r="JU428" s="645"/>
      <c r="JV428" s="653"/>
    </row>
    <row r="429" spans="1:282" s="612" customFormat="1">
      <c r="A429" s="611"/>
      <c r="U429" s="613"/>
      <c r="V429" s="613"/>
      <c r="AC429" s="613"/>
      <c r="AD429" s="613"/>
      <c r="AL429" s="613"/>
      <c r="AM429" s="613"/>
      <c r="AT429" s="613"/>
      <c r="AU429" s="613"/>
      <c r="CH429" s="611"/>
      <c r="CI429" s="611"/>
      <c r="CO429" s="695"/>
      <c r="CP429" s="645"/>
      <c r="CQ429" s="618"/>
      <c r="CR429" s="618"/>
      <c r="CS429" s="618"/>
      <c r="CT429" s="626"/>
      <c r="CU429" s="626"/>
      <c r="CV429" s="626"/>
      <c r="CW429" s="646"/>
      <c r="CX429" s="646"/>
      <c r="CY429" s="625"/>
      <c r="CZ429" s="625"/>
      <c r="DA429" s="625"/>
      <c r="DB429" s="625"/>
      <c r="DC429" s="645"/>
      <c r="DD429" s="645"/>
      <c r="DE429" s="645"/>
      <c r="DF429" s="645"/>
      <c r="DG429" s="645"/>
      <c r="DH429" s="645"/>
      <c r="DI429" s="645"/>
      <c r="DJ429" s="645"/>
      <c r="DK429" s="645"/>
      <c r="DL429" s="645"/>
      <c r="DM429" s="645"/>
      <c r="DN429" s="645"/>
      <c r="DO429" s="645"/>
      <c r="DP429" s="645"/>
      <c r="DQ429" s="645"/>
      <c r="DR429" s="645"/>
      <c r="DS429" s="645"/>
      <c r="DT429" s="645"/>
      <c r="DU429" s="645"/>
      <c r="DV429" s="645"/>
      <c r="DW429" s="645"/>
      <c r="DX429" s="645"/>
      <c r="DY429" s="645"/>
      <c r="DZ429" s="645"/>
      <c r="EA429" s="645"/>
      <c r="EB429" s="645"/>
      <c r="EC429" s="645"/>
      <c r="ED429" s="645"/>
      <c r="EE429" s="645"/>
      <c r="EF429" s="645"/>
      <c r="EG429" s="645"/>
      <c r="EH429" s="645"/>
      <c r="EI429" s="645"/>
      <c r="EJ429" s="645"/>
      <c r="EK429" s="645"/>
      <c r="EL429" s="645"/>
      <c r="EM429" s="645"/>
      <c r="EN429" s="645"/>
      <c r="EO429" s="645"/>
      <c r="EP429" s="645"/>
      <c r="EQ429" s="645"/>
      <c r="ER429" s="645"/>
      <c r="ES429" s="645"/>
      <c r="ET429" s="645"/>
      <c r="EU429" s="645"/>
      <c r="EV429" s="645"/>
      <c r="EW429" s="645"/>
      <c r="EX429" s="645"/>
      <c r="EY429" s="645"/>
      <c r="EZ429" s="645"/>
      <c r="FA429" s="645"/>
      <c r="FB429" s="645"/>
      <c r="FC429" s="645"/>
      <c r="FD429" s="645"/>
      <c r="FE429" s="645"/>
      <c r="FF429" s="645"/>
      <c r="FG429" s="645"/>
      <c r="FH429" s="645"/>
      <c r="FI429" s="645"/>
      <c r="FJ429" s="645"/>
      <c r="FK429" s="645"/>
      <c r="FL429" s="645"/>
      <c r="FM429" s="645"/>
      <c r="FN429" s="645"/>
      <c r="FO429" s="645"/>
      <c r="FP429" s="645"/>
      <c r="FQ429" s="645"/>
      <c r="FR429" s="645"/>
      <c r="FS429" s="645"/>
      <c r="FT429" s="645"/>
      <c r="FU429" s="645"/>
      <c r="FV429" s="645"/>
      <c r="FW429" s="645"/>
      <c r="FX429" s="645"/>
      <c r="FY429" s="645"/>
      <c r="FZ429" s="645"/>
      <c r="GA429" s="645"/>
      <c r="GB429" s="645"/>
      <c r="GC429" s="645"/>
      <c r="GD429" s="645"/>
      <c r="GE429" s="645"/>
      <c r="GF429" s="645"/>
      <c r="GG429" s="645"/>
      <c r="GH429" s="645"/>
      <c r="GI429" s="645"/>
      <c r="GJ429" s="645"/>
      <c r="GK429" s="645"/>
      <c r="GL429" s="645"/>
      <c r="GM429" s="645"/>
      <c r="GN429" s="645"/>
      <c r="GO429" s="645"/>
      <c r="GP429" s="645"/>
      <c r="GQ429" s="645"/>
      <c r="GR429" s="645"/>
      <c r="GS429" s="645"/>
      <c r="GT429" s="645"/>
      <c r="GU429" s="645"/>
      <c r="GV429" s="645"/>
      <c r="GW429" s="645"/>
      <c r="GX429" s="645"/>
      <c r="GY429" s="645"/>
      <c r="GZ429" s="645"/>
      <c r="HA429" s="645"/>
      <c r="HB429" s="645"/>
      <c r="HC429" s="645"/>
      <c r="HD429" s="645"/>
      <c r="HE429" s="645"/>
      <c r="HF429" s="645"/>
      <c r="HG429" s="645"/>
      <c r="HH429" s="645"/>
      <c r="HI429" s="645"/>
      <c r="HJ429" s="645"/>
      <c r="HK429" s="645"/>
      <c r="HL429" s="645"/>
      <c r="HM429" s="645"/>
      <c r="HN429" s="645"/>
      <c r="HO429" s="645"/>
      <c r="HP429" s="645"/>
      <c r="HQ429" s="645"/>
      <c r="HR429" s="645">
        <v>0.21299999999999999</v>
      </c>
      <c r="HS429" s="645">
        <f t="shared" si="830"/>
        <v>1430.1428571428571</v>
      </c>
      <c r="HT429" s="645">
        <f t="shared" si="831"/>
        <v>1</v>
      </c>
      <c r="HU429" s="618">
        <f t="shared" si="832"/>
        <v>5.4263729565559284</v>
      </c>
      <c r="HV429" s="618"/>
      <c r="HW429" s="618">
        <f t="shared" si="817"/>
        <v>28.294550401690582</v>
      </c>
      <c r="HX429" s="618">
        <f t="shared" si="833"/>
        <v>4.8442785767987626</v>
      </c>
      <c r="HY429" s="618">
        <f t="shared" si="834"/>
        <v>0.21299999999999999</v>
      </c>
      <c r="HZ429" s="618"/>
      <c r="IA429" s="618"/>
      <c r="IB429" s="618">
        <f t="shared" si="818"/>
        <v>25.000350341399081</v>
      </c>
      <c r="IC429" s="618">
        <f t="shared" si="819"/>
        <v>1E-3</v>
      </c>
      <c r="ID429" s="618"/>
      <c r="IE429" s="618">
        <f t="shared" si="820"/>
        <v>0</v>
      </c>
      <c r="IF429" s="618">
        <f t="shared" si="821"/>
        <v>40.704999999999998</v>
      </c>
      <c r="IG429" s="618"/>
      <c r="IH429" s="618">
        <f t="shared" si="822"/>
        <v>0</v>
      </c>
      <c r="II429" s="618">
        <f t="shared" si="823"/>
        <v>40.704999999999998</v>
      </c>
      <c r="IJ429" s="618"/>
      <c r="IK429" s="618">
        <f t="shared" si="824"/>
        <v>0</v>
      </c>
      <c r="IL429" s="618">
        <f t="shared" si="825"/>
        <v>40.704999999999998</v>
      </c>
      <c r="IM429" s="618"/>
      <c r="IN429" s="618">
        <f t="shared" si="826"/>
        <v>0</v>
      </c>
      <c r="IO429" s="618">
        <f t="shared" si="827"/>
        <v>40.704999999999998</v>
      </c>
      <c r="IP429" s="618"/>
      <c r="IQ429" s="618">
        <f t="shared" si="828"/>
        <v>0</v>
      </c>
      <c r="IR429" s="618">
        <f t="shared" si="829"/>
        <v>40.704999999999998</v>
      </c>
      <c r="IS429" s="645"/>
      <c r="IT429" s="645"/>
      <c r="IU429" s="645"/>
      <c r="IV429" s="645"/>
      <c r="IW429" s="645"/>
      <c r="IX429" s="645"/>
      <c r="IY429" s="645"/>
      <c r="IZ429" s="645"/>
      <c r="JA429" s="645"/>
      <c r="JB429" s="645"/>
      <c r="JC429" s="645"/>
      <c r="JD429" s="645"/>
      <c r="JE429" s="645"/>
      <c r="JF429" s="645"/>
      <c r="JG429" s="645"/>
      <c r="JH429" s="645"/>
      <c r="JI429" s="645"/>
      <c r="JJ429" s="645"/>
      <c r="JK429" s="645"/>
      <c r="JL429" s="645"/>
      <c r="JM429" s="645"/>
      <c r="JN429" s="645"/>
      <c r="JO429" s="645"/>
      <c r="JP429" s="645"/>
      <c r="JQ429" s="645"/>
      <c r="JR429" s="645"/>
      <c r="JS429" s="645"/>
      <c r="JT429" s="645"/>
      <c r="JU429" s="645"/>
      <c r="JV429" s="653"/>
    </row>
    <row r="430" spans="1:282" s="612" customFormat="1">
      <c r="A430" s="611"/>
      <c r="U430" s="613"/>
      <c r="V430" s="613"/>
      <c r="AC430" s="613"/>
      <c r="AD430" s="613"/>
      <c r="AL430" s="613"/>
      <c r="AM430" s="613"/>
      <c r="AT430" s="613"/>
      <c r="AU430" s="613"/>
      <c r="CH430" s="611"/>
      <c r="CI430" s="611"/>
      <c r="CO430" s="695"/>
      <c r="CP430" s="645"/>
      <c r="CQ430" s="618"/>
      <c r="CR430" s="618"/>
      <c r="CS430" s="618"/>
      <c r="CT430" s="626"/>
      <c r="CU430" s="626"/>
      <c r="CV430" s="626"/>
      <c r="CW430" s="646"/>
      <c r="CX430" s="646"/>
      <c r="CY430" s="625"/>
      <c r="CZ430" s="625"/>
      <c r="DA430" s="625"/>
      <c r="DB430" s="625"/>
      <c r="DC430" s="645"/>
      <c r="DD430" s="645"/>
      <c r="DE430" s="645"/>
      <c r="DF430" s="645"/>
      <c r="DG430" s="645"/>
      <c r="DH430" s="645"/>
      <c r="DI430" s="645"/>
      <c r="DJ430" s="645"/>
      <c r="DK430" s="645"/>
      <c r="DL430" s="645"/>
      <c r="DM430" s="645"/>
      <c r="DN430" s="645"/>
      <c r="DO430" s="645"/>
      <c r="DP430" s="645"/>
      <c r="DQ430" s="645"/>
      <c r="DR430" s="645"/>
      <c r="DS430" s="645"/>
      <c r="DT430" s="645"/>
      <c r="DU430" s="645"/>
      <c r="DV430" s="645"/>
      <c r="DW430" s="645"/>
      <c r="DX430" s="645"/>
      <c r="DY430" s="645"/>
      <c r="DZ430" s="645"/>
      <c r="EA430" s="645"/>
      <c r="EB430" s="645"/>
      <c r="EC430" s="645"/>
      <c r="ED430" s="645"/>
      <c r="EE430" s="645"/>
      <c r="EF430" s="645"/>
      <c r="EG430" s="645"/>
      <c r="EH430" s="645"/>
      <c r="EI430" s="645"/>
      <c r="EJ430" s="645"/>
      <c r="EK430" s="645"/>
      <c r="EL430" s="645"/>
      <c r="EM430" s="645"/>
      <c r="EN430" s="645"/>
      <c r="EO430" s="645"/>
      <c r="EP430" s="645"/>
      <c r="EQ430" s="645"/>
      <c r="ER430" s="645"/>
      <c r="ES430" s="645"/>
      <c r="ET430" s="645"/>
      <c r="EU430" s="645"/>
      <c r="EV430" s="645"/>
      <c r="EW430" s="645"/>
      <c r="EX430" s="645"/>
      <c r="EY430" s="645"/>
      <c r="EZ430" s="645"/>
      <c r="FA430" s="645"/>
      <c r="FB430" s="645"/>
      <c r="FC430" s="645"/>
      <c r="FD430" s="645"/>
      <c r="FE430" s="645"/>
      <c r="FF430" s="645"/>
      <c r="FG430" s="645"/>
      <c r="FH430" s="645"/>
      <c r="FI430" s="645"/>
      <c r="FJ430" s="645"/>
      <c r="FK430" s="645"/>
      <c r="FL430" s="645"/>
      <c r="FM430" s="645"/>
      <c r="FN430" s="645"/>
      <c r="FO430" s="645"/>
      <c r="FP430" s="645"/>
      <c r="FQ430" s="645"/>
      <c r="FR430" s="645"/>
      <c r="FS430" s="645"/>
      <c r="FT430" s="645"/>
      <c r="FU430" s="645"/>
      <c r="FV430" s="645"/>
      <c r="FW430" s="645"/>
      <c r="FX430" s="645"/>
      <c r="FY430" s="645"/>
      <c r="FZ430" s="645"/>
      <c r="GA430" s="645"/>
      <c r="GB430" s="645"/>
      <c r="GC430" s="645"/>
      <c r="GD430" s="645"/>
      <c r="GE430" s="645"/>
      <c r="GF430" s="645"/>
      <c r="GG430" s="645"/>
      <c r="GH430" s="645"/>
      <c r="GI430" s="645"/>
      <c r="GJ430" s="645"/>
      <c r="GK430" s="645"/>
      <c r="GL430" s="645"/>
      <c r="GM430" s="645"/>
      <c r="GN430" s="645"/>
      <c r="GO430" s="645"/>
      <c r="GP430" s="645"/>
      <c r="GQ430" s="645"/>
      <c r="GR430" s="645"/>
      <c r="GS430" s="645"/>
      <c r="GT430" s="645"/>
      <c r="GU430" s="645"/>
      <c r="GV430" s="645"/>
      <c r="GW430" s="645"/>
      <c r="GX430" s="645"/>
      <c r="GY430" s="645"/>
      <c r="GZ430" s="645"/>
      <c r="HA430" s="645"/>
      <c r="HB430" s="645"/>
      <c r="HC430" s="645"/>
      <c r="HD430" s="645"/>
      <c r="HE430" s="645"/>
      <c r="HF430" s="645"/>
      <c r="HG430" s="645"/>
      <c r="HH430" s="645"/>
      <c r="HI430" s="645"/>
      <c r="HJ430" s="645"/>
      <c r="HK430" s="645"/>
      <c r="HL430" s="645"/>
      <c r="HM430" s="645"/>
      <c r="HN430" s="645"/>
      <c r="HO430" s="645"/>
      <c r="HP430" s="645"/>
      <c r="HQ430" s="645"/>
      <c r="HR430" s="645">
        <v>0.2135</v>
      </c>
      <c r="HS430" s="645">
        <f t="shared" si="830"/>
        <v>1433.5</v>
      </c>
      <c r="HT430" s="645">
        <f t="shared" si="831"/>
        <v>1</v>
      </c>
      <c r="HU430" s="618">
        <f t="shared" si="832"/>
        <v>5.439112000529553</v>
      </c>
      <c r="HV430" s="618"/>
      <c r="HW430" s="618">
        <f t="shared" si="817"/>
        <v>28.276460959248034</v>
      </c>
      <c r="HX430" s="618">
        <f t="shared" si="833"/>
        <v>4.854284551231494</v>
      </c>
      <c r="HY430" s="618">
        <f t="shared" si="834"/>
        <v>0.2135</v>
      </c>
      <c r="HZ430" s="618"/>
      <c r="IA430" s="618"/>
      <c r="IB430" s="618">
        <f t="shared" si="818"/>
        <v>25.000350341399081</v>
      </c>
      <c r="IC430" s="618">
        <f t="shared" si="819"/>
        <v>1E-3</v>
      </c>
      <c r="ID430" s="618"/>
      <c r="IE430" s="618">
        <f t="shared" si="820"/>
        <v>0</v>
      </c>
      <c r="IF430" s="618">
        <f t="shared" si="821"/>
        <v>40.704999999999998</v>
      </c>
      <c r="IG430" s="618"/>
      <c r="IH430" s="618">
        <f t="shared" si="822"/>
        <v>0</v>
      </c>
      <c r="II430" s="618">
        <f t="shared" si="823"/>
        <v>40.704999999999998</v>
      </c>
      <c r="IJ430" s="618"/>
      <c r="IK430" s="618">
        <f t="shared" si="824"/>
        <v>0</v>
      </c>
      <c r="IL430" s="618">
        <f t="shared" si="825"/>
        <v>40.704999999999998</v>
      </c>
      <c r="IM430" s="618"/>
      <c r="IN430" s="618">
        <f t="shared" si="826"/>
        <v>0</v>
      </c>
      <c r="IO430" s="618">
        <f t="shared" si="827"/>
        <v>40.704999999999998</v>
      </c>
      <c r="IP430" s="618"/>
      <c r="IQ430" s="618">
        <f t="shared" si="828"/>
        <v>0</v>
      </c>
      <c r="IR430" s="618">
        <f t="shared" si="829"/>
        <v>40.704999999999998</v>
      </c>
      <c r="IS430" s="645"/>
      <c r="IT430" s="645"/>
      <c r="IU430" s="645"/>
      <c r="IV430" s="645"/>
      <c r="IW430" s="645"/>
      <c r="IX430" s="645"/>
      <c r="IY430" s="645"/>
      <c r="IZ430" s="645"/>
      <c r="JA430" s="645"/>
      <c r="JB430" s="645"/>
      <c r="JC430" s="645"/>
      <c r="JD430" s="645"/>
      <c r="JE430" s="645"/>
      <c r="JF430" s="645"/>
      <c r="JG430" s="645"/>
      <c r="JH430" s="645"/>
      <c r="JI430" s="645"/>
      <c r="JJ430" s="645"/>
      <c r="JK430" s="645"/>
      <c r="JL430" s="645"/>
      <c r="JM430" s="645"/>
      <c r="JN430" s="645"/>
      <c r="JO430" s="645"/>
      <c r="JP430" s="645"/>
      <c r="JQ430" s="645"/>
      <c r="JR430" s="645"/>
      <c r="JS430" s="645"/>
      <c r="JT430" s="645"/>
      <c r="JU430" s="645"/>
      <c r="JV430" s="653"/>
    </row>
    <row r="431" spans="1:282" s="612" customFormat="1">
      <c r="A431" s="611"/>
      <c r="U431" s="613"/>
      <c r="V431" s="613"/>
      <c r="AC431" s="613"/>
      <c r="AD431" s="613"/>
      <c r="AL431" s="613"/>
      <c r="AM431" s="613"/>
      <c r="AT431" s="613"/>
      <c r="AU431" s="613"/>
      <c r="CH431" s="611"/>
      <c r="CI431" s="611"/>
      <c r="CO431" s="695"/>
      <c r="CP431" s="645"/>
      <c r="CQ431" s="618"/>
      <c r="CR431" s="618"/>
      <c r="CS431" s="618"/>
      <c r="CT431" s="626"/>
      <c r="CU431" s="626"/>
      <c r="CV431" s="626"/>
      <c r="CW431" s="646"/>
      <c r="CX431" s="646"/>
      <c r="CY431" s="625"/>
      <c r="CZ431" s="625"/>
      <c r="DA431" s="625"/>
      <c r="DB431" s="625"/>
      <c r="DC431" s="645"/>
      <c r="DD431" s="645"/>
      <c r="DE431" s="645"/>
      <c r="DF431" s="645"/>
      <c r="DG431" s="645"/>
      <c r="DH431" s="645"/>
      <c r="DI431" s="645"/>
      <c r="DJ431" s="645"/>
      <c r="DK431" s="645"/>
      <c r="DL431" s="645"/>
      <c r="DM431" s="645"/>
      <c r="DN431" s="645"/>
      <c r="DO431" s="645"/>
      <c r="DP431" s="645"/>
      <c r="DQ431" s="645"/>
      <c r="DR431" s="645"/>
      <c r="DS431" s="645"/>
      <c r="DT431" s="645"/>
      <c r="DU431" s="645"/>
      <c r="DV431" s="645"/>
      <c r="DW431" s="645"/>
      <c r="DX431" s="645"/>
      <c r="DY431" s="645"/>
      <c r="DZ431" s="645"/>
      <c r="EA431" s="645"/>
      <c r="EB431" s="645"/>
      <c r="EC431" s="645"/>
      <c r="ED431" s="645"/>
      <c r="EE431" s="645"/>
      <c r="EF431" s="645"/>
      <c r="EG431" s="645"/>
      <c r="EH431" s="645"/>
      <c r="EI431" s="645"/>
      <c r="EJ431" s="645"/>
      <c r="EK431" s="645"/>
      <c r="EL431" s="645"/>
      <c r="EM431" s="645"/>
      <c r="EN431" s="645"/>
      <c r="EO431" s="645"/>
      <c r="EP431" s="645"/>
      <c r="EQ431" s="645"/>
      <c r="ER431" s="645"/>
      <c r="ES431" s="645"/>
      <c r="ET431" s="645"/>
      <c r="EU431" s="645"/>
      <c r="EV431" s="645"/>
      <c r="EW431" s="645"/>
      <c r="EX431" s="645"/>
      <c r="EY431" s="645"/>
      <c r="EZ431" s="645"/>
      <c r="FA431" s="645"/>
      <c r="FB431" s="645"/>
      <c r="FC431" s="645"/>
      <c r="FD431" s="645"/>
      <c r="FE431" s="645"/>
      <c r="FF431" s="645"/>
      <c r="FG431" s="645"/>
      <c r="FH431" s="645"/>
      <c r="FI431" s="645"/>
      <c r="FJ431" s="645"/>
      <c r="FK431" s="645"/>
      <c r="FL431" s="645"/>
      <c r="FM431" s="645"/>
      <c r="FN431" s="645"/>
      <c r="FO431" s="645"/>
      <c r="FP431" s="645"/>
      <c r="FQ431" s="645"/>
      <c r="FR431" s="645"/>
      <c r="FS431" s="645"/>
      <c r="FT431" s="645"/>
      <c r="FU431" s="645"/>
      <c r="FV431" s="645"/>
      <c r="FW431" s="645"/>
      <c r="FX431" s="645"/>
      <c r="FY431" s="645"/>
      <c r="FZ431" s="645"/>
      <c r="GA431" s="645"/>
      <c r="GB431" s="645"/>
      <c r="GC431" s="645"/>
      <c r="GD431" s="645"/>
      <c r="GE431" s="645"/>
      <c r="GF431" s="645"/>
      <c r="GG431" s="645"/>
      <c r="GH431" s="645"/>
      <c r="GI431" s="645"/>
      <c r="GJ431" s="645"/>
      <c r="GK431" s="645"/>
      <c r="GL431" s="645"/>
      <c r="GM431" s="645"/>
      <c r="GN431" s="645"/>
      <c r="GO431" s="645"/>
      <c r="GP431" s="645"/>
      <c r="GQ431" s="645"/>
      <c r="GR431" s="645"/>
      <c r="GS431" s="645"/>
      <c r="GT431" s="645"/>
      <c r="GU431" s="645"/>
      <c r="GV431" s="645"/>
      <c r="GW431" s="645"/>
      <c r="GX431" s="645"/>
      <c r="GY431" s="645"/>
      <c r="GZ431" s="645"/>
      <c r="HA431" s="645"/>
      <c r="HB431" s="645"/>
      <c r="HC431" s="645"/>
      <c r="HD431" s="645"/>
      <c r="HE431" s="645"/>
      <c r="HF431" s="645"/>
      <c r="HG431" s="645"/>
      <c r="HH431" s="645"/>
      <c r="HI431" s="645"/>
      <c r="HJ431" s="645"/>
      <c r="HK431" s="645"/>
      <c r="HL431" s="645"/>
      <c r="HM431" s="645"/>
      <c r="HN431" s="645"/>
      <c r="HO431" s="645"/>
      <c r="HP431" s="645"/>
      <c r="HQ431" s="645"/>
      <c r="HR431" s="645">
        <v>0.214</v>
      </c>
      <c r="HS431" s="645">
        <f t="shared" si="830"/>
        <v>1436.8571428571429</v>
      </c>
      <c r="HT431" s="645">
        <f t="shared" si="831"/>
        <v>1</v>
      </c>
      <c r="HU431" s="618">
        <f t="shared" si="832"/>
        <v>5.4518510445031776</v>
      </c>
      <c r="HV431" s="618"/>
      <c r="HW431" s="618">
        <f t="shared" si="817"/>
        <v>28.258371516805489</v>
      </c>
      <c r="HX431" s="618">
        <f t="shared" si="833"/>
        <v>4.8642841244919275</v>
      </c>
      <c r="HY431" s="618">
        <f t="shared" si="834"/>
        <v>0.214</v>
      </c>
      <c r="HZ431" s="618"/>
      <c r="IA431" s="618"/>
      <c r="IB431" s="618">
        <f t="shared" si="818"/>
        <v>25.000350341399081</v>
      </c>
      <c r="IC431" s="618">
        <f t="shared" si="819"/>
        <v>1E-3</v>
      </c>
      <c r="ID431" s="618"/>
      <c r="IE431" s="618">
        <f t="shared" si="820"/>
        <v>0</v>
      </c>
      <c r="IF431" s="618">
        <f t="shared" si="821"/>
        <v>40.704999999999998</v>
      </c>
      <c r="IG431" s="618"/>
      <c r="IH431" s="618">
        <f t="shared" si="822"/>
        <v>0</v>
      </c>
      <c r="II431" s="618">
        <f t="shared" si="823"/>
        <v>40.704999999999998</v>
      </c>
      <c r="IJ431" s="618"/>
      <c r="IK431" s="618">
        <f t="shared" si="824"/>
        <v>0</v>
      </c>
      <c r="IL431" s="618">
        <f t="shared" si="825"/>
        <v>40.704999999999998</v>
      </c>
      <c r="IM431" s="618"/>
      <c r="IN431" s="618">
        <f t="shared" si="826"/>
        <v>0</v>
      </c>
      <c r="IO431" s="618">
        <f t="shared" si="827"/>
        <v>40.704999999999998</v>
      </c>
      <c r="IP431" s="618"/>
      <c r="IQ431" s="618">
        <f t="shared" si="828"/>
        <v>0</v>
      </c>
      <c r="IR431" s="618">
        <f t="shared" si="829"/>
        <v>40.704999999999998</v>
      </c>
      <c r="IS431" s="645"/>
      <c r="IT431" s="645"/>
      <c r="IU431" s="645"/>
      <c r="IV431" s="645"/>
      <c r="IW431" s="645"/>
      <c r="IX431" s="645"/>
      <c r="IY431" s="645"/>
      <c r="IZ431" s="645"/>
      <c r="JA431" s="645"/>
      <c r="JB431" s="645"/>
      <c r="JC431" s="645"/>
      <c r="JD431" s="645"/>
      <c r="JE431" s="645"/>
      <c r="JF431" s="645"/>
      <c r="JG431" s="645"/>
      <c r="JH431" s="645"/>
      <c r="JI431" s="645"/>
      <c r="JJ431" s="645"/>
      <c r="JK431" s="645"/>
      <c r="JL431" s="645"/>
      <c r="JM431" s="645"/>
      <c r="JN431" s="645"/>
      <c r="JO431" s="645"/>
      <c r="JP431" s="645"/>
      <c r="JQ431" s="645"/>
      <c r="JR431" s="645"/>
      <c r="JS431" s="645"/>
      <c r="JT431" s="645"/>
      <c r="JU431" s="645"/>
      <c r="JV431" s="653"/>
    </row>
    <row r="432" spans="1:282" s="612" customFormat="1">
      <c r="A432" s="611"/>
      <c r="U432" s="613"/>
      <c r="V432" s="613"/>
      <c r="AC432" s="613"/>
      <c r="AD432" s="613"/>
      <c r="AL432" s="613"/>
      <c r="AM432" s="613"/>
      <c r="AT432" s="613"/>
      <c r="AU432" s="613"/>
      <c r="CH432" s="611"/>
      <c r="CI432" s="611"/>
      <c r="CO432" s="695"/>
      <c r="CP432" s="645"/>
      <c r="CQ432" s="618"/>
      <c r="CR432" s="618"/>
      <c r="CS432" s="618"/>
      <c r="CT432" s="626"/>
      <c r="CU432" s="626"/>
      <c r="CV432" s="626"/>
      <c r="CW432" s="646"/>
      <c r="CX432" s="646"/>
      <c r="CY432" s="625"/>
      <c r="CZ432" s="625"/>
      <c r="DA432" s="625"/>
      <c r="DB432" s="625"/>
      <c r="DC432" s="645"/>
      <c r="DD432" s="645"/>
      <c r="DE432" s="645"/>
      <c r="DF432" s="645"/>
      <c r="DG432" s="645"/>
      <c r="DH432" s="645"/>
      <c r="DI432" s="645"/>
      <c r="DJ432" s="645"/>
      <c r="DK432" s="645"/>
      <c r="DL432" s="645"/>
      <c r="DM432" s="645"/>
      <c r="DN432" s="645"/>
      <c r="DO432" s="645"/>
      <c r="DP432" s="645"/>
      <c r="DQ432" s="645"/>
      <c r="DR432" s="645"/>
      <c r="DS432" s="645"/>
      <c r="DT432" s="645"/>
      <c r="DU432" s="645"/>
      <c r="DV432" s="645"/>
      <c r="DW432" s="645"/>
      <c r="DX432" s="645"/>
      <c r="DY432" s="645"/>
      <c r="DZ432" s="645"/>
      <c r="EA432" s="645"/>
      <c r="EB432" s="645"/>
      <c r="EC432" s="645"/>
      <c r="ED432" s="645"/>
      <c r="EE432" s="645"/>
      <c r="EF432" s="645"/>
      <c r="EG432" s="645"/>
      <c r="EH432" s="645"/>
      <c r="EI432" s="645"/>
      <c r="EJ432" s="645"/>
      <c r="EK432" s="645"/>
      <c r="EL432" s="645"/>
      <c r="EM432" s="645"/>
      <c r="EN432" s="645"/>
      <c r="EO432" s="645"/>
      <c r="EP432" s="645"/>
      <c r="EQ432" s="645"/>
      <c r="ER432" s="645"/>
      <c r="ES432" s="645"/>
      <c r="ET432" s="645"/>
      <c r="EU432" s="645"/>
      <c r="EV432" s="645"/>
      <c r="EW432" s="645"/>
      <c r="EX432" s="645"/>
      <c r="EY432" s="645"/>
      <c r="EZ432" s="645"/>
      <c r="FA432" s="645"/>
      <c r="FB432" s="645"/>
      <c r="FC432" s="645"/>
      <c r="FD432" s="645"/>
      <c r="FE432" s="645"/>
      <c r="FF432" s="645"/>
      <c r="FG432" s="645"/>
      <c r="FH432" s="645"/>
      <c r="FI432" s="645"/>
      <c r="FJ432" s="645"/>
      <c r="FK432" s="645"/>
      <c r="FL432" s="645"/>
      <c r="FM432" s="645"/>
      <c r="FN432" s="645"/>
      <c r="FO432" s="645"/>
      <c r="FP432" s="645"/>
      <c r="FQ432" s="645"/>
      <c r="FR432" s="645"/>
      <c r="FS432" s="645"/>
      <c r="FT432" s="645"/>
      <c r="FU432" s="645"/>
      <c r="FV432" s="645"/>
      <c r="FW432" s="645"/>
      <c r="FX432" s="645"/>
      <c r="FY432" s="645"/>
      <c r="FZ432" s="645"/>
      <c r="GA432" s="645"/>
      <c r="GB432" s="645"/>
      <c r="GC432" s="645"/>
      <c r="GD432" s="645"/>
      <c r="GE432" s="645"/>
      <c r="GF432" s="645"/>
      <c r="GG432" s="645"/>
      <c r="GH432" s="645"/>
      <c r="GI432" s="645"/>
      <c r="GJ432" s="645"/>
      <c r="GK432" s="645"/>
      <c r="GL432" s="645"/>
      <c r="GM432" s="645"/>
      <c r="GN432" s="645"/>
      <c r="GO432" s="645"/>
      <c r="GP432" s="645"/>
      <c r="GQ432" s="645"/>
      <c r="GR432" s="645"/>
      <c r="GS432" s="645"/>
      <c r="GT432" s="645"/>
      <c r="GU432" s="645"/>
      <c r="GV432" s="645"/>
      <c r="GW432" s="645"/>
      <c r="GX432" s="645"/>
      <c r="GY432" s="645"/>
      <c r="GZ432" s="645"/>
      <c r="HA432" s="645"/>
      <c r="HB432" s="645"/>
      <c r="HC432" s="645"/>
      <c r="HD432" s="645"/>
      <c r="HE432" s="645"/>
      <c r="HF432" s="645"/>
      <c r="HG432" s="645"/>
      <c r="HH432" s="645"/>
      <c r="HI432" s="645"/>
      <c r="HJ432" s="645"/>
      <c r="HK432" s="645"/>
      <c r="HL432" s="645"/>
      <c r="HM432" s="645"/>
      <c r="HN432" s="645"/>
      <c r="HO432" s="645"/>
      <c r="HP432" s="645"/>
      <c r="HQ432" s="645"/>
      <c r="HR432" s="645">
        <v>0.2145</v>
      </c>
      <c r="HS432" s="645">
        <f t="shared" si="830"/>
        <v>1440.2142857142858</v>
      </c>
      <c r="HT432" s="645">
        <f t="shared" si="831"/>
        <v>1</v>
      </c>
      <c r="HU432" s="618">
        <f t="shared" si="832"/>
        <v>5.4645900884768022</v>
      </c>
      <c r="HV432" s="618"/>
      <c r="HW432" s="618">
        <f t="shared" si="817"/>
        <v>28.240282074362941</v>
      </c>
      <c r="HX432" s="618">
        <f t="shared" si="833"/>
        <v>4.8742772965800629</v>
      </c>
      <c r="HY432" s="618">
        <f t="shared" si="834"/>
        <v>0.2145</v>
      </c>
      <c r="HZ432" s="618"/>
      <c r="IA432" s="618"/>
      <c r="IB432" s="618">
        <f t="shared" si="818"/>
        <v>25.000350341399081</v>
      </c>
      <c r="IC432" s="618">
        <f t="shared" si="819"/>
        <v>1E-3</v>
      </c>
      <c r="ID432" s="618"/>
      <c r="IE432" s="618">
        <f t="shared" si="820"/>
        <v>0</v>
      </c>
      <c r="IF432" s="618">
        <f t="shared" si="821"/>
        <v>40.704999999999998</v>
      </c>
      <c r="IG432" s="618"/>
      <c r="IH432" s="618">
        <f t="shared" si="822"/>
        <v>0</v>
      </c>
      <c r="II432" s="618">
        <f t="shared" si="823"/>
        <v>40.704999999999998</v>
      </c>
      <c r="IJ432" s="618"/>
      <c r="IK432" s="618">
        <f t="shared" si="824"/>
        <v>0</v>
      </c>
      <c r="IL432" s="618">
        <f t="shared" si="825"/>
        <v>40.704999999999998</v>
      </c>
      <c r="IM432" s="618"/>
      <c r="IN432" s="618">
        <f t="shared" si="826"/>
        <v>0</v>
      </c>
      <c r="IO432" s="618">
        <f t="shared" si="827"/>
        <v>40.704999999999998</v>
      </c>
      <c r="IP432" s="618"/>
      <c r="IQ432" s="618">
        <f t="shared" si="828"/>
        <v>0</v>
      </c>
      <c r="IR432" s="618">
        <f t="shared" si="829"/>
        <v>40.704999999999998</v>
      </c>
      <c r="IS432" s="645"/>
      <c r="IT432" s="645"/>
      <c r="IU432" s="645"/>
      <c r="IV432" s="645"/>
      <c r="IW432" s="645"/>
      <c r="IX432" s="645"/>
      <c r="IY432" s="645"/>
      <c r="IZ432" s="645"/>
      <c r="JA432" s="645"/>
      <c r="JB432" s="645"/>
      <c r="JC432" s="645"/>
      <c r="JD432" s="645"/>
      <c r="JE432" s="645"/>
      <c r="JF432" s="645"/>
      <c r="JG432" s="645"/>
      <c r="JH432" s="645"/>
      <c r="JI432" s="645"/>
      <c r="JJ432" s="645"/>
      <c r="JK432" s="645"/>
      <c r="JL432" s="645"/>
      <c r="JM432" s="645"/>
      <c r="JN432" s="645"/>
      <c r="JO432" s="645"/>
      <c r="JP432" s="645"/>
      <c r="JQ432" s="645"/>
      <c r="JR432" s="645"/>
      <c r="JS432" s="645"/>
      <c r="JT432" s="645"/>
      <c r="JU432" s="645"/>
      <c r="JV432" s="653"/>
    </row>
    <row r="433" spans="1:282" s="612" customFormat="1">
      <c r="A433" s="611"/>
      <c r="U433" s="613"/>
      <c r="V433" s="613"/>
      <c r="AC433" s="613"/>
      <c r="AD433" s="613"/>
      <c r="AL433" s="613"/>
      <c r="AM433" s="613"/>
      <c r="AT433" s="613"/>
      <c r="AU433" s="613"/>
      <c r="CH433" s="611"/>
      <c r="CI433" s="611"/>
      <c r="CO433" s="695"/>
      <c r="CP433" s="645"/>
      <c r="CQ433" s="618"/>
      <c r="CR433" s="618"/>
      <c r="CS433" s="618"/>
      <c r="CT433" s="626"/>
      <c r="CU433" s="626"/>
      <c r="CV433" s="626"/>
      <c r="CW433" s="646"/>
      <c r="CX433" s="646"/>
      <c r="CY433" s="625"/>
      <c r="CZ433" s="625"/>
      <c r="DA433" s="625"/>
      <c r="DB433" s="625"/>
      <c r="DC433" s="645"/>
      <c r="DD433" s="645"/>
      <c r="DE433" s="645"/>
      <c r="DF433" s="645"/>
      <c r="DG433" s="645"/>
      <c r="DH433" s="645"/>
      <c r="DI433" s="645"/>
      <c r="DJ433" s="645"/>
      <c r="DK433" s="645"/>
      <c r="DL433" s="645"/>
      <c r="DM433" s="645"/>
      <c r="DN433" s="645"/>
      <c r="DO433" s="645"/>
      <c r="DP433" s="645"/>
      <c r="DQ433" s="645"/>
      <c r="DR433" s="645"/>
      <c r="DS433" s="645"/>
      <c r="DT433" s="645"/>
      <c r="DU433" s="645"/>
      <c r="DV433" s="645"/>
      <c r="DW433" s="645"/>
      <c r="DX433" s="645"/>
      <c r="DY433" s="645"/>
      <c r="DZ433" s="645"/>
      <c r="EA433" s="645"/>
      <c r="EB433" s="645"/>
      <c r="EC433" s="645"/>
      <c r="ED433" s="645"/>
      <c r="EE433" s="645"/>
      <c r="EF433" s="645"/>
      <c r="EG433" s="645"/>
      <c r="EH433" s="645"/>
      <c r="EI433" s="645"/>
      <c r="EJ433" s="645"/>
      <c r="EK433" s="645"/>
      <c r="EL433" s="645"/>
      <c r="EM433" s="645"/>
      <c r="EN433" s="645"/>
      <c r="EO433" s="645"/>
      <c r="EP433" s="645"/>
      <c r="EQ433" s="645"/>
      <c r="ER433" s="645"/>
      <c r="ES433" s="645"/>
      <c r="ET433" s="645"/>
      <c r="EU433" s="645"/>
      <c r="EV433" s="645"/>
      <c r="EW433" s="645"/>
      <c r="EX433" s="645"/>
      <c r="EY433" s="645"/>
      <c r="EZ433" s="645"/>
      <c r="FA433" s="645"/>
      <c r="FB433" s="645"/>
      <c r="FC433" s="645"/>
      <c r="FD433" s="645"/>
      <c r="FE433" s="645"/>
      <c r="FF433" s="645"/>
      <c r="FG433" s="645"/>
      <c r="FH433" s="645"/>
      <c r="FI433" s="645"/>
      <c r="FJ433" s="645"/>
      <c r="FK433" s="645"/>
      <c r="FL433" s="645"/>
      <c r="FM433" s="645"/>
      <c r="FN433" s="645"/>
      <c r="FO433" s="645"/>
      <c r="FP433" s="645"/>
      <c r="FQ433" s="645"/>
      <c r="FR433" s="645"/>
      <c r="FS433" s="645"/>
      <c r="FT433" s="645"/>
      <c r="FU433" s="645"/>
      <c r="FV433" s="645"/>
      <c r="FW433" s="645"/>
      <c r="FX433" s="645"/>
      <c r="FY433" s="645"/>
      <c r="FZ433" s="645"/>
      <c r="GA433" s="645"/>
      <c r="GB433" s="645"/>
      <c r="GC433" s="645"/>
      <c r="GD433" s="645"/>
      <c r="GE433" s="645"/>
      <c r="GF433" s="645"/>
      <c r="GG433" s="645"/>
      <c r="GH433" s="645"/>
      <c r="GI433" s="645"/>
      <c r="GJ433" s="645"/>
      <c r="GK433" s="645"/>
      <c r="GL433" s="645"/>
      <c r="GM433" s="645"/>
      <c r="GN433" s="645"/>
      <c r="GO433" s="645"/>
      <c r="GP433" s="645"/>
      <c r="GQ433" s="645"/>
      <c r="GR433" s="645"/>
      <c r="GS433" s="645"/>
      <c r="GT433" s="645"/>
      <c r="GU433" s="645"/>
      <c r="GV433" s="645"/>
      <c r="GW433" s="645"/>
      <c r="GX433" s="645"/>
      <c r="GY433" s="645"/>
      <c r="GZ433" s="645"/>
      <c r="HA433" s="645"/>
      <c r="HB433" s="645"/>
      <c r="HC433" s="645"/>
      <c r="HD433" s="645"/>
      <c r="HE433" s="645"/>
      <c r="HF433" s="645"/>
      <c r="HG433" s="645"/>
      <c r="HH433" s="645"/>
      <c r="HI433" s="645"/>
      <c r="HJ433" s="645"/>
      <c r="HK433" s="645"/>
      <c r="HL433" s="645"/>
      <c r="HM433" s="645"/>
      <c r="HN433" s="645"/>
      <c r="HO433" s="645"/>
      <c r="HP433" s="645"/>
      <c r="HQ433" s="645"/>
      <c r="HR433" s="645">
        <v>0.215</v>
      </c>
      <c r="HS433" s="645">
        <f t="shared" si="830"/>
        <v>1443.5714285714284</v>
      </c>
      <c r="HT433" s="645">
        <f t="shared" si="831"/>
        <v>1</v>
      </c>
      <c r="HU433" s="618">
        <f t="shared" si="832"/>
        <v>5.4773291324504267</v>
      </c>
      <c r="HV433" s="618"/>
      <c r="HW433" s="618">
        <f t="shared" si="817"/>
        <v>28.222192631920393</v>
      </c>
      <c r="HX433" s="618">
        <f t="shared" si="833"/>
        <v>4.8842640674959004</v>
      </c>
      <c r="HY433" s="618">
        <f t="shared" si="834"/>
        <v>0.215</v>
      </c>
      <c r="HZ433" s="618"/>
      <c r="IA433" s="618"/>
      <c r="IB433" s="618">
        <f t="shared" si="818"/>
        <v>25.000350341399081</v>
      </c>
      <c r="IC433" s="618">
        <f t="shared" si="819"/>
        <v>1E-3</v>
      </c>
      <c r="ID433" s="618"/>
      <c r="IE433" s="618">
        <f t="shared" si="820"/>
        <v>0</v>
      </c>
      <c r="IF433" s="618">
        <f t="shared" si="821"/>
        <v>40.704999999999998</v>
      </c>
      <c r="IG433" s="618"/>
      <c r="IH433" s="618">
        <f t="shared" si="822"/>
        <v>0</v>
      </c>
      <c r="II433" s="618">
        <f t="shared" si="823"/>
        <v>40.704999999999998</v>
      </c>
      <c r="IJ433" s="618"/>
      <c r="IK433" s="618">
        <f t="shared" si="824"/>
        <v>0</v>
      </c>
      <c r="IL433" s="618">
        <f t="shared" si="825"/>
        <v>40.704999999999998</v>
      </c>
      <c r="IM433" s="618"/>
      <c r="IN433" s="618">
        <f t="shared" si="826"/>
        <v>0</v>
      </c>
      <c r="IO433" s="618">
        <f t="shared" si="827"/>
        <v>40.704999999999998</v>
      </c>
      <c r="IP433" s="618"/>
      <c r="IQ433" s="618">
        <f t="shared" si="828"/>
        <v>0</v>
      </c>
      <c r="IR433" s="618">
        <f t="shared" si="829"/>
        <v>40.704999999999998</v>
      </c>
      <c r="IS433" s="645"/>
      <c r="IT433" s="645"/>
      <c r="IU433" s="645"/>
      <c r="IV433" s="645"/>
      <c r="IW433" s="645"/>
      <c r="IX433" s="645"/>
      <c r="IY433" s="645"/>
      <c r="IZ433" s="645"/>
      <c r="JA433" s="645"/>
      <c r="JB433" s="645"/>
      <c r="JC433" s="645"/>
      <c r="JD433" s="645"/>
      <c r="JE433" s="645"/>
      <c r="JF433" s="645"/>
      <c r="JG433" s="645"/>
      <c r="JH433" s="645"/>
      <c r="JI433" s="645"/>
      <c r="JJ433" s="645"/>
      <c r="JK433" s="645"/>
      <c r="JL433" s="645"/>
      <c r="JM433" s="645"/>
      <c r="JN433" s="645"/>
      <c r="JO433" s="645"/>
      <c r="JP433" s="645"/>
      <c r="JQ433" s="645"/>
      <c r="JR433" s="645"/>
      <c r="JS433" s="645"/>
      <c r="JT433" s="645"/>
      <c r="JU433" s="645"/>
      <c r="JV433" s="653"/>
    </row>
    <row r="434" spans="1:282" s="612" customFormat="1">
      <c r="A434" s="611"/>
      <c r="U434" s="613"/>
      <c r="V434" s="613"/>
      <c r="AC434" s="613"/>
      <c r="AD434" s="613"/>
      <c r="AL434" s="613"/>
      <c r="AM434" s="613"/>
      <c r="AT434" s="613"/>
      <c r="AU434" s="613"/>
      <c r="CH434" s="611"/>
      <c r="CI434" s="611"/>
      <c r="CO434" s="695"/>
      <c r="CP434" s="645"/>
      <c r="CQ434" s="618"/>
      <c r="CR434" s="618"/>
      <c r="CS434" s="618"/>
      <c r="CT434" s="626"/>
      <c r="CU434" s="626"/>
      <c r="CV434" s="626"/>
      <c r="CW434" s="646"/>
      <c r="CX434" s="646"/>
      <c r="CY434" s="625"/>
      <c r="CZ434" s="625"/>
      <c r="DA434" s="625"/>
      <c r="DB434" s="625"/>
      <c r="DC434" s="645"/>
      <c r="DD434" s="645"/>
      <c r="DE434" s="645"/>
      <c r="DF434" s="645"/>
      <c r="DG434" s="645"/>
      <c r="DH434" s="645"/>
      <c r="DI434" s="645"/>
      <c r="DJ434" s="645"/>
      <c r="DK434" s="645"/>
      <c r="DL434" s="645"/>
      <c r="DM434" s="645"/>
      <c r="DN434" s="645"/>
      <c r="DO434" s="645"/>
      <c r="DP434" s="645"/>
      <c r="DQ434" s="645"/>
      <c r="DR434" s="645"/>
      <c r="DS434" s="645"/>
      <c r="DT434" s="645"/>
      <c r="DU434" s="645"/>
      <c r="DV434" s="645"/>
      <c r="DW434" s="645"/>
      <c r="DX434" s="645"/>
      <c r="DY434" s="645"/>
      <c r="DZ434" s="645"/>
      <c r="EA434" s="645"/>
      <c r="EB434" s="645"/>
      <c r="EC434" s="645"/>
      <c r="ED434" s="645"/>
      <c r="EE434" s="645"/>
      <c r="EF434" s="645"/>
      <c r="EG434" s="645"/>
      <c r="EH434" s="645"/>
      <c r="EI434" s="645"/>
      <c r="EJ434" s="645"/>
      <c r="EK434" s="645"/>
      <c r="EL434" s="645"/>
      <c r="EM434" s="645"/>
      <c r="EN434" s="645"/>
      <c r="EO434" s="645"/>
      <c r="EP434" s="645"/>
      <c r="EQ434" s="645"/>
      <c r="ER434" s="645"/>
      <c r="ES434" s="645"/>
      <c r="ET434" s="645"/>
      <c r="EU434" s="645"/>
      <c r="EV434" s="645"/>
      <c r="EW434" s="645"/>
      <c r="EX434" s="645"/>
      <c r="EY434" s="645"/>
      <c r="EZ434" s="645"/>
      <c r="FA434" s="645"/>
      <c r="FB434" s="645"/>
      <c r="FC434" s="645"/>
      <c r="FD434" s="645"/>
      <c r="FE434" s="645"/>
      <c r="FF434" s="645"/>
      <c r="FG434" s="645"/>
      <c r="FH434" s="645"/>
      <c r="FI434" s="645"/>
      <c r="FJ434" s="645"/>
      <c r="FK434" s="645"/>
      <c r="FL434" s="645"/>
      <c r="FM434" s="645"/>
      <c r="FN434" s="645"/>
      <c r="FO434" s="645"/>
      <c r="FP434" s="645"/>
      <c r="FQ434" s="645"/>
      <c r="FR434" s="645"/>
      <c r="FS434" s="645"/>
      <c r="FT434" s="645"/>
      <c r="FU434" s="645"/>
      <c r="FV434" s="645"/>
      <c r="FW434" s="645"/>
      <c r="FX434" s="645"/>
      <c r="FY434" s="645"/>
      <c r="FZ434" s="645"/>
      <c r="GA434" s="645"/>
      <c r="GB434" s="645"/>
      <c r="GC434" s="645"/>
      <c r="GD434" s="645"/>
      <c r="GE434" s="645"/>
      <c r="GF434" s="645"/>
      <c r="GG434" s="645"/>
      <c r="GH434" s="645"/>
      <c r="GI434" s="645"/>
      <c r="GJ434" s="645"/>
      <c r="GK434" s="645"/>
      <c r="GL434" s="645"/>
      <c r="GM434" s="645"/>
      <c r="GN434" s="645"/>
      <c r="GO434" s="645"/>
      <c r="GP434" s="645"/>
      <c r="GQ434" s="645"/>
      <c r="GR434" s="645"/>
      <c r="GS434" s="645"/>
      <c r="GT434" s="645"/>
      <c r="GU434" s="645"/>
      <c r="GV434" s="645"/>
      <c r="GW434" s="645"/>
      <c r="GX434" s="645"/>
      <c r="GY434" s="645"/>
      <c r="GZ434" s="645"/>
      <c r="HA434" s="645"/>
      <c r="HB434" s="645"/>
      <c r="HC434" s="645"/>
      <c r="HD434" s="645"/>
      <c r="HE434" s="645"/>
      <c r="HF434" s="645"/>
      <c r="HG434" s="645"/>
      <c r="HH434" s="645"/>
      <c r="HI434" s="645"/>
      <c r="HJ434" s="645"/>
      <c r="HK434" s="645"/>
      <c r="HL434" s="645"/>
      <c r="HM434" s="645"/>
      <c r="HN434" s="645"/>
      <c r="HO434" s="645"/>
      <c r="HP434" s="645"/>
      <c r="HQ434" s="645"/>
      <c r="HR434" s="645">
        <v>0.2155</v>
      </c>
      <c r="HS434" s="645">
        <f t="shared" si="830"/>
        <v>1446.9285714285713</v>
      </c>
      <c r="HT434" s="645">
        <f t="shared" si="831"/>
        <v>1</v>
      </c>
      <c r="HU434" s="618">
        <f t="shared" si="832"/>
        <v>5.4900681764240513</v>
      </c>
      <c r="HV434" s="618"/>
      <c r="HW434" s="618">
        <f t="shared" si="817"/>
        <v>28.204103189477848</v>
      </c>
      <c r="HX434" s="618">
        <f t="shared" si="833"/>
        <v>4.8942444372394398</v>
      </c>
      <c r="HY434" s="618">
        <f t="shared" si="834"/>
        <v>0.2155</v>
      </c>
      <c r="HZ434" s="618"/>
      <c r="IA434" s="618"/>
      <c r="IB434" s="618">
        <f t="shared" si="818"/>
        <v>25.000350341399081</v>
      </c>
      <c r="IC434" s="618">
        <f t="shared" si="819"/>
        <v>1E-3</v>
      </c>
      <c r="ID434" s="618"/>
      <c r="IE434" s="618">
        <f t="shared" si="820"/>
        <v>0</v>
      </c>
      <c r="IF434" s="618">
        <f t="shared" si="821"/>
        <v>40.704999999999998</v>
      </c>
      <c r="IG434" s="618"/>
      <c r="IH434" s="618">
        <f t="shared" si="822"/>
        <v>0</v>
      </c>
      <c r="II434" s="618">
        <f t="shared" si="823"/>
        <v>40.704999999999998</v>
      </c>
      <c r="IJ434" s="618"/>
      <c r="IK434" s="618">
        <f t="shared" si="824"/>
        <v>0</v>
      </c>
      <c r="IL434" s="618">
        <f t="shared" si="825"/>
        <v>40.704999999999998</v>
      </c>
      <c r="IM434" s="618"/>
      <c r="IN434" s="618">
        <f t="shared" si="826"/>
        <v>0</v>
      </c>
      <c r="IO434" s="618">
        <f t="shared" si="827"/>
        <v>40.704999999999998</v>
      </c>
      <c r="IP434" s="618"/>
      <c r="IQ434" s="618">
        <f t="shared" si="828"/>
        <v>0</v>
      </c>
      <c r="IR434" s="618">
        <f t="shared" si="829"/>
        <v>40.704999999999998</v>
      </c>
      <c r="IS434" s="645"/>
      <c r="IT434" s="645"/>
      <c r="IU434" s="645"/>
      <c r="IV434" s="645"/>
      <c r="IW434" s="645"/>
      <c r="IX434" s="645"/>
      <c r="IY434" s="645"/>
      <c r="IZ434" s="645"/>
      <c r="JA434" s="645"/>
      <c r="JB434" s="645"/>
      <c r="JC434" s="645"/>
      <c r="JD434" s="645"/>
      <c r="JE434" s="645"/>
      <c r="JF434" s="645"/>
      <c r="JG434" s="645"/>
      <c r="JH434" s="645"/>
      <c r="JI434" s="645"/>
      <c r="JJ434" s="645"/>
      <c r="JK434" s="645"/>
      <c r="JL434" s="645"/>
      <c r="JM434" s="645"/>
      <c r="JN434" s="645"/>
      <c r="JO434" s="645"/>
      <c r="JP434" s="645"/>
      <c r="JQ434" s="645"/>
      <c r="JR434" s="645"/>
      <c r="JS434" s="645"/>
      <c r="JT434" s="645"/>
      <c r="JU434" s="645"/>
      <c r="JV434" s="653"/>
    </row>
    <row r="435" spans="1:282" s="612" customFormat="1">
      <c r="A435" s="611"/>
      <c r="U435" s="613"/>
      <c r="V435" s="613"/>
      <c r="AC435" s="613"/>
      <c r="AD435" s="613"/>
      <c r="AL435" s="613"/>
      <c r="AM435" s="613"/>
      <c r="AT435" s="613"/>
      <c r="AU435" s="613"/>
      <c r="CH435" s="611"/>
      <c r="CI435" s="611"/>
      <c r="CO435" s="695"/>
      <c r="CP435" s="645"/>
      <c r="CQ435" s="618"/>
      <c r="CR435" s="618"/>
      <c r="CS435" s="618"/>
      <c r="CT435" s="626"/>
      <c r="CU435" s="626"/>
      <c r="CV435" s="626"/>
      <c r="CW435" s="646"/>
      <c r="CX435" s="646"/>
      <c r="CY435" s="625"/>
      <c r="CZ435" s="625"/>
      <c r="DA435" s="625"/>
      <c r="DB435" s="625"/>
      <c r="DC435" s="645"/>
      <c r="DD435" s="645"/>
      <c r="DE435" s="645"/>
      <c r="DF435" s="645"/>
      <c r="DG435" s="645"/>
      <c r="DH435" s="645"/>
      <c r="DI435" s="645"/>
      <c r="DJ435" s="645"/>
      <c r="DK435" s="645"/>
      <c r="DL435" s="645"/>
      <c r="DM435" s="645"/>
      <c r="DN435" s="645"/>
      <c r="DO435" s="645"/>
      <c r="DP435" s="645"/>
      <c r="DQ435" s="645"/>
      <c r="DR435" s="645"/>
      <c r="DS435" s="645"/>
      <c r="DT435" s="645"/>
      <c r="DU435" s="645"/>
      <c r="DV435" s="645"/>
      <c r="DW435" s="645"/>
      <c r="DX435" s="645"/>
      <c r="DY435" s="645"/>
      <c r="DZ435" s="645"/>
      <c r="EA435" s="645"/>
      <c r="EB435" s="645"/>
      <c r="EC435" s="645"/>
      <c r="ED435" s="645"/>
      <c r="EE435" s="645"/>
      <c r="EF435" s="645"/>
      <c r="EG435" s="645"/>
      <c r="EH435" s="645"/>
      <c r="EI435" s="645"/>
      <c r="EJ435" s="645"/>
      <c r="EK435" s="645"/>
      <c r="EL435" s="645"/>
      <c r="EM435" s="645"/>
      <c r="EN435" s="645"/>
      <c r="EO435" s="645"/>
      <c r="EP435" s="645"/>
      <c r="EQ435" s="645"/>
      <c r="ER435" s="645"/>
      <c r="ES435" s="645"/>
      <c r="ET435" s="645"/>
      <c r="EU435" s="645"/>
      <c r="EV435" s="645"/>
      <c r="EW435" s="645"/>
      <c r="EX435" s="645"/>
      <c r="EY435" s="645"/>
      <c r="EZ435" s="645"/>
      <c r="FA435" s="645"/>
      <c r="FB435" s="645"/>
      <c r="FC435" s="645"/>
      <c r="FD435" s="645"/>
      <c r="FE435" s="645"/>
      <c r="FF435" s="645"/>
      <c r="FG435" s="645"/>
      <c r="FH435" s="645"/>
      <c r="FI435" s="645"/>
      <c r="FJ435" s="645"/>
      <c r="FK435" s="645"/>
      <c r="FL435" s="645"/>
      <c r="FM435" s="645"/>
      <c r="FN435" s="645"/>
      <c r="FO435" s="645"/>
      <c r="FP435" s="645"/>
      <c r="FQ435" s="645"/>
      <c r="FR435" s="645"/>
      <c r="FS435" s="645"/>
      <c r="FT435" s="645"/>
      <c r="FU435" s="645"/>
      <c r="FV435" s="645"/>
      <c r="FW435" s="645"/>
      <c r="FX435" s="645"/>
      <c r="FY435" s="645"/>
      <c r="FZ435" s="645"/>
      <c r="GA435" s="645"/>
      <c r="GB435" s="645"/>
      <c r="GC435" s="645"/>
      <c r="GD435" s="645"/>
      <c r="GE435" s="645"/>
      <c r="GF435" s="645"/>
      <c r="GG435" s="645"/>
      <c r="GH435" s="645"/>
      <c r="GI435" s="645"/>
      <c r="GJ435" s="645"/>
      <c r="GK435" s="645"/>
      <c r="GL435" s="645"/>
      <c r="GM435" s="645"/>
      <c r="GN435" s="645"/>
      <c r="GO435" s="645"/>
      <c r="GP435" s="645"/>
      <c r="GQ435" s="645"/>
      <c r="GR435" s="645"/>
      <c r="GS435" s="645"/>
      <c r="GT435" s="645"/>
      <c r="GU435" s="645"/>
      <c r="GV435" s="645"/>
      <c r="GW435" s="645"/>
      <c r="GX435" s="645"/>
      <c r="GY435" s="645"/>
      <c r="GZ435" s="645"/>
      <c r="HA435" s="645"/>
      <c r="HB435" s="645"/>
      <c r="HC435" s="645"/>
      <c r="HD435" s="645"/>
      <c r="HE435" s="645"/>
      <c r="HF435" s="645"/>
      <c r="HG435" s="645"/>
      <c r="HH435" s="645"/>
      <c r="HI435" s="645"/>
      <c r="HJ435" s="645"/>
      <c r="HK435" s="645"/>
      <c r="HL435" s="645"/>
      <c r="HM435" s="645"/>
      <c r="HN435" s="645"/>
      <c r="HO435" s="645"/>
      <c r="HP435" s="645"/>
      <c r="HQ435" s="645"/>
      <c r="HR435" s="645">
        <v>0.216</v>
      </c>
      <c r="HS435" s="645">
        <f t="shared" si="830"/>
        <v>1450.2857142857142</v>
      </c>
      <c r="HT435" s="645">
        <f t="shared" si="831"/>
        <v>1</v>
      </c>
      <c r="HU435" s="618">
        <f t="shared" si="832"/>
        <v>5.5028072203976759</v>
      </c>
      <c r="HV435" s="618"/>
      <c r="HW435" s="618">
        <f t="shared" si="817"/>
        <v>28.1860137470353</v>
      </c>
      <c r="HX435" s="618">
        <f t="shared" si="833"/>
        <v>4.9042184058106812</v>
      </c>
      <c r="HY435" s="618">
        <f t="shared" si="834"/>
        <v>0.216</v>
      </c>
      <c r="HZ435" s="618"/>
      <c r="IA435" s="618"/>
      <c r="IB435" s="618">
        <f t="shared" si="818"/>
        <v>25.000350341399081</v>
      </c>
      <c r="IC435" s="618">
        <f t="shared" si="819"/>
        <v>1E-3</v>
      </c>
      <c r="ID435" s="618"/>
      <c r="IE435" s="618">
        <f t="shared" si="820"/>
        <v>0</v>
      </c>
      <c r="IF435" s="618">
        <f t="shared" si="821"/>
        <v>40.704999999999998</v>
      </c>
      <c r="IG435" s="618"/>
      <c r="IH435" s="618">
        <f t="shared" si="822"/>
        <v>0</v>
      </c>
      <c r="II435" s="618">
        <f t="shared" si="823"/>
        <v>40.704999999999998</v>
      </c>
      <c r="IJ435" s="618"/>
      <c r="IK435" s="618">
        <f t="shared" si="824"/>
        <v>0</v>
      </c>
      <c r="IL435" s="618">
        <f t="shared" si="825"/>
        <v>40.704999999999998</v>
      </c>
      <c r="IM435" s="618"/>
      <c r="IN435" s="618">
        <f t="shared" si="826"/>
        <v>0</v>
      </c>
      <c r="IO435" s="618">
        <f t="shared" si="827"/>
        <v>40.704999999999998</v>
      </c>
      <c r="IP435" s="618"/>
      <c r="IQ435" s="618">
        <f t="shared" si="828"/>
        <v>0</v>
      </c>
      <c r="IR435" s="618">
        <f t="shared" si="829"/>
        <v>40.704999999999998</v>
      </c>
      <c r="IS435" s="645"/>
      <c r="IT435" s="645"/>
      <c r="IU435" s="645"/>
      <c r="IV435" s="645"/>
      <c r="IW435" s="645"/>
      <c r="IX435" s="645"/>
      <c r="IY435" s="645"/>
      <c r="IZ435" s="645"/>
      <c r="JA435" s="645"/>
      <c r="JB435" s="645"/>
      <c r="JC435" s="645"/>
      <c r="JD435" s="645"/>
      <c r="JE435" s="645"/>
      <c r="JF435" s="645"/>
      <c r="JG435" s="645"/>
      <c r="JH435" s="645"/>
      <c r="JI435" s="645"/>
      <c r="JJ435" s="645"/>
      <c r="JK435" s="645"/>
      <c r="JL435" s="645"/>
      <c r="JM435" s="645"/>
      <c r="JN435" s="645"/>
      <c r="JO435" s="645"/>
      <c r="JP435" s="645"/>
      <c r="JQ435" s="645"/>
      <c r="JR435" s="645"/>
      <c r="JS435" s="645"/>
      <c r="JT435" s="645"/>
      <c r="JU435" s="645"/>
      <c r="JV435" s="653"/>
    </row>
    <row r="436" spans="1:282" s="612" customFormat="1">
      <c r="A436" s="611"/>
      <c r="U436" s="613"/>
      <c r="V436" s="613"/>
      <c r="AC436" s="613"/>
      <c r="AD436" s="613"/>
      <c r="AL436" s="613"/>
      <c r="AM436" s="613"/>
      <c r="AT436" s="613"/>
      <c r="AU436" s="613"/>
      <c r="CH436" s="611"/>
      <c r="CI436" s="611"/>
      <c r="CO436" s="695"/>
      <c r="CP436" s="645"/>
      <c r="CQ436" s="618"/>
      <c r="CR436" s="618"/>
      <c r="CS436" s="618"/>
      <c r="CT436" s="626"/>
      <c r="CU436" s="626"/>
      <c r="CV436" s="626"/>
      <c r="CW436" s="646"/>
      <c r="CX436" s="646"/>
      <c r="CY436" s="625"/>
      <c r="CZ436" s="625"/>
      <c r="DA436" s="625"/>
      <c r="DB436" s="625"/>
      <c r="DC436" s="645"/>
      <c r="DD436" s="645"/>
      <c r="DE436" s="645"/>
      <c r="DF436" s="645"/>
      <c r="DG436" s="645"/>
      <c r="DH436" s="645"/>
      <c r="DI436" s="645"/>
      <c r="DJ436" s="645"/>
      <c r="DK436" s="645"/>
      <c r="DL436" s="645"/>
      <c r="DM436" s="645"/>
      <c r="DN436" s="645"/>
      <c r="DO436" s="645"/>
      <c r="DP436" s="645"/>
      <c r="DQ436" s="645"/>
      <c r="DR436" s="645"/>
      <c r="DS436" s="645"/>
      <c r="DT436" s="645"/>
      <c r="DU436" s="645"/>
      <c r="DV436" s="645"/>
      <c r="DW436" s="645"/>
      <c r="DX436" s="645"/>
      <c r="DY436" s="645"/>
      <c r="DZ436" s="645"/>
      <c r="EA436" s="645"/>
      <c r="EB436" s="645"/>
      <c r="EC436" s="645"/>
      <c r="ED436" s="645"/>
      <c r="EE436" s="645"/>
      <c r="EF436" s="645"/>
      <c r="EG436" s="645"/>
      <c r="EH436" s="645"/>
      <c r="EI436" s="645"/>
      <c r="EJ436" s="645"/>
      <c r="EK436" s="645"/>
      <c r="EL436" s="645"/>
      <c r="EM436" s="645"/>
      <c r="EN436" s="645"/>
      <c r="EO436" s="645"/>
      <c r="EP436" s="645"/>
      <c r="EQ436" s="645"/>
      <c r="ER436" s="645"/>
      <c r="ES436" s="645"/>
      <c r="ET436" s="645"/>
      <c r="EU436" s="645"/>
      <c r="EV436" s="645"/>
      <c r="EW436" s="645"/>
      <c r="EX436" s="645"/>
      <c r="EY436" s="645"/>
      <c r="EZ436" s="645"/>
      <c r="FA436" s="645"/>
      <c r="FB436" s="645"/>
      <c r="FC436" s="645"/>
      <c r="FD436" s="645"/>
      <c r="FE436" s="645"/>
      <c r="FF436" s="645"/>
      <c r="FG436" s="645"/>
      <c r="FH436" s="645"/>
      <c r="FI436" s="645"/>
      <c r="FJ436" s="645"/>
      <c r="FK436" s="645"/>
      <c r="FL436" s="645"/>
      <c r="FM436" s="645"/>
      <c r="FN436" s="645"/>
      <c r="FO436" s="645"/>
      <c r="FP436" s="645"/>
      <c r="FQ436" s="645"/>
      <c r="FR436" s="645"/>
      <c r="FS436" s="645"/>
      <c r="FT436" s="645"/>
      <c r="FU436" s="645"/>
      <c r="FV436" s="645"/>
      <c r="FW436" s="645"/>
      <c r="FX436" s="645"/>
      <c r="FY436" s="645"/>
      <c r="FZ436" s="645"/>
      <c r="GA436" s="645"/>
      <c r="GB436" s="645"/>
      <c r="GC436" s="645"/>
      <c r="GD436" s="645"/>
      <c r="GE436" s="645"/>
      <c r="GF436" s="645"/>
      <c r="GG436" s="645"/>
      <c r="GH436" s="645"/>
      <c r="GI436" s="645"/>
      <c r="GJ436" s="645"/>
      <c r="GK436" s="645"/>
      <c r="GL436" s="645"/>
      <c r="GM436" s="645"/>
      <c r="GN436" s="645"/>
      <c r="GO436" s="645"/>
      <c r="GP436" s="645"/>
      <c r="GQ436" s="645"/>
      <c r="GR436" s="645"/>
      <c r="GS436" s="645"/>
      <c r="GT436" s="645"/>
      <c r="GU436" s="645"/>
      <c r="GV436" s="645"/>
      <c r="GW436" s="645"/>
      <c r="GX436" s="645"/>
      <c r="GY436" s="645"/>
      <c r="GZ436" s="645"/>
      <c r="HA436" s="645"/>
      <c r="HB436" s="645"/>
      <c r="HC436" s="645"/>
      <c r="HD436" s="645"/>
      <c r="HE436" s="645"/>
      <c r="HF436" s="645"/>
      <c r="HG436" s="645"/>
      <c r="HH436" s="645"/>
      <c r="HI436" s="645"/>
      <c r="HJ436" s="645"/>
      <c r="HK436" s="645"/>
      <c r="HL436" s="645"/>
      <c r="HM436" s="645"/>
      <c r="HN436" s="645"/>
      <c r="HO436" s="645"/>
      <c r="HP436" s="645"/>
      <c r="HQ436" s="645"/>
      <c r="HR436" s="645">
        <v>0.2165</v>
      </c>
      <c r="HS436" s="645">
        <f t="shared" si="830"/>
        <v>1453.6428571428571</v>
      </c>
      <c r="HT436" s="645">
        <f t="shared" si="831"/>
        <v>1</v>
      </c>
      <c r="HU436" s="618">
        <f t="shared" si="832"/>
        <v>5.5155462643713005</v>
      </c>
      <c r="HV436" s="618"/>
      <c r="HW436" s="618">
        <f t="shared" si="817"/>
        <v>28.167924304592752</v>
      </c>
      <c r="HX436" s="618">
        <f t="shared" si="833"/>
        <v>4.9141859732096238</v>
      </c>
      <c r="HY436" s="618">
        <f t="shared" si="834"/>
        <v>0.2165</v>
      </c>
      <c r="HZ436" s="618"/>
      <c r="IA436" s="618"/>
      <c r="IB436" s="618">
        <f t="shared" si="818"/>
        <v>25.000350341399081</v>
      </c>
      <c r="IC436" s="618">
        <f t="shared" si="819"/>
        <v>1E-3</v>
      </c>
      <c r="ID436" s="618"/>
      <c r="IE436" s="618">
        <f t="shared" si="820"/>
        <v>0</v>
      </c>
      <c r="IF436" s="618">
        <f t="shared" si="821"/>
        <v>40.704999999999998</v>
      </c>
      <c r="IG436" s="618"/>
      <c r="IH436" s="618">
        <f t="shared" si="822"/>
        <v>0</v>
      </c>
      <c r="II436" s="618">
        <f t="shared" si="823"/>
        <v>40.704999999999998</v>
      </c>
      <c r="IJ436" s="618"/>
      <c r="IK436" s="618">
        <f t="shared" si="824"/>
        <v>0</v>
      </c>
      <c r="IL436" s="618">
        <f t="shared" si="825"/>
        <v>40.704999999999998</v>
      </c>
      <c r="IM436" s="618"/>
      <c r="IN436" s="618">
        <f t="shared" si="826"/>
        <v>0</v>
      </c>
      <c r="IO436" s="618">
        <f t="shared" si="827"/>
        <v>40.704999999999998</v>
      </c>
      <c r="IP436" s="618"/>
      <c r="IQ436" s="618">
        <f t="shared" si="828"/>
        <v>0</v>
      </c>
      <c r="IR436" s="618">
        <f t="shared" si="829"/>
        <v>40.704999999999998</v>
      </c>
      <c r="IS436" s="645"/>
      <c r="IT436" s="645"/>
      <c r="IU436" s="645"/>
      <c r="IV436" s="645"/>
      <c r="IW436" s="645"/>
      <c r="IX436" s="645"/>
      <c r="IY436" s="645"/>
      <c r="IZ436" s="645"/>
      <c r="JA436" s="645"/>
      <c r="JB436" s="645"/>
      <c r="JC436" s="645"/>
      <c r="JD436" s="645"/>
      <c r="JE436" s="645"/>
      <c r="JF436" s="645"/>
      <c r="JG436" s="645"/>
      <c r="JH436" s="645"/>
      <c r="JI436" s="645"/>
      <c r="JJ436" s="645"/>
      <c r="JK436" s="645"/>
      <c r="JL436" s="645"/>
      <c r="JM436" s="645"/>
      <c r="JN436" s="645"/>
      <c r="JO436" s="645"/>
      <c r="JP436" s="645"/>
      <c r="JQ436" s="645"/>
      <c r="JR436" s="645"/>
      <c r="JS436" s="645"/>
      <c r="JT436" s="645"/>
      <c r="JU436" s="645"/>
      <c r="JV436" s="653"/>
    </row>
    <row r="437" spans="1:282" s="612" customFormat="1">
      <c r="A437" s="611"/>
      <c r="U437" s="613"/>
      <c r="V437" s="613"/>
      <c r="AC437" s="613"/>
      <c r="AD437" s="613"/>
      <c r="AL437" s="613"/>
      <c r="AM437" s="613"/>
      <c r="AT437" s="613"/>
      <c r="AU437" s="613"/>
      <c r="CH437" s="611"/>
      <c r="CI437" s="611"/>
      <c r="CO437" s="695"/>
      <c r="CP437" s="645"/>
      <c r="CQ437" s="618"/>
      <c r="CR437" s="618"/>
      <c r="CS437" s="618"/>
      <c r="CT437" s="626"/>
      <c r="CU437" s="626"/>
      <c r="CV437" s="626"/>
      <c r="CW437" s="646"/>
      <c r="CX437" s="646"/>
      <c r="CY437" s="625"/>
      <c r="CZ437" s="625"/>
      <c r="DA437" s="625"/>
      <c r="DB437" s="625"/>
      <c r="DC437" s="645"/>
      <c r="DD437" s="645"/>
      <c r="DE437" s="645"/>
      <c r="DF437" s="645"/>
      <c r="DG437" s="645"/>
      <c r="DH437" s="645"/>
      <c r="DI437" s="645"/>
      <c r="DJ437" s="645"/>
      <c r="DK437" s="645"/>
      <c r="DL437" s="645"/>
      <c r="DM437" s="645"/>
      <c r="DN437" s="645"/>
      <c r="DO437" s="645"/>
      <c r="DP437" s="645"/>
      <c r="DQ437" s="645"/>
      <c r="DR437" s="645"/>
      <c r="DS437" s="645"/>
      <c r="DT437" s="645"/>
      <c r="DU437" s="645"/>
      <c r="DV437" s="645"/>
      <c r="DW437" s="645"/>
      <c r="DX437" s="645"/>
      <c r="DY437" s="645"/>
      <c r="DZ437" s="645"/>
      <c r="EA437" s="645"/>
      <c r="EB437" s="645"/>
      <c r="EC437" s="645"/>
      <c r="ED437" s="645"/>
      <c r="EE437" s="645"/>
      <c r="EF437" s="645"/>
      <c r="EG437" s="645"/>
      <c r="EH437" s="645"/>
      <c r="EI437" s="645"/>
      <c r="EJ437" s="645"/>
      <c r="EK437" s="645"/>
      <c r="EL437" s="645"/>
      <c r="EM437" s="645"/>
      <c r="EN437" s="645"/>
      <c r="EO437" s="645"/>
      <c r="EP437" s="645"/>
      <c r="EQ437" s="645"/>
      <c r="ER437" s="645"/>
      <c r="ES437" s="645"/>
      <c r="ET437" s="645"/>
      <c r="EU437" s="645"/>
      <c r="EV437" s="645"/>
      <c r="EW437" s="645"/>
      <c r="EX437" s="645"/>
      <c r="EY437" s="645"/>
      <c r="EZ437" s="645"/>
      <c r="FA437" s="645"/>
      <c r="FB437" s="645"/>
      <c r="FC437" s="645"/>
      <c r="FD437" s="645"/>
      <c r="FE437" s="645"/>
      <c r="FF437" s="645"/>
      <c r="FG437" s="645"/>
      <c r="FH437" s="645"/>
      <c r="FI437" s="645"/>
      <c r="FJ437" s="645"/>
      <c r="FK437" s="645"/>
      <c r="FL437" s="645"/>
      <c r="FM437" s="645"/>
      <c r="FN437" s="645"/>
      <c r="FO437" s="645"/>
      <c r="FP437" s="645"/>
      <c r="FQ437" s="645"/>
      <c r="FR437" s="645"/>
      <c r="FS437" s="645"/>
      <c r="FT437" s="645"/>
      <c r="FU437" s="645"/>
      <c r="FV437" s="645"/>
      <c r="FW437" s="645"/>
      <c r="FX437" s="645"/>
      <c r="FY437" s="645"/>
      <c r="FZ437" s="645"/>
      <c r="GA437" s="645"/>
      <c r="GB437" s="645"/>
      <c r="GC437" s="645"/>
      <c r="GD437" s="645"/>
      <c r="GE437" s="645"/>
      <c r="GF437" s="645"/>
      <c r="GG437" s="645"/>
      <c r="GH437" s="645"/>
      <c r="GI437" s="645"/>
      <c r="GJ437" s="645"/>
      <c r="GK437" s="645"/>
      <c r="GL437" s="645"/>
      <c r="GM437" s="645"/>
      <c r="GN437" s="645"/>
      <c r="GO437" s="645"/>
      <c r="GP437" s="645"/>
      <c r="GQ437" s="645"/>
      <c r="GR437" s="645"/>
      <c r="GS437" s="645"/>
      <c r="GT437" s="645"/>
      <c r="GU437" s="645"/>
      <c r="GV437" s="645"/>
      <c r="GW437" s="645"/>
      <c r="GX437" s="645"/>
      <c r="GY437" s="645"/>
      <c r="GZ437" s="645"/>
      <c r="HA437" s="645"/>
      <c r="HB437" s="645"/>
      <c r="HC437" s="645"/>
      <c r="HD437" s="645"/>
      <c r="HE437" s="645"/>
      <c r="HF437" s="645"/>
      <c r="HG437" s="645"/>
      <c r="HH437" s="645"/>
      <c r="HI437" s="645"/>
      <c r="HJ437" s="645"/>
      <c r="HK437" s="645"/>
      <c r="HL437" s="645"/>
      <c r="HM437" s="645"/>
      <c r="HN437" s="645"/>
      <c r="HO437" s="645"/>
      <c r="HP437" s="645"/>
      <c r="HQ437" s="645"/>
      <c r="HR437" s="645">
        <v>0.217</v>
      </c>
      <c r="HS437" s="645">
        <f t="shared" si="830"/>
        <v>1457</v>
      </c>
      <c r="HT437" s="645">
        <f t="shared" si="831"/>
        <v>1</v>
      </c>
      <c r="HU437" s="618">
        <f t="shared" si="832"/>
        <v>5.528285308344925</v>
      </c>
      <c r="HV437" s="618"/>
      <c r="HW437" s="618">
        <f t="shared" si="817"/>
        <v>28.149834862150207</v>
      </c>
      <c r="HX437" s="618">
        <f t="shared" si="833"/>
        <v>4.9241471394362684</v>
      </c>
      <c r="HY437" s="618">
        <f t="shared" si="834"/>
        <v>0.217</v>
      </c>
      <c r="HZ437" s="618"/>
      <c r="IA437" s="618"/>
      <c r="IB437" s="618">
        <f t="shared" si="818"/>
        <v>25.000350341399081</v>
      </c>
      <c r="IC437" s="618">
        <f t="shared" si="819"/>
        <v>1E-3</v>
      </c>
      <c r="ID437" s="618"/>
      <c r="IE437" s="618">
        <f t="shared" si="820"/>
        <v>0</v>
      </c>
      <c r="IF437" s="618">
        <f t="shared" si="821"/>
        <v>40.704999999999998</v>
      </c>
      <c r="IG437" s="618"/>
      <c r="IH437" s="618">
        <f t="shared" si="822"/>
        <v>0</v>
      </c>
      <c r="II437" s="618">
        <f t="shared" si="823"/>
        <v>40.704999999999998</v>
      </c>
      <c r="IJ437" s="618"/>
      <c r="IK437" s="618">
        <f t="shared" si="824"/>
        <v>0</v>
      </c>
      <c r="IL437" s="618">
        <f t="shared" si="825"/>
        <v>40.704999999999998</v>
      </c>
      <c r="IM437" s="618"/>
      <c r="IN437" s="618">
        <f t="shared" si="826"/>
        <v>0</v>
      </c>
      <c r="IO437" s="618">
        <f t="shared" si="827"/>
        <v>40.704999999999998</v>
      </c>
      <c r="IP437" s="618"/>
      <c r="IQ437" s="618">
        <f t="shared" si="828"/>
        <v>0</v>
      </c>
      <c r="IR437" s="618">
        <f t="shared" si="829"/>
        <v>40.704999999999998</v>
      </c>
      <c r="IS437" s="645"/>
      <c r="IT437" s="645"/>
      <c r="IU437" s="645"/>
      <c r="IV437" s="645"/>
      <c r="IW437" s="645"/>
      <c r="IX437" s="645"/>
      <c r="IY437" s="645"/>
      <c r="IZ437" s="645"/>
      <c r="JA437" s="645"/>
      <c r="JB437" s="645"/>
      <c r="JC437" s="645"/>
      <c r="JD437" s="645"/>
      <c r="JE437" s="645"/>
      <c r="JF437" s="645"/>
      <c r="JG437" s="645"/>
      <c r="JH437" s="645"/>
      <c r="JI437" s="645"/>
      <c r="JJ437" s="645"/>
      <c r="JK437" s="645"/>
      <c r="JL437" s="645"/>
      <c r="JM437" s="645"/>
      <c r="JN437" s="645"/>
      <c r="JO437" s="645"/>
      <c r="JP437" s="645"/>
      <c r="JQ437" s="645"/>
      <c r="JR437" s="645"/>
      <c r="JS437" s="645"/>
      <c r="JT437" s="645"/>
      <c r="JU437" s="645"/>
      <c r="JV437" s="653"/>
    </row>
    <row r="438" spans="1:282" s="612" customFormat="1">
      <c r="A438" s="611"/>
      <c r="U438" s="613"/>
      <c r="V438" s="613"/>
      <c r="AC438" s="613"/>
      <c r="AD438" s="613"/>
      <c r="AL438" s="613"/>
      <c r="AM438" s="613"/>
      <c r="AT438" s="613"/>
      <c r="AU438" s="613"/>
      <c r="CH438" s="611"/>
      <c r="CI438" s="611"/>
      <c r="CO438" s="695"/>
      <c r="CP438" s="645"/>
      <c r="CQ438" s="618"/>
      <c r="CR438" s="618"/>
      <c r="CS438" s="618"/>
      <c r="CT438" s="626"/>
      <c r="CU438" s="626"/>
      <c r="CV438" s="626"/>
      <c r="CW438" s="646"/>
      <c r="CX438" s="646"/>
      <c r="CY438" s="625"/>
      <c r="CZ438" s="625"/>
      <c r="DA438" s="625"/>
      <c r="DB438" s="625"/>
      <c r="DC438" s="645"/>
      <c r="DD438" s="645"/>
      <c r="DE438" s="645"/>
      <c r="DF438" s="645"/>
      <c r="DG438" s="645"/>
      <c r="DH438" s="645"/>
      <c r="DI438" s="645"/>
      <c r="DJ438" s="645"/>
      <c r="DK438" s="645"/>
      <c r="DL438" s="645"/>
      <c r="DM438" s="645"/>
      <c r="DN438" s="645"/>
      <c r="DO438" s="645"/>
      <c r="DP438" s="645"/>
      <c r="DQ438" s="645"/>
      <c r="DR438" s="645"/>
      <c r="DS438" s="645"/>
      <c r="DT438" s="645"/>
      <c r="DU438" s="645"/>
      <c r="DV438" s="645"/>
      <c r="DW438" s="645"/>
      <c r="DX438" s="645"/>
      <c r="DY438" s="645"/>
      <c r="DZ438" s="645"/>
      <c r="EA438" s="645"/>
      <c r="EB438" s="645"/>
      <c r="EC438" s="645"/>
      <c r="ED438" s="645"/>
      <c r="EE438" s="645"/>
      <c r="EF438" s="645"/>
      <c r="EG438" s="645"/>
      <c r="EH438" s="645"/>
      <c r="EI438" s="645"/>
      <c r="EJ438" s="645"/>
      <c r="EK438" s="645"/>
      <c r="EL438" s="645"/>
      <c r="EM438" s="645"/>
      <c r="EN438" s="645"/>
      <c r="EO438" s="645"/>
      <c r="EP438" s="645"/>
      <c r="EQ438" s="645"/>
      <c r="ER438" s="645"/>
      <c r="ES438" s="645"/>
      <c r="ET438" s="645"/>
      <c r="EU438" s="645"/>
      <c r="EV438" s="645"/>
      <c r="EW438" s="645"/>
      <c r="EX438" s="645"/>
      <c r="EY438" s="645"/>
      <c r="EZ438" s="645"/>
      <c r="FA438" s="645"/>
      <c r="FB438" s="645"/>
      <c r="FC438" s="645"/>
      <c r="FD438" s="645"/>
      <c r="FE438" s="645"/>
      <c r="FF438" s="645"/>
      <c r="FG438" s="645"/>
      <c r="FH438" s="645"/>
      <c r="FI438" s="645"/>
      <c r="FJ438" s="645"/>
      <c r="FK438" s="645"/>
      <c r="FL438" s="645"/>
      <c r="FM438" s="645"/>
      <c r="FN438" s="645"/>
      <c r="FO438" s="645"/>
      <c r="FP438" s="645"/>
      <c r="FQ438" s="645"/>
      <c r="FR438" s="645"/>
      <c r="FS438" s="645"/>
      <c r="FT438" s="645"/>
      <c r="FU438" s="645"/>
      <c r="FV438" s="645"/>
      <c r="FW438" s="645"/>
      <c r="FX438" s="645"/>
      <c r="FY438" s="645"/>
      <c r="FZ438" s="645"/>
      <c r="GA438" s="645"/>
      <c r="GB438" s="645"/>
      <c r="GC438" s="645"/>
      <c r="GD438" s="645"/>
      <c r="GE438" s="645"/>
      <c r="GF438" s="645"/>
      <c r="GG438" s="645"/>
      <c r="GH438" s="645"/>
      <c r="GI438" s="645"/>
      <c r="GJ438" s="645"/>
      <c r="GK438" s="645"/>
      <c r="GL438" s="645"/>
      <c r="GM438" s="645"/>
      <c r="GN438" s="645"/>
      <c r="GO438" s="645"/>
      <c r="GP438" s="645"/>
      <c r="GQ438" s="645"/>
      <c r="GR438" s="645"/>
      <c r="GS438" s="645"/>
      <c r="GT438" s="645"/>
      <c r="GU438" s="645"/>
      <c r="GV438" s="645"/>
      <c r="GW438" s="645"/>
      <c r="GX438" s="645"/>
      <c r="GY438" s="645"/>
      <c r="GZ438" s="645"/>
      <c r="HA438" s="645"/>
      <c r="HB438" s="645"/>
      <c r="HC438" s="645"/>
      <c r="HD438" s="645"/>
      <c r="HE438" s="645"/>
      <c r="HF438" s="645"/>
      <c r="HG438" s="645"/>
      <c r="HH438" s="645"/>
      <c r="HI438" s="645"/>
      <c r="HJ438" s="645"/>
      <c r="HK438" s="645"/>
      <c r="HL438" s="645"/>
      <c r="HM438" s="645"/>
      <c r="HN438" s="645"/>
      <c r="HO438" s="645"/>
      <c r="HP438" s="645"/>
      <c r="HQ438" s="645"/>
      <c r="HR438" s="645">
        <v>0.2175</v>
      </c>
      <c r="HS438" s="645">
        <f t="shared" si="830"/>
        <v>1460.3571428571429</v>
      </c>
      <c r="HT438" s="645">
        <f t="shared" si="831"/>
        <v>1</v>
      </c>
      <c r="HU438" s="618">
        <f t="shared" si="832"/>
        <v>5.5410243523185496</v>
      </c>
      <c r="HV438" s="618"/>
      <c r="HW438" s="618">
        <f t="shared" si="817"/>
        <v>28.131745419707659</v>
      </c>
      <c r="HX438" s="618">
        <f t="shared" si="833"/>
        <v>4.9341019044906149</v>
      </c>
      <c r="HY438" s="618">
        <f t="shared" si="834"/>
        <v>0.2175</v>
      </c>
      <c r="HZ438" s="618"/>
      <c r="IA438" s="618"/>
      <c r="IB438" s="618">
        <f t="shared" si="818"/>
        <v>25.000350341399081</v>
      </c>
      <c r="IC438" s="618">
        <f t="shared" si="819"/>
        <v>1E-3</v>
      </c>
      <c r="ID438" s="618"/>
      <c r="IE438" s="618">
        <f t="shared" si="820"/>
        <v>0</v>
      </c>
      <c r="IF438" s="618">
        <f t="shared" si="821"/>
        <v>40.704999999999998</v>
      </c>
      <c r="IG438" s="618"/>
      <c r="IH438" s="618">
        <f t="shared" si="822"/>
        <v>0</v>
      </c>
      <c r="II438" s="618">
        <f t="shared" si="823"/>
        <v>40.704999999999998</v>
      </c>
      <c r="IJ438" s="618"/>
      <c r="IK438" s="618">
        <f t="shared" si="824"/>
        <v>0</v>
      </c>
      <c r="IL438" s="618">
        <f t="shared" si="825"/>
        <v>40.704999999999998</v>
      </c>
      <c r="IM438" s="618"/>
      <c r="IN438" s="618">
        <f t="shared" si="826"/>
        <v>0</v>
      </c>
      <c r="IO438" s="618">
        <f t="shared" si="827"/>
        <v>40.704999999999998</v>
      </c>
      <c r="IP438" s="618"/>
      <c r="IQ438" s="618">
        <f t="shared" si="828"/>
        <v>0</v>
      </c>
      <c r="IR438" s="618">
        <f t="shared" si="829"/>
        <v>40.704999999999998</v>
      </c>
      <c r="IS438" s="645"/>
      <c r="IT438" s="645"/>
      <c r="IU438" s="645"/>
      <c r="IV438" s="645"/>
      <c r="IW438" s="645"/>
      <c r="IX438" s="645"/>
      <c r="IY438" s="645"/>
      <c r="IZ438" s="645"/>
      <c r="JA438" s="645"/>
      <c r="JB438" s="645"/>
      <c r="JC438" s="645"/>
      <c r="JD438" s="645"/>
      <c r="JE438" s="645"/>
      <c r="JF438" s="645"/>
      <c r="JG438" s="645"/>
      <c r="JH438" s="645"/>
      <c r="JI438" s="645"/>
      <c r="JJ438" s="645"/>
      <c r="JK438" s="645"/>
      <c r="JL438" s="645"/>
      <c r="JM438" s="645"/>
      <c r="JN438" s="645"/>
      <c r="JO438" s="645"/>
      <c r="JP438" s="645"/>
      <c r="JQ438" s="645"/>
      <c r="JR438" s="645"/>
      <c r="JS438" s="645"/>
      <c r="JT438" s="645"/>
      <c r="JU438" s="645"/>
      <c r="JV438" s="653"/>
    </row>
    <row r="439" spans="1:282" s="612" customFormat="1">
      <c r="A439" s="611"/>
      <c r="U439" s="613"/>
      <c r="V439" s="613"/>
      <c r="AC439" s="613"/>
      <c r="AD439" s="613"/>
      <c r="AL439" s="613"/>
      <c r="AM439" s="613"/>
      <c r="AT439" s="613"/>
      <c r="AU439" s="613"/>
      <c r="CH439" s="611"/>
      <c r="CI439" s="611"/>
      <c r="CO439" s="695"/>
      <c r="CP439" s="645"/>
      <c r="CQ439" s="618"/>
      <c r="CR439" s="618"/>
      <c r="CS439" s="618"/>
      <c r="CT439" s="626"/>
      <c r="CU439" s="626"/>
      <c r="CV439" s="626"/>
      <c r="CW439" s="646"/>
      <c r="CX439" s="646"/>
      <c r="CY439" s="625"/>
      <c r="CZ439" s="625"/>
      <c r="DA439" s="625"/>
      <c r="DB439" s="625"/>
      <c r="DC439" s="645"/>
      <c r="DD439" s="645"/>
      <c r="DE439" s="645"/>
      <c r="DF439" s="645"/>
      <c r="DG439" s="645"/>
      <c r="DH439" s="645"/>
      <c r="DI439" s="645"/>
      <c r="DJ439" s="645"/>
      <c r="DK439" s="645"/>
      <c r="DL439" s="645"/>
      <c r="DM439" s="645"/>
      <c r="DN439" s="645"/>
      <c r="DO439" s="645"/>
      <c r="DP439" s="645"/>
      <c r="DQ439" s="645"/>
      <c r="DR439" s="645"/>
      <c r="DS439" s="645"/>
      <c r="DT439" s="645"/>
      <c r="DU439" s="645"/>
      <c r="DV439" s="645"/>
      <c r="DW439" s="645"/>
      <c r="DX439" s="645"/>
      <c r="DY439" s="645"/>
      <c r="DZ439" s="645"/>
      <c r="EA439" s="645"/>
      <c r="EB439" s="645"/>
      <c r="EC439" s="645"/>
      <c r="ED439" s="645"/>
      <c r="EE439" s="645"/>
      <c r="EF439" s="645"/>
      <c r="EG439" s="645"/>
      <c r="EH439" s="645"/>
      <c r="EI439" s="645"/>
      <c r="EJ439" s="645"/>
      <c r="EK439" s="645"/>
      <c r="EL439" s="645"/>
      <c r="EM439" s="645"/>
      <c r="EN439" s="645"/>
      <c r="EO439" s="645"/>
      <c r="EP439" s="645"/>
      <c r="EQ439" s="645"/>
      <c r="ER439" s="645"/>
      <c r="ES439" s="645"/>
      <c r="ET439" s="645"/>
      <c r="EU439" s="645"/>
      <c r="EV439" s="645"/>
      <c r="EW439" s="645"/>
      <c r="EX439" s="645"/>
      <c r="EY439" s="645"/>
      <c r="EZ439" s="645"/>
      <c r="FA439" s="645"/>
      <c r="FB439" s="645"/>
      <c r="FC439" s="645"/>
      <c r="FD439" s="645"/>
      <c r="FE439" s="645"/>
      <c r="FF439" s="645"/>
      <c r="FG439" s="645"/>
      <c r="FH439" s="645"/>
      <c r="FI439" s="645"/>
      <c r="FJ439" s="645"/>
      <c r="FK439" s="645"/>
      <c r="FL439" s="645"/>
      <c r="FM439" s="645"/>
      <c r="FN439" s="645"/>
      <c r="FO439" s="645"/>
      <c r="FP439" s="645"/>
      <c r="FQ439" s="645"/>
      <c r="FR439" s="645"/>
      <c r="FS439" s="645"/>
      <c r="FT439" s="645"/>
      <c r="FU439" s="645"/>
      <c r="FV439" s="645"/>
      <c r="FW439" s="645"/>
      <c r="FX439" s="645"/>
      <c r="FY439" s="645"/>
      <c r="FZ439" s="645"/>
      <c r="GA439" s="645"/>
      <c r="GB439" s="645"/>
      <c r="GC439" s="645"/>
      <c r="GD439" s="645"/>
      <c r="GE439" s="645"/>
      <c r="GF439" s="645"/>
      <c r="GG439" s="645"/>
      <c r="GH439" s="645"/>
      <c r="GI439" s="645"/>
      <c r="GJ439" s="645"/>
      <c r="GK439" s="645"/>
      <c r="GL439" s="645"/>
      <c r="GM439" s="645"/>
      <c r="GN439" s="645"/>
      <c r="GO439" s="645"/>
      <c r="GP439" s="645"/>
      <c r="GQ439" s="645"/>
      <c r="GR439" s="645"/>
      <c r="GS439" s="645"/>
      <c r="GT439" s="645"/>
      <c r="GU439" s="645"/>
      <c r="GV439" s="645"/>
      <c r="GW439" s="645"/>
      <c r="GX439" s="645"/>
      <c r="GY439" s="645"/>
      <c r="GZ439" s="645"/>
      <c r="HA439" s="645"/>
      <c r="HB439" s="645"/>
      <c r="HC439" s="645"/>
      <c r="HD439" s="645"/>
      <c r="HE439" s="645"/>
      <c r="HF439" s="645"/>
      <c r="HG439" s="645"/>
      <c r="HH439" s="645"/>
      <c r="HI439" s="645"/>
      <c r="HJ439" s="645"/>
      <c r="HK439" s="645"/>
      <c r="HL439" s="645"/>
      <c r="HM439" s="645"/>
      <c r="HN439" s="645"/>
      <c r="HO439" s="645"/>
      <c r="HP439" s="645"/>
      <c r="HQ439" s="645"/>
      <c r="HR439" s="645">
        <v>0.218</v>
      </c>
      <c r="HS439" s="645">
        <f t="shared" si="830"/>
        <v>1463.7142857142858</v>
      </c>
      <c r="HT439" s="645">
        <f t="shared" si="831"/>
        <v>1</v>
      </c>
      <c r="HU439" s="618">
        <f t="shared" si="832"/>
        <v>5.5537633962921742</v>
      </c>
      <c r="HV439" s="618"/>
      <c r="HW439" s="618">
        <f t="shared" si="817"/>
        <v>28.113655977265111</v>
      </c>
      <c r="HX439" s="618">
        <f t="shared" si="833"/>
        <v>4.9440502683726635</v>
      </c>
      <c r="HY439" s="618">
        <f t="shared" si="834"/>
        <v>0.218</v>
      </c>
      <c r="HZ439" s="618"/>
      <c r="IA439" s="618"/>
      <c r="IB439" s="618">
        <f t="shared" si="818"/>
        <v>25.000350341399081</v>
      </c>
      <c r="IC439" s="618">
        <f t="shared" si="819"/>
        <v>1E-3</v>
      </c>
      <c r="ID439" s="618"/>
      <c r="IE439" s="618">
        <f t="shared" si="820"/>
        <v>0</v>
      </c>
      <c r="IF439" s="618">
        <f t="shared" si="821"/>
        <v>40.704999999999998</v>
      </c>
      <c r="IG439" s="618"/>
      <c r="IH439" s="618">
        <f t="shared" si="822"/>
        <v>0</v>
      </c>
      <c r="II439" s="618">
        <f t="shared" si="823"/>
        <v>40.704999999999998</v>
      </c>
      <c r="IJ439" s="618"/>
      <c r="IK439" s="618">
        <f t="shared" si="824"/>
        <v>0</v>
      </c>
      <c r="IL439" s="618">
        <f t="shared" si="825"/>
        <v>40.704999999999998</v>
      </c>
      <c r="IM439" s="618"/>
      <c r="IN439" s="618">
        <f t="shared" si="826"/>
        <v>0</v>
      </c>
      <c r="IO439" s="618">
        <f t="shared" si="827"/>
        <v>40.704999999999998</v>
      </c>
      <c r="IP439" s="618"/>
      <c r="IQ439" s="618">
        <f t="shared" si="828"/>
        <v>0</v>
      </c>
      <c r="IR439" s="618">
        <f t="shared" si="829"/>
        <v>40.704999999999998</v>
      </c>
      <c r="IS439" s="645"/>
      <c r="IT439" s="645"/>
      <c r="IU439" s="645"/>
      <c r="IV439" s="645"/>
      <c r="IW439" s="645"/>
      <c r="IX439" s="645"/>
      <c r="IY439" s="645"/>
      <c r="IZ439" s="645"/>
      <c r="JA439" s="645"/>
      <c r="JB439" s="645"/>
      <c r="JC439" s="645"/>
      <c r="JD439" s="645"/>
      <c r="JE439" s="645"/>
      <c r="JF439" s="645"/>
      <c r="JG439" s="645"/>
      <c r="JH439" s="645"/>
      <c r="JI439" s="645"/>
      <c r="JJ439" s="645"/>
      <c r="JK439" s="645"/>
      <c r="JL439" s="645"/>
      <c r="JM439" s="645"/>
      <c r="JN439" s="645"/>
      <c r="JO439" s="645"/>
      <c r="JP439" s="645"/>
      <c r="JQ439" s="645"/>
      <c r="JR439" s="645"/>
      <c r="JS439" s="645"/>
      <c r="JT439" s="645"/>
      <c r="JU439" s="645"/>
      <c r="JV439" s="653"/>
    </row>
    <row r="440" spans="1:282" s="612" customFormat="1">
      <c r="A440" s="611"/>
      <c r="U440" s="613"/>
      <c r="V440" s="613"/>
      <c r="AC440" s="613"/>
      <c r="AD440" s="613"/>
      <c r="AL440" s="613"/>
      <c r="AM440" s="613"/>
      <c r="AT440" s="613"/>
      <c r="AU440" s="613"/>
      <c r="CH440" s="611"/>
      <c r="CI440" s="611"/>
      <c r="CO440" s="695"/>
      <c r="CP440" s="645"/>
      <c r="CQ440" s="618"/>
      <c r="CR440" s="618"/>
      <c r="CS440" s="618"/>
      <c r="CT440" s="626"/>
      <c r="CU440" s="626"/>
      <c r="CV440" s="626"/>
      <c r="CW440" s="646"/>
      <c r="CX440" s="646"/>
      <c r="CY440" s="625"/>
      <c r="CZ440" s="625"/>
      <c r="DA440" s="625"/>
      <c r="DB440" s="625"/>
      <c r="DC440" s="645"/>
      <c r="DD440" s="645"/>
      <c r="DE440" s="645"/>
      <c r="DF440" s="645"/>
      <c r="DG440" s="645"/>
      <c r="DH440" s="645"/>
      <c r="DI440" s="645"/>
      <c r="DJ440" s="645"/>
      <c r="DK440" s="645"/>
      <c r="DL440" s="645"/>
      <c r="DM440" s="645"/>
      <c r="DN440" s="645"/>
      <c r="DO440" s="645"/>
      <c r="DP440" s="645"/>
      <c r="DQ440" s="645"/>
      <c r="DR440" s="645"/>
      <c r="DS440" s="645"/>
      <c r="DT440" s="645"/>
      <c r="DU440" s="645"/>
      <c r="DV440" s="645"/>
      <c r="DW440" s="645"/>
      <c r="DX440" s="645"/>
      <c r="DY440" s="645"/>
      <c r="DZ440" s="645"/>
      <c r="EA440" s="645"/>
      <c r="EB440" s="645"/>
      <c r="EC440" s="645"/>
      <c r="ED440" s="645"/>
      <c r="EE440" s="645"/>
      <c r="EF440" s="645"/>
      <c r="EG440" s="645"/>
      <c r="EH440" s="645"/>
      <c r="EI440" s="645"/>
      <c r="EJ440" s="645"/>
      <c r="EK440" s="645"/>
      <c r="EL440" s="645"/>
      <c r="EM440" s="645"/>
      <c r="EN440" s="645"/>
      <c r="EO440" s="645"/>
      <c r="EP440" s="645"/>
      <c r="EQ440" s="645"/>
      <c r="ER440" s="645"/>
      <c r="ES440" s="645"/>
      <c r="ET440" s="645"/>
      <c r="EU440" s="645"/>
      <c r="EV440" s="645"/>
      <c r="EW440" s="645"/>
      <c r="EX440" s="645"/>
      <c r="EY440" s="645"/>
      <c r="EZ440" s="645"/>
      <c r="FA440" s="645"/>
      <c r="FB440" s="645"/>
      <c r="FC440" s="645"/>
      <c r="FD440" s="645"/>
      <c r="FE440" s="645"/>
      <c r="FF440" s="645"/>
      <c r="FG440" s="645"/>
      <c r="FH440" s="645"/>
      <c r="FI440" s="645"/>
      <c r="FJ440" s="645"/>
      <c r="FK440" s="645"/>
      <c r="FL440" s="645"/>
      <c r="FM440" s="645"/>
      <c r="FN440" s="645"/>
      <c r="FO440" s="645"/>
      <c r="FP440" s="645"/>
      <c r="FQ440" s="645"/>
      <c r="FR440" s="645"/>
      <c r="FS440" s="645"/>
      <c r="FT440" s="645"/>
      <c r="FU440" s="645"/>
      <c r="FV440" s="645"/>
      <c r="FW440" s="645"/>
      <c r="FX440" s="645"/>
      <c r="FY440" s="645"/>
      <c r="FZ440" s="645"/>
      <c r="GA440" s="645"/>
      <c r="GB440" s="645"/>
      <c r="GC440" s="645"/>
      <c r="GD440" s="645"/>
      <c r="GE440" s="645"/>
      <c r="GF440" s="645"/>
      <c r="GG440" s="645"/>
      <c r="GH440" s="645"/>
      <c r="GI440" s="645"/>
      <c r="GJ440" s="645"/>
      <c r="GK440" s="645"/>
      <c r="GL440" s="645"/>
      <c r="GM440" s="645"/>
      <c r="GN440" s="645"/>
      <c r="GO440" s="645"/>
      <c r="GP440" s="645"/>
      <c r="GQ440" s="645"/>
      <c r="GR440" s="645"/>
      <c r="GS440" s="645"/>
      <c r="GT440" s="645"/>
      <c r="GU440" s="645"/>
      <c r="GV440" s="645"/>
      <c r="GW440" s="645"/>
      <c r="GX440" s="645"/>
      <c r="GY440" s="645"/>
      <c r="GZ440" s="645"/>
      <c r="HA440" s="645"/>
      <c r="HB440" s="645"/>
      <c r="HC440" s="645"/>
      <c r="HD440" s="645"/>
      <c r="HE440" s="645"/>
      <c r="HF440" s="645"/>
      <c r="HG440" s="645"/>
      <c r="HH440" s="645"/>
      <c r="HI440" s="645"/>
      <c r="HJ440" s="645"/>
      <c r="HK440" s="645"/>
      <c r="HL440" s="645"/>
      <c r="HM440" s="645"/>
      <c r="HN440" s="645"/>
      <c r="HO440" s="645"/>
      <c r="HP440" s="645"/>
      <c r="HQ440" s="645"/>
      <c r="HR440" s="645">
        <v>0.2185</v>
      </c>
      <c r="HS440" s="645">
        <f t="shared" si="830"/>
        <v>1467.0714285714287</v>
      </c>
      <c r="HT440" s="645">
        <f t="shared" si="831"/>
        <v>1</v>
      </c>
      <c r="HU440" s="618">
        <f t="shared" si="832"/>
        <v>5.5665024402657988</v>
      </c>
      <c r="HV440" s="618"/>
      <c r="HW440" s="618">
        <f t="shared" si="817"/>
        <v>28.095566534822566</v>
      </c>
      <c r="HX440" s="618">
        <f t="shared" si="833"/>
        <v>4.953992231082414</v>
      </c>
      <c r="HY440" s="618">
        <f t="shared" si="834"/>
        <v>0.2185</v>
      </c>
      <c r="HZ440" s="618"/>
      <c r="IA440" s="618"/>
      <c r="IB440" s="618">
        <f t="shared" si="818"/>
        <v>25.000350341399081</v>
      </c>
      <c r="IC440" s="618">
        <f t="shared" si="819"/>
        <v>1E-3</v>
      </c>
      <c r="ID440" s="618"/>
      <c r="IE440" s="618">
        <f t="shared" si="820"/>
        <v>0</v>
      </c>
      <c r="IF440" s="618">
        <f t="shared" si="821"/>
        <v>40.704999999999998</v>
      </c>
      <c r="IG440" s="618"/>
      <c r="IH440" s="618">
        <f t="shared" si="822"/>
        <v>0</v>
      </c>
      <c r="II440" s="618">
        <f t="shared" si="823"/>
        <v>40.704999999999998</v>
      </c>
      <c r="IJ440" s="618"/>
      <c r="IK440" s="618">
        <f t="shared" si="824"/>
        <v>0</v>
      </c>
      <c r="IL440" s="618">
        <f t="shared" si="825"/>
        <v>40.704999999999998</v>
      </c>
      <c r="IM440" s="618"/>
      <c r="IN440" s="618">
        <f t="shared" si="826"/>
        <v>0</v>
      </c>
      <c r="IO440" s="618">
        <f t="shared" si="827"/>
        <v>40.704999999999998</v>
      </c>
      <c r="IP440" s="618"/>
      <c r="IQ440" s="618">
        <f t="shared" si="828"/>
        <v>0</v>
      </c>
      <c r="IR440" s="618">
        <f t="shared" si="829"/>
        <v>40.704999999999998</v>
      </c>
      <c r="IS440" s="645"/>
      <c r="IT440" s="645"/>
      <c r="IU440" s="645"/>
      <c r="IV440" s="645"/>
      <c r="IW440" s="645"/>
      <c r="IX440" s="645"/>
      <c r="IY440" s="645"/>
      <c r="IZ440" s="645"/>
      <c r="JA440" s="645"/>
      <c r="JB440" s="645"/>
      <c r="JC440" s="645"/>
      <c r="JD440" s="645"/>
      <c r="JE440" s="645"/>
      <c r="JF440" s="645"/>
      <c r="JG440" s="645"/>
      <c r="JH440" s="645"/>
      <c r="JI440" s="645"/>
      <c r="JJ440" s="645"/>
      <c r="JK440" s="645"/>
      <c r="JL440" s="645"/>
      <c r="JM440" s="645"/>
      <c r="JN440" s="645"/>
      <c r="JO440" s="645"/>
      <c r="JP440" s="645"/>
      <c r="JQ440" s="645"/>
      <c r="JR440" s="645"/>
      <c r="JS440" s="645"/>
      <c r="JT440" s="645"/>
      <c r="JU440" s="645"/>
      <c r="JV440" s="653"/>
    </row>
    <row r="441" spans="1:282" s="612" customFormat="1">
      <c r="A441" s="611"/>
      <c r="U441" s="613"/>
      <c r="V441" s="613"/>
      <c r="AC441" s="613"/>
      <c r="AD441" s="613"/>
      <c r="AL441" s="613"/>
      <c r="AM441" s="613"/>
      <c r="AT441" s="613"/>
      <c r="AU441" s="613"/>
      <c r="CH441" s="611"/>
      <c r="CI441" s="611"/>
      <c r="CO441" s="695"/>
      <c r="CP441" s="645"/>
      <c r="CQ441" s="618"/>
      <c r="CR441" s="618"/>
      <c r="CS441" s="618"/>
      <c r="CT441" s="626"/>
      <c r="CU441" s="626"/>
      <c r="CV441" s="626"/>
      <c r="CW441" s="646"/>
      <c r="CX441" s="646"/>
      <c r="CY441" s="625"/>
      <c r="CZ441" s="625"/>
      <c r="DA441" s="625"/>
      <c r="DB441" s="625"/>
      <c r="DC441" s="645"/>
      <c r="DD441" s="645"/>
      <c r="DE441" s="645"/>
      <c r="DF441" s="645"/>
      <c r="DG441" s="645"/>
      <c r="DH441" s="645"/>
      <c r="DI441" s="645"/>
      <c r="DJ441" s="645"/>
      <c r="DK441" s="645"/>
      <c r="DL441" s="645"/>
      <c r="DM441" s="645"/>
      <c r="DN441" s="645"/>
      <c r="DO441" s="645"/>
      <c r="DP441" s="645"/>
      <c r="DQ441" s="645"/>
      <c r="DR441" s="645"/>
      <c r="DS441" s="645"/>
      <c r="DT441" s="645"/>
      <c r="DU441" s="645"/>
      <c r="DV441" s="645"/>
      <c r="DW441" s="645"/>
      <c r="DX441" s="645"/>
      <c r="DY441" s="645"/>
      <c r="DZ441" s="645"/>
      <c r="EA441" s="645"/>
      <c r="EB441" s="645"/>
      <c r="EC441" s="645"/>
      <c r="ED441" s="645"/>
      <c r="EE441" s="645"/>
      <c r="EF441" s="645"/>
      <c r="EG441" s="645"/>
      <c r="EH441" s="645"/>
      <c r="EI441" s="645"/>
      <c r="EJ441" s="645"/>
      <c r="EK441" s="645"/>
      <c r="EL441" s="645"/>
      <c r="EM441" s="645"/>
      <c r="EN441" s="645"/>
      <c r="EO441" s="645"/>
      <c r="EP441" s="645"/>
      <c r="EQ441" s="645"/>
      <c r="ER441" s="645"/>
      <c r="ES441" s="645"/>
      <c r="ET441" s="645"/>
      <c r="EU441" s="645"/>
      <c r="EV441" s="645"/>
      <c r="EW441" s="645"/>
      <c r="EX441" s="645"/>
      <c r="EY441" s="645"/>
      <c r="EZ441" s="645"/>
      <c r="FA441" s="645"/>
      <c r="FB441" s="645"/>
      <c r="FC441" s="645"/>
      <c r="FD441" s="645"/>
      <c r="FE441" s="645"/>
      <c r="FF441" s="645"/>
      <c r="FG441" s="645"/>
      <c r="FH441" s="645"/>
      <c r="FI441" s="645"/>
      <c r="FJ441" s="645"/>
      <c r="FK441" s="645"/>
      <c r="FL441" s="645"/>
      <c r="FM441" s="645"/>
      <c r="FN441" s="645"/>
      <c r="FO441" s="645"/>
      <c r="FP441" s="645"/>
      <c r="FQ441" s="645"/>
      <c r="FR441" s="645"/>
      <c r="FS441" s="645"/>
      <c r="FT441" s="645"/>
      <c r="FU441" s="645"/>
      <c r="FV441" s="645"/>
      <c r="FW441" s="645"/>
      <c r="FX441" s="645"/>
      <c r="FY441" s="645"/>
      <c r="FZ441" s="645"/>
      <c r="GA441" s="645"/>
      <c r="GB441" s="645"/>
      <c r="GC441" s="645"/>
      <c r="GD441" s="645"/>
      <c r="GE441" s="645"/>
      <c r="GF441" s="645"/>
      <c r="GG441" s="645"/>
      <c r="GH441" s="645"/>
      <c r="GI441" s="645"/>
      <c r="GJ441" s="645"/>
      <c r="GK441" s="645"/>
      <c r="GL441" s="645"/>
      <c r="GM441" s="645"/>
      <c r="GN441" s="645"/>
      <c r="GO441" s="645"/>
      <c r="GP441" s="645"/>
      <c r="GQ441" s="645"/>
      <c r="GR441" s="645"/>
      <c r="GS441" s="645"/>
      <c r="GT441" s="645"/>
      <c r="GU441" s="645"/>
      <c r="GV441" s="645"/>
      <c r="GW441" s="645"/>
      <c r="GX441" s="645"/>
      <c r="GY441" s="645"/>
      <c r="GZ441" s="645"/>
      <c r="HA441" s="645"/>
      <c r="HB441" s="645"/>
      <c r="HC441" s="645"/>
      <c r="HD441" s="645"/>
      <c r="HE441" s="645"/>
      <c r="HF441" s="645"/>
      <c r="HG441" s="645"/>
      <c r="HH441" s="645"/>
      <c r="HI441" s="645"/>
      <c r="HJ441" s="645"/>
      <c r="HK441" s="645"/>
      <c r="HL441" s="645"/>
      <c r="HM441" s="645"/>
      <c r="HN441" s="645"/>
      <c r="HO441" s="645"/>
      <c r="HP441" s="645"/>
      <c r="HQ441" s="645"/>
      <c r="HR441" s="645">
        <v>0.219</v>
      </c>
      <c r="HS441" s="645">
        <f t="shared" si="830"/>
        <v>1470.4285714285713</v>
      </c>
      <c r="HT441" s="645">
        <f t="shared" si="831"/>
        <v>1</v>
      </c>
      <c r="HU441" s="618">
        <f t="shared" si="832"/>
        <v>5.5792414842394233</v>
      </c>
      <c r="HV441" s="618"/>
      <c r="HW441" s="618">
        <f t="shared" si="817"/>
        <v>28.077477092380018</v>
      </c>
      <c r="HX441" s="618">
        <f t="shared" si="833"/>
        <v>4.9639277926198657</v>
      </c>
      <c r="HY441" s="618">
        <f t="shared" si="834"/>
        <v>0.219</v>
      </c>
      <c r="HZ441" s="618"/>
      <c r="IA441" s="618"/>
      <c r="IB441" s="618">
        <f t="shared" si="818"/>
        <v>25.000350341399081</v>
      </c>
      <c r="IC441" s="618">
        <f t="shared" si="819"/>
        <v>1E-3</v>
      </c>
      <c r="ID441" s="618"/>
      <c r="IE441" s="618">
        <f t="shared" si="820"/>
        <v>0</v>
      </c>
      <c r="IF441" s="618">
        <f t="shared" si="821"/>
        <v>40.704999999999998</v>
      </c>
      <c r="IG441" s="618"/>
      <c r="IH441" s="618">
        <f t="shared" si="822"/>
        <v>0</v>
      </c>
      <c r="II441" s="618">
        <f t="shared" si="823"/>
        <v>40.704999999999998</v>
      </c>
      <c r="IJ441" s="618"/>
      <c r="IK441" s="618">
        <f t="shared" si="824"/>
        <v>0</v>
      </c>
      <c r="IL441" s="618">
        <f t="shared" si="825"/>
        <v>40.704999999999998</v>
      </c>
      <c r="IM441" s="618"/>
      <c r="IN441" s="618">
        <f t="shared" si="826"/>
        <v>0</v>
      </c>
      <c r="IO441" s="618">
        <f t="shared" si="827"/>
        <v>40.704999999999998</v>
      </c>
      <c r="IP441" s="618"/>
      <c r="IQ441" s="618">
        <f t="shared" si="828"/>
        <v>0</v>
      </c>
      <c r="IR441" s="618">
        <f t="shared" si="829"/>
        <v>40.704999999999998</v>
      </c>
      <c r="IS441" s="645"/>
      <c r="IT441" s="645"/>
      <c r="IU441" s="645"/>
      <c r="IV441" s="645"/>
      <c r="IW441" s="645"/>
      <c r="IX441" s="645"/>
      <c r="IY441" s="645"/>
      <c r="IZ441" s="645"/>
      <c r="JA441" s="645"/>
      <c r="JB441" s="645"/>
      <c r="JC441" s="645"/>
      <c r="JD441" s="645"/>
      <c r="JE441" s="645"/>
      <c r="JF441" s="645"/>
      <c r="JG441" s="645"/>
      <c r="JH441" s="645"/>
      <c r="JI441" s="645"/>
      <c r="JJ441" s="645"/>
      <c r="JK441" s="645"/>
      <c r="JL441" s="645"/>
      <c r="JM441" s="645"/>
      <c r="JN441" s="645"/>
      <c r="JO441" s="645"/>
      <c r="JP441" s="645"/>
      <c r="JQ441" s="645"/>
      <c r="JR441" s="645"/>
      <c r="JS441" s="645"/>
      <c r="JT441" s="645"/>
      <c r="JU441" s="645"/>
      <c r="JV441" s="653"/>
    </row>
    <row r="442" spans="1:282" s="612" customFormat="1">
      <c r="A442" s="611"/>
      <c r="U442" s="613"/>
      <c r="V442" s="613"/>
      <c r="AC442" s="613"/>
      <c r="AD442" s="613"/>
      <c r="AL442" s="613"/>
      <c r="AM442" s="613"/>
      <c r="AT442" s="613"/>
      <c r="AU442" s="613"/>
      <c r="CH442" s="611"/>
      <c r="CI442" s="611"/>
      <c r="CO442" s="695"/>
      <c r="CP442" s="645"/>
      <c r="CQ442" s="618"/>
      <c r="CR442" s="618"/>
      <c r="CS442" s="618"/>
      <c r="CT442" s="626"/>
      <c r="CU442" s="626"/>
      <c r="CV442" s="626"/>
      <c r="CW442" s="646"/>
      <c r="CX442" s="646"/>
      <c r="CY442" s="625"/>
      <c r="CZ442" s="625"/>
      <c r="DA442" s="625"/>
      <c r="DB442" s="625"/>
      <c r="DC442" s="645"/>
      <c r="DD442" s="645"/>
      <c r="DE442" s="645"/>
      <c r="DF442" s="645"/>
      <c r="DG442" s="645"/>
      <c r="DH442" s="645"/>
      <c r="DI442" s="645"/>
      <c r="DJ442" s="645"/>
      <c r="DK442" s="645"/>
      <c r="DL442" s="645"/>
      <c r="DM442" s="645"/>
      <c r="DN442" s="645"/>
      <c r="DO442" s="645"/>
      <c r="DP442" s="645"/>
      <c r="DQ442" s="645"/>
      <c r="DR442" s="645"/>
      <c r="DS442" s="645"/>
      <c r="DT442" s="645"/>
      <c r="DU442" s="645"/>
      <c r="DV442" s="645"/>
      <c r="DW442" s="645"/>
      <c r="DX442" s="645"/>
      <c r="DY442" s="645"/>
      <c r="DZ442" s="645"/>
      <c r="EA442" s="645"/>
      <c r="EB442" s="645"/>
      <c r="EC442" s="645"/>
      <c r="ED442" s="645"/>
      <c r="EE442" s="645"/>
      <c r="EF442" s="645"/>
      <c r="EG442" s="645"/>
      <c r="EH442" s="645"/>
      <c r="EI442" s="645"/>
      <c r="EJ442" s="645"/>
      <c r="EK442" s="645"/>
      <c r="EL442" s="645"/>
      <c r="EM442" s="645"/>
      <c r="EN442" s="645"/>
      <c r="EO442" s="645"/>
      <c r="EP442" s="645"/>
      <c r="EQ442" s="645"/>
      <c r="ER442" s="645"/>
      <c r="ES442" s="645"/>
      <c r="ET442" s="645"/>
      <c r="EU442" s="645"/>
      <c r="EV442" s="645"/>
      <c r="EW442" s="645"/>
      <c r="EX442" s="645"/>
      <c r="EY442" s="645"/>
      <c r="EZ442" s="645"/>
      <c r="FA442" s="645"/>
      <c r="FB442" s="645"/>
      <c r="FC442" s="645"/>
      <c r="FD442" s="645"/>
      <c r="FE442" s="645"/>
      <c r="FF442" s="645"/>
      <c r="FG442" s="645"/>
      <c r="FH442" s="645"/>
      <c r="FI442" s="645"/>
      <c r="FJ442" s="645"/>
      <c r="FK442" s="645"/>
      <c r="FL442" s="645"/>
      <c r="FM442" s="645"/>
      <c r="FN442" s="645"/>
      <c r="FO442" s="645"/>
      <c r="FP442" s="645"/>
      <c r="FQ442" s="645"/>
      <c r="FR442" s="645"/>
      <c r="FS442" s="645"/>
      <c r="FT442" s="645"/>
      <c r="FU442" s="645"/>
      <c r="FV442" s="645"/>
      <c r="FW442" s="645"/>
      <c r="FX442" s="645"/>
      <c r="FY442" s="645"/>
      <c r="FZ442" s="645"/>
      <c r="GA442" s="645"/>
      <c r="GB442" s="645"/>
      <c r="GC442" s="645"/>
      <c r="GD442" s="645"/>
      <c r="GE442" s="645"/>
      <c r="GF442" s="645"/>
      <c r="GG442" s="645"/>
      <c r="GH442" s="645"/>
      <c r="GI442" s="645"/>
      <c r="GJ442" s="645"/>
      <c r="GK442" s="645"/>
      <c r="GL442" s="645"/>
      <c r="GM442" s="645"/>
      <c r="GN442" s="645"/>
      <c r="GO442" s="645"/>
      <c r="GP442" s="645"/>
      <c r="GQ442" s="645"/>
      <c r="GR442" s="645"/>
      <c r="GS442" s="645"/>
      <c r="GT442" s="645"/>
      <c r="GU442" s="645"/>
      <c r="GV442" s="645"/>
      <c r="GW442" s="645"/>
      <c r="GX442" s="645"/>
      <c r="GY442" s="645"/>
      <c r="GZ442" s="645"/>
      <c r="HA442" s="645"/>
      <c r="HB442" s="645"/>
      <c r="HC442" s="645"/>
      <c r="HD442" s="645"/>
      <c r="HE442" s="645"/>
      <c r="HF442" s="645"/>
      <c r="HG442" s="645"/>
      <c r="HH442" s="645"/>
      <c r="HI442" s="645"/>
      <c r="HJ442" s="645"/>
      <c r="HK442" s="645"/>
      <c r="HL442" s="645"/>
      <c r="HM442" s="645"/>
      <c r="HN442" s="645"/>
      <c r="HO442" s="645"/>
      <c r="HP442" s="645"/>
      <c r="HQ442" s="645"/>
      <c r="HR442" s="645">
        <v>0.2195</v>
      </c>
      <c r="HS442" s="645">
        <f t="shared" si="830"/>
        <v>1473.7857142857142</v>
      </c>
      <c r="HT442" s="645">
        <f t="shared" si="831"/>
        <v>1</v>
      </c>
      <c r="HU442" s="618">
        <f t="shared" si="832"/>
        <v>5.5919805282130479</v>
      </c>
      <c r="HV442" s="618"/>
      <c r="HW442" s="618">
        <f t="shared" si="817"/>
        <v>28.05938764993747</v>
      </c>
      <c r="HX442" s="618">
        <f t="shared" si="833"/>
        <v>4.9738569529850194</v>
      </c>
      <c r="HY442" s="618">
        <f t="shared" si="834"/>
        <v>0.2195</v>
      </c>
      <c r="HZ442" s="618"/>
      <c r="IA442" s="618"/>
      <c r="IB442" s="618">
        <f t="shared" si="818"/>
        <v>25.000350341399081</v>
      </c>
      <c r="IC442" s="618">
        <f t="shared" si="819"/>
        <v>1E-3</v>
      </c>
      <c r="ID442" s="618"/>
      <c r="IE442" s="618">
        <f t="shared" si="820"/>
        <v>0</v>
      </c>
      <c r="IF442" s="618">
        <f t="shared" si="821"/>
        <v>40.704999999999998</v>
      </c>
      <c r="IG442" s="618"/>
      <c r="IH442" s="618">
        <f t="shared" si="822"/>
        <v>0</v>
      </c>
      <c r="II442" s="618">
        <f t="shared" si="823"/>
        <v>40.704999999999998</v>
      </c>
      <c r="IJ442" s="618"/>
      <c r="IK442" s="618">
        <f t="shared" si="824"/>
        <v>0</v>
      </c>
      <c r="IL442" s="618">
        <f t="shared" si="825"/>
        <v>40.704999999999998</v>
      </c>
      <c r="IM442" s="618"/>
      <c r="IN442" s="618">
        <f t="shared" si="826"/>
        <v>0</v>
      </c>
      <c r="IO442" s="618">
        <f t="shared" si="827"/>
        <v>40.704999999999998</v>
      </c>
      <c r="IP442" s="618"/>
      <c r="IQ442" s="618">
        <f t="shared" si="828"/>
        <v>0</v>
      </c>
      <c r="IR442" s="618">
        <f t="shared" si="829"/>
        <v>40.704999999999998</v>
      </c>
      <c r="IS442" s="645"/>
      <c r="IT442" s="645"/>
      <c r="IU442" s="645"/>
      <c r="IV442" s="645"/>
      <c r="IW442" s="645"/>
      <c r="IX442" s="645"/>
      <c r="IY442" s="645"/>
      <c r="IZ442" s="645"/>
      <c r="JA442" s="645"/>
      <c r="JB442" s="645"/>
      <c r="JC442" s="645"/>
      <c r="JD442" s="645"/>
      <c r="JE442" s="645"/>
      <c r="JF442" s="645"/>
      <c r="JG442" s="645"/>
      <c r="JH442" s="645"/>
      <c r="JI442" s="645"/>
      <c r="JJ442" s="645"/>
      <c r="JK442" s="645"/>
      <c r="JL442" s="645"/>
      <c r="JM442" s="645"/>
      <c r="JN442" s="645"/>
      <c r="JO442" s="645"/>
      <c r="JP442" s="645"/>
      <c r="JQ442" s="645"/>
      <c r="JR442" s="645"/>
      <c r="JS442" s="645"/>
      <c r="JT442" s="645"/>
      <c r="JU442" s="645"/>
      <c r="JV442" s="653"/>
    </row>
    <row r="443" spans="1:282" s="612" customFormat="1">
      <c r="A443" s="611"/>
      <c r="U443" s="613"/>
      <c r="V443" s="613"/>
      <c r="AC443" s="613"/>
      <c r="AD443" s="613"/>
      <c r="AL443" s="613"/>
      <c r="AM443" s="613"/>
      <c r="AT443" s="613"/>
      <c r="AU443" s="613"/>
      <c r="CH443" s="611"/>
      <c r="CI443" s="611"/>
      <c r="CO443" s="695"/>
      <c r="CP443" s="645"/>
      <c r="CQ443" s="618"/>
      <c r="CR443" s="618"/>
      <c r="CS443" s="618"/>
      <c r="CT443" s="626"/>
      <c r="CU443" s="626"/>
      <c r="CV443" s="626"/>
      <c r="CW443" s="646"/>
      <c r="CX443" s="646"/>
      <c r="CY443" s="625"/>
      <c r="CZ443" s="625"/>
      <c r="DA443" s="625"/>
      <c r="DB443" s="625"/>
      <c r="DC443" s="645"/>
      <c r="DD443" s="645"/>
      <c r="DE443" s="645"/>
      <c r="DF443" s="645"/>
      <c r="DG443" s="645"/>
      <c r="DH443" s="645"/>
      <c r="DI443" s="645"/>
      <c r="DJ443" s="645"/>
      <c r="DK443" s="645"/>
      <c r="DL443" s="645"/>
      <c r="DM443" s="645"/>
      <c r="DN443" s="645"/>
      <c r="DO443" s="645"/>
      <c r="DP443" s="645"/>
      <c r="DQ443" s="645"/>
      <c r="DR443" s="645"/>
      <c r="DS443" s="645"/>
      <c r="DT443" s="645"/>
      <c r="DU443" s="645"/>
      <c r="DV443" s="645"/>
      <c r="DW443" s="645"/>
      <c r="DX443" s="645"/>
      <c r="DY443" s="645"/>
      <c r="DZ443" s="645"/>
      <c r="EA443" s="645"/>
      <c r="EB443" s="645"/>
      <c r="EC443" s="645"/>
      <c r="ED443" s="645"/>
      <c r="EE443" s="645"/>
      <c r="EF443" s="645"/>
      <c r="EG443" s="645"/>
      <c r="EH443" s="645"/>
      <c r="EI443" s="645"/>
      <c r="EJ443" s="645"/>
      <c r="EK443" s="645"/>
      <c r="EL443" s="645"/>
      <c r="EM443" s="645"/>
      <c r="EN443" s="645"/>
      <c r="EO443" s="645"/>
      <c r="EP443" s="645"/>
      <c r="EQ443" s="645"/>
      <c r="ER443" s="645"/>
      <c r="ES443" s="645"/>
      <c r="ET443" s="645"/>
      <c r="EU443" s="645"/>
      <c r="EV443" s="645"/>
      <c r="EW443" s="645"/>
      <c r="EX443" s="645"/>
      <c r="EY443" s="645"/>
      <c r="EZ443" s="645"/>
      <c r="FA443" s="645"/>
      <c r="FB443" s="645"/>
      <c r="FC443" s="645"/>
      <c r="FD443" s="645"/>
      <c r="FE443" s="645"/>
      <c r="FF443" s="645"/>
      <c r="FG443" s="645"/>
      <c r="FH443" s="645"/>
      <c r="FI443" s="645"/>
      <c r="FJ443" s="645"/>
      <c r="FK443" s="645"/>
      <c r="FL443" s="645"/>
      <c r="FM443" s="645"/>
      <c r="FN443" s="645"/>
      <c r="FO443" s="645"/>
      <c r="FP443" s="645"/>
      <c r="FQ443" s="645"/>
      <c r="FR443" s="645"/>
      <c r="FS443" s="645"/>
      <c r="FT443" s="645"/>
      <c r="FU443" s="645"/>
      <c r="FV443" s="645"/>
      <c r="FW443" s="645"/>
      <c r="FX443" s="645"/>
      <c r="FY443" s="645"/>
      <c r="FZ443" s="645"/>
      <c r="GA443" s="645"/>
      <c r="GB443" s="645"/>
      <c r="GC443" s="645"/>
      <c r="GD443" s="645"/>
      <c r="GE443" s="645"/>
      <c r="GF443" s="645"/>
      <c r="GG443" s="645"/>
      <c r="GH443" s="645"/>
      <c r="GI443" s="645"/>
      <c r="GJ443" s="645"/>
      <c r="GK443" s="645"/>
      <c r="GL443" s="645"/>
      <c r="GM443" s="645"/>
      <c r="GN443" s="645"/>
      <c r="GO443" s="645"/>
      <c r="GP443" s="645"/>
      <c r="GQ443" s="645"/>
      <c r="GR443" s="645"/>
      <c r="GS443" s="645"/>
      <c r="GT443" s="645"/>
      <c r="GU443" s="645"/>
      <c r="GV443" s="645"/>
      <c r="GW443" s="645"/>
      <c r="GX443" s="645"/>
      <c r="GY443" s="645"/>
      <c r="GZ443" s="645"/>
      <c r="HA443" s="645"/>
      <c r="HB443" s="645"/>
      <c r="HC443" s="645"/>
      <c r="HD443" s="645"/>
      <c r="HE443" s="645"/>
      <c r="HF443" s="645"/>
      <c r="HG443" s="645"/>
      <c r="HH443" s="645"/>
      <c r="HI443" s="645"/>
      <c r="HJ443" s="645"/>
      <c r="HK443" s="645"/>
      <c r="HL443" s="645"/>
      <c r="HM443" s="645"/>
      <c r="HN443" s="645"/>
      <c r="HO443" s="645"/>
      <c r="HP443" s="645"/>
      <c r="HQ443" s="645"/>
      <c r="HR443" s="645">
        <v>0.22</v>
      </c>
      <c r="HS443" s="645">
        <f t="shared" si="830"/>
        <v>1477.1428571428571</v>
      </c>
      <c r="HT443" s="645">
        <f t="shared" si="831"/>
        <v>1</v>
      </c>
      <c r="HU443" s="618">
        <f t="shared" si="832"/>
        <v>5.6047195721866725</v>
      </c>
      <c r="HV443" s="618"/>
      <c r="HW443" s="618">
        <f t="shared" si="817"/>
        <v>28.041298207494926</v>
      </c>
      <c r="HX443" s="618">
        <f t="shared" si="833"/>
        <v>4.9837797121778751</v>
      </c>
      <c r="HY443" s="618">
        <f t="shared" si="834"/>
        <v>0.22</v>
      </c>
      <c r="HZ443" s="618"/>
      <c r="IA443" s="618"/>
      <c r="IB443" s="618">
        <f t="shared" si="818"/>
        <v>25.000350341399081</v>
      </c>
      <c r="IC443" s="618">
        <f t="shared" si="819"/>
        <v>1E-3</v>
      </c>
      <c r="ID443" s="618"/>
      <c r="IE443" s="618">
        <f t="shared" si="820"/>
        <v>0</v>
      </c>
      <c r="IF443" s="618">
        <f t="shared" si="821"/>
        <v>40.704999999999998</v>
      </c>
      <c r="IG443" s="618"/>
      <c r="IH443" s="618">
        <f t="shared" si="822"/>
        <v>0</v>
      </c>
      <c r="II443" s="618">
        <f t="shared" si="823"/>
        <v>40.704999999999998</v>
      </c>
      <c r="IJ443" s="618"/>
      <c r="IK443" s="618">
        <f t="shared" si="824"/>
        <v>0</v>
      </c>
      <c r="IL443" s="618">
        <f t="shared" si="825"/>
        <v>40.704999999999998</v>
      </c>
      <c r="IM443" s="618"/>
      <c r="IN443" s="618">
        <f t="shared" si="826"/>
        <v>0</v>
      </c>
      <c r="IO443" s="618">
        <f t="shared" si="827"/>
        <v>40.704999999999998</v>
      </c>
      <c r="IP443" s="618"/>
      <c r="IQ443" s="618">
        <f t="shared" si="828"/>
        <v>0</v>
      </c>
      <c r="IR443" s="618">
        <f t="shared" si="829"/>
        <v>40.704999999999998</v>
      </c>
      <c r="IS443" s="645"/>
      <c r="IT443" s="645"/>
      <c r="IU443" s="645"/>
      <c r="IV443" s="645"/>
      <c r="IW443" s="645"/>
      <c r="IX443" s="645"/>
      <c r="IY443" s="645"/>
      <c r="IZ443" s="645"/>
      <c r="JA443" s="645"/>
      <c r="JB443" s="645"/>
      <c r="JC443" s="645"/>
      <c r="JD443" s="645"/>
      <c r="JE443" s="645"/>
      <c r="JF443" s="645"/>
      <c r="JG443" s="645"/>
      <c r="JH443" s="645"/>
      <c r="JI443" s="645"/>
      <c r="JJ443" s="645"/>
      <c r="JK443" s="645"/>
      <c r="JL443" s="645"/>
      <c r="JM443" s="645"/>
      <c r="JN443" s="645"/>
      <c r="JO443" s="645"/>
      <c r="JP443" s="645"/>
      <c r="JQ443" s="645"/>
      <c r="JR443" s="645"/>
      <c r="JS443" s="645"/>
      <c r="JT443" s="645"/>
      <c r="JU443" s="645"/>
      <c r="JV443" s="653"/>
    </row>
    <row r="444" spans="1:282" s="612" customFormat="1">
      <c r="A444" s="611"/>
      <c r="U444" s="613"/>
      <c r="V444" s="613"/>
      <c r="AC444" s="613"/>
      <c r="AD444" s="613"/>
      <c r="AL444" s="613"/>
      <c r="AM444" s="613"/>
      <c r="AT444" s="613"/>
      <c r="AU444" s="613"/>
      <c r="CH444" s="611"/>
      <c r="CI444" s="611"/>
      <c r="CO444" s="695"/>
      <c r="CP444" s="645"/>
      <c r="CQ444" s="618"/>
      <c r="CR444" s="618"/>
      <c r="CS444" s="618"/>
      <c r="CT444" s="626"/>
      <c r="CU444" s="626"/>
      <c r="CV444" s="626"/>
      <c r="CW444" s="646"/>
      <c r="CX444" s="646"/>
      <c r="CY444" s="625"/>
      <c r="CZ444" s="625"/>
      <c r="DA444" s="625"/>
      <c r="DB444" s="625"/>
      <c r="DC444" s="645"/>
      <c r="DD444" s="645"/>
      <c r="DE444" s="645"/>
      <c r="DF444" s="645"/>
      <c r="DG444" s="645"/>
      <c r="DH444" s="645"/>
      <c r="DI444" s="645"/>
      <c r="DJ444" s="645"/>
      <c r="DK444" s="645"/>
      <c r="DL444" s="645"/>
      <c r="DM444" s="645"/>
      <c r="DN444" s="645"/>
      <c r="DO444" s="645"/>
      <c r="DP444" s="645"/>
      <c r="DQ444" s="645"/>
      <c r="DR444" s="645"/>
      <c r="DS444" s="645"/>
      <c r="DT444" s="645"/>
      <c r="DU444" s="645"/>
      <c r="DV444" s="645"/>
      <c r="DW444" s="645"/>
      <c r="DX444" s="645"/>
      <c r="DY444" s="645"/>
      <c r="DZ444" s="645"/>
      <c r="EA444" s="645"/>
      <c r="EB444" s="645"/>
      <c r="EC444" s="645"/>
      <c r="ED444" s="645"/>
      <c r="EE444" s="645"/>
      <c r="EF444" s="645"/>
      <c r="EG444" s="645"/>
      <c r="EH444" s="645"/>
      <c r="EI444" s="645"/>
      <c r="EJ444" s="645"/>
      <c r="EK444" s="645"/>
      <c r="EL444" s="645"/>
      <c r="EM444" s="645"/>
      <c r="EN444" s="645"/>
      <c r="EO444" s="645"/>
      <c r="EP444" s="645"/>
      <c r="EQ444" s="645"/>
      <c r="ER444" s="645"/>
      <c r="ES444" s="645"/>
      <c r="ET444" s="645"/>
      <c r="EU444" s="645"/>
      <c r="EV444" s="645"/>
      <c r="EW444" s="645"/>
      <c r="EX444" s="645"/>
      <c r="EY444" s="645"/>
      <c r="EZ444" s="645"/>
      <c r="FA444" s="645"/>
      <c r="FB444" s="645"/>
      <c r="FC444" s="645"/>
      <c r="FD444" s="645"/>
      <c r="FE444" s="645"/>
      <c r="FF444" s="645"/>
      <c r="FG444" s="645"/>
      <c r="FH444" s="645"/>
      <c r="FI444" s="645"/>
      <c r="FJ444" s="645"/>
      <c r="FK444" s="645"/>
      <c r="FL444" s="645"/>
      <c r="FM444" s="645"/>
      <c r="FN444" s="645"/>
      <c r="FO444" s="645"/>
      <c r="FP444" s="645"/>
      <c r="FQ444" s="645"/>
      <c r="FR444" s="645"/>
      <c r="FS444" s="645"/>
      <c r="FT444" s="645"/>
      <c r="FU444" s="645"/>
      <c r="FV444" s="645"/>
      <c r="FW444" s="645"/>
      <c r="FX444" s="645"/>
      <c r="FY444" s="645"/>
      <c r="FZ444" s="645"/>
      <c r="GA444" s="645"/>
      <c r="GB444" s="645"/>
      <c r="GC444" s="645"/>
      <c r="GD444" s="645"/>
      <c r="GE444" s="645"/>
      <c r="GF444" s="645"/>
      <c r="GG444" s="645"/>
      <c r="GH444" s="645"/>
      <c r="GI444" s="645"/>
      <c r="GJ444" s="645"/>
      <c r="GK444" s="645"/>
      <c r="GL444" s="645"/>
      <c r="GM444" s="645"/>
      <c r="GN444" s="645"/>
      <c r="GO444" s="645"/>
      <c r="GP444" s="645"/>
      <c r="GQ444" s="645"/>
      <c r="GR444" s="645"/>
      <c r="GS444" s="645"/>
      <c r="GT444" s="645"/>
      <c r="GU444" s="645"/>
      <c r="GV444" s="645"/>
      <c r="GW444" s="645"/>
      <c r="GX444" s="645"/>
      <c r="GY444" s="645"/>
      <c r="GZ444" s="645"/>
      <c r="HA444" s="645"/>
      <c r="HB444" s="645"/>
      <c r="HC444" s="645"/>
      <c r="HD444" s="645"/>
      <c r="HE444" s="645"/>
      <c r="HF444" s="645"/>
      <c r="HG444" s="645"/>
      <c r="HH444" s="645"/>
      <c r="HI444" s="645"/>
      <c r="HJ444" s="645"/>
      <c r="HK444" s="645"/>
      <c r="HL444" s="645"/>
      <c r="HM444" s="645"/>
      <c r="HN444" s="645"/>
      <c r="HO444" s="645"/>
      <c r="HP444" s="645"/>
      <c r="HQ444" s="645"/>
      <c r="HR444" s="645">
        <v>0.2205</v>
      </c>
      <c r="HS444" s="645">
        <f t="shared" si="830"/>
        <v>1480.5</v>
      </c>
      <c r="HT444" s="645">
        <f t="shared" si="831"/>
        <v>1</v>
      </c>
      <c r="HU444" s="618">
        <f t="shared" si="832"/>
        <v>5.6174586161602971</v>
      </c>
      <c r="HV444" s="618"/>
      <c r="HW444" s="618">
        <f t="shared" si="817"/>
        <v>28.023208765052377</v>
      </c>
      <c r="HX444" s="618">
        <f t="shared" si="833"/>
        <v>4.9936960701984328</v>
      </c>
      <c r="HY444" s="618">
        <f t="shared" si="834"/>
        <v>0.2205</v>
      </c>
      <c r="HZ444" s="618"/>
      <c r="IA444" s="618"/>
      <c r="IB444" s="618">
        <f t="shared" si="818"/>
        <v>25.000350341399081</v>
      </c>
      <c r="IC444" s="618">
        <f t="shared" si="819"/>
        <v>1E-3</v>
      </c>
      <c r="ID444" s="618"/>
      <c r="IE444" s="618">
        <f t="shared" si="820"/>
        <v>0</v>
      </c>
      <c r="IF444" s="618">
        <f t="shared" si="821"/>
        <v>40.704999999999998</v>
      </c>
      <c r="IG444" s="618"/>
      <c r="IH444" s="618">
        <f t="shared" si="822"/>
        <v>0</v>
      </c>
      <c r="II444" s="618">
        <f t="shared" si="823"/>
        <v>40.704999999999998</v>
      </c>
      <c r="IJ444" s="618"/>
      <c r="IK444" s="618">
        <f t="shared" si="824"/>
        <v>0</v>
      </c>
      <c r="IL444" s="618">
        <f t="shared" si="825"/>
        <v>40.704999999999998</v>
      </c>
      <c r="IM444" s="618"/>
      <c r="IN444" s="618">
        <f t="shared" si="826"/>
        <v>0</v>
      </c>
      <c r="IO444" s="618">
        <f t="shared" si="827"/>
        <v>40.704999999999998</v>
      </c>
      <c r="IP444" s="618"/>
      <c r="IQ444" s="618">
        <f t="shared" si="828"/>
        <v>0</v>
      </c>
      <c r="IR444" s="618">
        <f t="shared" si="829"/>
        <v>40.704999999999998</v>
      </c>
      <c r="IS444" s="645"/>
      <c r="IT444" s="645"/>
      <c r="IU444" s="645"/>
      <c r="IV444" s="645"/>
      <c r="IW444" s="645"/>
      <c r="IX444" s="645"/>
      <c r="IY444" s="645"/>
      <c r="IZ444" s="645"/>
      <c r="JA444" s="645"/>
      <c r="JB444" s="645"/>
      <c r="JC444" s="645"/>
      <c r="JD444" s="645"/>
      <c r="JE444" s="645"/>
      <c r="JF444" s="645"/>
      <c r="JG444" s="645"/>
      <c r="JH444" s="645"/>
      <c r="JI444" s="645"/>
      <c r="JJ444" s="645"/>
      <c r="JK444" s="645"/>
      <c r="JL444" s="645"/>
      <c r="JM444" s="645"/>
      <c r="JN444" s="645"/>
      <c r="JO444" s="645"/>
      <c r="JP444" s="645"/>
      <c r="JQ444" s="645"/>
      <c r="JR444" s="645"/>
      <c r="JS444" s="645"/>
      <c r="JT444" s="645"/>
      <c r="JU444" s="645"/>
      <c r="JV444" s="653"/>
    </row>
    <row r="445" spans="1:282" s="612" customFormat="1">
      <c r="A445" s="611"/>
      <c r="U445" s="613"/>
      <c r="V445" s="613"/>
      <c r="AC445" s="613"/>
      <c r="AD445" s="613"/>
      <c r="AL445" s="613"/>
      <c r="AM445" s="613"/>
      <c r="AT445" s="613"/>
      <c r="AU445" s="613"/>
      <c r="CH445" s="611"/>
      <c r="CI445" s="611"/>
      <c r="CO445" s="695"/>
      <c r="CP445" s="645"/>
      <c r="CQ445" s="618"/>
      <c r="CR445" s="618"/>
      <c r="CS445" s="618"/>
      <c r="CT445" s="626"/>
      <c r="CU445" s="626"/>
      <c r="CV445" s="626"/>
      <c r="CW445" s="646"/>
      <c r="CX445" s="646"/>
      <c r="CY445" s="625"/>
      <c r="CZ445" s="625"/>
      <c r="DA445" s="625"/>
      <c r="DB445" s="625"/>
      <c r="DC445" s="645"/>
      <c r="DD445" s="645"/>
      <c r="DE445" s="645"/>
      <c r="DF445" s="645"/>
      <c r="DG445" s="645"/>
      <c r="DH445" s="645"/>
      <c r="DI445" s="645"/>
      <c r="DJ445" s="645"/>
      <c r="DK445" s="645"/>
      <c r="DL445" s="645"/>
      <c r="DM445" s="645"/>
      <c r="DN445" s="645"/>
      <c r="DO445" s="645"/>
      <c r="DP445" s="645"/>
      <c r="DQ445" s="645"/>
      <c r="DR445" s="645"/>
      <c r="DS445" s="645"/>
      <c r="DT445" s="645"/>
      <c r="DU445" s="645"/>
      <c r="DV445" s="645"/>
      <c r="DW445" s="645"/>
      <c r="DX445" s="645"/>
      <c r="DY445" s="645"/>
      <c r="DZ445" s="645"/>
      <c r="EA445" s="645"/>
      <c r="EB445" s="645"/>
      <c r="EC445" s="645"/>
      <c r="ED445" s="645"/>
      <c r="EE445" s="645"/>
      <c r="EF445" s="645"/>
      <c r="EG445" s="645"/>
      <c r="EH445" s="645"/>
      <c r="EI445" s="645"/>
      <c r="EJ445" s="645"/>
      <c r="EK445" s="645"/>
      <c r="EL445" s="645"/>
      <c r="EM445" s="645"/>
      <c r="EN445" s="645"/>
      <c r="EO445" s="645"/>
      <c r="EP445" s="645"/>
      <c r="EQ445" s="645"/>
      <c r="ER445" s="645"/>
      <c r="ES445" s="645"/>
      <c r="ET445" s="645"/>
      <c r="EU445" s="645"/>
      <c r="EV445" s="645"/>
      <c r="EW445" s="645"/>
      <c r="EX445" s="645"/>
      <c r="EY445" s="645"/>
      <c r="EZ445" s="645"/>
      <c r="FA445" s="645"/>
      <c r="FB445" s="645"/>
      <c r="FC445" s="645"/>
      <c r="FD445" s="645"/>
      <c r="FE445" s="645"/>
      <c r="FF445" s="645"/>
      <c r="FG445" s="645"/>
      <c r="FH445" s="645"/>
      <c r="FI445" s="645"/>
      <c r="FJ445" s="645"/>
      <c r="FK445" s="645"/>
      <c r="FL445" s="645"/>
      <c r="FM445" s="645"/>
      <c r="FN445" s="645"/>
      <c r="FO445" s="645"/>
      <c r="FP445" s="645"/>
      <c r="FQ445" s="645"/>
      <c r="FR445" s="645"/>
      <c r="FS445" s="645"/>
      <c r="FT445" s="645"/>
      <c r="FU445" s="645"/>
      <c r="FV445" s="645"/>
      <c r="FW445" s="645"/>
      <c r="FX445" s="645"/>
      <c r="FY445" s="645"/>
      <c r="FZ445" s="645"/>
      <c r="GA445" s="645"/>
      <c r="GB445" s="645"/>
      <c r="GC445" s="645"/>
      <c r="GD445" s="645"/>
      <c r="GE445" s="645"/>
      <c r="GF445" s="645"/>
      <c r="GG445" s="645"/>
      <c r="GH445" s="645"/>
      <c r="GI445" s="645"/>
      <c r="GJ445" s="645"/>
      <c r="GK445" s="645"/>
      <c r="GL445" s="645"/>
      <c r="GM445" s="645"/>
      <c r="GN445" s="645"/>
      <c r="GO445" s="645"/>
      <c r="GP445" s="645"/>
      <c r="GQ445" s="645"/>
      <c r="GR445" s="645"/>
      <c r="GS445" s="645"/>
      <c r="GT445" s="645"/>
      <c r="GU445" s="645"/>
      <c r="GV445" s="645"/>
      <c r="GW445" s="645"/>
      <c r="GX445" s="645"/>
      <c r="GY445" s="645"/>
      <c r="GZ445" s="645"/>
      <c r="HA445" s="645"/>
      <c r="HB445" s="645"/>
      <c r="HC445" s="645"/>
      <c r="HD445" s="645"/>
      <c r="HE445" s="645"/>
      <c r="HF445" s="645"/>
      <c r="HG445" s="645"/>
      <c r="HH445" s="645"/>
      <c r="HI445" s="645"/>
      <c r="HJ445" s="645"/>
      <c r="HK445" s="645"/>
      <c r="HL445" s="645"/>
      <c r="HM445" s="645"/>
      <c r="HN445" s="645"/>
      <c r="HO445" s="645"/>
      <c r="HP445" s="645"/>
      <c r="HQ445" s="645"/>
      <c r="HR445" s="645">
        <v>0.221</v>
      </c>
      <c r="HS445" s="645">
        <f t="shared" si="830"/>
        <v>1483.8571428571429</v>
      </c>
      <c r="HT445" s="645">
        <f t="shared" si="831"/>
        <v>1</v>
      </c>
      <c r="HU445" s="618">
        <f t="shared" si="832"/>
        <v>5.6301976601339216</v>
      </c>
      <c r="HV445" s="618"/>
      <c r="HW445" s="618">
        <f t="shared" si="817"/>
        <v>28.005119322609833</v>
      </c>
      <c r="HX445" s="618">
        <f t="shared" si="833"/>
        <v>5.0036060270466924</v>
      </c>
      <c r="HY445" s="618">
        <f t="shared" si="834"/>
        <v>0.221</v>
      </c>
      <c r="HZ445" s="618"/>
      <c r="IA445" s="618"/>
      <c r="IB445" s="618">
        <f t="shared" si="818"/>
        <v>25.000350341399081</v>
      </c>
      <c r="IC445" s="618">
        <f t="shared" si="819"/>
        <v>1E-3</v>
      </c>
      <c r="ID445" s="618"/>
      <c r="IE445" s="618">
        <f t="shared" si="820"/>
        <v>0</v>
      </c>
      <c r="IF445" s="618">
        <f t="shared" si="821"/>
        <v>40.704999999999998</v>
      </c>
      <c r="IG445" s="618"/>
      <c r="IH445" s="618">
        <f t="shared" si="822"/>
        <v>0</v>
      </c>
      <c r="II445" s="618">
        <f t="shared" si="823"/>
        <v>40.704999999999998</v>
      </c>
      <c r="IJ445" s="618"/>
      <c r="IK445" s="618">
        <f t="shared" si="824"/>
        <v>0</v>
      </c>
      <c r="IL445" s="618">
        <f t="shared" si="825"/>
        <v>40.704999999999998</v>
      </c>
      <c r="IM445" s="618"/>
      <c r="IN445" s="618">
        <f t="shared" si="826"/>
        <v>0</v>
      </c>
      <c r="IO445" s="618">
        <f t="shared" si="827"/>
        <v>40.704999999999998</v>
      </c>
      <c r="IP445" s="618"/>
      <c r="IQ445" s="618">
        <f t="shared" si="828"/>
        <v>0</v>
      </c>
      <c r="IR445" s="618">
        <f t="shared" si="829"/>
        <v>40.704999999999998</v>
      </c>
      <c r="IS445" s="645"/>
      <c r="IT445" s="645"/>
      <c r="IU445" s="645"/>
      <c r="IV445" s="645"/>
      <c r="IW445" s="645"/>
      <c r="IX445" s="645"/>
      <c r="IY445" s="645"/>
      <c r="IZ445" s="645"/>
      <c r="JA445" s="645"/>
      <c r="JB445" s="645"/>
      <c r="JC445" s="645"/>
      <c r="JD445" s="645"/>
      <c r="JE445" s="645"/>
      <c r="JF445" s="645"/>
      <c r="JG445" s="645"/>
      <c r="JH445" s="645"/>
      <c r="JI445" s="645"/>
      <c r="JJ445" s="645"/>
      <c r="JK445" s="645"/>
      <c r="JL445" s="645"/>
      <c r="JM445" s="645"/>
      <c r="JN445" s="645"/>
      <c r="JO445" s="645"/>
      <c r="JP445" s="645"/>
      <c r="JQ445" s="645"/>
      <c r="JR445" s="645"/>
      <c r="JS445" s="645"/>
      <c r="JT445" s="645"/>
      <c r="JU445" s="645"/>
      <c r="JV445" s="653"/>
    </row>
    <row r="446" spans="1:282" s="612" customFormat="1">
      <c r="A446" s="611"/>
      <c r="U446" s="613"/>
      <c r="V446" s="613"/>
      <c r="AC446" s="613"/>
      <c r="AD446" s="613"/>
      <c r="AL446" s="613"/>
      <c r="AM446" s="613"/>
      <c r="AT446" s="613"/>
      <c r="AU446" s="613"/>
      <c r="CH446" s="611"/>
      <c r="CI446" s="611"/>
      <c r="CO446" s="695"/>
      <c r="CP446" s="645"/>
      <c r="CQ446" s="618"/>
      <c r="CR446" s="618"/>
      <c r="CS446" s="618"/>
      <c r="CT446" s="626"/>
      <c r="CU446" s="626"/>
      <c r="CV446" s="626"/>
      <c r="CW446" s="646"/>
      <c r="CX446" s="646"/>
      <c r="CY446" s="625"/>
      <c r="CZ446" s="625"/>
      <c r="DA446" s="625"/>
      <c r="DB446" s="625"/>
      <c r="DC446" s="645"/>
      <c r="DD446" s="645"/>
      <c r="DE446" s="645"/>
      <c r="DF446" s="645"/>
      <c r="DG446" s="645"/>
      <c r="DH446" s="645"/>
      <c r="DI446" s="645"/>
      <c r="DJ446" s="645"/>
      <c r="DK446" s="645"/>
      <c r="DL446" s="645"/>
      <c r="DM446" s="645"/>
      <c r="DN446" s="645"/>
      <c r="DO446" s="645"/>
      <c r="DP446" s="645"/>
      <c r="DQ446" s="645"/>
      <c r="DR446" s="645"/>
      <c r="DS446" s="645"/>
      <c r="DT446" s="645"/>
      <c r="DU446" s="645"/>
      <c r="DV446" s="645"/>
      <c r="DW446" s="645"/>
      <c r="DX446" s="645"/>
      <c r="DY446" s="645"/>
      <c r="DZ446" s="645"/>
      <c r="EA446" s="645"/>
      <c r="EB446" s="645"/>
      <c r="EC446" s="645"/>
      <c r="ED446" s="645"/>
      <c r="EE446" s="645"/>
      <c r="EF446" s="645"/>
      <c r="EG446" s="645"/>
      <c r="EH446" s="645"/>
      <c r="EI446" s="645"/>
      <c r="EJ446" s="645"/>
      <c r="EK446" s="645"/>
      <c r="EL446" s="645"/>
      <c r="EM446" s="645"/>
      <c r="EN446" s="645"/>
      <c r="EO446" s="645"/>
      <c r="EP446" s="645"/>
      <c r="EQ446" s="645"/>
      <c r="ER446" s="645"/>
      <c r="ES446" s="645"/>
      <c r="ET446" s="645"/>
      <c r="EU446" s="645"/>
      <c r="EV446" s="645"/>
      <c r="EW446" s="645"/>
      <c r="EX446" s="645"/>
      <c r="EY446" s="645"/>
      <c r="EZ446" s="645"/>
      <c r="FA446" s="645"/>
      <c r="FB446" s="645"/>
      <c r="FC446" s="645"/>
      <c r="FD446" s="645"/>
      <c r="FE446" s="645"/>
      <c r="FF446" s="645"/>
      <c r="FG446" s="645"/>
      <c r="FH446" s="645"/>
      <c r="FI446" s="645"/>
      <c r="FJ446" s="645"/>
      <c r="FK446" s="645"/>
      <c r="FL446" s="645"/>
      <c r="FM446" s="645"/>
      <c r="FN446" s="645"/>
      <c r="FO446" s="645"/>
      <c r="FP446" s="645"/>
      <c r="FQ446" s="645"/>
      <c r="FR446" s="645"/>
      <c r="FS446" s="645"/>
      <c r="FT446" s="645"/>
      <c r="FU446" s="645"/>
      <c r="FV446" s="645"/>
      <c r="FW446" s="645"/>
      <c r="FX446" s="645"/>
      <c r="FY446" s="645"/>
      <c r="FZ446" s="645"/>
      <c r="GA446" s="645"/>
      <c r="GB446" s="645"/>
      <c r="GC446" s="645"/>
      <c r="GD446" s="645"/>
      <c r="GE446" s="645"/>
      <c r="GF446" s="645"/>
      <c r="GG446" s="645"/>
      <c r="GH446" s="645"/>
      <c r="GI446" s="645"/>
      <c r="GJ446" s="645"/>
      <c r="GK446" s="645"/>
      <c r="GL446" s="645"/>
      <c r="GM446" s="645"/>
      <c r="GN446" s="645"/>
      <c r="GO446" s="645"/>
      <c r="GP446" s="645"/>
      <c r="GQ446" s="645"/>
      <c r="GR446" s="645"/>
      <c r="GS446" s="645"/>
      <c r="GT446" s="645"/>
      <c r="GU446" s="645"/>
      <c r="GV446" s="645"/>
      <c r="GW446" s="645"/>
      <c r="GX446" s="645"/>
      <c r="GY446" s="645"/>
      <c r="GZ446" s="645"/>
      <c r="HA446" s="645"/>
      <c r="HB446" s="645"/>
      <c r="HC446" s="645"/>
      <c r="HD446" s="645"/>
      <c r="HE446" s="645"/>
      <c r="HF446" s="645"/>
      <c r="HG446" s="645"/>
      <c r="HH446" s="645"/>
      <c r="HI446" s="645"/>
      <c r="HJ446" s="645"/>
      <c r="HK446" s="645"/>
      <c r="HL446" s="645"/>
      <c r="HM446" s="645"/>
      <c r="HN446" s="645"/>
      <c r="HO446" s="645"/>
      <c r="HP446" s="645"/>
      <c r="HQ446" s="645"/>
      <c r="HR446" s="645">
        <v>0.2215</v>
      </c>
      <c r="HS446" s="645">
        <f t="shared" si="830"/>
        <v>1487.2142857142858</v>
      </c>
      <c r="HT446" s="645">
        <f t="shared" si="831"/>
        <v>1</v>
      </c>
      <c r="HU446" s="618">
        <f t="shared" si="832"/>
        <v>5.6429367041075462</v>
      </c>
      <c r="HV446" s="618"/>
      <c r="HW446" s="618">
        <f t="shared" si="817"/>
        <v>27.987029880167285</v>
      </c>
      <c r="HX446" s="618">
        <f t="shared" si="833"/>
        <v>5.0135095827226532</v>
      </c>
      <c r="HY446" s="618">
        <f t="shared" si="834"/>
        <v>0.2215</v>
      </c>
      <c r="HZ446" s="618"/>
      <c r="IA446" s="618"/>
      <c r="IB446" s="618">
        <f t="shared" si="818"/>
        <v>25.000350341399081</v>
      </c>
      <c r="IC446" s="618">
        <f t="shared" si="819"/>
        <v>1E-3</v>
      </c>
      <c r="ID446" s="618"/>
      <c r="IE446" s="618">
        <f t="shared" si="820"/>
        <v>0</v>
      </c>
      <c r="IF446" s="618">
        <f t="shared" si="821"/>
        <v>40.704999999999998</v>
      </c>
      <c r="IG446" s="618"/>
      <c r="IH446" s="618">
        <f t="shared" si="822"/>
        <v>0</v>
      </c>
      <c r="II446" s="618">
        <f t="shared" si="823"/>
        <v>40.704999999999998</v>
      </c>
      <c r="IJ446" s="618"/>
      <c r="IK446" s="618">
        <f t="shared" si="824"/>
        <v>0</v>
      </c>
      <c r="IL446" s="618">
        <f t="shared" si="825"/>
        <v>40.704999999999998</v>
      </c>
      <c r="IM446" s="618"/>
      <c r="IN446" s="618">
        <f t="shared" si="826"/>
        <v>0</v>
      </c>
      <c r="IO446" s="618">
        <f t="shared" si="827"/>
        <v>40.704999999999998</v>
      </c>
      <c r="IP446" s="618"/>
      <c r="IQ446" s="618">
        <f t="shared" si="828"/>
        <v>0</v>
      </c>
      <c r="IR446" s="618">
        <f t="shared" si="829"/>
        <v>40.704999999999998</v>
      </c>
      <c r="IS446" s="645"/>
      <c r="IT446" s="645"/>
      <c r="IU446" s="645"/>
      <c r="IV446" s="645"/>
      <c r="IW446" s="645"/>
      <c r="IX446" s="645"/>
      <c r="IY446" s="645"/>
      <c r="IZ446" s="645"/>
      <c r="JA446" s="645"/>
      <c r="JB446" s="645"/>
      <c r="JC446" s="645"/>
      <c r="JD446" s="645"/>
      <c r="JE446" s="645"/>
      <c r="JF446" s="645"/>
      <c r="JG446" s="645"/>
      <c r="JH446" s="645"/>
      <c r="JI446" s="645"/>
      <c r="JJ446" s="645"/>
      <c r="JK446" s="645"/>
      <c r="JL446" s="645"/>
      <c r="JM446" s="645"/>
      <c r="JN446" s="645"/>
      <c r="JO446" s="645"/>
      <c r="JP446" s="645"/>
      <c r="JQ446" s="645"/>
      <c r="JR446" s="645"/>
      <c r="JS446" s="645"/>
      <c r="JT446" s="645"/>
      <c r="JU446" s="645"/>
      <c r="JV446" s="653"/>
    </row>
    <row r="447" spans="1:282" s="612" customFormat="1">
      <c r="A447" s="611"/>
      <c r="U447" s="613"/>
      <c r="V447" s="613"/>
      <c r="AC447" s="613"/>
      <c r="AD447" s="613"/>
      <c r="AL447" s="613"/>
      <c r="AM447" s="613"/>
      <c r="AT447" s="613"/>
      <c r="AU447" s="613"/>
      <c r="CH447" s="611"/>
      <c r="CI447" s="611"/>
      <c r="CO447" s="695"/>
      <c r="CP447" s="645"/>
      <c r="CQ447" s="618"/>
      <c r="CR447" s="618"/>
      <c r="CS447" s="618"/>
      <c r="CT447" s="626"/>
      <c r="CU447" s="626"/>
      <c r="CV447" s="626"/>
      <c r="CW447" s="646"/>
      <c r="CX447" s="646"/>
      <c r="CY447" s="625"/>
      <c r="CZ447" s="625"/>
      <c r="DA447" s="625"/>
      <c r="DB447" s="625"/>
      <c r="DC447" s="645"/>
      <c r="DD447" s="645"/>
      <c r="DE447" s="645"/>
      <c r="DF447" s="645"/>
      <c r="DG447" s="645"/>
      <c r="DH447" s="645"/>
      <c r="DI447" s="645"/>
      <c r="DJ447" s="645"/>
      <c r="DK447" s="645"/>
      <c r="DL447" s="645"/>
      <c r="DM447" s="645"/>
      <c r="DN447" s="645"/>
      <c r="DO447" s="645"/>
      <c r="DP447" s="645"/>
      <c r="DQ447" s="645"/>
      <c r="DR447" s="645"/>
      <c r="DS447" s="645"/>
      <c r="DT447" s="645"/>
      <c r="DU447" s="645"/>
      <c r="DV447" s="645"/>
      <c r="DW447" s="645"/>
      <c r="DX447" s="645"/>
      <c r="DY447" s="645"/>
      <c r="DZ447" s="645"/>
      <c r="EA447" s="645"/>
      <c r="EB447" s="645"/>
      <c r="EC447" s="645"/>
      <c r="ED447" s="645"/>
      <c r="EE447" s="645"/>
      <c r="EF447" s="645"/>
      <c r="EG447" s="645"/>
      <c r="EH447" s="645"/>
      <c r="EI447" s="645"/>
      <c r="EJ447" s="645"/>
      <c r="EK447" s="645"/>
      <c r="EL447" s="645"/>
      <c r="EM447" s="645"/>
      <c r="EN447" s="645"/>
      <c r="EO447" s="645"/>
      <c r="EP447" s="645"/>
      <c r="EQ447" s="645"/>
      <c r="ER447" s="645"/>
      <c r="ES447" s="645"/>
      <c r="ET447" s="645"/>
      <c r="EU447" s="645"/>
      <c r="EV447" s="645"/>
      <c r="EW447" s="645"/>
      <c r="EX447" s="645"/>
      <c r="EY447" s="645"/>
      <c r="EZ447" s="645"/>
      <c r="FA447" s="645"/>
      <c r="FB447" s="645"/>
      <c r="FC447" s="645"/>
      <c r="FD447" s="645"/>
      <c r="FE447" s="645"/>
      <c r="FF447" s="645"/>
      <c r="FG447" s="645"/>
      <c r="FH447" s="645"/>
      <c r="FI447" s="645"/>
      <c r="FJ447" s="645"/>
      <c r="FK447" s="645"/>
      <c r="FL447" s="645"/>
      <c r="FM447" s="645"/>
      <c r="FN447" s="645"/>
      <c r="FO447" s="645"/>
      <c r="FP447" s="645"/>
      <c r="FQ447" s="645"/>
      <c r="FR447" s="645"/>
      <c r="FS447" s="645"/>
      <c r="FT447" s="645"/>
      <c r="FU447" s="645"/>
      <c r="FV447" s="645"/>
      <c r="FW447" s="645"/>
      <c r="FX447" s="645"/>
      <c r="FY447" s="645"/>
      <c r="FZ447" s="645"/>
      <c r="GA447" s="645"/>
      <c r="GB447" s="645"/>
      <c r="GC447" s="645"/>
      <c r="GD447" s="645"/>
      <c r="GE447" s="645"/>
      <c r="GF447" s="645"/>
      <c r="GG447" s="645"/>
      <c r="GH447" s="645"/>
      <c r="GI447" s="645"/>
      <c r="GJ447" s="645"/>
      <c r="GK447" s="645"/>
      <c r="GL447" s="645"/>
      <c r="GM447" s="645"/>
      <c r="GN447" s="645"/>
      <c r="GO447" s="645"/>
      <c r="GP447" s="645"/>
      <c r="GQ447" s="645"/>
      <c r="GR447" s="645"/>
      <c r="GS447" s="645"/>
      <c r="GT447" s="645"/>
      <c r="GU447" s="645"/>
      <c r="GV447" s="645"/>
      <c r="GW447" s="645"/>
      <c r="GX447" s="645"/>
      <c r="GY447" s="645"/>
      <c r="GZ447" s="645"/>
      <c r="HA447" s="645"/>
      <c r="HB447" s="645"/>
      <c r="HC447" s="645"/>
      <c r="HD447" s="645"/>
      <c r="HE447" s="645"/>
      <c r="HF447" s="645"/>
      <c r="HG447" s="645"/>
      <c r="HH447" s="645"/>
      <c r="HI447" s="645"/>
      <c r="HJ447" s="645"/>
      <c r="HK447" s="645"/>
      <c r="HL447" s="645"/>
      <c r="HM447" s="645"/>
      <c r="HN447" s="645"/>
      <c r="HO447" s="645"/>
      <c r="HP447" s="645"/>
      <c r="HQ447" s="645"/>
      <c r="HR447" s="645">
        <v>0.222</v>
      </c>
      <c r="HS447" s="645">
        <f t="shared" si="830"/>
        <v>1490.5714285714287</v>
      </c>
      <c r="HT447" s="645">
        <f t="shared" si="831"/>
        <v>1</v>
      </c>
      <c r="HU447" s="618">
        <f t="shared" si="832"/>
        <v>5.6556757480811708</v>
      </c>
      <c r="HV447" s="618"/>
      <c r="HW447" s="618">
        <f t="shared" si="817"/>
        <v>27.96894043772474</v>
      </c>
      <c r="HX447" s="618">
        <f t="shared" si="833"/>
        <v>5.023406737226316</v>
      </c>
      <c r="HY447" s="618">
        <f t="shared" si="834"/>
        <v>0.222</v>
      </c>
      <c r="HZ447" s="618"/>
      <c r="IA447" s="618"/>
      <c r="IB447" s="618">
        <f t="shared" si="818"/>
        <v>25.000350341399081</v>
      </c>
      <c r="IC447" s="618">
        <f t="shared" si="819"/>
        <v>1E-3</v>
      </c>
      <c r="ID447" s="618"/>
      <c r="IE447" s="618">
        <f t="shared" si="820"/>
        <v>0</v>
      </c>
      <c r="IF447" s="618">
        <f t="shared" si="821"/>
        <v>40.704999999999998</v>
      </c>
      <c r="IG447" s="618"/>
      <c r="IH447" s="618">
        <f t="shared" si="822"/>
        <v>0</v>
      </c>
      <c r="II447" s="618">
        <f t="shared" si="823"/>
        <v>40.704999999999998</v>
      </c>
      <c r="IJ447" s="618"/>
      <c r="IK447" s="618">
        <f t="shared" si="824"/>
        <v>0</v>
      </c>
      <c r="IL447" s="618">
        <f t="shared" si="825"/>
        <v>40.704999999999998</v>
      </c>
      <c r="IM447" s="618"/>
      <c r="IN447" s="618">
        <f t="shared" si="826"/>
        <v>0</v>
      </c>
      <c r="IO447" s="618">
        <f t="shared" si="827"/>
        <v>40.704999999999998</v>
      </c>
      <c r="IP447" s="618"/>
      <c r="IQ447" s="618">
        <f t="shared" si="828"/>
        <v>0</v>
      </c>
      <c r="IR447" s="618">
        <f t="shared" si="829"/>
        <v>40.704999999999998</v>
      </c>
      <c r="IS447" s="645"/>
      <c r="IT447" s="645"/>
      <c r="IU447" s="645"/>
      <c r="IV447" s="645"/>
      <c r="IW447" s="645"/>
      <c r="IX447" s="645"/>
      <c r="IY447" s="645"/>
      <c r="IZ447" s="645"/>
      <c r="JA447" s="645"/>
      <c r="JB447" s="645"/>
      <c r="JC447" s="645"/>
      <c r="JD447" s="645"/>
      <c r="JE447" s="645"/>
      <c r="JF447" s="645"/>
      <c r="JG447" s="645"/>
      <c r="JH447" s="645"/>
      <c r="JI447" s="645"/>
      <c r="JJ447" s="645"/>
      <c r="JK447" s="645"/>
      <c r="JL447" s="645"/>
      <c r="JM447" s="645"/>
      <c r="JN447" s="645"/>
      <c r="JO447" s="645"/>
      <c r="JP447" s="645"/>
      <c r="JQ447" s="645"/>
      <c r="JR447" s="645"/>
      <c r="JS447" s="645"/>
      <c r="JT447" s="645"/>
      <c r="JU447" s="645"/>
      <c r="JV447" s="653"/>
    </row>
    <row r="448" spans="1:282" s="612" customFormat="1">
      <c r="A448" s="611"/>
      <c r="U448" s="613"/>
      <c r="V448" s="613"/>
      <c r="AC448" s="613"/>
      <c r="AD448" s="613"/>
      <c r="AL448" s="613"/>
      <c r="AM448" s="613"/>
      <c r="AT448" s="613"/>
      <c r="AU448" s="613"/>
      <c r="CH448" s="611"/>
      <c r="CI448" s="611"/>
      <c r="CO448" s="695"/>
      <c r="CP448" s="645"/>
      <c r="CQ448" s="618"/>
      <c r="CR448" s="618"/>
      <c r="CS448" s="618"/>
      <c r="CT448" s="626"/>
      <c r="CU448" s="626"/>
      <c r="CV448" s="626"/>
      <c r="CW448" s="646"/>
      <c r="CX448" s="646"/>
      <c r="CY448" s="625"/>
      <c r="CZ448" s="625"/>
      <c r="DA448" s="625"/>
      <c r="DB448" s="625"/>
      <c r="DC448" s="645"/>
      <c r="DD448" s="645"/>
      <c r="DE448" s="645"/>
      <c r="DF448" s="645"/>
      <c r="DG448" s="645"/>
      <c r="DH448" s="645"/>
      <c r="DI448" s="645"/>
      <c r="DJ448" s="645"/>
      <c r="DK448" s="645"/>
      <c r="DL448" s="645"/>
      <c r="DM448" s="645"/>
      <c r="DN448" s="645"/>
      <c r="DO448" s="645"/>
      <c r="DP448" s="645"/>
      <c r="DQ448" s="645"/>
      <c r="DR448" s="645"/>
      <c r="DS448" s="645"/>
      <c r="DT448" s="645"/>
      <c r="DU448" s="645"/>
      <c r="DV448" s="645"/>
      <c r="DW448" s="645"/>
      <c r="DX448" s="645"/>
      <c r="DY448" s="645"/>
      <c r="DZ448" s="645"/>
      <c r="EA448" s="645"/>
      <c r="EB448" s="645"/>
      <c r="EC448" s="645"/>
      <c r="ED448" s="645"/>
      <c r="EE448" s="645"/>
      <c r="EF448" s="645"/>
      <c r="EG448" s="645"/>
      <c r="EH448" s="645"/>
      <c r="EI448" s="645"/>
      <c r="EJ448" s="645"/>
      <c r="EK448" s="645"/>
      <c r="EL448" s="645"/>
      <c r="EM448" s="645"/>
      <c r="EN448" s="645"/>
      <c r="EO448" s="645"/>
      <c r="EP448" s="645"/>
      <c r="EQ448" s="645"/>
      <c r="ER448" s="645"/>
      <c r="ES448" s="645"/>
      <c r="ET448" s="645"/>
      <c r="EU448" s="645"/>
      <c r="EV448" s="645"/>
      <c r="EW448" s="645"/>
      <c r="EX448" s="645"/>
      <c r="EY448" s="645"/>
      <c r="EZ448" s="645"/>
      <c r="FA448" s="645"/>
      <c r="FB448" s="645"/>
      <c r="FC448" s="645"/>
      <c r="FD448" s="645"/>
      <c r="FE448" s="645"/>
      <c r="FF448" s="645"/>
      <c r="FG448" s="645"/>
      <c r="FH448" s="645"/>
      <c r="FI448" s="645"/>
      <c r="FJ448" s="645"/>
      <c r="FK448" s="645"/>
      <c r="FL448" s="645"/>
      <c r="FM448" s="645"/>
      <c r="FN448" s="645"/>
      <c r="FO448" s="645"/>
      <c r="FP448" s="645"/>
      <c r="FQ448" s="645"/>
      <c r="FR448" s="645"/>
      <c r="FS448" s="645"/>
      <c r="FT448" s="645"/>
      <c r="FU448" s="645"/>
      <c r="FV448" s="645"/>
      <c r="FW448" s="645"/>
      <c r="FX448" s="645"/>
      <c r="FY448" s="645"/>
      <c r="FZ448" s="645"/>
      <c r="GA448" s="645"/>
      <c r="GB448" s="645"/>
      <c r="GC448" s="645"/>
      <c r="GD448" s="645"/>
      <c r="GE448" s="645"/>
      <c r="GF448" s="645"/>
      <c r="GG448" s="645"/>
      <c r="GH448" s="645"/>
      <c r="GI448" s="645"/>
      <c r="GJ448" s="645"/>
      <c r="GK448" s="645"/>
      <c r="GL448" s="645"/>
      <c r="GM448" s="645"/>
      <c r="GN448" s="645"/>
      <c r="GO448" s="645"/>
      <c r="GP448" s="645"/>
      <c r="GQ448" s="645"/>
      <c r="GR448" s="645"/>
      <c r="GS448" s="645"/>
      <c r="GT448" s="645"/>
      <c r="GU448" s="645"/>
      <c r="GV448" s="645"/>
      <c r="GW448" s="645"/>
      <c r="GX448" s="645"/>
      <c r="GY448" s="645"/>
      <c r="GZ448" s="645"/>
      <c r="HA448" s="645"/>
      <c r="HB448" s="645"/>
      <c r="HC448" s="645"/>
      <c r="HD448" s="645"/>
      <c r="HE448" s="645"/>
      <c r="HF448" s="645"/>
      <c r="HG448" s="645"/>
      <c r="HH448" s="645"/>
      <c r="HI448" s="645"/>
      <c r="HJ448" s="645"/>
      <c r="HK448" s="645"/>
      <c r="HL448" s="645"/>
      <c r="HM448" s="645"/>
      <c r="HN448" s="645"/>
      <c r="HO448" s="645"/>
      <c r="HP448" s="645"/>
      <c r="HQ448" s="645"/>
      <c r="HR448" s="645">
        <v>0.2225</v>
      </c>
      <c r="HS448" s="645">
        <f t="shared" si="830"/>
        <v>1493.9285714285713</v>
      </c>
      <c r="HT448" s="645">
        <f t="shared" si="831"/>
        <v>1</v>
      </c>
      <c r="HU448" s="618">
        <f t="shared" si="832"/>
        <v>5.6684147920547954</v>
      </c>
      <c r="HV448" s="618"/>
      <c r="HW448" s="618">
        <f t="shared" si="817"/>
        <v>27.950850995282192</v>
      </c>
      <c r="HX448" s="618">
        <f t="shared" si="833"/>
        <v>5.0332974905576808</v>
      </c>
      <c r="HY448" s="618">
        <f t="shared" si="834"/>
        <v>0.2225</v>
      </c>
      <c r="HZ448" s="618"/>
      <c r="IA448" s="618"/>
      <c r="IB448" s="618">
        <f t="shared" si="818"/>
        <v>25.000350341399081</v>
      </c>
      <c r="IC448" s="618">
        <f t="shared" si="819"/>
        <v>1E-3</v>
      </c>
      <c r="ID448" s="618"/>
      <c r="IE448" s="618">
        <f t="shared" si="820"/>
        <v>0</v>
      </c>
      <c r="IF448" s="618">
        <f t="shared" si="821"/>
        <v>40.704999999999998</v>
      </c>
      <c r="IG448" s="618"/>
      <c r="IH448" s="618">
        <f t="shared" si="822"/>
        <v>0</v>
      </c>
      <c r="II448" s="618">
        <f t="shared" si="823"/>
        <v>40.704999999999998</v>
      </c>
      <c r="IJ448" s="618"/>
      <c r="IK448" s="618">
        <f t="shared" si="824"/>
        <v>0</v>
      </c>
      <c r="IL448" s="618">
        <f t="shared" si="825"/>
        <v>40.704999999999998</v>
      </c>
      <c r="IM448" s="618"/>
      <c r="IN448" s="618">
        <f t="shared" si="826"/>
        <v>0</v>
      </c>
      <c r="IO448" s="618">
        <f t="shared" si="827"/>
        <v>40.704999999999998</v>
      </c>
      <c r="IP448" s="618"/>
      <c r="IQ448" s="618">
        <f t="shared" si="828"/>
        <v>0</v>
      </c>
      <c r="IR448" s="618">
        <f t="shared" si="829"/>
        <v>40.704999999999998</v>
      </c>
      <c r="IS448" s="645"/>
      <c r="IT448" s="645"/>
      <c r="IU448" s="645"/>
      <c r="IV448" s="645"/>
      <c r="IW448" s="645"/>
      <c r="IX448" s="645"/>
      <c r="IY448" s="645"/>
      <c r="IZ448" s="645"/>
      <c r="JA448" s="645"/>
      <c r="JB448" s="645"/>
      <c r="JC448" s="645"/>
      <c r="JD448" s="645"/>
      <c r="JE448" s="645"/>
      <c r="JF448" s="645"/>
      <c r="JG448" s="645"/>
      <c r="JH448" s="645"/>
      <c r="JI448" s="645"/>
      <c r="JJ448" s="645"/>
      <c r="JK448" s="645"/>
      <c r="JL448" s="645"/>
      <c r="JM448" s="645"/>
      <c r="JN448" s="645"/>
      <c r="JO448" s="645"/>
      <c r="JP448" s="645"/>
      <c r="JQ448" s="645"/>
      <c r="JR448" s="645"/>
      <c r="JS448" s="645"/>
      <c r="JT448" s="645"/>
      <c r="JU448" s="645"/>
      <c r="JV448" s="653"/>
    </row>
    <row r="449" spans="1:282" s="612" customFormat="1">
      <c r="A449" s="611"/>
      <c r="U449" s="613"/>
      <c r="V449" s="613"/>
      <c r="AC449" s="613"/>
      <c r="AD449" s="613"/>
      <c r="AL449" s="613"/>
      <c r="AM449" s="613"/>
      <c r="AT449" s="613"/>
      <c r="AU449" s="613"/>
      <c r="CH449" s="611"/>
      <c r="CI449" s="611"/>
      <c r="CO449" s="695"/>
      <c r="CP449" s="645"/>
      <c r="CQ449" s="618"/>
      <c r="CR449" s="618"/>
      <c r="CS449" s="618"/>
      <c r="CT449" s="626"/>
      <c r="CU449" s="626"/>
      <c r="CV449" s="626"/>
      <c r="CW449" s="646"/>
      <c r="CX449" s="646"/>
      <c r="CY449" s="625"/>
      <c r="CZ449" s="625"/>
      <c r="DA449" s="625"/>
      <c r="DB449" s="625"/>
      <c r="DC449" s="645"/>
      <c r="DD449" s="645"/>
      <c r="DE449" s="645"/>
      <c r="DF449" s="645"/>
      <c r="DG449" s="645"/>
      <c r="DH449" s="645"/>
      <c r="DI449" s="645"/>
      <c r="DJ449" s="645"/>
      <c r="DK449" s="645"/>
      <c r="DL449" s="645"/>
      <c r="DM449" s="645"/>
      <c r="DN449" s="645"/>
      <c r="DO449" s="645"/>
      <c r="DP449" s="645"/>
      <c r="DQ449" s="645"/>
      <c r="DR449" s="645"/>
      <c r="DS449" s="645"/>
      <c r="DT449" s="645"/>
      <c r="DU449" s="645"/>
      <c r="DV449" s="645"/>
      <c r="DW449" s="645"/>
      <c r="DX449" s="645"/>
      <c r="DY449" s="645"/>
      <c r="DZ449" s="645"/>
      <c r="EA449" s="645"/>
      <c r="EB449" s="645"/>
      <c r="EC449" s="645"/>
      <c r="ED449" s="645"/>
      <c r="EE449" s="645"/>
      <c r="EF449" s="645"/>
      <c r="EG449" s="645"/>
      <c r="EH449" s="645"/>
      <c r="EI449" s="645"/>
      <c r="EJ449" s="645"/>
      <c r="EK449" s="645"/>
      <c r="EL449" s="645"/>
      <c r="EM449" s="645"/>
      <c r="EN449" s="645"/>
      <c r="EO449" s="645"/>
      <c r="EP449" s="645"/>
      <c r="EQ449" s="645"/>
      <c r="ER449" s="645"/>
      <c r="ES449" s="645"/>
      <c r="ET449" s="645"/>
      <c r="EU449" s="645"/>
      <c r="EV449" s="645"/>
      <c r="EW449" s="645"/>
      <c r="EX449" s="645"/>
      <c r="EY449" s="645"/>
      <c r="EZ449" s="645"/>
      <c r="FA449" s="645"/>
      <c r="FB449" s="645"/>
      <c r="FC449" s="645"/>
      <c r="FD449" s="645"/>
      <c r="FE449" s="645"/>
      <c r="FF449" s="645"/>
      <c r="FG449" s="645"/>
      <c r="FH449" s="645"/>
      <c r="FI449" s="645"/>
      <c r="FJ449" s="645"/>
      <c r="FK449" s="645"/>
      <c r="FL449" s="645"/>
      <c r="FM449" s="645"/>
      <c r="FN449" s="645"/>
      <c r="FO449" s="645"/>
      <c r="FP449" s="645"/>
      <c r="FQ449" s="645"/>
      <c r="FR449" s="645"/>
      <c r="FS449" s="645"/>
      <c r="FT449" s="645"/>
      <c r="FU449" s="645"/>
      <c r="FV449" s="645"/>
      <c r="FW449" s="645"/>
      <c r="FX449" s="645"/>
      <c r="FY449" s="645"/>
      <c r="FZ449" s="645"/>
      <c r="GA449" s="645"/>
      <c r="GB449" s="645"/>
      <c r="GC449" s="645"/>
      <c r="GD449" s="645"/>
      <c r="GE449" s="645"/>
      <c r="GF449" s="645"/>
      <c r="GG449" s="645"/>
      <c r="GH449" s="645"/>
      <c r="GI449" s="645"/>
      <c r="GJ449" s="645"/>
      <c r="GK449" s="645"/>
      <c r="GL449" s="645"/>
      <c r="GM449" s="645"/>
      <c r="GN449" s="645"/>
      <c r="GO449" s="645"/>
      <c r="GP449" s="645"/>
      <c r="GQ449" s="645"/>
      <c r="GR449" s="645"/>
      <c r="GS449" s="645"/>
      <c r="GT449" s="645"/>
      <c r="GU449" s="645"/>
      <c r="GV449" s="645"/>
      <c r="GW449" s="645"/>
      <c r="GX449" s="645"/>
      <c r="GY449" s="645"/>
      <c r="GZ449" s="645"/>
      <c r="HA449" s="645"/>
      <c r="HB449" s="645"/>
      <c r="HC449" s="645"/>
      <c r="HD449" s="645"/>
      <c r="HE449" s="645"/>
      <c r="HF449" s="645"/>
      <c r="HG449" s="645"/>
      <c r="HH449" s="645"/>
      <c r="HI449" s="645"/>
      <c r="HJ449" s="645"/>
      <c r="HK449" s="645"/>
      <c r="HL449" s="645"/>
      <c r="HM449" s="645"/>
      <c r="HN449" s="645"/>
      <c r="HO449" s="645"/>
      <c r="HP449" s="645"/>
      <c r="HQ449" s="645"/>
      <c r="HR449" s="645">
        <v>0.223</v>
      </c>
      <c r="HS449" s="645">
        <f t="shared" si="830"/>
        <v>1497.2857142857142</v>
      </c>
      <c r="HT449" s="645">
        <f t="shared" si="831"/>
        <v>1</v>
      </c>
      <c r="HU449" s="618">
        <f t="shared" si="832"/>
        <v>5.6811538360284199</v>
      </c>
      <c r="HV449" s="618"/>
      <c r="HW449" s="618">
        <f t="shared" si="817"/>
        <v>27.932761552839644</v>
      </c>
      <c r="HX449" s="618">
        <f t="shared" si="833"/>
        <v>5.0431818427167476</v>
      </c>
      <c r="HY449" s="618">
        <f t="shared" si="834"/>
        <v>0.223</v>
      </c>
      <c r="HZ449" s="618"/>
      <c r="IA449" s="618"/>
      <c r="IB449" s="618">
        <f t="shared" si="818"/>
        <v>25.000350341399081</v>
      </c>
      <c r="IC449" s="618">
        <f t="shared" si="819"/>
        <v>1E-3</v>
      </c>
      <c r="ID449" s="618"/>
      <c r="IE449" s="618">
        <f t="shared" si="820"/>
        <v>0</v>
      </c>
      <c r="IF449" s="618">
        <f t="shared" si="821"/>
        <v>40.704999999999998</v>
      </c>
      <c r="IG449" s="618"/>
      <c r="IH449" s="618">
        <f t="shared" si="822"/>
        <v>0</v>
      </c>
      <c r="II449" s="618">
        <f t="shared" si="823"/>
        <v>40.704999999999998</v>
      </c>
      <c r="IJ449" s="618"/>
      <c r="IK449" s="618">
        <f t="shared" si="824"/>
        <v>0</v>
      </c>
      <c r="IL449" s="618">
        <f t="shared" si="825"/>
        <v>40.704999999999998</v>
      </c>
      <c r="IM449" s="618"/>
      <c r="IN449" s="618">
        <f t="shared" si="826"/>
        <v>0</v>
      </c>
      <c r="IO449" s="618">
        <f t="shared" si="827"/>
        <v>40.704999999999998</v>
      </c>
      <c r="IP449" s="618"/>
      <c r="IQ449" s="618">
        <f t="shared" si="828"/>
        <v>0</v>
      </c>
      <c r="IR449" s="618">
        <f t="shared" si="829"/>
        <v>40.704999999999998</v>
      </c>
      <c r="IS449" s="645"/>
      <c r="IT449" s="645"/>
      <c r="IU449" s="645"/>
      <c r="IV449" s="645"/>
      <c r="IW449" s="645"/>
      <c r="IX449" s="645"/>
      <c r="IY449" s="645"/>
      <c r="IZ449" s="645"/>
      <c r="JA449" s="645"/>
      <c r="JB449" s="645"/>
      <c r="JC449" s="645"/>
      <c r="JD449" s="645"/>
      <c r="JE449" s="645"/>
      <c r="JF449" s="645"/>
      <c r="JG449" s="645"/>
      <c r="JH449" s="645"/>
      <c r="JI449" s="645"/>
      <c r="JJ449" s="645"/>
      <c r="JK449" s="645"/>
      <c r="JL449" s="645"/>
      <c r="JM449" s="645"/>
      <c r="JN449" s="645"/>
      <c r="JO449" s="645"/>
      <c r="JP449" s="645"/>
      <c r="JQ449" s="645"/>
      <c r="JR449" s="645"/>
      <c r="JS449" s="645"/>
      <c r="JT449" s="645"/>
      <c r="JU449" s="645"/>
      <c r="JV449" s="653"/>
    </row>
    <row r="450" spans="1:282" s="612" customFormat="1">
      <c r="A450" s="611"/>
      <c r="U450" s="613"/>
      <c r="V450" s="613"/>
      <c r="AC450" s="613"/>
      <c r="AD450" s="613"/>
      <c r="AL450" s="613"/>
      <c r="AM450" s="613"/>
      <c r="AT450" s="613"/>
      <c r="AU450" s="613"/>
      <c r="CH450" s="611"/>
      <c r="CI450" s="611"/>
      <c r="CO450" s="695"/>
      <c r="CP450" s="645"/>
      <c r="CQ450" s="618"/>
      <c r="CR450" s="618"/>
      <c r="CS450" s="618"/>
      <c r="CT450" s="626"/>
      <c r="CU450" s="626"/>
      <c r="CV450" s="626"/>
      <c r="CW450" s="646"/>
      <c r="CX450" s="646"/>
      <c r="CY450" s="625"/>
      <c r="CZ450" s="625"/>
      <c r="DA450" s="625"/>
      <c r="DB450" s="625"/>
      <c r="DC450" s="645"/>
      <c r="DD450" s="645"/>
      <c r="DE450" s="645"/>
      <c r="DF450" s="645"/>
      <c r="DG450" s="645"/>
      <c r="DH450" s="645"/>
      <c r="DI450" s="645"/>
      <c r="DJ450" s="645"/>
      <c r="DK450" s="645"/>
      <c r="DL450" s="645"/>
      <c r="DM450" s="645"/>
      <c r="DN450" s="645"/>
      <c r="DO450" s="645"/>
      <c r="DP450" s="645"/>
      <c r="DQ450" s="645"/>
      <c r="DR450" s="645"/>
      <c r="DS450" s="645"/>
      <c r="DT450" s="645"/>
      <c r="DU450" s="645"/>
      <c r="DV450" s="645"/>
      <c r="DW450" s="645"/>
      <c r="DX450" s="645"/>
      <c r="DY450" s="645"/>
      <c r="DZ450" s="645"/>
      <c r="EA450" s="645"/>
      <c r="EB450" s="645"/>
      <c r="EC450" s="645"/>
      <c r="ED450" s="645"/>
      <c r="EE450" s="645"/>
      <c r="EF450" s="645"/>
      <c r="EG450" s="645"/>
      <c r="EH450" s="645"/>
      <c r="EI450" s="645"/>
      <c r="EJ450" s="645"/>
      <c r="EK450" s="645"/>
      <c r="EL450" s="645"/>
      <c r="EM450" s="645"/>
      <c r="EN450" s="645"/>
      <c r="EO450" s="645"/>
      <c r="EP450" s="645"/>
      <c r="EQ450" s="645"/>
      <c r="ER450" s="645"/>
      <c r="ES450" s="645"/>
      <c r="ET450" s="645"/>
      <c r="EU450" s="645"/>
      <c r="EV450" s="645"/>
      <c r="EW450" s="645"/>
      <c r="EX450" s="645"/>
      <c r="EY450" s="645"/>
      <c r="EZ450" s="645"/>
      <c r="FA450" s="645"/>
      <c r="FB450" s="645"/>
      <c r="FC450" s="645"/>
      <c r="FD450" s="645"/>
      <c r="FE450" s="645"/>
      <c r="FF450" s="645"/>
      <c r="FG450" s="645"/>
      <c r="FH450" s="645"/>
      <c r="FI450" s="645"/>
      <c r="FJ450" s="645"/>
      <c r="FK450" s="645"/>
      <c r="FL450" s="645"/>
      <c r="FM450" s="645"/>
      <c r="FN450" s="645"/>
      <c r="FO450" s="645"/>
      <c r="FP450" s="645"/>
      <c r="FQ450" s="645"/>
      <c r="FR450" s="645"/>
      <c r="FS450" s="645"/>
      <c r="FT450" s="645"/>
      <c r="FU450" s="645"/>
      <c r="FV450" s="645"/>
      <c r="FW450" s="645"/>
      <c r="FX450" s="645"/>
      <c r="FY450" s="645"/>
      <c r="FZ450" s="645"/>
      <c r="GA450" s="645"/>
      <c r="GB450" s="645"/>
      <c r="GC450" s="645"/>
      <c r="GD450" s="645"/>
      <c r="GE450" s="645"/>
      <c r="GF450" s="645"/>
      <c r="GG450" s="645"/>
      <c r="GH450" s="645"/>
      <c r="GI450" s="645"/>
      <c r="GJ450" s="645"/>
      <c r="GK450" s="645"/>
      <c r="GL450" s="645"/>
      <c r="GM450" s="645"/>
      <c r="GN450" s="645"/>
      <c r="GO450" s="645"/>
      <c r="GP450" s="645"/>
      <c r="GQ450" s="645"/>
      <c r="GR450" s="645"/>
      <c r="GS450" s="645"/>
      <c r="GT450" s="645"/>
      <c r="GU450" s="645"/>
      <c r="GV450" s="645"/>
      <c r="GW450" s="645"/>
      <c r="GX450" s="645"/>
      <c r="GY450" s="645"/>
      <c r="GZ450" s="645"/>
      <c r="HA450" s="645"/>
      <c r="HB450" s="645"/>
      <c r="HC450" s="645"/>
      <c r="HD450" s="645"/>
      <c r="HE450" s="645"/>
      <c r="HF450" s="645"/>
      <c r="HG450" s="645"/>
      <c r="HH450" s="645"/>
      <c r="HI450" s="645"/>
      <c r="HJ450" s="645"/>
      <c r="HK450" s="645"/>
      <c r="HL450" s="645"/>
      <c r="HM450" s="645"/>
      <c r="HN450" s="645"/>
      <c r="HO450" s="645"/>
      <c r="HP450" s="645"/>
      <c r="HQ450" s="645"/>
      <c r="HR450" s="645">
        <v>0.2235</v>
      </c>
      <c r="HS450" s="645">
        <f t="shared" si="830"/>
        <v>1500.6428571428571</v>
      </c>
      <c r="HT450" s="645">
        <f t="shared" si="831"/>
        <v>1</v>
      </c>
      <c r="HU450" s="618">
        <f t="shared" si="832"/>
        <v>5.6938928800020445</v>
      </c>
      <c r="HV450" s="618"/>
      <c r="HW450" s="618">
        <f t="shared" si="817"/>
        <v>27.914672110397099</v>
      </c>
      <c r="HX450" s="618">
        <f t="shared" si="833"/>
        <v>5.0530597937035164</v>
      </c>
      <c r="HY450" s="618">
        <f t="shared" si="834"/>
        <v>0.2235</v>
      </c>
      <c r="HZ450" s="618"/>
      <c r="IA450" s="618"/>
      <c r="IB450" s="618">
        <f t="shared" si="818"/>
        <v>25.000350341399081</v>
      </c>
      <c r="IC450" s="618">
        <f t="shared" si="819"/>
        <v>1E-3</v>
      </c>
      <c r="ID450" s="618"/>
      <c r="IE450" s="618">
        <f t="shared" si="820"/>
        <v>0</v>
      </c>
      <c r="IF450" s="618">
        <f t="shared" si="821"/>
        <v>40.704999999999998</v>
      </c>
      <c r="IG450" s="618"/>
      <c r="IH450" s="618">
        <f t="shared" si="822"/>
        <v>0</v>
      </c>
      <c r="II450" s="618">
        <f t="shared" si="823"/>
        <v>40.704999999999998</v>
      </c>
      <c r="IJ450" s="618"/>
      <c r="IK450" s="618">
        <f t="shared" si="824"/>
        <v>0</v>
      </c>
      <c r="IL450" s="618">
        <f t="shared" si="825"/>
        <v>40.704999999999998</v>
      </c>
      <c r="IM450" s="618"/>
      <c r="IN450" s="618">
        <f t="shared" si="826"/>
        <v>0</v>
      </c>
      <c r="IO450" s="618">
        <f t="shared" si="827"/>
        <v>40.704999999999998</v>
      </c>
      <c r="IP450" s="618"/>
      <c r="IQ450" s="618">
        <f t="shared" si="828"/>
        <v>0</v>
      </c>
      <c r="IR450" s="618">
        <f t="shared" si="829"/>
        <v>40.704999999999998</v>
      </c>
      <c r="IS450" s="645"/>
      <c r="IT450" s="645"/>
      <c r="IU450" s="645"/>
      <c r="IV450" s="645"/>
      <c r="IW450" s="645"/>
      <c r="IX450" s="645"/>
      <c r="IY450" s="645"/>
      <c r="IZ450" s="645"/>
      <c r="JA450" s="645"/>
      <c r="JB450" s="645"/>
      <c r="JC450" s="645"/>
      <c r="JD450" s="645"/>
      <c r="JE450" s="645"/>
      <c r="JF450" s="645"/>
      <c r="JG450" s="645"/>
      <c r="JH450" s="645"/>
      <c r="JI450" s="645"/>
      <c r="JJ450" s="645"/>
      <c r="JK450" s="645"/>
      <c r="JL450" s="645"/>
      <c r="JM450" s="645"/>
      <c r="JN450" s="645"/>
      <c r="JO450" s="645"/>
      <c r="JP450" s="645"/>
      <c r="JQ450" s="645"/>
      <c r="JR450" s="645"/>
      <c r="JS450" s="645"/>
      <c r="JT450" s="645"/>
      <c r="JU450" s="645"/>
      <c r="JV450" s="653"/>
    </row>
    <row r="451" spans="1:282" s="612" customFormat="1">
      <c r="A451" s="611"/>
      <c r="U451" s="613"/>
      <c r="V451" s="613"/>
      <c r="AC451" s="613"/>
      <c r="AD451" s="613"/>
      <c r="AL451" s="613"/>
      <c r="AM451" s="613"/>
      <c r="AT451" s="613"/>
      <c r="AU451" s="613"/>
      <c r="CH451" s="611"/>
      <c r="CI451" s="611"/>
      <c r="CO451" s="695"/>
      <c r="CP451" s="645"/>
      <c r="CQ451" s="618"/>
      <c r="CR451" s="618"/>
      <c r="CS451" s="618"/>
      <c r="CT451" s="626"/>
      <c r="CU451" s="626"/>
      <c r="CV451" s="626"/>
      <c r="CW451" s="646"/>
      <c r="CX451" s="646"/>
      <c r="CY451" s="625"/>
      <c r="CZ451" s="625"/>
      <c r="DA451" s="625"/>
      <c r="DB451" s="625"/>
      <c r="DC451" s="645"/>
      <c r="DD451" s="645"/>
      <c r="DE451" s="645"/>
      <c r="DF451" s="645"/>
      <c r="DG451" s="645"/>
      <c r="DH451" s="645"/>
      <c r="DI451" s="645"/>
      <c r="DJ451" s="645"/>
      <c r="DK451" s="645"/>
      <c r="DL451" s="645"/>
      <c r="DM451" s="645"/>
      <c r="DN451" s="645"/>
      <c r="DO451" s="645"/>
      <c r="DP451" s="645"/>
      <c r="DQ451" s="645"/>
      <c r="DR451" s="645"/>
      <c r="DS451" s="645"/>
      <c r="DT451" s="645"/>
      <c r="DU451" s="645"/>
      <c r="DV451" s="645"/>
      <c r="DW451" s="645"/>
      <c r="DX451" s="645"/>
      <c r="DY451" s="645"/>
      <c r="DZ451" s="645"/>
      <c r="EA451" s="645"/>
      <c r="EB451" s="645"/>
      <c r="EC451" s="645"/>
      <c r="ED451" s="645"/>
      <c r="EE451" s="645"/>
      <c r="EF451" s="645"/>
      <c r="EG451" s="645"/>
      <c r="EH451" s="645"/>
      <c r="EI451" s="645"/>
      <c r="EJ451" s="645"/>
      <c r="EK451" s="645"/>
      <c r="EL451" s="645"/>
      <c r="EM451" s="645"/>
      <c r="EN451" s="645"/>
      <c r="EO451" s="645"/>
      <c r="EP451" s="645"/>
      <c r="EQ451" s="645"/>
      <c r="ER451" s="645"/>
      <c r="ES451" s="645"/>
      <c r="ET451" s="645"/>
      <c r="EU451" s="645"/>
      <c r="EV451" s="645"/>
      <c r="EW451" s="645"/>
      <c r="EX451" s="645"/>
      <c r="EY451" s="645"/>
      <c r="EZ451" s="645"/>
      <c r="FA451" s="645"/>
      <c r="FB451" s="645"/>
      <c r="FC451" s="645"/>
      <c r="FD451" s="645"/>
      <c r="FE451" s="645"/>
      <c r="FF451" s="645"/>
      <c r="FG451" s="645"/>
      <c r="FH451" s="645"/>
      <c r="FI451" s="645"/>
      <c r="FJ451" s="645"/>
      <c r="FK451" s="645"/>
      <c r="FL451" s="645"/>
      <c r="FM451" s="645"/>
      <c r="FN451" s="645"/>
      <c r="FO451" s="645"/>
      <c r="FP451" s="645"/>
      <c r="FQ451" s="645"/>
      <c r="FR451" s="645"/>
      <c r="FS451" s="645"/>
      <c r="FT451" s="645"/>
      <c r="FU451" s="645"/>
      <c r="FV451" s="645"/>
      <c r="FW451" s="645"/>
      <c r="FX451" s="645"/>
      <c r="FY451" s="645"/>
      <c r="FZ451" s="645"/>
      <c r="GA451" s="645"/>
      <c r="GB451" s="645"/>
      <c r="GC451" s="645"/>
      <c r="GD451" s="645"/>
      <c r="GE451" s="645"/>
      <c r="GF451" s="645"/>
      <c r="GG451" s="645"/>
      <c r="GH451" s="645"/>
      <c r="GI451" s="645"/>
      <c r="GJ451" s="645"/>
      <c r="GK451" s="645"/>
      <c r="GL451" s="645"/>
      <c r="GM451" s="645"/>
      <c r="GN451" s="645"/>
      <c r="GO451" s="645"/>
      <c r="GP451" s="645"/>
      <c r="GQ451" s="645"/>
      <c r="GR451" s="645"/>
      <c r="GS451" s="645"/>
      <c r="GT451" s="645"/>
      <c r="GU451" s="645"/>
      <c r="GV451" s="645"/>
      <c r="GW451" s="645"/>
      <c r="GX451" s="645"/>
      <c r="GY451" s="645"/>
      <c r="GZ451" s="645"/>
      <c r="HA451" s="645"/>
      <c r="HB451" s="645"/>
      <c r="HC451" s="645"/>
      <c r="HD451" s="645"/>
      <c r="HE451" s="645"/>
      <c r="HF451" s="645"/>
      <c r="HG451" s="645"/>
      <c r="HH451" s="645"/>
      <c r="HI451" s="645"/>
      <c r="HJ451" s="645"/>
      <c r="HK451" s="645"/>
      <c r="HL451" s="645"/>
      <c r="HM451" s="645"/>
      <c r="HN451" s="645"/>
      <c r="HO451" s="645"/>
      <c r="HP451" s="645"/>
      <c r="HQ451" s="645"/>
      <c r="HR451" s="645">
        <v>0.224</v>
      </c>
      <c r="HS451" s="645">
        <f t="shared" si="830"/>
        <v>1504</v>
      </c>
      <c r="HT451" s="645">
        <f t="shared" si="831"/>
        <v>1</v>
      </c>
      <c r="HU451" s="618">
        <f t="shared" si="832"/>
        <v>5.7066319239756691</v>
      </c>
      <c r="HV451" s="618"/>
      <c r="HW451" s="618">
        <f t="shared" si="817"/>
        <v>27.896582667954551</v>
      </c>
      <c r="HX451" s="618">
        <f t="shared" si="833"/>
        <v>5.0629313435179863</v>
      </c>
      <c r="HY451" s="618">
        <f t="shared" si="834"/>
        <v>0.224</v>
      </c>
      <c r="HZ451" s="618"/>
      <c r="IA451" s="618"/>
      <c r="IB451" s="618">
        <f t="shared" si="818"/>
        <v>25.000350341399081</v>
      </c>
      <c r="IC451" s="618">
        <f t="shared" si="819"/>
        <v>1E-3</v>
      </c>
      <c r="ID451" s="618"/>
      <c r="IE451" s="618">
        <f t="shared" si="820"/>
        <v>0</v>
      </c>
      <c r="IF451" s="618">
        <f t="shared" si="821"/>
        <v>40.704999999999998</v>
      </c>
      <c r="IG451" s="618"/>
      <c r="IH451" s="618">
        <f t="shared" si="822"/>
        <v>0</v>
      </c>
      <c r="II451" s="618">
        <f t="shared" si="823"/>
        <v>40.704999999999998</v>
      </c>
      <c r="IJ451" s="618"/>
      <c r="IK451" s="618">
        <f t="shared" si="824"/>
        <v>0</v>
      </c>
      <c r="IL451" s="618">
        <f t="shared" si="825"/>
        <v>40.704999999999998</v>
      </c>
      <c r="IM451" s="618"/>
      <c r="IN451" s="618">
        <f t="shared" si="826"/>
        <v>0</v>
      </c>
      <c r="IO451" s="618">
        <f t="shared" si="827"/>
        <v>40.704999999999998</v>
      </c>
      <c r="IP451" s="618"/>
      <c r="IQ451" s="618">
        <f t="shared" si="828"/>
        <v>0</v>
      </c>
      <c r="IR451" s="618">
        <f t="shared" si="829"/>
        <v>40.704999999999998</v>
      </c>
      <c r="IS451" s="645"/>
      <c r="IT451" s="645"/>
      <c r="IU451" s="645"/>
      <c r="IV451" s="645"/>
      <c r="IW451" s="645"/>
      <c r="IX451" s="645"/>
      <c r="IY451" s="645"/>
      <c r="IZ451" s="645"/>
      <c r="JA451" s="645"/>
      <c r="JB451" s="645"/>
      <c r="JC451" s="645"/>
      <c r="JD451" s="645"/>
      <c r="JE451" s="645"/>
      <c r="JF451" s="645"/>
      <c r="JG451" s="645"/>
      <c r="JH451" s="645"/>
      <c r="JI451" s="645"/>
      <c r="JJ451" s="645"/>
      <c r="JK451" s="645"/>
      <c r="JL451" s="645"/>
      <c r="JM451" s="645"/>
      <c r="JN451" s="645"/>
      <c r="JO451" s="645"/>
      <c r="JP451" s="645"/>
      <c r="JQ451" s="645"/>
      <c r="JR451" s="645"/>
      <c r="JS451" s="645"/>
      <c r="JT451" s="645"/>
      <c r="JU451" s="645"/>
      <c r="JV451" s="653"/>
    </row>
    <row r="452" spans="1:282" s="612" customFormat="1">
      <c r="A452" s="611"/>
      <c r="U452" s="613"/>
      <c r="V452" s="613"/>
      <c r="AC452" s="613"/>
      <c r="AD452" s="613"/>
      <c r="AL452" s="613"/>
      <c r="AM452" s="613"/>
      <c r="AT452" s="613"/>
      <c r="AU452" s="613"/>
      <c r="CH452" s="611"/>
      <c r="CI452" s="611"/>
      <c r="CO452" s="695"/>
      <c r="CP452" s="645"/>
      <c r="CQ452" s="618"/>
      <c r="CR452" s="618"/>
      <c r="CS452" s="618"/>
      <c r="CT452" s="626"/>
      <c r="CU452" s="626"/>
      <c r="CV452" s="626"/>
      <c r="CW452" s="646"/>
      <c r="CX452" s="646"/>
      <c r="CY452" s="625"/>
      <c r="CZ452" s="625"/>
      <c r="DA452" s="625"/>
      <c r="DB452" s="625"/>
      <c r="DC452" s="645"/>
      <c r="DD452" s="645"/>
      <c r="DE452" s="645"/>
      <c r="DF452" s="645"/>
      <c r="DG452" s="645"/>
      <c r="DH452" s="645"/>
      <c r="DI452" s="645"/>
      <c r="DJ452" s="645"/>
      <c r="DK452" s="645"/>
      <c r="DL452" s="645"/>
      <c r="DM452" s="645"/>
      <c r="DN452" s="645"/>
      <c r="DO452" s="645"/>
      <c r="DP452" s="645"/>
      <c r="DQ452" s="645"/>
      <c r="DR452" s="645"/>
      <c r="DS452" s="645"/>
      <c r="DT452" s="645"/>
      <c r="DU452" s="645"/>
      <c r="DV452" s="645"/>
      <c r="DW452" s="645"/>
      <c r="DX452" s="645"/>
      <c r="DY452" s="645"/>
      <c r="DZ452" s="645"/>
      <c r="EA452" s="645"/>
      <c r="EB452" s="645"/>
      <c r="EC452" s="645"/>
      <c r="ED452" s="645"/>
      <c r="EE452" s="645"/>
      <c r="EF452" s="645"/>
      <c r="EG452" s="645"/>
      <c r="EH452" s="645"/>
      <c r="EI452" s="645"/>
      <c r="EJ452" s="645"/>
      <c r="EK452" s="645"/>
      <c r="EL452" s="645"/>
      <c r="EM452" s="645"/>
      <c r="EN452" s="645"/>
      <c r="EO452" s="645"/>
      <c r="EP452" s="645"/>
      <c r="EQ452" s="645"/>
      <c r="ER452" s="645"/>
      <c r="ES452" s="645"/>
      <c r="ET452" s="645"/>
      <c r="EU452" s="645"/>
      <c r="EV452" s="645"/>
      <c r="EW452" s="645"/>
      <c r="EX452" s="645"/>
      <c r="EY452" s="645"/>
      <c r="EZ452" s="645"/>
      <c r="FA452" s="645"/>
      <c r="FB452" s="645"/>
      <c r="FC452" s="645"/>
      <c r="FD452" s="645"/>
      <c r="FE452" s="645"/>
      <c r="FF452" s="645"/>
      <c r="FG452" s="645"/>
      <c r="FH452" s="645"/>
      <c r="FI452" s="645"/>
      <c r="FJ452" s="645"/>
      <c r="FK452" s="645"/>
      <c r="FL452" s="645"/>
      <c r="FM452" s="645"/>
      <c r="FN452" s="645"/>
      <c r="FO452" s="645"/>
      <c r="FP452" s="645"/>
      <c r="FQ452" s="645"/>
      <c r="FR452" s="645"/>
      <c r="FS452" s="645"/>
      <c r="FT452" s="645"/>
      <c r="FU452" s="645"/>
      <c r="FV452" s="645"/>
      <c r="FW452" s="645"/>
      <c r="FX452" s="645"/>
      <c r="FY452" s="645"/>
      <c r="FZ452" s="645"/>
      <c r="GA452" s="645"/>
      <c r="GB452" s="645"/>
      <c r="GC452" s="645"/>
      <c r="GD452" s="645"/>
      <c r="GE452" s="645"/>
      <c r="GF452" s="645"/>
      <c r="GG452" s="645"/>
      <c r="GH452" s="645"/>
      <c r="GI452" s="645"/>
      <c r="GJ452" s="645"/>
      <c r="GK452" s="645"/>
      <c r="GL452" s="645"/>
      <c r="GM452" s="645"/>
      <c r="GN452" s="645"/>
      <c r="GO452" s="645"/>
      <c r="GP452" s="645"/>
      <c r="GQ452" s="645"/>
      <c r="GR452" s="645"/>
      <c r="GS452" s="645"/>
      <c r="GT452" s="645"/>
      <c r="GU452" s="645"/>
      <c r="GV452" s="645"/>
      <c r="GW452" s="645"/>
      <c r="GX452" s="645"/>
      <c r="GY452" s="645"/>
      <c r="GZ452" s="645"/>
      <c r="HA452" s="645"/>
      <c r="HB452" s="645"/>
      <c r="HC452" s="645"/>
      <c r="HD452" s="645"/>
      <c r="HE452" s="645"/>
      <c r="HF452" s="645"/>
      <c r="HG452" s="645"/>
      <c r="HH452" s="645"/>
      <c r="HI452" s="645"/>
      <c r="HJ452" s="645"/>
      <c r="HK452" s="645"/>
      <c r="HL452" s="645"/>
      <c r="HM452" s="645"/>
      <c r="HN452" s="645"/>
      <c r="HO452" s="645"/>
      <c r="HP452" s="645"/>
      <c r="HQ452" s="645"/>
      <c r="HR452" s="645">
        <v>0.22450000000000001</v>
      </c>
      <c r="HS452" s="645">
        <f t="shared" si="830"/>
        <v>1507.3571428571429</v>
      </c>
      <c r="HT452" s="645">
        <f t="shared" si="831"/>
        <v>1</v>
      </c>
      <c r="HU452" s="618">
        <f t="shared" si="832"/>
        <v>5.7193709679492937</v>
      </c>
      <c r="HV452" s="618"/>
      <c r="HW452" s="618">
        <f t="shared" ref="HW452:HW505" si="835">$HW$3-(HU452*$AQ$36)</f>
        <v>27.878493225512003</v>
      </c>
      <c r="HX452" s="618">
        <f t="shared" si="833"/>
        <v>5.0727964921601583</v>
      </c>
      <c r="HY452" s="618">
        <f t="shared" si="834"/>
        <v>0.22450000000000001</v>
      </c>
      <c r="HZ452" s="618"/>
      <c r="IA452" s="618"/>
      <c r="IB452" s="618">
        <f t="shared" ref="IB452:IB505" si="836">IF(AND(HX452&lt;$IB$1,HY452&lt;$IC$1,$AY$31),(HX452*1000)*IF($D$45&lt;0,-1,1),IB451)</f>
        <v>25.000350341399081</v>
      </c>
      <c r="IC452" s="618">
        <f t="shared" ref="IC452:IC505" si="837">IF(AND(HX452&lt;$IB$1,HY452&lt;$IC$1,$AY$31),HY452,IC451)</f>
        <v>1E-3</v>
      </c>
      <c r="ID452" s="618"/>
      <c r="IE452" s="618">
        <f t="shared" ref="IE452:IE505" si="838">IF(AND(HX452&lt;$IE$1,HY452&lt;$IF$1,$AY$31),(HX452*1000)*IF($H$45&lt;0,-1,1),IE451)</f>
        <v>0</v>
      </c>
      <c r="IF452" s="618">
        <f t="shared" ref="IF452:IF505" si="839">IF(AND(HX452&lt;$IE$1,HY452&lt;$IF$1,$AY$31),HY452+$IF$3,IF451)</f>
        <v>40.704999999999998</v>
      </c>
      <c r="IG452" s="618"/>
      <c r="IH452" s="618">
        <f t="shared" ref="IH452:IH505" si="840">IF(AND(HX452&lt;$IH$1,HY452&lt;$II$1,$AY$31),(HX452*1000)*IF($L$45&lt;0,-1,1),IH451)</f>
        <v>0</v>
      </c>
      <c r="II452" s="618">
        <f t="shared" ref="II452:II505" si="841">IF(AND(HX452&lt;$IH$1,HY452&lt;$II$1,$AY$31),HY452+$II$3,II451)</f>
        <v>40.704999999999998</v>
      </c>
      <c r="IJ452" s="618"/>
      <c r="IK452" s="618">
        <f t="shared" ref="IK452:IK505" si="842">IF(AND(HX452&lt;$IK$1,HY452&lt;$IL$1,$AY$31),(HX452*1000)*IF($P$45&lt;0,-1,1),IK451)</f>
        <v>0</v>
      </c>
      <c r="IL452" s="618">
        <f t="shared" ref="IL452:IL505" si="843">IF(AND(HX452&lt;$IK$1,HY452&lt;$IL$1,$AY$31),HY452+$IL$3,IL451)</f>
        <v>40.704999999999998</v>
      </c>
      <c r="IM452" s="618"/>
      <c r="IN452" s="618">
        <f t="shared" ref="IN452:IN505" si="844">IF(AND(HX452&lt;$IN$1,HY452&lt;$IO$1,$AY$31),(HX452*1000)*IF($T$45&lt;0,-1,1),IN451)</f>
        <v>0</v>
      </c>
      <c r="IO452" s="618">
        <f t="shared" ref="IO452:IO505" si="845">IF(AND(HX452&lt;$IN$1,HY452&lt;$IO$1,$AY$31),HY452+$IO$3,IO451)</f>
        <v>40.704999999999998</v>
      </c>
      <c r="IP452" s="618"/>
      <c r="IQ452" s="618">
        <f t="shared" ref="IQ452:IQ505" si="846">IF(AND(HX452&lt;$IQ$1,HY452&lt;$IR$1,$AY$31),(HX452*1000)*IF($X$45&lt;0,-1,1),IQ451)</f>
        <v>0</v>
      </c>
      <c r="IR452" s="618">
        <f t="shared" ref="IR452:IR505" si="847">IF(AND(HX452&lt;$IQ$1,HY452&lt;$IR$1,$AY$31),HY452+$IR$3,IR451)</f>
        <v>40.704999999999998</v>
      </c>
      <c r="IS452" s="645"/>
      <c r="IT452" s="645"/>
      <c r="IU452" s="645"/>
      <c r="IV452" s="645"/>
      <c r="IW452" s="645"/>
      <c r="IX452" s="645"/>
      <c r="IY452" s="645"/>
      <c r="IZ452" s="645"/>
      <c r="JA452" s="645"/>
      <c r="JB452" s="645"/>
      <c r="JC452" s="645"/>
      <c r="JD452" s="645"/>
      <c r="JE452" s="645"/>
      <c r="JF452" s="645"/>
      <c r="JG452" s="645"/>
      <c r="JH452" s="645"/>
      <c r="JI452" s="645"/>
      <c r="JJ452" s="645"/>
      <c r="JK452" s="645"/>
      <c r="JL452" s="645"/>
      <c r="JM452" s="645"/>
      <c r="JN452" s="645"/>
      <c r="JO452" s="645"/>
      <c r="JP452" s="645"/>
      <c r="JQ452" s="645"/>
      <c r="JR452" s="645"/>
      <c r="JS452" s="645"/>
      <c r="JT452" s="645"/>
      <c r="JU452" s="645"/>
      <c r="JV452" s="653"/>
    </row>
    <row r="453" spans="1:282" s="612" customFormat="1">
      <c r="A453" s="611"/>
      <c r="U453" s="613"/>
      <c r="V453" s="613"/>
      <c r="AC453" s="613"/>
      <c r="AD453" s="613"/>
      <c r="AL453" s="613"/>
      <c r="AM453" s="613"/>
      <c r="AT453" s="613"/>
      <c r="AU453" s="613"/>
      <c r="CH453" s="611"/>
      <c r="CI453" s="611"/>
      <c r="CO453" s="695"/>
      <c r="CP453" s="645"/>
      <c r="CQ453" s="618"/>
      <c r="CR453" s="618"/>
      <c r="CS453" s="618"/>
      <c r="CT453" s="626"/>
      <c r="CU453" s="626"/>
      <c r="CV453" s="626"/>
      <c r="CW453" s="646"/>
      <c r="CX453" s="646"/>
      <c r="CY453" s="625"/>
      <c r="CZ453" s="625"/>
      <c r="DA453" s="625"/>
      <c r="DB453" s="625"/>
      <c r="DC453" s="645"/>
      <c r="DD453" s="645"/>
      <c r="DE453" s="645"/>
      <c r="DF453" s="645"/>
      <c r="DG453" s="645"/>
      <c r="DH453" s="645"/>
      <c r="DI453" s="645"/>
      <c r="DJ453" s="645"/>
      <c r="DK453" s="645"/>
      <c r="DL453" s="645"/>
      <c r="DM453" s="645"/>
      <c r="DN453" s="645"/>
      <c r="DO453" s="645"/>
      <c r="DP453" s="645"/>
      <c r="DQ453" s="645"/>
      <c r="DR453" s="645"/>
      <c r="DS453" s="645"/>
      <c r="DT453" s="645"/>
      <c r="DU453" s="645"/>
      <c r="DV453" s="645"/>
      <c r="DW453" s="645"/>
      <c r="DX453" s="645"/>
      <c r="DY453" s="645"/>
      <c r="DZ453" s="645"/>
      <c r="EA453" s="645"/>
      <c r="EB453" s="645"/>
      <c r="EC453" s="645"/>
      <c r="ED453" s="645"/>
      <c r="EE453" s="645"/>
      <c r="EF453" s="645"/>
      <c r="EG453" s="645"/>
      <c r="EH453" s="645"/>
      <c r="EI453" s="645"/>
      <c r="EJ453" s="645"/>
      <c r="EK453" s="645"/>
      <c r="EL453" s="645"/>
      <c r="EM453" s="645"/>
      <c r="EN453" s="645"/>
      <c r="EO453" s="645"/>
      <c r="EP453" s="645"/>
      <c r="EQ453" s="645"/>
      <c r="ER453" s="645"/>
      <c r="ES453" s="645"/>
      <c r="ET453" s="645"/>
      <c r="EU453" s="645"/>
      <c r="EV453" s="645"/>
      <c r="EW453" s="645"/>
      <c r="EX453" s="645"/>
      <c r="EY453" s="645"/>
      <c r="EZ453" s="645"/>
      <c r="FA453" s="645"/>
      <c r="FB453" s="645"/>
      <c r="FC453" s="645"/>
      <c r="FD453" s="645"/>
      <c r="FE453" s="645"/>
      <c r="FF453" s="645"/>
      <c r="FG453" s="645"/>
      <c r="FH453" s="645"/>
      <c r="FI453" s="645"/>
      <c r="FJ453" s="645"/>
      <c r="FK453" s="645"/>
      <c r="FL453" s="645"/>
      <c r="FM453" s="645"/>
      <c r="FN453" s="645"/>
      <c r="FO453" s="645"/>
      <c r="FP453" s="645"/>
      <c r="FQ453" s="645"/>
      <c r="FR453" s="645"/>
      <c r="FS453" s="645"/>
      <c r="FT453" s="645"/>
      <c r="FU453" s="645"/>
      <c r="FV453" s="645"/>
      <c r="FW453" s="645"/>
      <c r="FX453" s="645"/>
      <c r="FY453" s="645"/>
      <c r="FZ453" s="645"/>
      <c r="GA453" s="645"/>
      <c r="GB453" s="645"/>
      <c r="GC453" s="645"/>
      <c r="GD453" s="645"/>
      <c r="GE453" s="645"/>
      <c r="GF453" s="645"/>
      <c r="GG453" s="645"/>
      <c r="GH453" s="645"/>
      <c r="GI453" s="645"/>
      <c r="GJ453" s="645"/>
      <c r="GK453" s="645"/>
      <c r="GL453" s="645"/>
      <c r="GM453" s="645"/>
      <c r="GN453" s="645"/>
      <c r="GO453" s="645"/>
      <c r="GP453" s="645"/>
      <c r="GQ453" s="645"/>
      <c r="GR453" s="645"/>
      <c r="GS453" s="645"/>
      <c r="GT453" s="645"/>
      <c r="GU453" s="645"/>
      <c r="GV453" s="645"/>
      <c r="GW453" s="645"/>
      <c r="GX453" s="645"/>
      <c r="GY453" s="645"/>
      <c r="GZ453" s="645"/>
      <c r="HA453" s="645"/>
      <c r="HB453" s="645"/>
      <c r="HC453" s="645"/>
      <c r="HD453" s="645"/>
      <c r="HE453" s="645"/>
      <c r="HF453" s="645"/>
      <c r="HG453" s="645"/>
      <c r="HH453" s="645"/>
      <c r="HI453" s="645"/>
      <c r="HJ453" s="645"/>
      <c r="HK453" s="645"/>
      <c r="HL453" s="645"/>
      <c r="HM453" s="645"/>
      <c r="HN453" s="645"/>
      <c r="HO453" s="645"/>
      <c r="HP453" s="645"/>
      <c r="HQ453" s="645"/>
      <c r="HR453" s="645">
        <v>0.22500000000000001</v>
      </c>
      <c r="HS453" s="645">
        <f t="shared" si="830"/>
        <v>1510.7142857142858</v>
      </c>
      <c r="HT453" s="645">
        <f t="shared" si="831"/>
        <v>1</v>
      </c>
      <c r="HU453" s="618">
        <f t="shared" si="832"/>
        <v>5.7321100119229182</v>
      </c>
      <c r="HV453" s="618"/>
      <c r="HW453" s="618">
        <f t="shared" si="835"/>
        <v>27.860403783069458</v>
      </c>
      <c r="HX453" s="618">
        <f t="shared" si="833"/>
        <v>5.0826552396300322</v>
      </c>
      <c r="HY453" s="618">
        <f t="shared" si="834"/>
        <v>0.22500000000000001</v>
      </c>
      <c r="HZ453" s="618"/>
      <c r="IA453" s="618"/>
      <c r="IB453" s="618">
        <f t="shared" si="836"/>
        <v>25.000350341399081</v>
      </c>
      <c r="IC453" s="618">
        <f t="shared" si="837"/>
        <v>1E-3</v>
      </c>
      <c r="ID453" s="618"/>
      <c r="IE453" s="618">
        <f t="shared" si="838"/>
        <v>0</v>
      </c>
      <c r="IF453" s="618">
        <f t="shared" si="839"/>
        <v>40.704999999999998</v>
      </c>
      <c r="IG453" s="618"/>
      <c r="IH453" s="618">
        <f t="shared" si="840"/>
        <v>0</v>
      </c>
      <c r="II453" s="618">
        <f t="shared" si="841"/>
        <v>40.704999999999998</v>
      </c>
      <c r="IJ453" s="618"/>
      <c r="IK453" s="618">
        <f t="shared" si="842"/>
        <v>0</v>
      </c>
      <c r="IL453" s="618">
        <f t="shared" si="843"/>
        <v>40.704999999999998</v>
      </c>
      <c r="IM453" s="618"/>
      <c r="IN453" s="618">
        <f t="shared" si="844"/>
        <v>0</v>
      </c>
      <c r="IO453" s="618">
        <f t="shared" si="845"/>
        <v>40.704999999999998</v>
      </c>
      <c r="IP453" s="618"/>
      <c r="IQ453" s="618">
        <f t="shared" si="846"/>
        <v>0</v>
      </c>
      <c r="IR453" s="618">
        <f t="shared" si="847"/>
        <v>40.704999999999998</v>
      </c>
      <c r="IS453" s="645"/>
      <c r="IT453" s="645"/>
      <c r="IU453" s="645"/>
      <c r="IV453" s="645"/>
      <c r="IW453" s="645"/>
      <c r="IX453" s="645"/>
      <c r="IY453" s="645"/>
      <c r="IZ453" s="645"/>
      <c r="JA453" s="645"/>
      <c r="JB453" s="645"/>
      <c r="JC453" s="645"/>
      <c r="JD453" s="645"/>
      <c r="JE453" s="645"/>
      <c r="JF453" s="645"/>
      <c r="JG453" s="645"/>
      <c r="JH453" s="645"/>
      <c r="JI453" s="645"/>
      <c r="JJ453" s="645"/>
      <c r="JK453" s="645"/>
      <c r="JL453" s="645"/>
      <c r="JM453" s="645"/>
      <c r="JN453" s="645"/>
      <c r="JO453" s="645"/>
      <c r="JP453" s="645"/>
      <c r="JQ453" s="645"/>
      <c r="JR453" s="645"/>
      <c r="JS453" s="645"/>
      <c r="JT453" s="645"/>
      <c r="JU453" s="645"/>
      <c r="JV453" s="653"/>
    </row>
    <row r="454" spans="1:282" s="612" customFormat="1">
      <c r="A454" s="611"/>
      <c r="U454" s="613"/>
      <c r="V454" s="613"/>
      <c r="AC454" s="613"/>
      <c r="AD454" s="613"/>
      <c r="AL454" s="613"/>
      <c r="AM454" s="613"/>
      <c r="AT454" s="613"/>
      <c r="AU454" s="613"/>
      <c r="CH454" s="611"/>
      <c r="CI454" s="611"/>
      <c r="CO454" s="695"/>
      <c r="CP454" s="645"/>
      <c r="CQ454" s="618"/>
      <c r="CR454" s="618"/>
      <c r="CS454" s="618"/>
      <c r="CT454" s="626"/>
      <c r="CU454" s="626"/>
      <c r="CV454" s="626"/>
      <c r="CW454" s="646"/>
      <c r="CX454" s="646"/>
      <c r="CY454" s="625"/>
      <c r="CZ454" s="625"/>
      <c r="DA454" s="625"/>
      <c r="DB454" s="625"/>
      <c r="DC454" s="645"/>
      <c r="DD454" s="645"/>
      <c r="DE454" s="645"/>
      <c r="DF454" s="645"/>
      <c r="DG454" s="645"/>
      <c r="DH454" s="645"/>
      <c r="DI454" s="645"/>
      <c r="DJ454" s="645"/>
      <c r="DK454" s="645"/>
      <c r="DL454" s="645"/>
      <c r="DM454" s="645"/>
      <c r="DN454" s="645"/>
      <c r="DO454" s="645"/>
      <c r="DP454" s="645"/>
      <c r="DQ454" s="645"/>
      <c r="DR454" s="645"/>
      <c r="DS454" s="645"/>
      <c r="DT454" s="645"/>
      <c r="DU454" s="645"/>
      <c r="DV454" s="645"/>
      <c r="DW454" s="645"/>
      <c r="DX454" s="645"/>
      <c r="DY454" s="645"/>
      <c r="DZ454" s="645"/>
      <c r="EA454" s="645"/>
      <c r="EB454" s="645"/>
      <c r="EC454" s="645"/>
      <c r="ED454" s="645"/>
      <c r="EE454" s="645"/>
      <c r="EF454" s="645"/>
      <c r="EG454" s="645"/>
      <c r="EH454" s="645"/>
      <c r="EI454" s="645"/>
      <c r="EJ454" s="645"/>
      <c r="EK454" s="645"/>
      <c r="EL454" s="645"/>
      <c r="EM454" s="645"/>
      <c r="EN454" s="645"/>
      <c r="EO454" s="645"/>
      <c r="EP454" s="645"/>
      <c r="EQ454" s="645"/>
      <c r="ER454" s="645"/>
      <c r="ES454" s="645"/>
      <c r="ET454" s="645"/>
      <c r="EU454" s="645"/>
      <c r="EV454" s="645"/>
      <c r="EW454" s="645"/>
      <c r="EX454" s="645"/>
      <c r="EY454" s="645"/>
      <c r="EZ454" s="645"/>
      <c r="FA454" s="645"/>
      <c r="FB454" s="645"/>
      <c r="FC454" s="645"/>
      <c r="FD454" s="645"/>
      <c r="FE454" s="645"/>
      <c r="FF454" s="645"/>
      <c r="FG454" s="645"/>
      <c r="FH454" s="645"/>
      <c r="FI454" s="645"/>
      <c r="FJ454" s="645"/>
      <c r="FK454" s="645"/>
      <c r="FL454" s="645"/>
      <c r="FM454" s="645"/>
      <c r="FN454" s="645"/>
      <c r="FO454" s="645"/>
      <c r="FP454" s="645"/>
      <c r="FQ454" s="645"/>
      <c r="FR454" s="645"/>
      <c r="FS454" s="645"/>
      <c r="FT454" s="645"/>
      <c r="FU454" s="645"/>
      <c r="FV454" s="645"/>
      <c r="FW454" s="645"/>
      <c r="FX454" s="645"/>
      <c r="FY454" s="645"/>
      <c r="FZ454" s="645"/>
      <c r="GA454" s="645"/>
      <c r="GB454" s="645"/>
      <c r="GC454" s="645"/>
      <c r="GD454" s="645"/>
      <c r="GE454" s="645"/>
      <c r="GF454" s="645"/>
      <c r="GG454" s="645"/>
      <c r="GH454" s="645"/>
      <c r="GI454" s="645"/>
      <c r="GJ454" s="645"/>
      <c r="GK454" s="645"/>
      <c r="GL454" s="645"/>
      <c r="GM454" s="645"/>
      <c r="GN454" s="645"/>
      <c r="GO454" s="645"/>
      <c r="GP454" s="645"/>
      <c r="GQ454" s="645"/>
      <c r="GR454" s="645"/>
      <c r="GS454" s="645"/>
      <c r="GT454" s="645"/>
      <c r="GU454" s="645"/>
      <c r="GV454" s="645"/>
      <c r="GW454" s="645"/>
      <c r="GX454" s="645"/>
      <c r="GY454" s="645"/>
      <c r="GZ454" s="645"/>
      <c r="HA454" s="645"/>
      <c r="HB454" s="645"/>
      <c r="HC454" s="645"/>
      <c r="HD454" s="645"/>
      <c r="HE454" s="645"/>
      <c r="HF454" s="645"/>
      <c r="HG454" s="645"/>
      <c r="HH454" s="645"/>
      <c r="HI454" s="645"/>
      <c r="HJ454" s="645"/>
      <c r="HK454" s="645"/>
      <c r="HL454" s="645"/>
      <c r="HM454" s="645"/>
      <c r="HN454" s="645"/>
      <c r="HO454" s="645"/>
      <c r="HP454" s="645"/>
      <c r="HQ454" s="645"/>
      <c r="HR454" s="645">
        <v>0.22550000000000001</v>
      </c>
      <c r="HS454" s="645">
        <f t="shared" ref="HS454:HS505" si="848">HR454/$AQ$43</f>
        <v>1514.0714285714287</v>
      </c>
      <c r="HT454" s="645">
        <f t="shared" ref="HT454:HT505" si="849">1-EXP(-HS454)</f>
        <v>1</v>
      </c>
      <c r="HU454" s="618">
        <f t="shared" si="832"/>
        <v>5.7448490558965428</v>
      </c>
      <c r="HV454" s="618"/>
      <c r="HW454" s="618">
        <f t="shared" si="835"/>
        <v>27.84231434062691</v>
      </c>
      <c r="HX454" s="618">
        <f t="shared" si="833"/>
        <v>5.0925075859276081</v>
      </c>
      <c r="HY454" s="618">
        <f t="shared" si="834"/>
        <v>0.22550000000000001</v>
      </c>
      <c r="HZ454" s="618"/>
      <c r="IA454" s="618"/>
      <c r="IB454" s="618">
        <f t="shared" si="836"/>
        <v>25.000350341399081</v>
      </c>
      <c r="IC454" s="618">
        <f t="shared" si="837"/>
        <v>1E-3</v>
      </c>
      <c r="ID454" s="618"/>
      <c r="IE454" s="618">
        <f t="shared" si="838"/>
        <v>0</v>
      </c>
      <c r="IF454" s="618">
        <f t="shared" si="839"/>
        <v>40.704999999999998</v>
      </c>
      <c r="IG454" s="618"/>
      <c r="IH454" s="618">
        <f t="shared" si="840"/>
        <v>0</v>
      </c>
      <c r="II454" s="618">
        <f t="shared" si="841"/>
        <v>40.704999999999998</v>
      </c>
      <c r="IJ454" s="618"/>
      <c r="IK454" s="618">
        <f t="shared" si="842"/>
        <v>0</v>
      </c>
      <c r="IL454" s="618">
        <f t="shared" si="843"/>
        <v>40.704999999999998</v>
      </c>
      <c r="IM454" s="618"/>
      <c r="IN454" s="618">
        <f t="shared" si="844"/>
        <v>0</v>
      </c>
      <c r="IO454" s="618">
        <f t="shared" si="845"/>
        <v>40.704999999999998</v>
      </c>
      <c r="IP454" s="618"/>
      <c r="IQ454" s="618">
        <f t="shared" si="846"/>
        <v>0</v>
      </c>
      <c r="IR454" s="618">
        <f t="shared" si="847"/>
        <v>40.704999999999998</v>
      </c>
      <c r="IS454" s="645"/>
      <c r="IT454" s="645"/>
      <c r="IU454" s="645"/>
      <c r="IV454" s="645"/>
      <c r="IW454" s="645"/>
      <c r="IX454" s="645"/>
      <c r="IY454" s="645"/>
      <c r="IZ454" s="645"/>
      <c r="JA454" s="645"/>
      <c r="JB454" s="645"/>
      <c r="JC454" s="645"/>
      <c r="JD454" s="645"/>
      <c r="JE454" s="645"/>
      <c r="JF454" s="645"/>
      <c r="JG454" s="645"/>
      <c r="JH454" s="645"/>
      <c r="JI454" s="645"/>
      <c r="JJ454" s="645"/>
      <c r="JK454" s="645"/>
      <c r="JL454" s="645"/>
      <c r="JM454" s="645"/>
      <c r="JN454" s="645"/>
      <c r="JO454" s="645"/>
      <c r="JP454" s="645"/>
      <c r="JQ454" s="645"/>
      <c r="JR454" s="645"/>
      <c r="JS454" s="645"/>
      <c r="JT454" s="645"/>
      <c r="JU454" s="645"/>
      <c r="JV454" s="653"/>
    </row>
    <row r="455" spans="1:282" s="612" customFormat="1">
      <c r="A455" s="611"/>
      <c r="U455" s="613"/>
      <c r="V455" s="613"/>
      <c r="AC455" s="613"/>
      <c r="AD455" s="613"/>
      <c r="AL455" s="613"/>
      <c r="AM455" s="613"/>
      <c r="AT455" s="613"/>
      <c r="AU455" s="613"/>
      <c r="CH455" s="611"/>
      <c r="CI455" s="611"/>
      <c r="CO455" s="695"/>
      <c r="CP455" s="645"/>
      <c r="CQ455" s="618"/>
      <c r="CR455" s="618"/>
      <c r="CS455" s="618"/>
      <c r="CT455" s="626"/>
      <c r="CU455" s="626"/>
      <c r="CV455" s="626"/>
      <c r="CW455" s="646"/>
      <c r="CX455" s="646"/>
      <c r="CY455" s="625"/>
      <c r="CZ455" s="625"/>
      <c r="DA455" s="625"/>
      <c r="DB455" s="625"/>
      <c r="DC455" s="645"/>
      <c r="DD455" s="645"/>
      <c r="DE455" s="645"/>
      <c r="DF455" s="645"/>
      <c r="DG455" s="645"/>
      <c r="DH455" s="645"/>
      <c r="DI455" s="645"/>
      <c r="DJ455" s="645"/>
      <c r="DK455" s="645"/>
      <c r="DL455" s="645"/>
      <c r="DM455" s="645"/>
      <c r="DN455" s="645"/>
      <c r="DO455" s="645"/>
      <c r="DP455" s="645"/>
      <c r="DQ455" s="645"/>
      <c r="DR455" s="645"/>
      <c r="DS455" s="645"/>
      <c r="DT455" s="645"/>
      <c r="DU455" s="645"/>
      <c r="DV455" s="645"/>
      <c r="DW455" s="645"/>
      <c r="DX455" s="645"/>
      <c r="DY455" s="645"/>
      <c r="DZ455" s="645"/>
      <c r="EA455" s="645"/>
      <c r="EB455" s="645"/>
      <c r="EC455" s="645"/>
      <c r="ED455" s="645"/>
      <c r="EE455" s="645"/>
      <c r="EF455" s="645"/>
      <c r="EG455" s="645"/>
      <c r="EH455" s="645"/>
      <c r="EI455" s="645"/>
      <c r="EJ455" s="645"/>
      <c r="EK455" s="645"/>
      <c r="EL455" s="645"/>
      <c r="EM455" s="645"/>
      <c r="EN455" s="645"/>
      <c r="EO455" s="645"/>
      <c r="EP455" s="645"/>
      <c r="EQ455" s="645"/>
      <c r="ER455" s="645"/>
      <c r="ES455" s="645"/>
      <c r="ET455" s="645"/>
      <c r="EU455" s="645"/>
      <c r="EV455" s="645"/>
      <c r="EW455" s="645"/>
      <c r="EX455" s="645"/>
      <c r="EY455" s="645"/>
      <c r="EZ455" s="645"/>
      <c r="FA455" s="645"/>
      <c r="FB455" s="645"/>
      <c r="FC455" s="645"/>
      <c r="FD455" s="645"/>
      <c r="FE455" s="645"/>
      <c r="FF455" s="645"/>
      <c r="FG455" s="645"/>
      <c r="FH455" s="645"/>
      <c r="FI455" s="645"/>
      <c r="FJ455" s="645"/>
      <c r="FK455" s="645"/>
      <c r="FL455" s="645"/>
      <c r="FM455" s="645"/>
      <c r="FN455" s="645"/>
      <c r="FO455" s="645"/>
      <c r="FP455" s="645"/>
      <c r="FQ455" s="645"/>
      <c r="FR455" s="645"/>
      <c r="FS455" s="645"/>
      <c r="FT455" s="645"/>
      <c r="FU455" s="645"/>
      <c r="FV455" s="645"/>
      <c r="FW455" s="645"/>
      <c r="FX455" s="645"/>
      <c r="FY455" s="645"/>
      <c r="FZ455" s="645"/>
      <c r="GA455" s="645"/>
      <c r="GB455" s="645"/>
      <c r="GC455" s="645"/>
      <c r="GD455" s="645"/>
      <c r="GE455" s="645"/>
      <c r="GF455" s="645"/>
      <c r="GG455" s="645"/>
      <c r="GH455" s="645"/>
      <c r="GI455" s="645"/>
      <c r="GJ455" s="645"/>
      <c r="GK455" s="645"/>
      <c r="GL455" s="645"/>
      <c r="GM455" s="645"/>
      <c r="GN455" s="645"/>
      <c r="GO455" s="645"/>
      <c r="GP455" s="645"/>
      <c r="GQ455" s="645"/>
      <c r="GR455" s="645"/>
      <c r="GS455" s="645"/>
      <c r="GT455" s="645"/>
      <c r="GU455" s="645"/>
      <c r="GV455" s="645"/>
      <c r="GW455" s="645"/>
      <c r="GX455" s="645"/>
      <c r="GY455" s="645"/>
      <c r="GZ455" s="645"/>
      <c r="HA455" s="645"/>
      <c r="HB455" s="645"/>
      <c r="HC455" s="645"/>
      <c r="HD455" s="645"/>
      <c r="HE455" s="645"/>
      <c r="HF455" s="645"/>
      <c r="HG455" s="645"/>
      <c r="HH455" s="645"/>
      <c r="HI455" s="645"/>
      <c r="HJ455" s="645"/>
      <c r="HK455" s="645"/>
      <c r="HL455" s="645"/>
      <c r="HM455" s="645"/>
      <c r="HN455" s="645"/>
      <c r="HO455" s="645"/>
      <c r="HP455" s="645"/>
      <c r="HQ455" s="645"/>
      <c r="HR455" s="645">
        <v>0.22600000000000001</v>
      </c>
      <c r="HS455" s="645">
        <f t="shared" si="848"/>
        <v>1517.4285714285716</v>
      </c>
      <c r="HT455" s="645">
        <f t="shared" si="849"/>
        <v>1</v>
      </c>
      <c r="HU455" s="618">
        <f t="shared" si="832"/>
        <v>5.7575880998701674</v>
      </c>
      <c r="HV455" s="618"/>
      <c r="HW455" s="618">
        <f t="shared" si="835"/>
        <v>27.824224898184362</v>
      </c>
      <c r="HX455" s="618">
        <f t="shared" si="833"/>
        <v>5.102353531052886</v>
      </c>
      <c r="HY455" s="618">
        <f t="shared" si="834"/>
        <v>0.22600000000000001</v>
      </c>
      <c r="HZ455" s="618"/>
      <c r="IA455" s="618"/>
      <c r="IB455" s="618">
        <f t="shared" si="836"/>
        <v>25.000350341399081</v>
      </c>
      <c r="IC455" s="618">
        <f t="shared" si="837"/>
        <v>1E-3</v>
      </c>
      <c r="ID455" s="618"/>
      <c r="IE455" s="618">
        <f t="shared" si="838"/>
        <v>0</v>
      </c>
      <c r="IF455" s="618">
        <f t="shared" si="839"/>
        <v>40.704999999999998</v>
      </c>
      <c r="IG455" s="618"/>
      <c r="IH455" s="618">
        <f t="shared" si="840"/>
        <v>0</v>
      </c>
      <c r="II455" s="618">
        <f t="shared" si="841"/>
        <v>40.704999999999998</v>
      </c>
      <c r="IJ455" s="618"/>
      <c r="IK455" s="618">
        <f t="shared" si="842"/>
        <v>0</v>
      </c>
      <c r="IL455" s="618">
        <f t="shared" si="843"/>
        <v>40.704999999999998</v>
      </c>
      <c r="IM455" s="618"/>
      <c r="IN455" s="618">
        <f t="shared" si="844"/>
        <v>0</v>
      </c>
      <c r="IO455" s="618">
        <f t="shared" si="845"/>
        <v>40.704999999999998</v>
      </c>
      <c r="IP455" s="618"/>
      <c r="IQ455" s="618">
        <f t="shared" si="846"/>
        <v>0</v>
      </c>
      <c r="IR455" s="618">
        <f t="shared" si="847"/>
        <v>40.704999999999998</v>
      </c>
      <c r="IS455" s="645"/>
      <c r="IT455" s="645"/>
      <c r="IU455" s="645"/>
      <c r="IV455" s="645"/>
      <c r="IW455" s="645"/>
      <c r="IX455" s="645"/>
      <c r="IY455" s="645"/>
      <c r="IZ455" s="645"/>
      <c r="JA455" s="645"/>
      <c r="JB455" s="645"/>
      <c r="JC455" s="645"/>
      <c r="JD455" s="645"/>
      <c r="JE455" s="645"/>
      <c r="JF455" s="645"/>
      <c r="JG455" s="645"/>
      <c r="JH455" s="645"/>
      <c r="JI455" s="645"/>
      <c r="JJ455" s="645"/>
      <c r="JK455" s="645"/>
      <c r="JL455" s="645"/>
      <c r="JM455" s="645"/>
      <c r="JN455" s="645"/>
      <c r="JO455" s="645"/>
      <c r="JP455" s="645"/>
      <c r="JQ455" s="645"/>
      <c r="JR455" s="645"/>
      <c r="JS455" s="645"/>
      <c r="JT455" s="645"/>
      <c r="JU455" s="645"/>
      <c r="JV455" s="653"/>
    </row>
    <row r="456" spans="1:282" s="612" customFormat="1">
      <c r="A456" s="611"/>
      <c r="U456" s="613"/>
      <c r="V456" s="613"/>
      <c r="AC456" s="613"/>
      <c r="AD456" s="613"/>
      <c r="AL456" s="613"/>
      <c r="AM456" s="613"/>
      <c r="AT456" s="613"/>
      <c r="AU456" s="613"/>
      <c r="CH456" s="611"/>
      <c r="CI456" s="611"/>
      <c r="CO456" s="695"/>
      <c r="CP456" s="645"/>
      <c r="CQ456" s="618"/>
      <c r="CR456" s="618"/>
      <c r="CS456" s="618"/>
      <c r="CT456" s="626"/>
      <c r="CU456" s="626"/>
      <c r="CV456" s="626"/>
      <c r="CW456" s="646"/>
      <c r="CX456" s="646"/>
      <c r="CY456" s="625"/>
      <c r="CZ456" s="625"/>
      <c r="DA456" s="625"/>
      <c r="DB456" s="625"/>
      <c r="DC456" s="645"/>
      <c r="DD456" s="645"/>
      <c r="DE456" s="645"/>
      <c r="DF456" s="645"/>
      <c r="DG456" s="645"/>
      <c r="DH456" s="645"/>
      <c r="DI456" s="645"/>
      <c r="DJ456" s="645"/>
      <c r="DK456" s="645"/>
      <c r="DL456" s="645"/>
      <c r="DM456" s="645"/>
      <c r="DN456" s="645"/>
      <c r="DO456" s="645"/>
      <c r="DP456" s="645"/>
      <c r="DQ456" s="645"/>
      <c r="DR456" s="645"/>
      <c r="DS456" s="645"/>
      <c r="DT456" s="645"/>
      <c r="DU456" s="645"/>
      <c r="DV456" s="645"/>
      <c r="DW456" s="645"/>
      <c r="DX456" s="645"/>
      <c r="DY456" s="645"/>
      <c r="DZ456" s="645"/>
      <c r="EA456" s="645"/>
      <c r="EB456" s="645"/>
      <c r="EC456" s="645"/>
      <c r="ED456" s="645"/>
      <c r="EE456" s="645"/>
      <c r="EF456" s="645"/>
      <c r="EG456" s="645"/>
      <c r="EH456" s="645"/>
      <c r="EI456" s="645"/>
      <c r="EJ456" s="645"/>
      <c r="EK456" s="645"/>
      <c r="EL456" s="645"/>
      <c r="EM456" s="645"/>
      <c r="EN456" s="645"/>
      <c r="EO456" s="645"/>
      <c r="EP456" s="645"/>
      <c r="EQ456" s="645"/>
      <c r="ER456" s="645"/>
      <c r="ES456" s="645"/>
      <c r="ET456" s="645"/>
      <c r="EU456" s="645"/>
      <c r="EV456" s="645"/>
      <c r="EW456" s="645"/>
      <c r="EX456" s="645"/>
      <c r="EY456" s="645"/>
      <c r="EZ456" s="645"/>
      <c r="FA456" s="645"/>
      <c r="FB456" s="645"/>
      <c r="FC456" s="645"/>
      <c r="FD456" s="645"/>
      <c r="FE456" s="645"/>
      <c r="FF456" s="645"/>
      <c r="FG456" s="645"/>
      <c r="FH456" s="645"/>
      <c r="FI456" s="645"/>
      <c r="FJ456" s="645"/>
      <c r="FK456" s="645"/>
      <c r="FL456" s="645"/>
      <c r="FM456" s="645"/>
      <c r="FN456" s="645"/>
      <c r="FO456" s="645"/>
      <c r="FP456" s="645"/>
      <c r="FQ456" s="645"/>
      <c r="FR456" s="645"/>
      <c r="FS456" s="645"/>
      <c r="FT456" s="645"/>
      <c r="FU456" s="645"/>
      <c r="FV456" s="645"/>
      <c r="FW456" s="645"/>
      <c r="FX456" s="645"/>
      <c r="FY456" s="645"/>
      <c r="FZ456" s="645"/>
      <c r="GA456" s="645"/>
      <c r="GB456" s="645"/>
      <c r="GC456" s="645"/>
      <c r="GD456" s="645"/>
      <c r="GE456" s="645"/>
      <c r="GF456" s="645"/>
      <c r="GG456" s="645"/>
      <c r="GH456" s="645"/>
      <c r="GI456" s="645"/>
      <c r="GJ456" s="645"/>
      <c r="GK456" s="645"/>
      <c r="GL456" s="645"/>
      <c r="GM456" s="645"/>
      <c r="GN456" s="645"/>
      <c r="GO456" s="645"/>
      <c r="GP456" s="645"/>
      <c r="GQ456" s="645"/>
      <c r="GR456" s="645"/>
      <c r="GS456" s="645"/>
      <c r="GT456" s="645"/>
      <c r="GU456" s="645"/>
      <c r="GV456" s="645"/>
      <c r="GW456" s="645"/>
      <c r="GX456" s="645"/>
      <c r="GY456" s="645"/>
      <c r="GZ456" s="645"/>
      <c r="HA456" s="645"/>
      <c r="HB456" s="645"/>
      <c r="HC456" s="645"/>
      <c r="HD456" s="645"/>
      <c r="HE456" s="645"/>
      <c r="HF456" s="645"/>
      <c r="HG456" s="645"/>
      <c r="HH456" s="645"/>
      <c r="HI456" s="645"/>
      <c r="HJ456" s="645"/>
      <c r="HK456" s="645"/>
      <c r="HL456" s="645"/>
      <c r="HM456" s="645"/>
      <c r="HN456" s="645"/>
      <c r="HO456" s="645"/>
      <c r="HP456" s="645"/>
      <c r="HQ456" s="645"/>
      <c r="HR456" s="645">
        <v>0.22650000000000001</v>
      </c>
      <c r="HS456" s="645">
        <f t="shared" si="848"/>
        <v>1520.7857142857142</v>
      </c>
      <c r="HT456" s="645">
        <f t="shared" si="849"/>
        <v>1</v>
      </c>
      <c r="HU456" s="618">
        <f t="shared" si="832"/>
        <v>5.770327143843792</v>
      </c>
      <c r="HV456" s="618"/>
      <c r="HW456" s="618">
        <f t="shared" si="835"/>
        <v>27.806135455741817</v>
      </c>
      <c r="HX456" s="618">
        <f t="shared" si="833"/>
        <v>5.1121930750058659</v>
      </c>
      <c r="HY456" s="618">
        <f t="shared" si="834"/>
        <v>0.22650000000000001</v>
      </c>
      <c r="HZ456" s="618"/>
      <c r="IA456" s="618"/>
      <c r="IB456" s="618">
        <f t="shared" si="836"/>
        <v>25.000350341399081</v>
      </c>
      <c r="IC456" s="618">
        <f t="shared" si="837"/>
        <v>1E-3</v>
      </c>
      <c r="ID456" s="618"/>
      <c r="IE456" s="618">
        <f t="shared" si="838"/>
        <v>0</v>
      </c>
      <c r="IF456" s="618">
        <f t="shared" si="839"/>
        <v>40.704999999999998</v>
      </c>
      <c r="IG456" s="618"/>
      <c r="IH456" s="618">
        <f t="shared" si="840"/>
        <v>0</v>
      </c>
      <c r="II456" s="618">
        <f t="shared" si="841"/>
        <v>40.704999999999998</v>
      </c>
      <c r="IJ456" s="618"/>
      <c r="IK456" s="618">
        <f t="shared" si="842"/>
        <v>0</v>
      </c>
      <c r="IL456" s="618">
        <f t="shared" si="843"/>
        <v>40.704999999999998</v>
      </c>
      <c r="IM456" s="618"/>
      <c r="IN456" s="618">
        <f t="shared" si="844"/>
        <v>0</v>
      </c>
      <c r="IO456" s="618">
        <f t="shared" si="845"/>
        <v>40.704999999999998</v>
      </c>
      <c r="IP456" s="618"/>
      <c r="IQ456" s="618">
        <f t="shared" si="846"/>
        <v>0</v>
      </c>
      <c r="IR456" s="618">
        <f t="shared" si="847"/>
        <v>40.704999999999998</v>
      </c>
      <c r="IS456" s="645"/>
      <c r="IT456" s="645"/>
      <c r="IU456" s="645"/>
      <c r="IV456" s="645"/>
      <c r="IW456" s="645"/>
      <c r="IX456" s="645"/>
      <c r="IY456" s="645"/>
      <c r="IZ456" s="645"/>
      <c r="JA456" s="645"/>
      <c r="JB456" s="645"/>
      <c r="JC456" s="645"/>
      <c r="JD456" s="645"/>
      <c r="JE456" s="645"/>
      <c r="JF456" s="645"/>
      <c r="JG456" s="645"/>
      <c r="JH456" s="645"/>
      <c r="JI456" s="645"/>
      <c r="JJ456" s="645"/>
      <c r="JK456" s="645"/>
      <c r="JL456" s="645"/>
      <c r="JM456" s="645"/>
      <c r="JN456" s="645"/>
      <c r="JO456" s="645"/>
      <c r="JP456" s="645"/>
      <c r="JQ456" s="645"/>
      <c r="JR456" s="645"/>
      <c r="JS456" s="645"/>
      <c r="JT456" s="645"/>
      <c r="JU456" s="645"/>
      <c r="JV456" s="653"/>
    </row>
    <row r="457" spans="1:282" s="612" customFormat="1">
      <c r="A457" s="611"/>
      <c r="U457" s="613"/>
      <c r="V457" s="613"/>
      <c r="AC457" s="613"/>
      <c r="AD457" s="613"/>
      <c r="AL457" s="613"/>
      <c r="AM457" s="613"/>
      <c r="AT457" s="613"/>
      <c r="AU457" s="613"/>
      <c r="CH457" s="611"/>
      <c r="CI457" s="611"/>
      <c r="CO457" s="695"/>
      <c r="CP457" s="645"/>
      <c r="CQ457" s="618"/>
      <c r="CR457" s="618"/>
      <c r="CS457" s="618"/>
      <c r="CT457" s="626"/>
      <c r="CU457" s="626"/>
      <c r="CV457" s="626"/>
      <c r="CW457" s="646"/>
      <c r="CX457" s="646"/>
      <c r="CY457" s="625"/>
      <c r="CZ457" s="625"/>
      <c r="DA457" s="625"/>
      <c r="DB457" s="625"/>
      <c r="DC457" s="645"/>
      <c r="DD457" s="645"/>
      <c r="DE457" s="645"/>
      <c r="DF457" s="645"/>
      <c r="DG457" s="645"/>
      <c r="DH457" s="645"/>
      <c r="DI457" s="645"/>
      <c r="DJ457" s="645"/>
      <c r="DK457" s="645"/>
      <c r="DL457" s="645"/>
      <c r="DM457" s="645"/>
      <c r="DN457" s="645"/>
      <c r="DO457" s="645"/>
      <c r="DP457" s="645"/>
      <c r="DQ457" s="645"/>
      <c r="DR457" s="645"/>
      <c r="DS457" s="645"/>
      <c r="DT457" s="645"/>
      <c r="DU457" s="645"/>
      <c r="DV457" s="645"/>
      <c r="DW457" s="645"/>
      <c r="DX457" s="645"/>
      <c r="DY457" s="645"/>
      <c r="DZ457" s="645"/>
      <c r="EA457" s="645"/>
      <c r="EB457" s="645"/>
      <c r="EC457" s="645"/>
      <c r="ED457" s="645"/>
      <c r="EE457" s="645"/>
      <c r="EF457" s="645"/>
      <c r="EG457" s="645"/>
      <c r="EH457" s="645"/>
      <c r="EI457" s="645"/>
      <c r="EJ457" s="645"/>
      <c r="EK457" s="645"/>
      <c r="EL457" s="645"/>
      <c r="EM457" s="645"/>
      <c r="EN457" s="645"/>
      <c r="EO457" s="645"/>
      <c r="EP457" s="645"/>
      <c r="EQ457" s="645"/>
      <c r="ER457" s="645"/>
      <c r="ES457" s="645"/>
      <c r="ET457" s="645"/>
      <c r="EU457" s="645"/>
      <c r="EV457" s="645"/>
      <c r="EW457" s="645"/>
      <c r="EX457" s="645"/>
      <c r="EY457" s="645"/>
      <c r="EZ457" s="645"/>
      <c r="FA457" s="645"/>
      <c r="FB457" s="645"/>
      <c r="FC457" s="645"/>
      <c r="FD457" s="645"/>
      <c r="FE457" s="645"/>
      <c r="FF457" s="645"/>
      <c r="FG457" s="645"/>
      <c r="FH457" s="645"/>
      <c r="FI457" s="645"/>
      <c r="FJ457" s="645"/>
      <c r="FK457" s="645"/>
      <c r="FL457" s="645"/>
      <c r="FM457" s="645"/>
      <c r="FN457" s="645"/>
      <c r="FO457" s="645"/>
      <c r="FP457" s="645"/>
      <c r="FQ457" s="645"/>
      <c r="FR457" s="645"/>
      <c r="FS457" s="645"/>
      <c r="FT457" s="645"/>
      <c r="FU457" s="645"/>
      <c r="FV457" s="645"/>
      <c r="FW457" s="645"/>
      <c r="FX457" s="645"/>
      <c r="FY457" s="645"/>
      <c r="FZ457" s="645"/>
      <c r="GA457" s="645"/>
      <c r="GB457" s="645"/>
      <c r="GC457" s="645"/>
      <c r="GD457" s="645"/>
      <c r="GE457" s="645"/>
      <c r="GF457" s="645"/>
      <c r="GG457" s="645"/>
      <c r="GH457" s="645"/>
      <c r="GI457" s="645"/>
      <c r="GJ457" s="645"/>
      <c r="GK457" s="645"/>
      <c r="GL457" s="645"/>
      <c r="GM457" s="645"/>
      <c r="GN457" s="645"/>
      <c r="GO457" s="645"/>
      <c r="GP457" s="645"/>
      <c r="GQ457" s="645"/>
      <c r="GR457" s="645"/>
      <c r="GS457" s="645"/>
      <c r="GT457" s="645"/>
      <c r="GU457" s="645"/>
      <c r="GV457" s="645"/>
      <c r="GW457" s="645"/>
      <c r="GX457" s="645"/>
      <c r="GY457" s="645"/>
      <c r="GZ457" s="645"/>
      <c r="HA457" s="645"/>
      <c r="HB457" s="645"/>
      <c r="HC457" s="645"/>
      <c r="HD457" s="645"/>
      <c r="HE457" s="645"/>
      <c r="HF457" s="645"/>
      <c r="HG457" s="645"/>
      <c r="HH457" s="645"/>
      <c r="HI457" s="645"/>
      <c r="HJ457" s="645"/>
      <c r="HK457" s="645"/>
      <c r="HL457" s="645"/>
      <c r="HM457" s="645"/>
      <c r="HN457" s="645"/>
      <c r="HO457" s="645"/>
      <c r="HP457" s="645"/>
      <c r="HQ457" s="645"/>
      <c r="HR457" s="645">
        <v>0.22700000000000001</v>
      </c>
      <c r="HS457" s="645">
        <f t="shared" si="848"/>
        <v>1524.1428571428571</v>
      </c>
      <c r="HT457" s="645">
        <f t="shared" si="849"/>
        <v>1</v>
      </c>
      <c r="HU457" s="618">
        <f t="shared" si="832"/>
        <v>5.7830661878174165</v>
      </c>
      <c r="HV457" s="618"/>
      <c r="HW457" s="618">
        <f t="shared" si="835"/>
        <v>27.788046013299269</v>
      </c>
      <c r="HX457" s="618">
        <f t="shared" si="833"/>
        <v>5.122026217786547</v>
      </c>
      <c r="HY457" s="618">
        <f t="shared" si="834"/>
        <v>0.22700000000000001</v>
      </c>
      <c r="HZ457" s="618"/>
      <c r="IA457" s="618"/>
      <c r="IB457" s="618">
        <f t="shared" si="836"/>
        <v>25.000350341399081</v>
      </c>
      <c r="IC457" s="618">
        <f t="shared" si="837"/>
        <v>1E-3</v>
      </c>
      <c r="ID457" s="618"/>
      <c r="IE457" s="618">
        <f t="shared" si="838"/>
        <v>0</v>
      </c>
      <c r="IF457" s="618">
        <f t="shared" si="839"/>
        <v>40.704999999999998</v>
      </c>
      <c r="IG457" s="618"/>
      <c r="IH457" s="618">
        <f t="shared" si="840"/>
        <v>0</v>
      </c>
      <c r="II457" s="618">
        <f t="shared" si="841"/>
        <v>40.704999999999998</v>
      </c>
      <c r="IJ457" s="618"/>
      <c r="IK457" s="618">
        <f t="shared" si="842"/>
        <v>0</v>
      </c>
      <c r="IL457" s="618">
        <f t="shared" si="843"/>
        <v>40.704999999999998</v>
      </c>
      <c r="IM457" s="618"/>
      <c r="IN457" s="618">
        <f t="shared" si="844"/>
        <v>0</v>
      </c>
      <c r="IO457" s="618">
        <f t="shared" si="845"/>
        <v>40.704999999999998</v>
      </c>
      <c r="IP457" s="618"/>
      <c r="IQ457" s="618">
        <f t="shared" si="846"/>
        <v>0</v>
      </c>
      <c r="IR457" s="618">
        <f t="shared" si="847"/>
        <v>40.704999999999998</v>
      </c>
      <c r="IS457" s="645"/>
      <c r="IT457" s="645"/>
      <c r="IU457" s="645"/>
      <c r="IV457" s="645"/>
      <c r="IW457" s="645"/>
      <c r="IX457" s="645"/>
      <c r="IY457" s="645"/>
      <c r="IZ457" s="645"/>
      <c r="JA457" s="645"/>
      <c r="JB457" s="645"/>
      <c r="JC457" s="645"/>
      <c r="JD457" s="645"/>
      <c r="JE457" s="645"/>
      <c r="JF457" s="645"/>
      <c r="JG457" s="645"/>
      <c r="JH457" s="645"/>
      <c r="JI457" s="645"/>
      <c r="JJ457" s="645"/>
      <c r="JK457" s="645"/>
      <c r="JL457" s="645"/>
      <c r="JM457" s="645"/>
      <c r="JN457" s="645"/>
      <c r="JO457" s="645"/>
      <c r="JP457" s="645"/>
      <c r="JQ457" s="645"/>
      <c r="JR457" s="645"/>
      <c r="JS457" s="645"/>
      <c r="JT457" s="645"/>
      <c r="JU457" s="645"/>
      <c r="JV457" s="653"/>
    </row>
    <row r="458" spans="1:282" s="612" customFormat="1">
      <c r="A458" s="611"/>
      <c r="U458" s="613"/>
      <c r="V458" s="613"/>
      <c r="AC458" s="613"/>
      <c r="AD458" s="613"/>
      <c r="AL458" s="613"/>
      <c r="AM458" s="613"/>
      <c r="AT458" s="613"/>
      <c r="AU458" s="613"/>
      <c r="CH458" s="611"/>
      <c r="CI458" s="611"/>
      <c r="CO458" s="695"/>
      <c r="CP458" s="645"/>
      <c r="CQ458" s="618"/>
      <c r="CR458" s="618"/>
      <c r="CS458" s="618"/>
      <c r="CT458" s="626"/>
      <c r="CU458" s="626"/>
      <c r="CV458" s="626"/>
      <c r="CW458" s="646"/>
      <c r="CX458" s="646"/>
      <c r="CY458" s="625"/>
      <c r="CZ458" s="625"/>
      <c r="DA458" s="625"/>
      <c r="DB458" s="625"/>
      <c r="DC458" s="645"/>
      <c r="DD458" s="645"/>
      <c r="DE458" s="645"/>
      <c r="DF458" s="645"/>
      <c r="DG458" s="645"/>
      <c r="DH458" s="645"/>
      <c r="DI458" s="645"/>
      <c r="DJ458" s="645"/>
      <c r="DK458" s="645"/>
      <c r="DL458" s="645"/>
      <c r="DM458" s="645"/>
      <c r="DN458" s="645"/>
      <c r="DO458" s="645"/>
      <c r="DP458" s="645"/>
      <c r="DQ458" s="645"/>
      <c r="DR458" s="645"/>
      <c r="DS458" s="645"/>
      <c r="DT458" s="645"/>
      <c r="DU458" s="645"/>
      <c r="DV458" s="645"/>
      <c r="DW458" s="645"/>
      <c r="DX458" s="645"/>
      <c r="DY458" s="645"/>
      <c r="DZ458" s="645"/>
      <c r="EA458" s="645"/>
      <c r="EB458" s="645"/>
      <c r="EC458" s="645"/>
      <c r="ED458" s="645"/>
      <c r="EE458" s="645"/>
      <c r="EF458" s="645"/>
      <c r="EG458" s="645"/>
      <c r="EH458" s="645"/>
      <c r="EI458" s="645"/>
      <c r="EJ458" s="645"/>
      <c r="EK458" s="645"/>
      <c r="EL458" s="645"/>
      <c r="EM458" s="645"/>
      <c r="EN458" s="645"/>
      <c r="EO458" s="645"/>
      <c r="EP458" s="645"/>
      <c r="EQ458" s="645"/>
      <c r="ER458" s="645"/>
      <c r="ES458" s="645"/>
      <c r="ET458" s="645"/>
      <c r="EU458" s="645"/>
      <c r="EV458" s="645"/>
      <c r="EW458" s="645"/>
      <c r="EX458" s="645"/>
      <c r="EY458" s="645"/>
      <c r="EZ458" s="645"/>
      <c r="FA458" s="645"/>
      <c r="FB458" s="645"/>
      <c r="FC458" s="645"/>
      <c r="FD458" s="645"/>
      <c r="FE458" s="645"/>
      <c r="FF458" s="645"/>
      <c r="FG458" s="645"/>
      <c r="FH458" s="645"/>
      <c r="FI458" s="645"/>
      <c r="FJ458" s="645"/>
      <c r="FK458" s="645"/>
      <c r="FL458" s="645"/>
      <c r="FM458" s="645"/>
      <c r="FN458" s="645"/>
      <c r="FO458" s="645"/>
      <c r="FP458" s="645"/>
      <c r="FQ458" s="645"/>
      <c r="FR458" s="645"/>
      <c r="FS458" s="645"/>
      <c r="FT458" s="645"/>
      <c r="FU458" s="645"/>
      <c r="FV458" s="645"/>
      <c r="FW458" s="645"/>
      <c r="FX458" s="645"/>
      <c r="FY458" s="645"/>
      <c r="FZ458" s="645"/>
      <c r="GA458" s="645"/>
      <c r="GB458" s="645"/>
      <c r="GC458" s="645"/>
      <c r="GD458" s="645"/>
      <c r="GE458" s="645"/>
      <c r="GF458" s="645"/>
      <c r="GG458" s="645"/>
      <c r="GH458" s="645"/>
      <c r="GI458" s="645"/>
      <c r="GJ458" s="645"/>
      <c r="GK458" s="645"/>
      <c r="GL458" s="645"/>
      <c r="GM458" s="645"/>
      <c r="GN458" s="645"/>
      <c r="GO458" s="645"/>
      <c r="GP458" s="645"/>
      <c r="GQ458" s="645"/>
      <c r="GR458" s="645"/>
      <c r="GS458" s="645"/>
      <c r="GT458" s="645"/>
      <c r="GU458" s="645"/>
      <c r="GV458" s="645"/>
      <c r="GW458" s="645"/>
      <c r="GX458" s="645"/>
      <c r="GY458" s="645"/>
      <c r="GZ458" s="645"/>
      <c r="HA458" s="645"/>
      <c r="HB458" s="645"/>
      <c r="HC458" s="645"/>
      <c r="HD458" s="645"/>
      <c r="HE458" s="645"/>
      <c r="HF458" s="645"/>
      <c r="HG458" s="645"/>
      <c r="HH458" s="645"/>
      <c r="HI458" s="645"/>
      <c r="HJ458" s="645"/>
      <c r="HK458" s="645"/>
      <c r="HL458" s="645"/>
      <c r="HM458" s="645"/>
      <c r="HN458" s="645"/>
      <c r="HO458" s="645"/>
      <c r="HP458" s="645"/>
      <c r="HQ458" s="645"/>
      <c r="HR458" s="645">
        <v>0.22750000000000001</v>
      </c>
      <c r="HS458" s="645">
        <f t="shared" si="848"/>
        <v>1527.5</v>
      </c>
      <c r="HT458" s="645">
        <f t="shared" si="849"/>
        <v>1</v>
      </c>
      <c r="HU458" s="618">
        <f t="shared" si="832"/>
        <v>5.7958052317910411</v>
      </c>
      <c r="HV458" s="618"/>
      <c r="HW458" s="618">
        <f t="shared" si="835"/>
        <v>27.769956570856721</v>
      </c>
      <c r="HX458" s="618">
        <f t="shared" si="833"/>
        <v>5.13185295939493</v>
      </c>
      <c r="HY458" s="618">
        <f t="shared" si="834"/>
        <v>0.22750000000000001</v>
      </c>
      <c r="HZ458" s="618"/>
      <c r="IA458" s="618"/>
      <c r="IB458" s="618">
        <f t="shared" si="836"/>
        <v>25.000350341399081</v>
      </c>
      <c r="IC458" s="618">
        <f t="shared" si="837"/>
        <v>1E-3</v>
      </c>
      <c r="ID458" s="618"/>
      <c r="IE458" s="618">
        <f t="shared" si="838"/>
        <v>0</v>
      </c>
      <c r="IF458" s="618">
        <f t="shared" si="839"/>
        <v>40.704999999999998</v>
      </c>
      <c r="IG458" s="618"/>
      <c r="IH458" s="618">
        <f t="shared" si="840"/>
        <v>0</v>
      </c>
      <c r="II458" s="618">
        <f t="shared" si="841"/>
        <v>40.704999999999998</v>
      </c>
      <c r="IJ458" s="618"/>
      <c r="IK458" s="618">
        <f t="shared" si="842"/>
        <v>0</v>
      </c>
      <c r="IL458" s="618">
        <f t="shared" si="843"/>
        <v>40.704999999999998</v>
      </c>
      <c r="IM458" s="618"/>
      <c r="IN458" s="618">
        <f t="shared" si="844"/>
        <v>0</v>
      </c>
      <c r="IO458" s="618">
        <f t="shared" si="845"/>
        <v>40.704999999999998</v>
      </c>
      <c r="IP458" s="618"/>
      <c r="IQ458" s="618">
        <f t="shared" si="846"/>
        <v>0</v>
      </c>
      <c r="IR458" s="618">
        <f t="shared" si="847"/>
        <v>40.704999999999998</v>
      </c>
      <c r="IS458" s="645"/>
      <c r="IT458" s="645"/>
      <c r="IU458" s="645"/>
      <c r="IV458" s="645"/>
      <c r="IW458" s="645"/>
      <c r="IX458" s="645"/>
      <c r="IY458" s="645"/>
      <c r="IZ458" s="645"/>
      <c r="JA458" s="645"/>
      <c r="JB458" s="645"/>
      <c r="JC458" s="645"/>
      <c r="JD458" s="645"/>
      <c r="JE458" s="645"/>
      <c r="JF458" s="645"/>
      <c r="JG458" s="645"/>
      <c r="JH458" s="645"/>
      <c r="JI458" s="645"/>
      <c r="JJ458" s="645"/>
      <c r="JK458" s="645"/>
      <c r="JL458" s="645"/>
      <c r="JM458" s="645"/>
      <c r="JN458" s="645"/>
      <c r="JO458" s="645"/>
      <c r="JP458" s="645"/>
      <c r="JQ458" s="645"/>
      <c r="JR458" s="645"/>
      <c r="JS458" s="645"/>
      <c r="JT458" s="645"/>
      <c r="JU458" s="645"/>
      <c r="JV458" s="653"/>
    </row>
    <row r="459" spans="1:282" s="612" customFormat="1">
      <c r="A459" s="611"/>
      <c r="U459" s="613"/>
      <c r="V459" s="613"/>
      <c r="AC459" s="613"/>
      <c r="AD459" s="613"/>
      <c r="AL459" s="613"/>
      <c r="AM459" s="613"/>
      <c r="AT459" s="613"/>
      <c r="AU459" s="613"/>
      <c r="CH459" s="611"/>
      <c r="CI459" s="611"/>
      <c r="CO459" s="695"/>
      <c r="CP459" s="645"/>
      <c r="CQ459" s="618"/>
      <c r="CR459" s="618"/>
      <c r="CS459" s="618"/>
      <c r="CT459" s="626"/>
      <c r="CU459" s="626"/>
      <c r="CV459" s="626"/>
      <c r="CW459" s="646"/>
      <c r="CX459" s="646"/>
      <c r="CY459" s="625"/>
      <c r="CZ459" s="625"/>
      <c r="DA459" s="625"/>
      <c r="DB459" s="625"/>
      <c r="DC459" s="645"/>
      <c r="DD459" s="645"/>
      <c r="DE459" s="645"/>
      <c r="DF459" s="645"/>
      <c r="DG459" s="645"/>
      <c r="DH459" s="645"/>
      <c r="DI459" s="645"/>
      <c r="DJ459" s="645"/>
      <c r="DK459" s="645"/>
      <c r="DL459" s="645"/>
      <c r="DM459" s="645"/>
      <c r="DN459" s="645"/>
      <c r="DO459" s="645"/>
      <c r="DP459" s="645"/>
      <c r="DQ459" s="645"/>
      <c r="DR459" s="645"/>
      <c r="DS459" s="645"/>
      <c r="DT459" s="645"/>
      <c r="DU459" s="645"/>
      <c r="DV459" s="645"/>
      <c r="DW459" s="645"/>
      <c r="DX459" s="645"/>
      <c r="DY459" s="645"/>
      <c r="DZ459" s="645"/>
      <c r="EA459" s="645"/>
      <c r="EB459" s="645"/>
      <c r="EC459" s="645"/>
      <c r="ED459" s="645"/>
      <c r="EE459" s="645"/>
      <c r="EF459" s="645"/>
      <c r="EG459" s="645"/>
      <c r="EH459" s="645"/>
      <c r="EI459" s="645"/>
      <c r="EJ459" s="645"/>
      <c r="EK459" s="645"/>
      <c r="EL459" s="645"/>
      <c r="EM459" s="645"/>
      <c r="EN459" s="645"/>
      <c r="EO459" s="645"/>
      <c r="EP459" s="645"/>
      <c r="EQ459" s="645"/>
      <c r="ER459" s="645"/>
      <c r="ES459" s="645"/>
      <c r="ET459" s="645"/>
      <c r="EU459" s="645"/>
      <c r="EV459" s="645"/>
      <c r="EW459" s="645"/>
      <c r="EX459" s="645"/>
      <c r="EY459" s="645"/>
      <c r="EZ459" s="645"/>
      <c r="FA459" s="645"/>
      <c r="FB459" s="645"/>
      <c r="FC459" s="645"/>
      <c r="FD459" s="645"/>
      <c r="FE459" s="645"/>
      <c r="FF459" s="645"/>
      <c r="FG459" s="645"/>
      <c r="FH459" s="645"/>
      <c r="FI459" s="645"/>
      <c r="FJ459" s="645"/>
      <c r="FK459" s="645"/>
      <c r="FL459" s="645"/>
      <c r="FM459" s="645"/>
      <c r="FN459" s="645"/>
      <c r="FO459" s="645"/>
      <c r="FP459" s="645"/>
      <c r="FQ459" s="645"/>
      <c r="FR459" s="645"/>
      <c r="FS459" s="645"/>
      <c r="FT459" s="645"/>
      <c r="FU459" s="645"/>
      <c r="FV459" s="645"/>
      <c r="FW459" s="645"/>
      <c r="FX459" s="645"/>
      <c r="FY459" s="645"/>
      <c r="FZ459" s="645"/>
      <c r="GA459" s="645"/>
      <c r="GB459" s="645"/>
      <c r="GC459" s="645"/>
      <c r="GD459" s="645"/>
      <c r="GE459" s="645"/>
      <c r="GF459" s="645"/>
      <c r="GG459" s="645"/>
      <c r="GH459" s="645"/>
      <c r="GI459" s="645"/>
      <c r="GJ459" s="645"/>
      <c r="GK459" s="645"/>
      <c r="GL459" s="645"/>
      <c r="GM459" s="645"/>
      <c r="GN459" s="645"/>
      <c r="GO459" s="645"/>
      <c r="GP459" s="645"/>
      <c r="GQ459" s="645"/>
      <c r="GR459" s="645"/>
      <c r="GS459" s="645"/>
      <c r="GT459" s="645"/>
      <c r="GU459" s="645"/>
      <c r="GV459" s="645"/>
      <c r="GW459" s="645"/>
      <c r="GX459" s="645"/>
      <c r="GY459" s="645"/>
      <c r="GZ459" s="645"/>
      <c r="HA459" s="645"/>
      <c r="HB459" s="645"/>
      <c r="HC459" s="645"/>
      <c r="HD459" s="645"/>
      <c r="HE459" s="645"/>
      <c r="HF459" s="645"/>
      <c r="HG459" s="645"/>
      <c r="HH459" s="645"/>
      <c r="HI459" s="645"/>
      <c r="HJ459" s="645"/>
      <c r="HK459" s="645"/>
      <c r="HL459" s="645"/>
      <c r="HM459" s="645"/>
      <c r="HN459" s="645"/>
      <c r="HO459" s="645"/>
      <c r="HP459" s="645"/>
      <c r="HQ459" s="645"/>
      <c r="HR459" s="645">
        <v>0.22800000000000001</v>
      </c>
      <c r="HS459" s="645">
        <f t="shared" si="848"/>
        <v>1530.8571428571429</v>
      </c>
      <c r="HT459" s="645">
        <f t="shared" si="849"/>
        <v>1</v>
      </c>
      <c r="HU459" s="618">
        <f t="shared" si="832"/>
        <v>5.8085442757646657</v>
      </c>
      <c r="HV459" s="618"/>
      <c r="HW459" s="618">
        <f t="shared" si="835"/>
        <v>27.751867128414176</v>
      </c>
      <c r="HX459" s="618">
        <f t="shared" si="833"/>
        <v>5.1416732998310151</v>
      </c>
      <c r="HY459" s="618">
        <f t="shared" si="834"/>
        <v>0.22800000000000001</v>
      </c>
      <c r="HZ459" s="618"/>
      <c r="IA459" s="618"/>
      <c r="IB459" s="618">
        <f t="shared" si="836"/>
        <v>25.000350341399081</v>
      </c>
      <c r="IC459" s="618">
        <f t="shared" si="837"/>
        <v>1E-3</v>
      </c>
      <c r="ID459" s="618"/>
      <c r="IE459" s="618">
        <f t="shared" si="838"/>
        <v>0</v>
      </c>
      <c r="IF459" s="618">
        <f t="shared" si="839"/>
        <v>40.704999999999998</v>
      </c>
      <c r="IG459" s="618"/>
      <c r="IH459" s="618">
        <f t="shared" si="840"/>
        <v>0</v>
      </c>
      <c r="II459" s="618">
        <f t="shared" si="841"/>
        <v>40.704999999999998</v>
      </c>
      <c r="IJ459" s="618"/>
      <c r="IK459" s="618">
        <f t="shared" si="842"/>
        <v>0</v>
      </c>
      <c r="IL459" s="618">
        <f t="shared" si="843"/>
        <v>40.704999999999998</v>
      </c>
      <c r="IM459" s="618"/>
      <c r="IN459" s="618">
        <f t="shared" si="844"/>
        <v>0</v>
      </c>
      <c r="IO459" s="618">
        <f t="shared" si="845"/>
        <v>40.704999999999998</v>
      </c>
      <c r="IP459" s="618"/>
      <c r="IQ459" s="618">
        <f t="shared" si="846"/>
        <v>0</v>
      </c>
      <c r="IR459" s="618">
        <f t="shared" si="847"/>
        <v>40.704999999999998</v>
      </c>
      <c r="IS459" s="645"/>
      <c r="IT459" s="645"/>
      <c r="IU459" s="645"/>
      <c r="IV459" s="645"/>
      <c r="IW459" s="645"/>
      <c r="IX459" s="645"/>
      <c r="IY459" s="645"/>
      <c r="IZ459" s="645"/>
      <c r="JA459" s="645"/>
      <c r="JB459" s="645"/>
      <c r="JC459" s="645"/>
      <c r="JD459" s="645"/>
      <c r="JE459" s="645"/>
      <c r="JF459" s="645"/>
      <c r="JG459" s="645"/>
      <c r="JH459" s="645"/>
      <c r="JI459" s="645"/>
      <c r="JJ459" s="645"/>
      <c r="JK459" s="645"/>
      <c r="JL459" s="645"/>
      <c r="JM459" s="645"/>
      <c r="JN459" s="645"/>
      <c r="JO459" s="645"/>
      <c r="JP459" s="645"/>
      <c r="JQ459" s="645"/>
      <c r="JR459" s="645"/>
      <c r="JS459" s="645"/>
      <c r="JT459" s="645"/>
      <c r="JU459" s="645"/>
      <c r="JV459" s="653"/>
    </row>
    <row r="460" spans="1:282" s="612" customFormat="1">
      <c r="A460" s="611"/>
      <c r="U460" s="613"/>
      <c r="V460" s="613"/>
      <c r="AC460" s="613"/>
      <c r="AD460" s="613"/>
      <c r="AL460" s="613"/>
      <c r="AM460" s="613"/>
      <c r="AT460" s="613"/>
      <c r="AU460" s="613"/>
      <c r="CH460" s="611"/>
      <c r="CI460" s="611"/>
      <c r="CO460" s="695"/>
      <c r="CP460" s="645"/>
      <c r="CQ460" s="618"/>
      <c r="CR460" s="618"/>
      <c r="CS460" s="618"/>
      <c r="CT460" s="626"/>
      <c r="CU460" s="626"/>
      <c r="CV460" s="626"/>
      <c r="CW460" s="646"/>
      <c r="CX460" s="646"/>
      <c r="CY460" s="625"/>
      <c r="CZ460" s="625"/>
      <c r="DA460" s="625"/>
      <c r="DB460" s="625"/>
      <c r="DC460" s="645"/>
      <c r="DD460" s="645"/>
      <c r="DE460" s="645"/>
      <c r="DF460" s="645"/>
      <c r="DG460" s="645"/>
      <c r="DH460" s="645"/>
      <c r="DI460" s="645"/>
      <c r="DJ460" s="645"/>
      <c r="DK460" s="645"/>
      <c r="DL460" s="645"/>
      <c r="DM460" s="645"/>
      <c r="DN460" s="645"/>
      <c r="DO460" s="645"/>
      <c r="DP460" s="645"/>
      <c r="DQ460" s="645"/>
      <c r="DR460" s="645"/>
      <c r="DS460" s="645"/>
      <c r="DT460" s="645"/>
      <c r="DU460" s="645"/>
      <c r="DV460" s="645"/>
      <c r="DW460" s="645"/>
      <c r="DX460" s="645"/>
      <c r="DY460" s="645"/>
      <c r="DZ460" s="645"/>
      <c r="EA460" s="645"/>
      <c r="EB460" s="645"/>
      <c r="EC460" s="645"/>
      <c r="ED460" s="645"/>
      <c r="EE460" s="645"/>
      <c r="EF460" s="645"/>
      <c r="EG460" s="645"/>
      <c r="EH460" s="645"/>
      <c r="EI460" s="645"/>
      <c r="EJ460" s="645"/>
      <c r="EK460" s="645"/>
      <c r="EL460" s="645"/>
      <c r="EM460" s="645"/>
      <c r="EN460" s="645"/>
      <c r="EO460" s="645"/>
      <c r="EP460" s="645"/>
      <c r="EQ460" s="645"/>
      <c r="ER460" s="645"/>
      <c r="ES460" s="645"/>
      <c r="ET460" s="645"/>
      <c r="EU460" s="645"/>
      <c r="EV460" s="645"/>
      <c r="EW460" s="645"/>
      <c r="EX460" s="645"/>
      <c r="EY460" s="645"/>
      <c r="EZ460" s="645"/>
      <c r="FA460" s="645"/>
      <c r="FB460" s="645"/>
      <c r="FC460" s="645"/>
      <c r="FD460" s="645"/>
      <c r="FE460" s="645"/>
      <c r="FF460" s="645"/>
      <c r="FG460" s="645"/>
      <c r="FH460" s="645"/>
      <c r="FI460" s="645"/>
      <c r="FJ460" s="645"/>
      <c r="FK460" s="645"/>
      <c r="FL460" s="645"/>
      <c r="FM460" s="645"/>
      <c r="FN460" s="645"/>
      <c r="FO460" s="645"/>
      <c r="FP460" s="645"/>
      <c r="FQ460" s="645"/>
      <c r="FR460" s="645"/>
      <c r="FS460" s="645"/>
      <c r="FT460" s="645"/>
      <c r="FU460" s="645"/>
      <c r="FV460" s="645"/>
      <c r="FW460" s="645"/>
      <c r="FX460" s="645"/>
      <c r="FY460" s="645"/>
      <c r="FZ460" s="645"/>
      <c r="GA460" s="645"/>
      <c r="GB460" s="645"/>
      <c r="GC460" s="645"/>
      <c r="GD460" s="645"/>
      <c r="GE460" s="645"/>
      <c r="GF460" s="645"/>
      <c r="GG460" s="645"/>
      <c r="GH460" s="645"/>
      <c r="GI460" s="645"/>
      <c r="GJ460" s="645"/>
      <c r="GK460" s="645"/>
      <c r="GL460" s="645"/>
      <c r="GM460" s="645"/>
      <c r="GN460" s="645"/>
      <c r="GO460" s="645"/>
      <c r="GP460" s="645"/>
      <c r="GQ460" s="645"/>
      <c r="GR460" s="645"/>
      <c r="GS460" s="645"/>
      <c r="GT460" s="645"/>
      <c r="GU460" s="645"/>
      <c r="GV460" s="645"/>
      <c r="GW460" s="645"/>
      <c r="GX460" s="645"/>
      <c r="GY460" s="645"/>
      <c r="GZ460" s="645"/>
      <c r="HA460" s="645"/>
      <c r="HB460" s="645"/>
      <c r="HC460" s="645"/>
      <c r="HD460" s="645"/>
      <c r="HE460" s="645"/>
      <c r="HF460" s="645"/>
      <c r="HG460" s="645"/>
      <c r="HH460" s="645"/>
      <c r="HI460" s="645"/>
      <c r="HJ460" s="645"/>
      <c r="HK460" s="645"/>
      <c r="HL460" s="645"/>
      <c r="HM460" s="645"/>
      <c r="HN460" s="645"/>
      <c r="HO460" s="645"/>
      <c r="HP460" s="645"/>
      <c r="HQ460" s="645"/>
      <c r="HR460" s="645">
        <v>0.22850000000000001</v>
      </c>
      <c r="HS460" s="645">
        <f t="shared" si="848"/>
        <v>1534.2142857142858</v>
      </c>
      <c r="HT460" s="645">
        <f t="shared" si="849"/>
        <v>1</v>
      </c>
      <c r="HU460" s="618">
        <f t="shared" si="832"/>
        <v>5.8212833197382903</v>
      </c>
      <c r="HV460" s="618"/>
      <c r="HW460" s="618">
        <f t="shared" si="835"/>
        <v>27.733777685971628</v>
      </c>
      <c r="HX460" s="618">
        <f t="shared" si="833"/>
        <v>5.1514872390948021</v>
      </c>
      <c r="HY460" s="618">
        <f t="shared" si="834"/>
        <v>0.22850000000000001</v>
      </c>
      <c r="HZ460" s="618"/>
      <c r="IA460" s="618"/>
      <c r="IB460" s="618">
        <f t="shared" si="836"/>
        <v>25.000350341399081</v>
      </c>
      <c r="IC460" s="618">
        <f t="shared" si="837"/>
        <v>1E-3</v>
      </c>
      <c r="ID460" s="618"/>
      <c r="IE460" s="618">
        <f t="shared" si="838"/>
        <v>0</v>
      </c>
      <c r="IF460" s="618">
        <f t="shared" si="839"/>
        <v>40.704999999999998</v>
      </c>
      <c r="IG460" s="618"/>
      <c r="IH460" s="618">
        <f t="shared" si="840"/>
        <v>0</v>
      </c>
      <c r="II460" s="618">
        <f t="shared" si="841"/>
        <v>40.704999999999998</v>
      </c>
      <c r="IJ460" s="618"/>
      <c r="IK460" s="618">
        <f t="shared" si="842"/>
        <v>0</v>
      </c>
      <c r="IL460" s="618">
        <f t="shared" si="843"/>
        <v>40.704999999999998</v>
      </c>
      <c r="IM460" s="618"/>
      <c r="IN460" s="618">
        <f t="shared" si="844"/>
        <v>0</v>
      </c>
      <c r="IO460" s="618">
        <f t="shared" si="845"/>
        <v>40.704999999999998</v>
      </c>
      <c r="IP460" s="618"/>
      <c r="IQ460" s="618">
        <f t="shared" si="846"/>
        <v>0</v>
      </c>
      <c r="IR460" s="618">
        <f t="shared" si="847"/>
        <v>40.704999999999998</v>
      </c>
      <c r="IS460" s="645"/>
      <c r="IT460" s="645"/>
      <c r="IU460" s="645"/>
      <c r="IV460" s="645"/>
      <c r="IW460" s="645"/>
      <c r="IX460" s="645"/>
      <c r="IY460" s="645"/>
      <c r="IZ460" s="645"/>
      <c r="JA460" s="645"/>
      <c r="JB460" s="645"/>
      <c r="JC460" s="645"/>
      <c r="JD460" s="645"/>
      <c r="JE460" s="645"/>
      <c r="JF460" s="645"/>
      <c r="JG460" s="645"/>
      <c r="JH460" s="645"/>
      <c r="JI460" s="645"/>
      <c r="JJ460" s="645"/>
      <c r="JK460" s="645"/>
      <c r="JL460" s="645"/>
      <c r="JM460" s="645"/>
      <c r="JN460" s="645"/>
      <c r="JO460" s="645"/>
      <c r="JP460" s="645"/>
      <c r="JQ460" s="645"/>
      <c r="JR460" s="645"/>
      <c r="JS460" s="645"/>
      <c r="JT460" s="645"/>
      <c r="JU460" s="645"/>
      <c r="JV460" s="653"/>
    </row>
    <row r="461" spans="1:282" s="612" customFormat="1">
      <c r="A461" s="611"/>
      <c r="U461" s="613"/>
      <c r="V461" s="613"/>
      <c r="AC461" s="613"/>
      <c r="AD461" s="613"/>
      <c r="AL461" s="613"/>
      <c r="AM461" s="613"/>
      <c r="AT461" s="613"/>
      <c r="AU461" s="613"/>
      <c r="CH461" s="611"/>
      <c r="CI461" s="611"/>
      <c r="CO461" s="695"/>
      <c r="CP461" s="645"/>
      <c r="CQ461" s="618"/>
      <c r="CR461" s="618"/>
      <c r="CS461" s="618"/>
      <c r="CT461" s="626"/>
      <c r="CU461" s="626"/>
      <c r="CV461" s="626"/>
      <c r="CW461" s="646"/>
      <c r="CX461" s="646"/>
      <c r="CY461" s="625"/>
      <c r="CZ461" s="625"/>
      <c r="DA461" s="625"/>
      <c r="DB461" s="625"/>
      <c r="DC461" s="645"/>
      <c r="DD461" s="645"/>
      <c r="DE461" s="645"/>
      <c r="DF461" s="645"/>
      <c r="DG461" s="645"/>
      <c r="DH461" s="645"/>
      <c r="DI461" s="645"/>
      <c r="DJ461" s="645"/>
      <c r="DK461" s="645"/>
      <c r="DL461" s="645"/>
      <c r="DM461" s="645"/>
      <c r="DN461" s="645"/>
      <c r="DO461" s="645"/>
      <c r="DP461" s="645"/>
      <c r="DQ461" s="645"/>
      <c r="DR461" s="645"/>
      <c r="DS461" s="645"/>
      <c r="DT461" s="645"/>
      <c r="DU461" s="645"/>
      <c r="DV461" s="645"/>
      <c r="DW461" s="645"/>
      <c r="DX461" s="645"/>
      <c r="DY461" s="645"/>
      <c r="DZ461" s="645"/>
      <c r="EA461" s="645"/>
      <c r="EB461" s="645"/>
      <c r="EC461" s="645"/>
      <c r="ED461" s="645"/>
      <c r="EE461" s="645"/>
      <c r="EF461" s="645"/>
      <c r="EG461" s="645"/>
      <c r="EH461" s="645"/>
      <c r="EI461" s="645"/>
      <c r="EJ461" s="645"/>
      <c r="EK461" s="645"/>
      <c r="EL461" s="645"/>
      <c r="EM461" s="645"/>
      <c r="EN461" s="645"/>
      <c r="EO461" s="645"/>
      <c r="EP461" s="645"/>
      <c r="EQ461" s="645"/>
      <c r="ER461" s="645"/>
      <c r="ES461" s="645"/>
      <c r="ET461" s="645"/>
      <c r="EU461" s="645"/>
      <c r="EV461" s="645"/>
      <c r="EW461" s="645"/>
      <c r="EX461" s="645"/>
      <c r="EY461" s="645"/>
      <c r="EZ461" s="645"/>
      <c r="FA461" s="645"/>
      <c r="FB461" s="645"/>
      <c r="FC461" s="645"/>
      <c r="FD461" s="645"/>
      <c r="FE461" s="645"/>
      <c r="FF461" s="645"/>
      <c r="FG461" s="645"/>
      <c r="FH461" s="645"/>
      <c r="FI461" s="645"/>
      <c r="FJ461" s="645"/>
      <c r="FK461" s="645"/>
      <c r="FL461" s="645"/>
      <c r="FM461" s="645"/>
      <c r="FN461" s="645"/>
      <c r="FO461" s="645"/>
      <c r="FP461" s="645"/>
      <c r="FQ461" s="645"/>
      <c r="FR461" s="645"/>
      <c r="FS461" s="645"/>
      <c r="FT461" s="645"/>
      <c r="FU461" s="645"/>
      <c r="FV461" s="645"/>
      <c r="FW461" s="645"/>
      <c r="FX461" s="645"/>
      <c r="FY461" s="645"/>
      <c r="FZ461" s="645"/>
      <c r="GA461" s="645"/>
      <c r="GB461" s="645"/>
      <c r="GC461" s="645"/>
      <c r="GD461" s="645"/>
      <c r="GE461" s="645"/>
      <c r="GF461" s="645"/>
      <c r="GG461" s="645"/>
      <c r="GH461" s="645"/>
      <c r="GI461" s="645"/>
      <c r="GJ461" s="645"/>
      <c r="GK461" s="645"/>
      <c r="GL461" s="645"/>
      <c r="GM461" s="645"/>
      <c r="GN461" s="645"/>
      <c r="GO461" s="645"/>
      <c r="GP461" s="645"/>
      <c r="GQ461" s="645"/>
      <c r="GR461" s="645"/>
      <c r="GS461" s="645"/>
      <c r="GT461" s="645"/>
      <c r="GU461" s="645"/>
      <c r="GV461" s="645"/>
      <c r="GW461" s="645"/>
      <c r="GX461" s="645"/>
      <c r="GY461" s="645"/>
      <c r="GZ461" s="645"/>
      <c r="HA461" s="645"/>
      <c r="HB461" s="645"/>
      <c r="HC461" s="645"/>
      <c r="HD461" s="645"/>
      <c r="HE461" s="645"/>
      <c r="HF461" s="645"/>
      <c r="HG461" s="645"/>
      <c r="HH461" s="645"/>
      <c r="HI461" s="645"/>
      <c r="HJ461" s="645"/>
      <c r="HK461" s="645"/>
      <c r="HL461" s="645"/>
      <c r="HM461" s="645"/>
      <c r="HN461" s="645"/>
      <c r="HO461" s="645"/>
      <c r="HP461" s="645"/>
      <c r="HQ461" s="645"/>
      <c r="HR461" s="645">
        <v>0.22900000000000001</v>
      </c>
      <c r="HS461" s="645">
        <f t="shared" si="848"/>
        <v>1537.5714285714287</v>
      </c>
      <c r="HT461" s="645">
        <f t="shared" si="849"/>
        <v>1</v>
      </c>
      <c r="HU461" s="618">
        <f t="shared" si="832"/>
        <v>5.8340223637119148</v>
      </c>
      <c r="HV461" s="618"/>
      <c r="HW461" s="618">
        <f t="shared" si="835"/>
        <v>27.71568824352908</v>
      </c>
      <c r="HX461" s="618">
        <f t="shared" si="833"/>
        <v>5.1612947771862911</v>
      </c>
      <c r="HY461" s="618">
        <f t="shared" si="834"/>
        <v>0.22900000000000001</v>
      </c>
      <c r="HZ461" s="618"/>
      <c r="IA461" s="618"/>
      <c r="IB461" s="618">
        <f t="shared" si="836"/>
        <v>25.000350341399081</v>
      </c>
      <c r="IC461" s="618">
        <f t="shared" si="837"/>
        <v>1E-3</v>
      </c>
      <c r="ID461" s="618"/>
      <c r="IE461" s="618">
        <f t="shared" si="838"/>
        <v>0</v>
      </c>
      <c r="IF461" s="618">
        <f t="shared" si="839"/>
        <v>40.704999999999998</v>
      </c>
      <c r="IG461" s="618"/>
      <c r="IH461" s="618">
        <f t="shared" si="840"/>
        <v>0</v>
      </c>
      <c r="II461" s="618">
        <f t="shared" si="841"/>
        <v>40.704999999999998</v>
      </c>
      <c r="IJ461" s="618"/>
      <c r="IK461" s="618">
        <f t="shared" si="842"/>
        <v>0</v>
      </c>
      <c r="IL461" s="618">
        <f t="shared" si="843"/>
        <v>40.704999999999998</v>
      </c>
      <c r="IM461" s="618"/>
      <c r="IN461" s="618">
        <f t="shared" si="844"/>
        <v>0</v>
      </c>
      <c r="IO461" s="618">
        <f t="shared" si="845"/>
        <v>40.704999999999998</v>
      </c>
      <c r="IP461" s="618"/>
      <c r="IQ461" s="618">
        <f t="shared" si="846"/>
        <v>0</v>
      </c>
      <c r="IR461" s="618">
        <f t="shared" si="847"/>
        <v>40.704999999999998</v>
      </c>
      <c r="IS461" s="645"/>
      <c r="IT461" s="645"/>
      <c r="IU461" s="645"/>
      <c r="IV461" s="645"/>
      <c r="IW461" s="645"/>
      <c r="IX461" s="645"/>
      <c r="IY461" s="645"/>
      <c r="IZ461" s="645"/>
      <c r="JA461" s="645"/>
      <c r="JB461" s="645"/>
      <c r="JC461" s="645"/>
      <c r="JD461" s="645"/>
      <c r="JE461" s="645"/>
      <c r="JF461" s="645"/>
      <c r="JG461" s="645"/>
      <c r="JH461" s="645"/>
      <c r="JI461" s="645"/>
      <c r="JJ461" s="645"/>
      <c r="JK461" s="645"/>
      <c r="JL461" s="645"/>
      <c r="JM461" s="645"/>
      <c r="JN461" s="645"/>
      <c r="JO461" s="645"/>
      <c r="JP461" s="645"/>
      <c r="JQ461" s="645"/>
      <c r="JR461" s="645"/>
      <c r="JS461" s="645"/>
      <c r="JT461" s="645"/>
      <c r="JU461" s="645"/>
      <c r="JV461" s="653"/>
    </row>
    <row r="462" spans="1:282" s="612" customFormat="1">
      <c r="A462" s="611"/>
      <c r="U462" s="613"/>
      <c r="V462" s="613"/>
      <c r="AC462" s="613"/>
      <c r="AD462" s="613"/>
      <c r="AL462" s="613"/>
      <c r="AM462" s="613"/>
      <c r="AT462" s="613"/>
      <c r="AU462" s="613"/>
      <c r="CH462" s="611"/>
      <c r="CI462" s="611"/>
      <c r="CO462" s="695"/>
      <c r="CP462" s="645"/>
      <c r="CQ462" s="618"/>
      <c r="CR462" s="618"/>
      <c r="CS462" s="618"/>
      <c r="CT462" s="626"/>
      <c r="CU462" s="626"/>
      <c r="CV462" s="626"/>
      <c r="CW462" s="646"/>
      <c r="CX462" s="646"/>
      <c r="CY462" s="625"/>
      <c r="CZ462" s="625"/>
      <c r="DA462" s="625"/>
      <c r="DB462" s="625"/>
      <c r="DC462" s="645"/>
      <c r="DD462" s="645"/>
      <c r="DE462" s="645"/>
      <c r="DF462" s="645"/>
      <c r="DG462" s="645"/>
      <c r="DH462" s="645"/>
      <c r="DI462" s="645"/>
      <c r="DJ462" s="645"/>
      <c r="DK462" s="645"/>
      <c r="DL462" s="645"/>
      <c r="DM462" s="645"/>
      <c r="DN462" s="645"/>
      <c r="DO462" s="645"/>
      <c r="DP462" s="645"/>
      <c r="DQ462" s="645"/>
      <c r="DR462" s="645"/>
      <c r="DS462" s="645"/>
      <c r="DT462" s="645"/>
      <c r="DU462" s="645"/>
      <c r="DV462" s="645"/>
      <c r="DW462" s="645"/>
      <c r="DX462" s="645"/>
      <c r="DY462" s="645"/>
      <c r="DZ462" s="645"/>
      <c r="EA462" s="645"/>
      <c r="EB462" s="645"/>
      <c r="EC462" s="645"/>
      <c r="ED462" s="645"/>
      <c r="EE462" s="645"/>
      <c r="EF462" s="645"/>
      <c r="EG462" s="645"/>
      <c r="EH462" s="645"/>
      <c r="EI462" s="645"/>
      <c r="EJ462" s="645"/>
      <c r="EK462" s="645"/>
      <c r="EL462" s="645"/>
      <c r="EM462" s="645"/>
      <c r="EN462" s="645"/>
      <c r="EO462" s="645"/>
      <c r="EP462" s="645"/>
      <c r="EQ462" s="645"/>
      <c r="ER462" s="645"/>
      <c r="ES462" s="645"/>
      <c r="ET462" s="645"/>
      <c r="EU462" s="645"/>
      <c r="EV462" s="645"/>
      <c r="EW462" s="645"/>
      <c r="EX462" s="645"/>
      <c r="EY462" s="645"/>
      <c r="EZ462" s="645"/>
      <c r="FA462" s="645"/>
      <c r="FB462" s="645"/>
      <c r="FC462" s="645"/>
      <c r="FD462" s="645"/>
      <c r="FE462" s="645"/>
      <c r="FF462" s="645"/>
      <c r="FG462" s="645"/>
      <c r="FH462" s="645"/>
      <c r="FI462" s="645"/>
      <c r="FJ462" s="645"/>
      <c r="FK462" s="645"/>
      <c r="FL462" s="645"/>
      <c r="FM462" s="645"/>
      <c r="FN462" s="645"/>
      <c r="FO462" s="645"/>
      <c r="FP462" s="645"/>
      <c r="FQ462" s="645"/>
      <c r="FR462" s="645"/>
      <c r="FS462" s="645"/>
      <c r="FT462" s="645"/>
      <c r="FU462" s="645"/>
      <c r="FV462" s="645"/>
      <c r="FW462" s="645"/>
      <c r="FX462" s="645"/>
      <c r="FY462" s="645"/>
      <c r="FZ462" s="645"/>
      <c r="GA462" s="645"/>
      <c r="GB462" s="645"/>
      <c r="GC462" s="645"/>
      <c r="GD462" s="645"/>
      <c r="GE462" s="645"/>
      <c r="GF462" s="645"/>
      <c r="GG462" s="645"/>
      <c r="GH462" s="645"/>
      <c r="GI462" s="645"/>
      <c r="GJ462" s="645"/>
      <c r="GK462" s="645"/>
      <c r="GL462" s="645"/>
      <c r="GM462" s="645"/>
      <c r="GN462" s="645"/>
      <c r="GO462" s="645"/>
      <c r="GP462" s="645"/>
      <c r="GQ462" s="645"/>
      <c r="GR462" s="645"/>
      <c r="GS462" s="645"/>
      <c r="GT462" s="645"/>
      <c r="GU462" s="645"/>
      <c r="GV462" s="645"/>
      <c r="GW462" s="645"/>
      <c r="GX462" s="645"/>
      <c r="GY462" s="645"/>
      <c r="GZ462" s="645"/>
      <c r="HA462" s="645"/>
      <c r="HB462" s="645"/>
      <c r="HC462" s="645"/>
      <c r="HD462" s="645"/>
      <c r="HE462" s="645"/>
      <c r="HF462" s="645"/>
      <c r="HG462" s="645"/>
      <c r="HH462" s="645"/>
      <c r="HI462" s="645"/>
      <c r="HJ462" s="645"/>
      <c r="HK462" s="645"/>
      <c r="HL462" s="645"/>
      <c r="HM462" s="645"/>
      <c r="HN462" s="645"/>
      <c r="HO462" s="645"/>
      <c r="HP462" s="645"/>
      <c r="HQ462" s="645"/>
      <c r="HR462" s="645">
        <v>0.22950000000000001</v>
      </c>
      <c r="HS462" s="645">
        <f t="shared" si="848"/>
        <v>1540.9285714285716</v>
      </c>
      <c r="HT462" s="645">
        <f t="shared" si="849"/>
        <v>1</v>
      </c>
      <c r="HU462" s="618">
        <f t="shared" si="832"/>
        <v>5.8467614076855394</v>
      </c>
      <c r="HV462" s="618"/>
      <c r="HW462" s="618">
        <f t="shared" si="835"/>
        <v>27.697598801086535</v>
      </c>
      <c r="HX462" s="618">
        <f t="shared" si="833"/>
        <v>5.1710959141054813</v>
      </c>
      <c r="HY462" s="618">
        <f t="shared" si="834"/>
        <v>0.22950000000000001</v>
      </c>
      <c r="HZ462" s="618"/>
      <c r="IA462" s="618"/>
      <c r="IB462" s="618">
        <f t="shared" si="836"/>
        <v>25.000350341399081</v>
      </c>
      <c r="IC462" s="618">
        <f t="shared" si="837"/>
        <v>1E-3</v>
      </c>
      <c r="ID462" s="618"/>
      <c r="IE462" s="618">
        <f t="shared" si="838"/>
        <v>0</v>
      </c>
      <c r="IF462" s="618">
        <f t="shared" si="839"/>
        <v>40.704999999999998</v>
      </c>
      <c r="IG462" s="618"/>
      <c r="IH462" s="618">
        <f t="shared" si="840"/>
        <v>0</v>
      </c>
      <c r="II462" s="618">
        <f t="shared" si="841"/>
        <v>40.704999999999998</v>
      </c>
      <c r="IJ462" s="618"/>
      <c r="IK462" s="618">
        <f t="shared" si="842"/>
        <v>0</v>
      </c>
      <c r="IL462" s="618">
        <f t="shared" si="843"/>
        <v>40.704999999999998</v>
      </c>
      <c r="IM462" s="618"/>
      <c r="IN462" s="618">
        <f t="shared" si="844"/>
        <v>0</v>
      </c>
      <c r="IO462" s="618">
        <f t="shared" si="845"/>
        <v>40.704999999999998</v>
      </c>
      <c r="IP462" s="618"/>
      <c r="IQ462" s="618">
        <f t="shared" si="846"/>
        <v>0</v>
      </c>
      <c r="IR462" s="618">
        <f t="shared" si="847"/>
        <v>40.704999999999998</v>
      </c>
      <c r="IS462" s="645"/>
      <c r="IT462" s="645"/>
      <c r="IU462" s="645"/>
      <c r="IV462" s="645"/>
      <c r="IW462" s="645"/>
      <c r="IX462" s="645"/>
      <c r="IY462" s="645"/>
      <c r="IZ462" s="645"/>
      <c r="JA462" s="645"/>
      <c r="JB462" s="645"/>
      <c r="JC462" s="645"/>
      <c r="JD462" s="645"/>
      <c r="JE462" s="645"/>
      <c r="JF462" s="645"/>
      <c r="JG462" s="645"/>
      <c r="JH462" s="645"/>
      <c r="JI462" s="645"/>
      <c r="JJ462" s="645"/>
      <c r="JK462" s="645"/>
      <c r="JL462" s="645"/>
      <c r="JM462" s="645"/>
      <c r="JN462" s="645"/>
      <c r="JO462" s="645"/>
      <c r="JP462" s="645"/>
      <c r="JQ462" s="645"/>
      <c r="JR462" s="645"/>
      <c r="JS462" s="645"/>
      <c r="JT462" s="645"/>
      <c r="JU462" s="645"/>
      <c r="JV462" s="653"/>
    </row>
    <row r="463" spans="1:282" s="612" customFormat="1">
      <c r="A463" s="611"/>
      <c r="U463" s="613"/>
      <c r="V463" s="613"/>
      <c r="AC463" s="613"/>
      <c r="AD463" s="613"/>
      <c r="AL463" s="613"/>
      <c r="AM463" s="613"/>
      <c r="AT463" s="613"/>
      <c r="AU463" s="613"/>
      <c r="CH463" s="611"/>
      <c r="CI463" s="611"/>
      <c r="CO463" s="695"/>
      <c r="CP463" s="645"/>
      <c r="CQ463" s="618"/>
      <c r="CR463" s="618"/>
      <c r="CS463" s="618"/>
      <c r="CT463" s="626"/>
      <c r="CU463" s="626"/>
      <c r="CV463" s="626"/>
      <c r="CW463" s="646"/>
      <c r="CX463" s="646"/>
      <c r="CY463" s="625"/>
      <c r="CZ463" s="625"/>
      <c r="DA463" s="625"/>
      <c r="DB463" s="625"/>
      <c r="DC463" s="645"/>
      <c r="DD463" s="645"/>
      <c r="DE463" s="645"/>
      <c r="DF463" s="645"/>
      <c r="DG463" s="645"/>
      <c r="DH463" s="645"/>
      <c r="DI463" s="645"/>
      <c r="DJ463" s="645"/>
      <c r="DK463" s="645"/>
      <c r="DL463" s="645"/>
      <c r="DM463" s="645"/>
      <c r="DN463" s="645"/>
      <c r="DO463" s="645"/>
      <c r="DP463" s="645"/>
      <c r="DQ463" s="645"/>
      <c r="DR463" s="645"/>
      <c r="DS463" s="645"/>
      <c r="DT463" s="645"/>
      <c r="DU463" s="645"/>
      <c r="DV463" s="645"/>
      <c r="DW463" s="645"/>
      <c r="DX463" s="645"/>
      <c r="DY463" s="645"/>
      <c r="DZ463" s="645"/>
      <c r="EA463" s="645"/>
      <c r="EB463" s="645"/>
      <c r="EC463" s="645"/>
      <c r="ED463" s="645"/>
      <c r="EE463" s="645"/>
      <c r="EF463" s="645"/>
      <c r="EG463" s="645"/>
      <c r="EH463" s="645"/>
      <c r="EI463" s="645"/>
      <c r="EJ463" s="645"/>
      <c r="EK463" s="645"/>
      <c r="EL463" s="645"/>
      <c r="EM463" s="645"/>
      <c r="EN463" s="645"/>
      <c r="EO463" s="645"/>
      <c r="EP463" s="645"/>
      <c r="EQ463" s="645"/>
      <c r="ER463" s="645"/>
      <c r="ES463" s="645"/>
      <c r="ET463" s="645"/>
      <c r="EU463" s="645"/>
      <c r="EV463" s="645"/>
      <c r="EW463" s="645"/>
      <c r="EX463" s="645"/>
      <c r="EY463" s="645"/>
      <c r="EZ463" s="645"/>
      <c r="FA463" s="645"/>
      <c r="FB463" s="645"/>
      <c r="FC463" s="645"/>
      <c r="FD463" s="645"/>
      <c r="FE463" s="645"/>
      <c r="FF463" s="645"/>
      <c r="FG463" s="645"/>
      <c r="FH463" s="645"/>
      <c r="FI463" s="645"/>
      <c r="FJ463" s="645"/>
      <c r="FK463" s="645"/>
      <c r="FL463" s="645"/>
      <c r="FM463" s="645"/>
      <c r="FN463" s="645"/>
      <c r="FO463" s="645"/>
      <c r="FP463" s="645"/>
      <c r="FQ463" s="645"/>
      <c r="FR463" s="645"/>
      <c r="FS463" s="645"/>
      <c r="FT463" s="645"/>
      <c r="FU463" s="645"/>
      <c r="FV463" s="645"/>
      <c r="FW463" s="645"/>
      <c r="FX463" s="645"/>
      <c r="FY463" s="645"/>
      <c r="FZ463" s="645"/>
      <c r="GA463" s="645"/>
      <c r="GB463" s="645"/>
      <c r="GC463" s="645"/>
      <c r="GD463" s="645"/>
      <c r="GE463" s="645"/>
      <c r="GF463" s="645"/>
      <c r="GG463" s="645"/>
      <c r="GH463" s="645"/>
      <c r="GI463" s="645"/>
      <c r="GJ463" s="645"/>
      <c r="GK463" s="645"/>
      <c r="GL463" s="645"/>
      <c r="GM463" s="645"/>
      <c r="GN463" s="645"/>
      <c r="GO463" s="645"/>
      <c r="GP463" s="645"/>
      <c r="GQ463" s="645"/>
      <c r="GR463" s="645"/>
      <c r="GS463" s="645"/>
      <c r="GT463" s="645"/>
      <c r="GU463" s="645"/>
      <c r="GV463" s="645"/>
      <c r="GW463" s="645"/>
      <c r="GX463" s="645"/>
      <c r="GY463" s="645"/>
      <c r="GZ463" s="645"/>
      <c r="HA463" s="645"/>
      <c r="HB463" s="645"/>
      <c r="HC463" s="645"/>
      <c r="HD463" s="645"/>
      <c r="HE463" s="645"/>
      <c r="HF463" s="645"/>
      <c r="HG463" s="645"/>
      <c r="HH463" s="645"/>
      <c r="HI463" s="645"/>
      <c r="HJ463" s="645"/>
      <c r="HK463" s="645"/>
      <c r="HL463" s="645"/>
      <c r="HM463" s="645"/>
      <c r="HN463" s="645"/>
      <c r="HO463" s="645"/>
      <c r="HP463" s="645"/>
      <c r="HQ463" s="645"/>
      <c r="HR463" s="645">
        <v>0.23</v>
      </c>
      <c r="HS463" s="645">
        <f t="shared" si="848"/>
        <v>1544.2857142857144</v>
      </c>
      <c r="HT463" s="645">
        <f t="shared" si="849"/>
        <v>1</v>
      </c>
      <c r="HU463" s="618">
        <f t="shared" si="832"/>
        <v>5.859500451659164</v>
      </c>
      <c r="HV463" s="618"/>
      <c r="HW463" s="618">
        <f t="shared" si="835"/>
        <v>27.679509358643987</v>
      </c>
      <c r="HX463" s="618">
        <f t="shared" si="833"/>
        <v>5.1808906498523735</v>
      </c>
      <c r="HY463" s="618">
        <f t="shared" si="834"/>
        <v>0.23</v>
      </c>
      <c r="HZ463" s="618"/>
      <c r="IA463" s="618"/>
      <c r="IB463" s="618">
        <f t="shared" si="836"/>
        <v>25.000350341399081</v>
      </c>
      <c r="IC463" s="618">
        <f t="shared" si="837"/>
        <v>1E-3</v>
      </c>
      <c r="ID463" s="618"/>
      <c r="IE463" s="618">
        <f t="shared" si="838"/>
        <v>0</v>
      </c>
      <c r="IF463" s="618">
        <f t="shared" si="839"/>
        <v>40.704999999999998</v>
      </c>
      <c r="IG463" s="618"/>
      <c r="IH463" s="618">
        <f t="shared" si="840"/>
        <v>0</v>
      </c>
      <c r="II463" s="618">
        <f t="shared" si="841"/>
        <v>40.704999999999998</v>
      </c>
      <c r="IJ463" s="618"/>
      <c r="IK463" s="618">
        <f t="shared" si="842"/>
        <v>0</v>
      </c>
      <c r="IL463" s="618">
        <f t="shared" si="843"/>
        <v>40.704999999999998</v>
      </c>
      <c r="IM463" s="618"/>
      <c r="IN463" s="618">
        <f t="shared" si="844"/>
        <v>0</v>
      </c>
      <c r="IO463" s="618">
        <f t="shared" si="845"/>
        <v>40.704999999999998</v>
      </c>
      <c r="IP463" s="618"/>
      <c r="IQ463" s="618">
        <f t="shared" si="846"/>
        <v>0</v>
      </c>
      <c r="IR463" s="618">
        <f t="shared" si="847"/>
        <v>40.704999999999998</v>
      </c>
      <c r="IS463" s="645"/>
      <c r="IT463" s="645"/>
      <c r="IU463" s="645"/>
      <c r="IV463" s="645"/>
      <c r="IW463" s="645"/>
      <c r="IX463" s="645"/>
      <c r="IY463" s="645"/>
      <c r="IZ463" s="645"/>
      <c r="JA463" s="645"/>
      <c r="JB463" s="645"/>
      <c r="JC463" s="645"/>
      <c r="JD463" s="645"/>
      <c r="JE463" s="645"/>
      <c r="JF463" s="645"/>
      <c r="JG463" s="645"/>
      <c r="JH463" s="645"/>
      <c r="JI463" s="645"/>
      <c r="JJ463" s="645"/>
      <c r="JK463" s="645"/>
      <c r="JL463" s="645"/>
      <c r="JM463" s="645"/>
      <c r="JN463" s="645"/>
      <c r="JO463" s="645"/>
      <c r="JP463" s="645"/>
      <c r="JQ463" s="645"/>
      <c r="JR463" s="645"/>
      <c r="JS463" s="645"/>
      <c r="JT463" s="645"/>
      <c r="JU463" s="645"/>
      <c r="JV463" s="653"/>
    </row>
    <row r="464" spans="1:282" s="612" customFormat="1">
      <c r="A464" s="611"/>
      <c r="U464" s="613"/>
      <c r="V464" s="613"/>
      <c r="AC464" s="613"/>
      <c r="AD464" s="613"/>
      <c r="AL464" s="613"/>
      <c r="AM464" s="613"/>
      <c r="AT464" s="613"/>
      <c r="AU464" s="613"/>
      <c r="CH464" s="611"/>
      <c r="CI464" s="611"/>
      <c r="CO464" s="695"/>
      <c r="CP464" s="645"/>
      <c r="CQ464" s="618"/>
      <c r="CR464" s="618"/>
      <c r="CS464" s="618"/>
      <c r="CT464" s="626"/>
      <c r="CU464" s="626"/>
      <c r="CV464" s="626"/>
      <c r="CW464" s="646"/>
      <c r="CX464" s="646"/>
      <c r="CY464" s="625"/>
      <c r="CZ464" s="625"/>
      <c r="DA464" s="625"/>
      <c r="DB464" s="625"/>
      <c r="DC464" s="645"/>
      <c r="DD464" s="645"/>
      <c r="DE464" s="645"/>
      <c r="DF464" s="645"/>
      <c r="DG464" s="645"/>
      <c r="DH464" s="645"/>
      <c r="DI464" s="645"/>
      <c r="DJ464" s="645"/>
      <c r="DK464" s="645"/>
      <c r="DL464" s="645"/>
      <c r="DM464" s="645"/>
      <c r="DN464" s="645"/>
      <c r="DO464" s="645"/>
      <c r="DP464" s="645"/>
      <c r="DQ464" s="645"/>
      <c r="DR464" s="645"/>
      <c r="DS464" s="645"/>
      <c r="DT464" s="645"/>
      <c r="DU464" s="645"/>
      <c r="DV464" s="645"/>
      <c r="DW464" s="645"/>
      <c r="DX464" s="645"/>
      <c r="DY464" s="645"/>
      <c r="DZ464" s="645"/>
      <c r="EA464" s="645"/>
      <c r="EB464" s="645"/>
      <c r="EC464" s="645"/>
      <c r="ED464" s="645"/>
      <c r="EE464" s="645"/>
      <c r="EF464" s="645"/>
      <c r="EG464" s="645"/>
      <c r="EH464" s="645"/>
      <c r="EI464" s="645"/>
      <c r="EJ464" s="645"/>
      <c r="EK464" s="645"/>
      <c r="EL464" s="645"/>
      <c r="EM464" s="645"/>
      <c r="EN464" s="645"/>
      <c r="EO464" s="645"/>
      <c r="EP464" s="645"/>
      <c r="EQ464" s="645"/>
      <c r="ER464" s="645"/>
      <c r="ES464" s="645"/>
      <c r="ET464" s="645"/>
      <c r="EU464" s="645"/>
      <c r="EV464" s="645"/>
      <c r="EW464" s="645"/>
      <c r="EX464" s="645"/>
      <c r="EY464" s="645"/>
      <c r="EZ464" s="645"/>
      <c r="FA464" s="645"/>
      <c r="FB464" s="645"/>
      <c r="FC464" s="645"/>
      <c r="FD464" s="645"/>
      <c r="FE464" s="645"/>
      <c r="FF464" s="645"/>
      <c r="FG464" s="645"/>
      <c r="FH464" s="645"/>
      <c r="FI464" s="645"/>
      <c r="FJ464" s="645"/>
      <c r="FK464" s="645"/>
      <c r="FL464" s="645"/>
      <c r="FM464" s="645"/>
      <c r="FN464" s="645"/>
      <c r="FO464" s="645"/>
      <c r="FP464" s="645"/>
      <c r="FQ464" s="645"/>
      <c r="FR464" s="645"/>
      <c r="FS464" s="645"/>
      <c r="FT464" s="645"/>
      <c r="FU464" s="645"/>
      <c r="FV464" s="645"/>
      <c r="FW464" s="645"/>
      <c r="FX464" s="645"/>
      <c r="FY464" s="645"/>
      <c r="FZ464" s="645"/>
      <c r="GA464" s="645"/>
      <c r="GB464" s="645"/>
      <c r="GC464" s="645"/>
      <c r="GD464" s="645"/>
      <c r="GE464" s="645"/>
      <c r="GF464" s="645"/>
      <c r="GG464" s="645"/>
      <c r="GH464" s="645"/>
      <c r="GI464" s="645"/>
      <c r="GJ464" s="645"/>
      <c r="GK464" s="645"/>
      <c r="GL464" s="645"/>
      <c r="GM464" s="645"/>
      <c r="GN464" s="645"/>
      <c r="GO464" s="645"/>
      <c r="GP464" s="645"/>
      <c r="GQ464" s="645"/>
      <c r="GR464" s="645"/>
      <c r="GS464" s="645"/>
      <c r="GT464" s="645"/>
      <c r="GU464" s="645"/>
      <c r="GV464" s="645"/>
      <c r="GW464" s="645"/>
      <c r="GX464" s="645"/>
      <c r="GY464" s="645"/>
      <c r="GZ464" s="645"/>
      <c r="HA464" s="645"/>
      <c r="HB464" s="645"/>
      <c r="HC464" s="645"/>
      <c r="HD464" s="645"/>
      <c r="HE464" s="645"/>
      <c r="HF464" s="645"/>
      <c r="HG464" s="645"/>
      <c r="HH464" s="645"/>
      <c r="HI464" s="645"/>
      <c r="HJ464" s="645"/>
      <c r="HK464" s="645"/>
      <c r="HL464" s="645"/>
      <c r="HM464" s="645"/>
      <c r="HN464" s="645"/>
      <c r="HO464" s="645"/>
      <c r="HP464" s="645"/>
      <c r="HQ464" s="645"/>
      <c r="HR464" s="645">
        <v>0.23050000000000001</v>
      </c>
      <c r="HS464" s="645">
        <f t="shared" si="848"/>
        <v>1547.6428571428571</v>
      </c>
      <c r="HT464" s="645">
        <f t="shared" si="849"/>
        <v>1</v>
      </c>
      <c r="HU464" s="618">
        <f t="shared" si="832"/>
        <v>5.8722394956327886</v>
      </c>
      <c r="HV464" s="618"/>
      <c r="HW464" s="618">
        <f t="shared" si="835"/>
        <v>27.661419916201439</v>
      </c>
      <c r="HX464" s="618">
        <f t="shared" si="833"/>
        <v>5.1906789844269676</v>
      </c>
      <c r="HY464" s="618">
        <f t="shared" si="834"/>
        <v>0.23050000000000001</v>
      </c>
      <c r="HZ464" s="618"/>
      <c r="IA464" s="618"/>
      <c r="IB464" s="618">
        <f t="shared" si="836"/>
        <v>25.000350341399081</v>
      </c>
      <c r="IC464" s="618">
        <f t="shared" si="837"/>
        <v>1E-3</v>
      </c>
      <c r="ID464" s="618"/>
      <c r="IE464" s="618">
        <f t="shared" si="838"/>
        <v>0</v>
      </c>
      <c r="IF464" s="618">
        <f t="shared" si="839"/>
        <v>40.704999999999998</v>
      </c>
      <c r="IG464" s="618"/>
      <c r="IH464" s="618">
        <f t="shared" si="840"/>
        <v>0</v>
      </c>
      <c r="II464" s="618">
        <f t="shared" si="841"/>
        <v>40.704999999999998</v>
      </c>
      <c r="IJ464" s="618"/>
      <c r="IK464" s="618">
        <f t="shared" si="842"/>
        <v>0</v>
      </c>
      <c r="IL464" s="618">
        <f t="shared" si="843"/>
        <v>40.704999999999998</v>
      </c>
      <c r="IM464" s="618"/>
      <c r="IN464" s="618">
        <f t="shared" si="844"/>
        <v>0</v>
      </c>
      <c r="IO464" s="618">
        <f t="shared" si="845"/>
        <v>40.704999999999998</v>
      </c>
      <c r="IP464" s="618"/>
      <c r="IQ464" s="618">
        <f t="shared" si="846"/>
        <v>0</v>
      </c>
      <c r="IR464" s="618">
        <f t="shared" si="847"/>
        <v>40.704999999999998</v>
      </c>
      <c r="IS464" s="645"/>
      <c r="IT464" s="645"/>
      <c r="IU464" s="645"/>
      <c r="IV464" s="645"/>
      <c r="IW464" s="645"/>
      <c r="IX464" s="645"/>
      <c r="IY464" s="645"/>
      <c r="IZ464" s="645"/>
      <c r="JA464" s="645"/>
      <c r="JB464" s="645"/>
      <c r="JC464" s="645"/>
      <c r="JD464" s="645"/>
      <c r="JE464" s="645"/>
      <c r="JF464" s="645"/>
      <c r="JG464" s="645"/>
      <c r="JH464" s="645"/>
      <c r="JI464" s="645"/>
      <c r="JJ464" s="645"/>
      <c r="JK464" s="645"/>
      <c r="JL464" s="645"/>
      <c r="JM464" s="645"/>
      <c r="JN464" s="645"/>
      <c r="JO464" s="645"/>
      <c r="JP464" s="645"/>
      <c r="JQ464" s="645"/>
      <c r="JR464" s="645"/>
      <c r="JS464" s="645"/>
      <c r="JT464" s="645"/>
      <c r="JU464" s="645"/>
      <c r="JV464" s="653"/>
    </row>
    <row r="465" spans="1:282" s="612" customFormat="1">
      <c r="A465" s="611"/>
      <c r="U465" s="613"/>
      <c r="V465" s="613"/>
      <c r="AC465" s="613"/>
      <c r="AD465" s="613"/>
      <c r="AL465" s="613"/>
      <c r="AM465" s="613"/>
      <c r="AT465" s="613"/>
      <c r="AU465" s="613"/>
      <c r="CH465" s="611"/>
      <c r="CI465" s="611"/>
      <c r="CO465" s="695"/>
      <c r="CP465" s="645"/>
      <c r="CQ465" s="618"/>
      <c r="CR465" s="618"/>
      <c r="CS465" s="618"/>
      <c r="CT465" s="626"/>
      <c r="CU465" s="626"/>
      <c r="CV465" s="626"/>
      <c r="CW465" s="646"/>
      <c r="CX465" s="646"/>
      <c r="CY465" s="625"/>
      <c r="CZ465" s="625"/>
      <c r="DA465" s="625"/>
      <c r="DB465" s="625"/>
      <c r="DC465" s="645"/>
      <c r="DD465" s="645"/>
      <c r="DE465" s="645"/>
      <c r="DF465" s="645"/>
      <c r="DG465" s="645"/>
      <c r="DH465" s="645"/>
      <c r="DI465" s="645"/>
      <c r="DJ465" s="645"/>
      <c r="DK465" s="645"/>
      <c r="DL465" s="645"/>
      <c r="DM465" s="645"/>
      <c r="DN465" s="645"/>
      <c r="DO465" s="645"/>
      <c r="DP465" s="645"/>
      <c r="DQ465" s="645"/>
      <c r="DR465" s="645"/>
      <c r="DS465" s="645"/>
      <c r="DT465" s="645"/>
      <c r="DU465" s="645"/>
      <c r="DV465" s="645"/>
      <c r="DW465" s="645"/>
      <c r="DX465" s="645"/>
      <c r="DY465" s="645"/>
      <c r="DZ465" s="645"/>
      <c r="EA465" s="645"/>
      <c r="EB465" s="645"/>
      <c r="EC465" s="645"/>
      <c r="ED465" s="645"/>
      <c r="EE465" s="645"/>
      <c r="EF465" s="645"/>
      <c r="EG465" s="645"/>
      <c r="EH465" s="645"/>
      <c r="EI465" s="645"/>
      <c r="EJ465" s="645"/>
      <c r="EK465" s="645"/>
      <c r="EL465" s="645"/>
      <c r="EM465" s="645"/>
      <c r="EN465" s="645"/>
      <c r="EO465" s="645"/>
      <c r="EP465" s="645"/>
      <c r="EQ465" s="645"/>
      <c r="ER465" s="645"/>
      <c r="ES465" s="645"/>
      <c r="ET465" s="645"/>
      <c r="EU465" s="645"/>
      <c r="EV465" s="645"/>
      <c r="EW465" s="645"/>
      <c r="EX465" s="645"/>
      <c r="EY465" s="645"/>
      <c r="EZ465" s="645"/>
      <c r="FA465" s="645"/>
      <c r="FB465" s="645"/>
      <c r="FC465" s="645"/>
      <c r="FD465" s="645"/>
      <c r="FE465" s="645"/>
      <c r="FF465" s="645"/>
      <c r="FG465" s="645"/>
      <c r="FH465" s="645"/>
      <c r="FI465" s="645"/>
      <c r="FJ465" s="645"/>
      <c r="FK465" s="645"/>
      <c r="FL465" s="645"/>
      <c r="FM465" s="645"/>
      <c r="FN465" s="645"/>
      <c r="FO465" s="645"/>
      <c r="FP465" s="645"/>
      <c r="FQ465" s="645"/>
      <c r="FR465" s="645"/>
      <c r="FS465" s="645"/>
      <c r="FT465" s="645"/>
      <c r="FU465" s="645"/>
      <c r="FV465" s="645"/>
      <c r="FW465" s="645"/>
      <c r="FX465" s="645"/>
      <c r="FY465" s="645"/>
      <c r="FZ465" s="645"/>
      <c r="GA465" s="645"/>
      <c r="GB465" s="645"/>
      <c r="GC465" s="645"/>
      <c r="GD465" s="645"/>
      <c r="GE465" s="645"/>
      <c r="GF465" s="645"/>
      <c r="GG465" s="645"/>
      <c r="GH465" s="645"/>
      <c r="GI465" s="645"/>
      <c r="GJ465" s="645"/>
      <c r="GK465" s="645"/>
      <c r="GL465" s="645"/>
      <c r="GM465" s="645"/>
      <c r="GN465" s="645"/>
      <c r="GO465" s="645"/>
      <c r="GP465" s="645"/>
      <c r="GQ465" s="645"/>
      <c r="GR465" s="645"/>
      <c r="GS465" s="645"/>
      <c r="GT465" s="645"/>
      <c r="GU465" s="645"/>
      <c r="GV465" s="645"/>
      <c r="GW465" s="645"/>
      <c r="GX465" s="645"/>
      <c r="GY465" s="645"/>
      <c r="GZ465" s="645"/>
      <c r="HA465" s="645"/>
      <c r="HB465" s="645"/>
      <c r="HC465" s="645"/>
      <c r="HD465" s="645"/>
      <c r="HE465" s="645"/>
      <c r="HF465" s="645"/>
      <c r="HG465" s="645"/>
      <c r="HH465" s="645"/>
      <c r="HI465" s="645"/>
      <c r="HJ465" s="645"/>
      <c r="HK465" s="645"/>
      <c r="HL465" s="645"/>
      <c r="HM465" s="645"/>
      <c r="HN465" s="645"/>
      <c r="HO465" s="645"/>
      <c r="HP465" s="645"/>
      <c r="HQ465" s="645"/>
      <c r="HR465" s="645">
        <v>0.23100000000000001</v>
      </c>
      <c r="HS465" s="645">
        <f t="shared" si="848"/>
        <v>1551</v>
      </c>
      <c r="HT465" s="645">
        <f t="shared" si="849"/>
        <v>1</v>
      </c>
      <c r="HU465" s="618">
        <f t="shared" si="832"/>
        <v>5.8849785396064132</v>
      </c>
      <c r="HV465" s="618"/>
      <c r="HW465" s="618">
        <f t="shared" si="835"/>
        <v>27.643330473758894</v>
      </c>
      <c r="HX465" s="618">
        <f t="shared" si="833"/>
        <v>5.2004609178292638</v>
      </c>
      <c r="HY465" s="618">
        <f t="shared" si="834"/>
        <v>0.23100000000000001</v>
      </c>
      <c r="HZ465" s="618"/>
      <c r="IA465" s="618"/>
      <c r="IB465" s="618">
        <f t="shared" si="836"/>
        <v>25.000350341399081</v>
      </c>
      <c r="IC465" s="618">
        <f t="shared" si="837"/>
        <v>1E-3</v>
      </c>
      <c r="ID465" s="618"/>
      <c r="IE465" s="618">
        <f t="shared" si="838"/>
        <v>0</v>
      </c>
      <c r="IF465" s="618">
        <f t="shared" si="839"/>
        <v>40.704999999999998</v>
      </c>
      <c r="IG465" s="618"/>
      <c r="IH465" s="618">
        <f t="shared" si="840"/>
        <v>0</v>
      </c>
      <c r="II465" s="618">
        <f t="shared" si="841"/>
        <v>40.704999999999998</v>
      </c>
      <c r="IJ465" s="618"/>
      <c r="IK465" s="618">
        <f t="shared" si="842"/>
        <v>0</v>
      </c>
      <c r="IL465" s="618">
        <f t="shared" si="843"/>
        <v>40.704999999999998</v>
      </c>
      <c r="IM465" s="618"/>
      <c r="IN465" s="618">
        <f t="shared" si="844"/>
        <v>0</v>
      </c>
      <c r="IO465" s="618">
        <f t="shared" si="845"/>
        <v>40.704999999999998</v>
      </c>
      <c r="IP465" s="618"/>
      <c r="IQ465" s="618">
        <f t="shared" si="846"/>
        <v>0</v>
      </c>
      <c r="IR465" s="618">
        <f t="shared" si="847"/>
        <v>40.704999999999998</v>
      </c>
      <c r="IS465" s="645"/>
      <c r="IT465" s="645"/>
      <c r="IU465" s="645"/>
      <c r="IV465" s="645"/>
      <c r="IW465" s="645"/>
      <c r="IX465" s="645"/>
      <c r="IY465" s="645"/>
      <c r="IZ465" s="645"/>
      <c r="JA465" s="645"/>
      <c r="JB465" s="645"/>
      <c r="JC465" s="645"/>
      <c r="JD465" s="645"/>
      <c r="JE465" s="645"/>
      <c r="JF465" s="645"/>
      <c r="JG465" s="645"/>
      <c r="JH465" s="645"/>
      <c r="JI465" s="645"/>
      <c r="JJ465" s="645"/>
      <c r="JK465" s="645"/>
      <c r="JL465" s="645"/>
      <c r="JM465" s="645"/>
      <c r="JN465" s="645"/>
      <c r="JO465" s="645"/>
      <c r="JP465" s="645"/>
      <c r="JQ465" s="645"/>
      <c r="JR465" s="645"/>
      <c r="JS465" s="645"/>
      <c r="JT465" s="645"/>
      <c r="JU465" s="645"/>
      <c r="JV465" s="653"/>
    </row>
    <row r="466" spans="1:282" s="612" customFormat="1">
      <c r="A466" s="611"/>
      <c r="U466" s="613"/>
      <c r="V466" s="613"/>
      <c r="AC466" s="613"/>
      <c r="AD466" s="613"/>
      <c r="AL466" s="613"/>
      <c r="AM466" s="613"/>
      <c r="AT466" s="613"/>
      <c r="AU466" s="613"/>
      <c r="CH466" s="611"/>
      <c r="CI466" s="611"/>
      <c r="CO466" s="695"/>
      <c r="CP466" s="645"/>
      <c r="CQ466" s="618"/>
      <c r="CR466" s="618"/>
      <c r="CS466" s="618"/>
      <c r="CT466" s="626"/>
      <c r="CU466" s="626"/>
      <c r="CV466" s="626"/>
      <c r="CW466" s="646"/>
      <c r="CX466" s="646"/>
      <c r="CY466" s="625"/>
      <c r="CZ466" s="625"/>
      <c r="DA466" s="625"/>
      <c r="DB466" s="625"/>
      <c r="DC466" s="645"/>
      <c r="DD466" s="645"/>
      <c r="DE466" s="645"/>
      <c r="DF466" s="645"/>
      <c r="DG466" s="645"/>
      <c r="DH466" s="645"/>
      <c r="DI466" s="645"/>
      <c r="DJ466" s="645"/>
      <c r="DK466" s="645"/>
      <c r="DL466" s="645"/>
      <c r="DM466" s="645"/>
      <c r="DN466" s="645"/>
      <c r="DO466" s="645"/>
      <c r="DP466" s="645"/>
      <c r="DQ466" s="645"/>
      <c r="DR466" s="645"/>
      <c r="DS466" s="645"/>
      <c r="DT466" s="645"/>
      <c r="DU466" s="645"/>
      <c r="DV466" s="645"/>
      <c r="DW466" s="645"/>
      <c r="DX466" s="645"/>
      <c r="DY466" s="645"/>
      <c r="DZ466" s="645"/>
      <c r="EA466" s="645"/>
      <c r="EB466" s="645"/>
      <c r="EC466" s="645"/>
      <c r="ED466" s="645"/>
      <c r="EE466" s="645"/>
      <c r="EF466" s="645"/>
      <c r="EG466" s="645"/>
      <c r="EH466" s="645"/>
      <c r="EI466" s="645"/>
      <c r="EJ466" s="645"/>
      <c r="EK466" s="645"/>
      <c r="EL466" s="645"/>
      <c r="EM466" s="645"/>
      <c r="EN466" s="645"/>
      <c r="EO466" s="645"/>
      <c r="EP466" s="645"/>
      <c r="EQ466" s="645"/>
      <c r="ER466" s="645"/>
      <c r="ES466" s="645"/>
      <c r="ET466" s="645"/>
      <c r="EU466" s="645"/>
      <c r="EV466" s="645"/>
      <c r="EW466" s="645"/>
      <c r="EX466" s="645"/>
      <c r="EY466" s="645"/>
      <c r="EZ466" s="645"/>
      <c r="FA466" s="645"/>
      <c r="FB466" s="645"/>
      <c r="FC466" s="645"/>
      <c r="FD466" s="645"/>
      <c r="FE466" s="645"/>
      <c r="FF466" s="645"/>
      <c r="FG466" s="645"/>
      <c r="FH466" s="645"/>
      <c r="FI466" s="645"/>
      <c r="FJ466" s="645"/>
      <c r="FK466" s="645"/>
      <c r="FL466" s="645"/>
      <c r="FM466" s="645"/>
      <c r="FN466" s="645"/>
      <c r="FO466" s="645"/>
      <c r="FP466" s="645"/>
      <c r="FQ466" s="645"/>
      <c r="FR466" s="645"/>
      <c r="FS466" s="645"/>
      <c r="FT466" s="645"/>
      <c r="FU466" s="645"/>
      <c r="FV466" s="645"/>
      <c r="FW466" s="645"/>
      <c r="FX466" s="645"/>
      <c r="FY466" s="645"/>
      <c r="FZ466" s="645"/>
      <c r="GA466" s="645"/>
      <c r="GB466" s="645"/>
      <c r="GC466" s="645"/>
      <c r="GD466" s="645"/>
      <c r="GE466" s="645"/>
      <c r="GF466" s="645"/>
      <c r="GG466" s="645"/>
      <c r="GH466" s="645"/>
      <c r="GI466" s="645"/>
      <c r="GJ466" s="645"/>
      <c r="GK466" s="645"/>
      <c r="GL466" s="645"/>
      <c r="GM466" s="645"/>
      <c r="GN466" s="645"/>
      <c r="GO466" s="645"/>
      <c r="GP466" s="645"/>
      <c r="GQ466" s="645"/>
      <c r="GR466" s="645"/>
      <c r="GS466" s="645"/>
      <c r="GT466" s="645"/>
      <c r="GU466" s="645"/>
      <c r="GV466" s="645"/>
      <c r="GW466" s="645"/>
      <c r="GX466" s="645"/>
      <c r="GY466" s="645"/>
      <c r="GZ466" s="645"/>
      <c r="HA466" s="645"/>
      <c r="HB466" s="645"/>
      <c r="HC466" s="645"/>
      <c r="HD466" s="645"/>
      <c r="HE466" s="645"/>
      <c r="HF466" s="645"/>
      <c r="HG466" s="645"/>
      <c r="HH466" s="645"/>
      <c r="HI466" s="645"/>
      <c r="HJ466" s="645"/>
      <c r="HK466" s="645"/>
      <c r="HL466" s="645"/>
      <c r="HM466" s="645"/>
      <c r="HN466" s="645"/>
      <c r="HO466" s="645"/>
      <c r="HP466" s="645"/>
      <c r="HQ466" s="645"/>
      <c r="HR466" s="645">
        <v>0.23150000000000001</v>
      </c>
      <c r="HS466" s="645">
        <f t="shared" si="848"/>
        <v>1554.3571428571429</v>
      </c>
      <c r="HT466" s="645">
        <f t="shared" si="849"/>
        <v>1</v>
      </c>
      <c r="HU466" s="618">
        <f t="shared" si="832"/>
        <v>5.8977175835800377</v>
      </c>
      <c r="HV466" s="618"/>
      <c r="HW466" s="618">
        <f t="shared" si="835"/>
        <v>27.625241031316349</v>
      </c>
      <c r="HX466" s="618">
        <f t="shared" si="833"/>
        <v>5.2102364500592619</v>
      </c>
      <c r="HY466" s="618">
        <f t="shared" si="834"/>
        <v>0.23150000000000001</v>
      </c>
      <c r="HZ466" s="618"/>
      <c r="IA466" s="618"/>
      <c r="IB466" s="618">
        <f t="shared" si="836"/>
        <v>25.000350341399081</v>
      </c>
      <c r="IC466" s="618">
        <f t="shared" si="837"/>
        <v>1E-3</v>
      </c>
      <c r="ID466" s="618"/>
      <c r="IE466" s="618">
        <f t="shared" si="838"/>
        <v>0</v>
      </c>
      <c r="IF466" s="618">
        <f t="shared" si="839"/>
        <v>40.704999999999998</v>
      </c>
      <c r="IG466" s="618"/>
      <c r="IH466" s="618">
        <f t="shared" si="840"/>
        <v>0</v>
      </c>
      <c r="II466" s="618">
        <f t="shared" si="841"/>
        <v>40.704999999999998</v>
      </c>
      <c r="IJ466" s="618"/>
      <c r="IK466" s="618">
        <f t="shared" si="842"/>
        <v>0</v>
      </c>
      <c r="IL466" s="618">
        <f t="shared" si="843"/>
        <v>40.704999999999998</v>
      </c>
      <c r="IM466" s="618"/>
      <c r="IN466" s="618">
        <f t="shared" si="844"/>
        <v>0</v>
      </c>
      <c r="IO466" s="618">
        <f t="shared" si="845"/>
        <v>40.704999999999998</v>
      </c>
      <c r="IP466" s="618"/>
      <c r="IQ466" s="618">
        <f t="shared" si="846"/>
        <v>0</v>
      </c>
      <c r="IR466" s="618">
        <f t="shared" si="847"/>
        <v>40.704999999999998</v>
      </c>
      <c r="IS466" s="645"/>
      <c r="IT466" s="645"/>
      <c r="IU466" s="645"/>
      <c r="IV466" s="645"/>
      <c r="IW466" s="645"/>
      <c r="IX466" s="645"/>
      <c r="IY466" s="645"/>
      <c r="IZ466" s="645"/>
      <c r="JA466" s="645"/>
      <c r="JB466" s="645"/>
      <c r="JC466" s="645"/>
      <c r="JD466" s="645"/>
      <c r="JE466" s="645"/>
      <c r="JF466" s="645"/>
      <c r="JG466" s="645"/>
      <c r="JH466" s="645"/>
      <c r="JI466" s="645"/>
      <c r="JJ466" s="645"/>
      <c r="JK466" s="645"/>
      <c r="JL466" s="645"/>
      <c r="JM466" s="645"/>
      <c r="JN466" s="645"/>
      <c r="JO466" s="645"/>
      <c r="JP466" s="645"/>
      <c r="JQ466" s="645"/>
      <c r="JR466" s="645"/>
      <c r="JS466" s="645"/>
      <c r="JT466" s="645"/>
      <c r="JU466" s="645"/>
      <c r="JV466" s="653"/>
    </row>
    <row r="467" spans="1:282" s="612" customFormat="1">
      <c r="A467" s="611"/>
      <c r="U467" s="613"/>
      <c r="V467" s="613"/>
      <c r="AC467" s="613"/>
      <c r="AD467" s="613"/>
      <c r="AL467" s="613"/>
      <c r="AM467" s="613"/>
      <c r="AT467" s="613"/>
      <c r="AU467" s="613"/>
      <c r="CH467" s="611"/>
      <c r="CI467" s="611"/>
      <c r="CO467" s="695"/>
      <c r="CP467" s="645"/>
      <c r="CQ467" s="618"/>
      <c r="CR467" s="618"/>
      <c r="CS467" s="618"/>
      <c r="CT467" s="626"/>
      <c r="CU467" s="626"/>
      <c r="CV467" s="626"/>
      <c r="CW467" s="646"/>
      <c r="CX467" s="646"/>
      <c r="CY467" s="625"/>
      <c r="CZ467" s="625"/>
      <c r="DA467" s="625"/>
      <c r="DB467" s="625"/>
      <c r="DC467" s="645"/>
      <c r="DD467" s="645"/>
      <c r="DE467" s="645"/>
      <c r="DF467" s="645"/>
      <c r="DG467" s="645"/>
      <c r="DH467" s="645"/>
      <c r="DI467" s="645"/>
      <c r="DJ467" s="645"/>
      <c r="DK467" s="645"/>
      <c r="DL467" s="645"/>
      <c r="DM467" s="645"/>
      <c r="DN467" s="645"/>
      <c r="DO467" s="645"/>
      <c r="DP467" s="645"/>
      <c r="DQ467" s="645"/>
      <c r="DR467" s="645"/>
      <c r="DS467" s="645"/>
      <c r="DT467" s="645"/>
      <c r="DU467" s="645"/>
      <c r="DV467" s="645"/>
      <c r="DW467" s="645"/>
      <c r="DX467" s="645"/>
      <c r="DY467" s="645"/>
      <c r="DZ467" s="645"/>
      <c r="EA467" s="645"/>
      <c r="EB467" s="645"/>
      <c r="EC467" s="645"/>
      <c r="ED467" s="645"/>
      <c r="EE467" s="645"/>
      <c r="EF467" s="645"/>
      <c r="EG467" s="645"/>
      <c r="EH467" s="645"/>
      <c r="EI467" s="645"/>
      <c r="EJ467" s="645"/>
      <c r="EK467" s="645"/>
      <c r="EL467" s="645"/>
      <c r="EM467" s="645"/>
      <c r="EN467" s="645"/>
      <c r="EO467" s="645"/>
      <c r="EP467" s="645"/>
      <c r="EQ467" s="645"/>
      <c r="ER467" s="645"/>
      <c r="ES467" s="645"/>
      <c r="ET467" s="645"/>
      <c r="EU467" s="645"/>
      <c r="EV467" s="645"/>
      <c r="EW467" s="645"/>
      <c r="EX467" s="645"/>
      <c r="EY467" s="645"/>
      <c r="EZ467" s="645"/>
      <c r="FA467" s="645"/>
      <c r="FB467" s="645"/>
      <c r="FC467" s="645"/>
      <c r="FD467" s="645"/>
      <c r="FE467" s="645"/>
      <c r="FF467" s="645"/>
      <c r="FG467" s="645"/>
      <c r="FH467" s="645"/>
      <c r="FI467" s="645"/>
      <c r="FJ467" s="645"/>
      <c r="FK467" s="645"/>
      <c r="FL467" s="645"/>
      <c r="FM467" s="645"/>
      <c r="FN467" s="645"/>
      <c r="FO467" s="645"/>
      <c r="FP467" s="645"/>
      <c r="FQ467" s="645"/>
      <c r="FR467" s="645"/>
      <c r="FS467" s="645"/>
      <c r="FT467" s="645"/>
      <c r="FU467" s="645"/>
      <c r="FV467" s="645"/>
      <c r="FW467" s="645"/>
      <c r="FX467" s="645"/>
      <c r="FY467" s="645"/>
      <c r="FZ467" s="645"/>
      <c r="GA467" s="645"/>
      <c r="GB467" s="645"/>
      <c r="GC467" s="645"/>
      <c r="GD467" s="645"/>
      <c r="GE467" s="645"/>
      <c r="GF467" s="645"/>
      <c r="GG467" s="645"/>
      <c r="GH467" s="645"/>
      <c r="GI467" s="645"/>
      <c r="GJ467" s="645"/>
      <c r="GK467" s="645"/>
      <c r="GL467" s="645"/>
      <c r="GM467" s="645"/>
      <c r="GN467" s="645"/>
      <c r="GO467" s="645"/>
      <c r="GP467" s="645"/>
      <c r="GQ467" s="645"/>
      <c r="GR467" s="645"/>
      <c r="GS467" s="645"/>
      <c r="GT467" s="645"/>
      <c r="GU467" s="645"/>
      <c r="GV467" s="645"/>
      <c r="GW467" s="645"/>
      <c r="GX467" s="645"/>
      <c r="GY467" s="645"/>
      <c r="GZ467" s="645"/>
      <c r="HA467" s="645"/>
      <c r="HB467" s="645"/>
      <c r="HC467" s="645"/>
      <c r="HD467" s="645"/>
      <c r="HE467" s="645"/>
      <c r="HF467" s="645"/>
      <c r="HG467" s="645"/>
      <c r="HH467" s="645"/>
      <c r="HI467" s="645"/>
      <c r="HJ467" s="645"/>
      <c r="HK467" s="645"/>
      <c r="HL467" s="645"/>
      <c r="HM467" s="645"/>
      <c r="HN467" s="645"/>
      <c r="HO467" s="645"/>
      <c r="HP467" s="645"/>
      <c r="HQ467" s="645"/>
      <c r="HR467" s="645">
        <v>0.23200000000000001</v>
      </c>
      <c r="HS467" s="645">
        <f t="shared" si="848"/>
        <v>1557.7142857142858</v>
      </c>
      <c r="HT467" s="645">
        <f t="shared" si="849"/>
        <v>1</v>
      </c>
      <c r="HU467" s="618">
        <f t="shared" ref="HU467:HU505" si="850">(((($AQ$45*HT467)*$AQ$34)/(Mc+ML)))*(HR467-HR466)+HU466</f>
        <v>5.9104566275536623</v>
      </c>
      <c r="HV467" s="618"/>
      <c r="HW467" s="618">
        <f t="shared" si="835"/>
        <v>27.607151588873798</v>
      </c>
      <c r="HX467" s="618">
        <f t="shared" ref="HX467:HX505" si="851">IF(HW467&lt;0,HX466,(((HW467/$AQ$44*HT467)*$AQ$34)/(Mc+ML))*(HR467-HR466)+HX466)</f>
        <v>5.2200055811169612</v>
      </c>
      <c r="HY467" s="618">
        <f t="shared" ref="HY467:HY505" si="852">HR467</f>
        <v>0.23200000000000001</v>
      </c>
      <c r="HZ467" s="618"/>
      <c r="IA467" s="618"/>
      <c r="IB467" s="618">
        <f t="shared" si="836"/>
        <v>25.000350341399081</v>
      </c>
      <c r="IC467" s="618">
        <f t="shared" si="837"/>
        <v>1E-3</v>
      </c>
      <c r="ID467" s="618"/>
      <c r="IE467" s="618">
        <f t="shared" si="838"/>
        <v>0</v>
      </c>
      <c r="IF467" s="618">
        <f t="shared" si="839"/>
        <v>40.704999999999998</v>
      </c>
      <c r="IG467" s="618"/>
      <c r="IH467" s="618">
        <f t="shared" si="840"/>
        <v>0</v>
      </c>
      <c r="II467" s="618">
        <f t="shared" si="841"/>
        <v>40.704999999999998</v>
      </c>
      <c r="IJ467" s="618"/>
      <c r="IK467" s="618">
        <f t="shared" si="842"/>
        <v>0</v>
      </c>
      <c r="IL467" s="618">
        <f t="shared" si="843"/>
        <v>40.704999999999998</v>
      </c>
      <c r="IM467" s="618"/>
      <c r="IN467" s="618">
        <f t="shared" si="844"/>
        <v>0</v>
      </c>
      <c r="IO467" s="618">
        <f t="shared" si="845"/>
        <v>40.704999999999998</v>
      </c>
      <c r="IP467" s="618"/>
      <c r="IQ467" s="618">
        <f t="shared" si="846"/>
        <v>0</v>
      </c>
      <c r="IR467" s="618">
        <f t="shared" si="847"/>
        <v>40.704999999999998</v>
      </c>
      <c r="IS467" s="645"/>
      <c r="IT467" s="645"/>
      <c r="IU467" s="645"/>
      <c r="IV467" s="645"/>
      <c r="IW467" s="645"/>
      <c r="IX467" s="645"/>
      <c r="IY467" s="645"/>
      <c r="IZ467" s="645"/>
      <c r="JA467" s="645"/>
      <c r="JB467" s="645"/>
      <c r="JC467" s="645"/>
      <c r="JD467" s="645"/>
      <c r="JE467" s="645"/>
      <c r="JF467" s="645"/>
      <c r="JG467" s="645"/>
      <c r="JH467" s="645"/>
      <c r="JI467" s="645"/>
      <c r="JJ467" s="645"/>
      <c r="JK467" s="645"/>
      <c r="JL467" s="645"/>
      <c r="JM467" s="645"/>
      <c r="JN467" s="645"/>
      <c r="JO467" s="645"/>
      <c r="JP467" s="645"/>
      <c r="JQ467" s="645"/>
      <c r="JR467" s="645"/>
      <c r="JS467" s="645"/>
      <c r="JT467" s="645"/>
      <c r="JU467" s="645"/>
      <c r="JV467" s="653"/>
    </row>
    <row r="468" spans="1:282" s="612" customFormat="1">
      <c r="A468" s="611"/>
      <c r="U468" s="613"/>
      <c r="V468" s="613"/>
      <c r="AC468" s="613"/>
      <c r="AD468" s="613"/>
      <c r="AL468" s="613"/>
      <c r="AM468" s="613"/>
      <c r="AT468" s="613"/>
      <c r="AU468" s="613"/>
      <c r="CH468" s="611"/>
      <c r="CI468" s="611"/>
      <c r="CO468" s="695"/>
      <c r="CP468" s="645"/>
      <c r="CQ468" s="618"/>
      <c r="CR468" s="618"/>
      <c r="CS468" s="618"/>
      <c r="CT468" s="626"/>
      <c r="CU468" s="626"/>
      <c r="CV468" s="626"/>
      <c r="CW468" s="646"/>
      <c r="CX468" s="646"/>
      <c r="CY468" s="625"/>
      <c r="CZ468" s="625"/>
      <c r="DA468" s="625"/>
      <c r="DB468" s="625"/>
      <c r="DC468" s="645"/>
      <c r="DD468" s="645"/>
      <c r="DE468" s="645"/>
      <c r="DF468" s="645"/>
      <c r="DG468" s="645"/>
      <c r="DH468" s="645"/>
      <c r="DI468" s="645"/>
      <c r="DJ468" s="645"/>
      <c r="DK468" s="645"/>
      <c r="DL468" s="645"/>
      <c r="DM468" s="645"/>
      <c r="DN468" s="645"/>
      <c r="DO468" s="645"/>
      <c r="DP468" s="645"/>
      <c r="DQ468" s="645"/>
      <c r="DR468" s="645"/>
      <c r="DS468" s="645"/>
      <c r="DT468" s="645"/>
      <c r="DU468" s="645"/>
      <c r="DV468" s="645"/>
      <c r="DW468" s="645"/>
      <c r="DX468" s="645"/>
      <c r="DY468" s="645"/>
      <c r="DZ468" s="645"/>
      <c r="EA468" s="645"/>
      <c r="EB468" s="645"/>
      <c r="EC468" s="645"/>
      <c r="ED468" s="645"/>
      <c r="EE468" s="645"/>
      <c r="EF468" s="645"/>
      <c r="EG468" s="645"/>
      <c r="EH468" s="645"/>
      <c r="EI468" s="645"/>
      <c r="EJ468" s="645"/>
      <c r="EK468" s="645"/>
      <c r="EL468" s="645"/>
      <c r="EM468" s="645"/>
      <c r="EN468" s="645"/>
      <c r="EO468" s="645"/>
      <c r="EP468" s="645"/>
      <c r="EQ468" s="645"/>
      <c r="ER468" s="645"/>
      <c r="ES468" s="645"/>
      <c r="ET468" s="645"/>
      <c r="EU468" s="645"/>
      <c r="EV468" s="645"/>
      <c r="EW468" s="645"/>
      <c r="EX468" s="645"/>
      <c r="EY468" s="645"/>
      <c r="EZ468" s="645"/>
      <c r="FA468" s="645"/>
      <c r="FB468" s="645"/>
      <c r="FC468" s="645"/>
      <c r="FD468" s="645"/>
      <c r="FE468" s="645"/>
      <c r="FF468" s="645"/>
      <c r="FG468" s="645"/>
      <c r="FH468" s="645"/>
      <c r="FI468" s="645"/>
      <c r="FJ468" s="645"/>
      <c r="FK468" s="645"/>
      <c r="FL468" s="645"/>
      <c r="FM468" s="645"/>
      <c r="FN468" s="645"/>
      <c r="FO468" s="645"/>
      <c r="FP468" s="645"/>
      <c r="FQ468" s="645"/>
      <c r="FR468" s="645"/>
      <c r="FS468" s="645"/>
      <c r="FT468" s="645"/>
      <c r="FU468" s="645"/>
      <c r="FV468" s="645"/>
      <c r="FW468" s="645"/>
      <c r="FX468" s="645"/>
      <c r="FY468" s="645"/>
      <c r="FZ468" s="645"/>
      <c r="GA468" s="645"/>
      <c r="GB468" s="645"/>
      <c r="GC468" s="645"/>
      <c r="GD468" s="645"/>
      <c r="GE468" s="645"/>
      <c r="GF468" s="645"/>
      <c r="GG468" s="645"/>
      <c r="GH468" s="645"/>
      <c r="GI468" s="645"/>
      <c r="GJ468" s="645"/>
      <c r="GK468" s="645"/>
      <c r="GL468" s="645"/>
      <c r="GM468" s="645"/>
      <c r="GN468" s="645"/>
      <c r="GO468" s="645"/>
      <c r="GP468" s="645"/>
      <c r="GQ468" s="645"/>
      <c r="GR468" s="645"/>
      <c r="GS468" s="645"/>
      <c r="GT468" s="645"/>
      <c r="GU468" s="645"/>
      <c r="GV468" s="645"/>
      <c r="GW468" s="645"/>
      <c r="GX468" s="645"/>
      <c r="GY468" s="645"/>
      <c r="GZ468" s="645"/>
      <c r="HA468" s="645"/>
      <c r="HB468" s="645"/>
      <c r="HC468" s="645"/>
      <c r="HD468" s="645"/>
      <c r="HE468" s="645"/>
      <c r="HF468" s="645"/>
      <c r="HG468" s="645"/>
      <c r="HH468" s="645"/>
      <c r="HI468" s="645"/>
      <c r="HJ468" s="645"/>
      <c r="HK468" s="645"/>
      <c r="HL468" s="645"/>
      <c r="HM468" s="645"/>
      <c r="HN468" s="645"/>
      <c r="HO468" s="645"/>
      <c r="HP468" s="645"/>
      <c r="HQ468" s="645"/>
      <c r="HR468" s="645">
        <v>0.23250000000000001</v>
      </c>
      <c r="HS468" s="645">
        <f t="shared" si="848"/>
        <v>1561.0714285714287</v>
      </c>
      <c r="HT468" s="645">
        <f t="shared" si="849"/>
        <v>1</v>
      </c>
      <c r="HU468" s="618">
        <f t="shared" si="850"/>
        <v>5.9231956715272869</v>
      </c>
      <c r="HV468" s="618"/>
      <c r="HW468" s="618">
        <f t="shared" si="835"/>
        <v>27.589062146431253</v>
      </c>
      <c r="HX468" s="618">
        <f t="shared" si="851"/>
        <v>5.2297683110023625</v>
      </c>
      <c r="HY468" s="618">
        <f t="shared" si="852"/>
        <v>0.23250000000000001</v>
      </c>
      <c r="HZ468" s="618"/>
      <c r="IA468" s="618"/>
      <c r="IB468" s="618">
        <f t="shared" si="836"/>
        <v>25.000350341399081</v>
      </c>
      <c r="IC468" s="618">
        <f t="shared" si="837"/>
        <v>1E-3</v>
      </c>
      <c r="ID468" s="618"/>
      <c r="IE468" s="618">
        <f t="shared" si="838"/>
        <v>0</v>
      </c>
      <c r="IF468" s="618">
        <f t="shared" si="839"/>
        <v>40.704999999999998</v>
      </c>
      <c r="IG468" s="618"/>
      <c r="IH468" s="618">
        <f t="shared" si="840"/>
        <v>0</v>
      </c>
      <c r="II468" s="618">
        <f t="shared" si="841"/>
        <v>40.704999999999998</v>
      </c>
      <c r="IJ468" s="618"/>
      <c r="IK468" s="618">
        <f t="shared" si="842"/>
        <v>0</v>
      </c>
      <c r="IL468" s="618">
        <f t="shared" si="843"/>
        <v>40.704999999999998</v>
      </c>
      <c r="IM468" s="618"/>
      <c r="IN468" s="618">
        <f t="shared" si="844"/>
        <v>0</v>
      </c>
      <c r="IO468" s="618">
        <f t="shared" si="845"/>
        <v>40.704999999999998</v>
      </c>
      <c r="IP468" s="618"/>
      <c r="IQ468" s="618">
        <f t="shared" si="846"/>
        <v>0</v>
      </c>
      <c r="IR468" s="618">
        <f t="shared" si="847"/>
        <v>40.704999999999998</v>
      </c>
      <c r="IS468" s="645"/>
      <c r="IT468" s="645"/>
      <c r="IU468" s="645"/>
      <c r="IV468" s="645"/>
      <c r="IW468" s="645"/>
      <c r="IX468" s="645"/>
      <c r="IY468" s="645"/>
      <c r="IZ468" s="645"/>
      <c r="JA468" s="645"/>
      <c r="JB468" s="645"/>
      <c r="JC468" s="645"/>
      <c r="JD468" s="645"/>
      <c r="JE468" s="645"/>
      <c r="JF468" s="645"/>
      <c r="JG468" s="645"/>
      <c r="JH468" s="645"/>
      <c r="JI468" s="645"/>
      <c r="JJ468" s="645"/>
      <c r="JK468" s="645"/>
      <c r="JL468" s="645"/>
      <c r="JM468" s="645"/>
      <c r="JN468" s="645"/>
      <c r="JO468" s="645"/>
      <c r="JP468" s="645"/>
      <c r="JQ468" s="645"/>
      <c r="JR468" s="645"/>
      <c r="JS468" s="645"/>
      <c r="JT468" s="645"/>
      <c r="JU468" s="645"/>
      <c r="JV468" s="653"/>
    </row>
    <row r="469" spans="1:282" s="612" customFormat="1">
      <c r="A469" s="611"/>
      <c r="U469" s="613"/>
      <c r="V469" s="613"/>
      <c r="AC469" s="613"/>
      <c r="AD469" s="613"/>
      <c r="AL469" s="613"/>
      <c r="AM469" s="613"/>
      <c r="AT469" s="613"/>
      <c r="AU469" s="613"/>
      <c r="CH469" s="611"/>
      <c r="CI469" s="611"/>
      <c r="CO469" s="695"/>
      <c r="CP469" s="645"/>
      <c r="CQ469" s="618"/>
      <c r="CR469" s="618"/>
      <c r="CS469" s="618"/>
      <c r="CT469" s="626"/>
      <c r="CU469" s="626"/>
      <c r="CV469" s="626"/>
      <c r="CW469" s="646"/>
      <c r="CX469" s="646"/>
      <c r="CY469" s="625"/>
      <c r="CZ469" s="625"/>
      <c r="DA469" s="625"/>
      <c r="DB469" s="625"/>
      <c r="DC469" s="645"/>
      <c r="DD469" s="645"/>
      <c r="DE469" s="645"/>
      <c r="DF469" s="645"/>
      <c r="DG469" s="645"/>
      <c r="DH469" s="645"/>
      <c r="DI469" s="645"/>
      <c r="DJ469" s="645"/>
      <c r="DK469" s="645"/>
      <c r="DL469" s="645"/>
      <c r="DM469" s="645"/>
      <c r="DN469" s="645"/>
      <c r="DO469" s="645"/>
      <c r="DP469" s="645"/>
      <c r="DQ469" s="645"/>
      <c r="DR469" s="645"/>
      <c r="DS469" s="645"/>
      <c r="DT469" s="645"/>
      <c r="DU469" s="645"/>
      <c r="DV469" s="645"/>
      <c r="DW469" s="645"/>
      <c r="DX469" s="645"/>
      <c r="DY469" s="645"/>
      <c r="DZ469" s="645"/>
      <c r="EA469" s="645"/>
      <c r="EB469" s="645"/>
      <c r="EC469" s="645"/>
      <c r="ED469" s="645"/>
      <c r="EE469" s="645"/>
      <c r="EF469" s="645"/>
      <c r="EG469" s="645"/>
      <c r="EH469" s="645"/>
      <c r="EI469" s="645"/>
      <c r="EJ469" s="645"/>
      <c r="EK469" s="645"/>
      <c r="EL469" s="645"/>
      <c r="EM469" s="645"/>
      <c r="EN469" s="645"/>
      <c r="EO469" s="645"/>
      <c r="EP469" s="645"/>
      <c r="EQ469" s="645"/>
      <c r="ER469" s="645"/>
      <c r="ES469" s="645"/>
      <c r="ET469" s="645"/>
      <c r="EU469" s="645"/>
      <c r="EV469" s="645"/>
      <c r="EW469" s="645"/>
      <c r="EX469" s="645"/>
      <c r="EY469" s="645"/>
      <c r="EZ469" s="645"/>
      <c r="FA469" s="645"/>
      <c r="FB469" s="645"/>
      <c r="FC469" s="645"/>
      <c r="FD469" s="645"/>
      <c r="FE469" s="645"/>
      <c r="FF469" s="645"/>
      <c r="FG469" s="645"/>
      <c r="FH469" s="645"/>
      <c r="FI469" s="645"/>
      <c r="FJ469" s="645"/>
      <c r="FK469" s="645"/>
      <c r="FL469" s="645"/>
      <c r="FM469" s="645"/>
      <c r="FN469" s="645"/>
      <c r="FO469" s="645"/>
      <c r="FP469" s="645"/>
      <c r="FQ469" s="645"/>
      <c r="FR469" s="645"/>
      <c r="FS469" s="645"/>
      <c r="FT469" s="645"/>
      <c r="FU469" s="645"/>
      <c r="FV469" s="645"/>
      <c r="FW469" s="645"/>
      <c r="FX469" s="645"/>
      <c r="FY469" s="645"/>
      <c r="FZ469" s="645"/>
      <c r="GA469" s="645"/>
      <c r="GB469" s="645"/>
      <c r="GC469" s="645"/>
      <c r="GD469" s="645"/>
      <c r="GE469" s="645"/>
      <c r="GF469" s="645"/>
      <c r="GG469" s="645"/>
      <c r="GH469" s="645"/>
      <c r="GI469" s="645"/>
      <c r="GJ469" s="645"/>
      <c r="GK469" s="645"/>
      <c r="GL469" s="645"/>
      <c r="GM469" s="645"/>
      <c r="GN469" s="645"/>
      <c r="GO469" s="645"/>
      <c r="GP469" s="645"/>
      <c r="GQ469" s="645"/>
      <c r="GR469" s="645"/>
      <c r="GS469" s="645"/>
      <c r="GT469" s="645"/>
      <c r="GU469" s="645"/>
      <c r="GV469" s="645"/>
      <c r="GW469" s="645"/>
      <c r="GX469" s="645"/>
      <c r="GY469" s="645"/>
      <c r="GZ469" s="645"/>
      <c r="HA469" s="645"/>
      <c r="HB469" s="645"/>
      <c r="HC469" s="645"/>
      <c r="HD469" s="645"/>
      <c r="HE469" s="645"/>
      <c r="HF469" s="645"/>
      <c r="HG469" s="645"/>
      <c r="HH469" s="645"/>
      <c r="HI469" s="645"/>
      <c r="HJ469" s="645"/>
      <c r="HK469" s="645"/>
      <c r="HL469" s="645"/>
      <c r="HM469" s="645"/>
      <c r="HN469" s="645"/>
      <c r="HO469" s="645"/>
      <c r="HP469" s="645"/>
      <c r="HQ469" s="645"/>
      <c r="HR469" s="645">
        <v>0.23300000000000001</v>
      </c>
      <c r="HS469" s="645">
        <f t="shared" si="848"/>
        <v>1564.4285714285716</v>
      </c>
      <c r="HT469" s="645">
        <f t="shared" si="849"/>
        <v>1</v>
      </c>
      <c r="HU469" s="618">
        <f t="shared" si="850"/>
        <v>5.9359347155009115</v>
      </c>
      <c r="HV469" s="618"/>
      <c r="HW469" s="618">
        <f t="shared" si="835"/>
        <v>27.570972703988708</v>
      </c>
      <c r="HX469" s="618">
        <f t="shared" si="851"/>
        <v>5.2395246397154658</v>
      </c>
      <c r="HY469" s="618">
        <f t="shared" si="852"/>
        <v>0.23300000000000001</v>
      </c>
      <c r="HZ469" s="618"/>
      <c r="IA469" s="618"/>
      <c r="IB469" s="618">
        <f t="shared" si="836"/>
        <v>25.000350341399081</v>
      </c>
      <c r="IC469" s="618">
        <f t="shared" si="837"/>
        <v>1E-3</v>
      </c>
      <c r="ID469" s="618"/>
      <c r="IE469" s="618">
        <f t="shared" si="838"/>
        <v>0</v>
      </c>
      <c r="IF469" s="618">
        <f t="shared" si="839"/>
        <v>40.704999999999998</v>
      </c>
      <c r="IG469" s="618"/>
      <c r="IH469" s="618">
        <f t="shared" si="840"/>
        <v>0</v>
      </c>
      <c r="II469" s="618">
        <f t="shared" si="841"/>
        <v>40.704999999999998</v>
      </c>
      <c r="IJ469" s="618"/>
      <c r="IK469" s="618">
        <f t="shared" si="842"/>
        <v>0</v>
      </c>
      <c r="IL469" s="618">
        <f t="shared" si="843"/>
        <v>40.704999999999998</v>
      </c>
      <c r="IM469" s="618"/>
      <c r="IN469" s="618">
        <f t="shared" si="844"/>
        <v>0</v>
      </c>
      <c r="IO469" s="618">
        <f t="shared" si="845"/>
        <v>40.704999999999998</v>
      </c>
      <c r="IP469" s="618"/>
      <c r="IQ469" s="618">
        <f t="shared" si="846"/>
        <v>0</v>
      </c>
      <c r="IR469" s="618">
        <f t="shared" si="847"/>
        <v>40.704999999999998</v>
      </c>
      <c r="IS469" s="645"/>
      <c r="IT469" s="645"/>
      <c r="IU469" s="645"/>
      <c r="IV469" s="645"/>
      <c r="IW469" s="645"/>
      <c r="IX469" s="645"/>
      <c r="IY469" s="645"/>
      <c r="IZ469" s="645"/>
      <c r="JA469" s="645"/>
      <c r="JB469" s="645"/>
      <c r="JC469" s="645"/>
      <c r="JD469" s="645"/>
      <c r="JE469" s="645"/>
      <c r="JF469" s="645"/>
      <c r="JG469" s="645"/>
      <c r="JH469" s="645"/>
      <c r="JI469" s="645"/>
      <c r="JJ469" s="645"/>
      <c r="JK469" s="645"/>
      <c r="JL469" s="645"/>
      <c r="JM469" s="645"/>
      <c r="JN469" s="645"/>
      <c r="JO469" s="645"/>
      <c r="JP469" s="645"/>
      <c r="JQ469" s="645"/>
      <c r="JR469" s="645"/>
      <c r="JS469" s="645"/>
      <c r="JT469" s="645"/>
      <c r="JU469" s="645"/>
      <c r="JV469" s="653"/>
    </row>
    <row r="470" spans="1:282" s="612" customFormat="1">
      <c r="A470" s="611"/>
      <c r="U470" s="613"/>
      <c r="V470" s="613"/>
      <c r="AC470" s="613"/>
      <c r="AD470" s="613"/>
      <c r="AL470" s="613"/>
      <c r="AM470" s="613"/>
      <c r="AT470" s="613"/>
      <c r="AU470" s="613"/>
      <c r="CH470" s="611"/>
      <c r="CI470" s="611"/>
      <c r="CO470" s="695"/>
      <c r="CP470" s="645"/>
      <c r="CQ470" s="618"/>
      <c r="CR470" s="618"/>
      <c r="CS470" s="618"/>
      <c r="CT470" s="626"/>
      <c r="CU470" s="626"/>
      <c r="CV470" s="626"/>
      <c r="CW470" s="646"/>
      <c r="CX470" s="646"/>
      <c r="CY470" s="625"/>
      <c r="CZ470" s="625"/>
      <c r="DA470" s="625"/>
      <c r="DB470" s="625"/>
      <c r="DC470" s="645"/>
      <c r="DD470" s="645"/>
      <c r="DE470" s="645"/>
      <c r="DF470" s="645"/>
      <c r="DG470" s="645"/>
      <c r="DH470" s="645"/>
      <c r="DI470" s="645"/>
      <c r="DJ470" s="645"/>
      <c r="DK470" s="645"/>
      <c r="DL470" s="645"/>
      <c r="DM470" s="645"/>
      <c r="DN470" s="645"/>
      <c r="DO470" s="645"/>
      <c r="DP470" s="645"/>
      <c r="DQ470" s="645"/>
      <c r="DR470" s="645"/>
      <c r="DS470" s="645"/>
      <c r="DT470" s="645"/>
      <c r="DU470" s="645"/>
      <c r="DV470" s="645"/>
      <c r="DW470" s="645"/>
      <c r="DX470" s="645"/>
      <c r="DY470" s="645"/>
      <c r="DZ470" s="645"/>
      <c r="EA470" s="645"/>
      <c r="EB470" s="645"/>
      <c r="EC470" s="645"/>
      <c r="ED470" s="645"/>
      <c r="EE470" s="645"/>
      <c r="EF470" s="645"/>
      <c r="EG470" s="645"/>
      <c r="EH470" s="645"/>
      <c r="EI470" s="645"/>
      <c r="EJ470" s="645"/>
      <c r="EK470" s="645"/>
      <c r="EL470" s="645"/>
      <c r="EM470" s="645"/>
      <c r="EN470" s="645"/>
      <c r="EO470" s="645"/>
      <c r="EP470" s="645"/>
      <c r="EQ470" s="645"/>
      <c r="ER470" s="645"/>
      <c r="ES470" s="645"/>
      <c r="ET470" s="645"/>
      <c r="EU470" s="645"/>
      <c r="EV470" s="645"/>
      <c r="EW470" s="645"/>
      <c r="EX470" s="645"/>
      <c r="EY470" s="645"/>
      <c r="EZ470" s="645"/>
      <c r="FA470" s="645"/>
      <c r="FB470" s="645"/>
      <c r="FC470" s="645"/>
      <c r="FD470" s="645"/>
      <c r="FE470" s="645"/>
      <c r="FF470" s="645"/>
      <c r="FG470" s="645"/>
      <c r="FH470" s="645"/>
      <c r="FI470" s="645"/>
      <c r="FJ470" s="645"/>
      <c r="FK470" s="645"/>
      <c r="FL470" s="645"/>
      <c r="FM470" s="645"/>
      <c r="FN470" s="645"/>
      <c r="FO470" s="645"/>
      <c r="FP470" s="645"/>
      <c r="FQ470" s="645"/>
      <c r="FR470" s="645"/>
      <c r="FS470" s="645"/>
      <c r="FT470" s="645"/>
      <c r="FU470" s="645"/>
      <c r="FV470" s="645"/>
      <c r="FW470" s="645"/>
      <c r="FX470" s="645"/>
      <c r="FY470" s="645"/>
      <c r="FZ470" s="645"/>
      <c r="GA470" s="645"/>
      <c r="GB470" s="645"/>
      <c r="GC470" s="645"/>
      <c r="GD470" s="645"/>
      <c r="GE470" s="645"/>
      <c r="GF470" s="645"/>
      <c r="GG470" s="645"/>
      <c r="GH470" s="645"/>
      <c r="GI470" s="645"/>
      <c r="GJ470" s="645"/>
      <c r="GK470" s="645"/>
      <c r="GL470" s="645"/>
      <c r="GM470" s="645"/>
      <c r="GN470" s="645"/>
      <c r="GO470" s="645"/>
      <c r="GP470" s="645"/>
      <c r="GQ470" s="645"/>
      <c r="GR470" s="645"/>
      <c r="GS470" s="645"/>
      <c r="GT470" s="645"/>
      <c r="GU470" s="645"/>
      <c r="GV470" s="645"/>
      <c r="GW470" s="645"/>
      <c r="GX470" s="645"/>
      <c r="GY470" s="645"/>
      <c r="GZ470" s="645"/>
      <c r="HA470" s="645"/>
      <c r="HB470" s="645"/>
      <c r="HC470" s="645"/>
      <c r="HD470" s="645"/>
      <c r="HE470" s="645"/>
      <c r="HF470" s="645"/>
      <c r="HG470" s="645"/>
      <c r="HH470" s="645"/>
      <c r="HI470" s="645"/>
      <c r="HJ470" s="645"/>
      <c r="HK470" s="645"/>
      <c r="HL470" s="645"/>
      <c r="HM470" s="645"/>
      <c r="HN470" s="645"/>
      <c r="HO470" s="645"/>
      <c r="HP470" s="645"/>
      <c r="HQ470" s="645"/>
      <c r="HR470" s="645">
        <v>0.23350000000000001</v>
      </c>
      <c r="HS470" s="645">
        <f t="shared" si="848"/>
        <v>1567.7857142857144</v>
      </c>
      <c r="HT470" s="645">
        <f t="shared" si="849"/>
        <v>1</v>
      </c>
      <c r="HU470" s="618">
        <f t="shared" si="850"/>
        <v>5.948673759474536</v>
      </c>
      <c r="HV470" s="618"/>
      <c r="HW470" s="618">
        <f t="shared" si="835"/>
        <v>27.552883261546157</v>
      </c>
      <c r="HX470" s="618">
        <f t="shared" si="851"/>
        <v>5.2492745672562711</v>
      </c>
      <c r="HY470" s="618">
        <f t="shared" si="852"/>
        <v>0.23350000000000001</v>
      </c>
      <c r="HZ470" s="618"/>
      <c r="IA470" s="618"/>
      <c r="IB470" s="618">
        <f t="shared" si="836"/>
        <v>25.000350341399081</v>
      </c>
      <c r="IC470" s="618">
        <f t="shared" si="837"/>
        <v>1E-3</v>
      </c>
      <c r="ID470" s="618"/>
      <c r="IE470" s="618">
        <f t="shared" si="838"/>
        <v>0</v>
      </c>
      <c r="IF470" s="618">
        <f t="shared" si="839"/>
        <v>40.704999999999998</v>
      </c>
      <c r="IG470" s="618"/>
      <c r="IH470" s="618">
        <f t="shared" si="840"/>
        <v>0</v>
      </c>
      <c r="II470" s="618">
        <f t="shared" si="841"/>
        <v>40.704999999999998</v>
      </c>
      <c r="IJ470" s="618"/>
      <c r="IK470" s="618">
        <f t="shared" si="842"/>
        <v>0</v>
      </c>
      <c r="IL470" s="618">
        <f t="shared" si="843"/>
        <v>40.704999999999998</v>
      </c>
      <c r="IM470" s="618"/>
      <c r="IN470" s="618">
        <f t="shared" si="844"/>
        <v>0</v>
      </c>
      <c r="IO470" s="618">
        <f t="shared" si="845"/>
        <v>40.704999999999998</v>
      </c>
      <c r="IP470" s="618"/>
      <c r="IQ470" s="618">
        <f t="shared" si="846"/>
        <v>0</v>
      </c>
      <c r="IR470" s="618">
        <f t="shared" si="847"/>
        <v>40.704999999999998</v>
      </c>
      <c r="IS470" s="645"/>
      <c r="IT470" s="645"/>
      <c r="IU470" s="645"/>
      <c r="IV470" s="645"/>
      <c r="IW470" s="645"/>
      <c r="IX470" s="645"/>
      <c r="IY470" s="645"/>
      <c r="IZ470" s="645"/>
      <c r="JA470" s="645"/>
      <c r="JB470" s="645"/>
      <c r="JC470" s="645"/>
      <c r="JD470" s="645"/>
      <c r="JE470" s="645"/>
      <c r="JF470" s="645"/>
      <c r="JG470" s="645"/>
      <c r="JH470" s="645"/>
      <c r="JI470" s="645"/>
      <c r="JJ470" s="645"/>
      <c r="JK470" s="645"/>
      <c r="JL470" s="645"/>
      <c r="JM470" s="645"/>
      <c r="JN470" s="645"/>
      <c r="JO470" s="645"/>
      <c r="JP470" s="645"/>
      <c r="JQ470" s="645"/>
      <c r="JR470" s="645"/>
      <c r="JS470" s="645"/>
      <c r="JT470" s="645"/>
      <c r="JU470" s="645"/>
      <c r="JV470" s="653"/>
    </row>
    <row r="471" spans="1:282" s="612" customFormat="1">
      <c r="A471" s="611"/>
      <c r="U471" s="613"/>
      <c r="V471" s="613"/>
      <c r="AC471" s="613"/>
      <c r="AD471" s="613"/>
      <c r="AL471" s="613"/>
      <c r="AM471" s="613"/>
      <c r="AT471" s="613"/>
      <c r="AU471" s="613"/>
      <c r="CH471" s="611"/>
      <c r="CI471" s="611"/>
      <c r="CO471" s="695"/>
      <c r="CP471" s="645"/>
      <c r="CQ471" s="618"/>
      <c r="CR471" s="618"/>
      <c r="CS471" s="618"/>
      <c r="CT471" s="626"/>
      <c r="CU471" s="626"/>
      <c r="CV471" s="626"/>
      <c r="CW471" s="646"/>
      <c r="CX471" s="646"/>
      <c r="CY471" s="625"/>
      <c r="CZ471" s="625"/>
      <c r="DA471" s="625"/>
      <c r="DB471" s="625"/>
      <c r="DC471" s="645"/>
      <c r="DD471" s="645"/>
      <c r="DE471" s="645"/>
      <c r="DF471" s="645"/>
      <c r="DG471" s="645"/>
      <c r="DH471" s="645"/>
      <c r="DI471" s="645"/>
      <c r="DJ471" s="645"/>
      <c r="DK471" s="645"/>
      <c r="DL471" s="645"/>
      <c r="DM471" s="645"/>
      <c r="DN471" s="645"/>
      <c r="DO471" s="645"/>
      <c r="DP471" s="645"/>
      <c r="DQ471" s="645"/>
      <c r="DR471" s="645"/>
      <c r="DS471" s="645"/>
      <c r="DT471" s="645"/>
      <c r="DU471" s="645"/>
      <c r="DV471" s="645"/>
      <c r="DW471" s="645"/>
      <c r="DX471" s="645"/>
      <c r="DY471" s="645"/>
      <c r="DZ471" s="645"/>
      <c r="EA471" s="645"/>
      <c r="EB471" s="645"/>
      <c r="EC471" s="645"/>
      <c r="ED471" s="645"/>
      <c r="EE471" s="645"/>
      <c r="EF471" s="645"/>
      <c r="EG471" s="645"/>
      <c r="EH471" s="645"/>
      <c r="EI471" s="645"/>
      <c r="EJ471" s="645"/>
      <c r="EK471" s="645"/>
      <c r="EL471" s="645"/>
      <c r="EM471" s="645"/>
      <c r="EN471" s="645"/>
      <c r="EO471" s="645"/>
      <c r="EP471" s="645"/>
      <c r="EQ471" s="645"/>
      <c r="ER471" s="645"/>
      <c r="ES471" s="645"/>
      <c r="ET471" s="645"/>
      <c r="EU471" s="645"/>
      <c r="EV471" s="645"/>
      <c r="EW471" s="645"/>
      <c r="EX471" s="645"/>
      <c r="EY471" s="645"/>
      <c r="EZ471" s="645"/>
      <c r="FA471" s="645"/>
      <c r="FB471" s="645"/>
      <c r="FC471" s="645"/>
      <c r="FD471" s="645"/>
      <c r="FE471" s="645"/>
      <c r="FF471" s="645"/>
      <c r="FG471" s="645"/>
      <c r="FH471" s="645"/>
      <c r="FI471" s="645"/>
      <c r="FJ471" s="645"/>
      <c r="FK471" s="645"/>
      <c r="FL471" s="645"/>
      <c r="FM471" s="645"/>
      <c r="FN471" s="645"/>
      <c r="FO471" s="645"/>
      <c r="FP471" s="645"/>
      <c r="FQ471" s="645"/>
      <c r="FR471" s="645"/>
      <c r="FS471" s="645"/>
      <c r="FT471" s="645"/>
      <c r="FU471" s="645"/>
      <c r="FV471" s="645"/>
      <c r="FW471" s="645"/>
      <c r="FX471" s="645"/>
      <c r="FY471" s="645"/>
      <c r="FZ471" s="645"/>
      <c r="GA471" s="645"/>
      <c r="GB471" s="645"/>
      <c r="GC471" s="645"/>
      <c r="GD471" s="645"/>
      <c r="GE471" s="645"/>
      <c r="GF471" s="645"/>
      <c r="GG471" s="645"/>
      <c r="GH471" s="645"/>
      <c r="GI471" s="645"/>
      <c r="GJ471" s="645"/>
      <c r="GK471" s="645"/>
      <c r="GL471" s="645"/>
      <c r="GM471" s="645"/>
      <c r="GN471" s="645"/>
      <c r="GO471" s="645"/>
      <c r="GP471" s="645"/>
      <c r="GQ471" s="645"/>
      <c r="GR471" s="645"/>
      <c r="GS471" s="645"/>
      <c r="GT471" s="645"/>
      <c r="GU471" s="645"/>
      <c r="GV471" s="645"/>
      <c r="GW471" s="645"/>
      <c r="GX471" s="645"/>
      <c r="GY471" s="645"/>
      <c r="GZ471" s="645"/>
      <c r="HA471" s="645"/>
      <c r="HB471" s="645"/>
      <c r="HC471" s="645"/>
      <c r="HD471" s="645"/>
      <c r="HE471" s="645"/>
      <c r="HF471" s="645"/>
      <c r="HG471" s="645"/>
      <c r="HH471" s="645"/>
      <c r="HI471" s="645"/>
      <c r="HJ471" s="645"/>
      <c r="HK471" s="645"/>
      <c r="HL471" s="645"/>
      <c r="HM471" s="645"/>
      <c r="HN471" s="645"/>
      <c r="HO471" s="645"/>
      <c r="HP471" s="645"/>
      <c r="HQ471" s="645"/>
      <c r="HR471" s="645">
        <v>0.23400000000000001</v>
      </c>
      <c r="HS471" s="645">
        <f t="shared" si="848"/>
        <v>1571.1428571428571</v>
      </c>
      <c r="HT471" s="645">
        <f t="shared" si="849"/>
        <v>1</v>
      </c>
      <c r="HU471" s="618">
        <f t="shared" si="850"/>
        <v>5.9614128034481606</v>
      </c>
      <c r="HV471" s="618"/>
      <c r="HW471" s="618">
        <f t="shared" si="835"/>
        <v>27.534793819103612</v>
      </c>
      <c r="HX471" s="618">
        <f t="shared" si="851"/>
        <v>5.2590180936247783</v>
      </c>
      <c r="HY471" s="618">
        <f t="shared" si="852"/>
        <v>0.23400000000000001</v>
      </c>
      <c r="HZ471" s="618"/>
      <c r="IA471" s="618"/>
      <c r="IB471" s="618">
        <f t="shared" si="836"/>
        <v>25.000350341399081</v>
      </c>
      <c r="IC471" s="618">
        <f t="shared" si="837"/>
        <v>1E-3</v>
      </c>
      <c r="ID471" s="618"/>
      <c r="IE471" s="618">
        <f t="shared" si="838"/>
        <v>0</v>
      </c>
      <c r="IF471" s="618">
        <f t="shared" si="839"/>
        <v>40.704999999999998</v>
      </c>
      <c r="IG471" s="618"/>
      <c r="IH471" s="618">
        <f t="shared" si="840"/>
        <v>0</v>
      </c>
      <c r="II471" s="618">
        <f t="shared" si="841"/>
        <v>40.704999999999998</v>
      </c>
      <c r="IJ471" s="618"/>
      <c r="IK471" s="618">
        <f t="shared" si="842"/>
        <v>0</v>
      </c>
      <c r="IL471" s="618">
        <f t="shared" si="843"/>
        <v>40.704999999999998</v>
      </c>
      <c r="IM471" s="618"/>
      <c r="IN471" s="618">
        <f t="shared" si="844"/>
        <v>0</v>
      </c>
      <c r="IO471" s="618">
        <f t="shared" si="845"/>
        <v>40.704999999999998</v>
      </c>
      <c r="IP471" s="618"/>
      <c r="IQ471" s="618">
        <f t="shared" si="846"/>
        <v>0</v>
      </c>
      <c r="IR471" s="618">
        <f t="shared" si="847"/>
        <v>40.704999999999998</v>
      </c>
      <c r="IS471" s="645"/>
      <c r="IT471" s="645"/>
      <c r="IU471" s="645"/>
      <c r="IV471" s="645"/>
      <c r="IW471" s="645"/>
      <c r="IX471" s="645"/>
      <c r="IY471" s="645"/>
      <c r="IZ471" s="645"/>
      <c r="JA471" s="645"/>
      <c r="JB471" s="645"/>
      <c r="JC471" s="645"/>
      <c r="JD471" s="645"/>
      <c r="JE471" s="645"/>
      <c r="JF471" s="645"/>
      <c r="JG471" s="645"/>
      <c r="JH471" s="645"/>
      <c r="JI471" s="645"/>
      <c r="JJ471" s="645"/>
      <c r="JK471" s="645"/>
      <c r="JL471" s="645"/>
      <c r="JM471" s="645"/>
      <c r="JN471" s="645"/>
      <c r="JO471" s="645"/>
      <c r="JP471" s="645"/>
      <c r="JQ471" s="645"/>
      <c r="JR471" s="645"/>
      <c r="JS471" s="645"/>
      <c r="JT471" s="645"/>
      <c r="JU471" s="645"/>
      <c r="JV471" s="653"/>
    </row>
    <row r="472" spans="1:282" s="612" customFormat="1">
      <c r="A472" s="611"/>
      <c r="U472" s="613"/>
      <c r="V472" s="613"/>
      <c r="AC472" s="613"/>
      <c r="AD472" s="613"/>
      <c r="AL472" s="613"/>
      <c r="AM472" s="613"/>
      <c r="AT472" s="613"/>
      <c r="AU472" s="613"/>
      <c r="CH472" s="611"/>
      <c r="CI472" s="611"/>
      <c r="CO472" s="695"/>
      <c r="CP472" s="645"/>
      <c r="CQ472" s="618"/>
      <c r="CR472" s="618"/>
      <c r="CS472" s="618"/>
      <c r="CT472" s="626"/>
      <c r="CU472" s="626"/>
      <c r="CV472" s="626"/>
      <c r="CW472" s="646"/>
      <c r="CX472" s="646"/>
      <c r="CY472" s="625"/>
      <c r="CZ472" s="625"/>
      <c r="DA472" s="625"/>
      <c r="DB472" s="625"/>
      <c r="DC472" s="645"/>
      <c r="DD472" s="645"/>
      <c r="DE472" s="645"/>
      <c r="DF472" s="645"/>
      <c r="DG472" s="645"/>
      <c r="DH472" s="645"/>
      <c r="DI472" s="645"/>
      <c r="DJ472" s="645"/>
      <c r="DK472" s="645"/>
      <c r="DL472" s="645"/>
      <c r="DM472" s="645"/>
      <c r="DN472" s="645"/>
      <c r="DO472" s="645"/>
      <c r="DP472" s="645"/>
      <c r="DQ472" s="645"/>
      <c r="DR472" s="645"/>
      <c r="DS472" s="645"/>
      <c r="DT472" s="645"/>
      <c r="DU472" s="645"/>
      <c r="DV472" s="645"/>
      <c r="DW472" s="645"/>
      <c r="DX472" s="645"/>
      <c r="DY472" s="645"/>
      <c r="DZ472" s="645"/>
      <c r="EA472" s="645"/>
      <c r="EB472" s="645"/>
      <c r="EC472" s="645"/>
      <c r="ED472" s="645"/>
      <c r="EE472" s="645"/>
      <c r="EF472" s="645"/>
      <c r="EG472" s="645"/>
      <c r="EH472" s="645"/>
      <c r="EI472" s="645"/>
      <c r="EJ472" s="645"/>
      <c r="EK472" s="645"/>
      <c r="EL472" s="645"/>
      <c r="EM472" s="645"/>
      <c r="EN472" s="645"/>
      <c r="EO472" s="645"/>
      <c r="EP472" s="645"/>
      <c r="EQ472" s="645"/>
      <c r="ER472" s="645"/>
      <c r="ES472" s="645"/>
      <c r="ET472" s="645"/>
      <c r="EU472" s="645"/>
      <c r="EV472" s="645"/>
      <c r="EW472" s="645"/>
      <c r="EX472" s="645"/>
      <c r="EY472" s="645"/>
      <c r="EZ472" s="645"/>
      <c r="FA472" s="645"/>
      <c r="FB472" s="645"/>
      <c r="FC472" s="645"/>
      <c r="FD472" s="645"/>
      <c r="FE472" s="645"/>
      <c r="FF472" s="645"/>
      <c r="FG472" s="645"/>
      <c r="FH472" s="645"/>
      <c r="FI472" s="645"/>
      <c r="FJ472" s="645"/>
      <c r="FK472" s="645"/>
      <c r="FL472" s="645"/>
      <c r="FM472" s="645"/>
      <c r="FN472" s="645"/>
      <c r="FO472" s="645"/>
      <c r="FP472" s="645"/>
      <c r="FQ472" s="645"/>
      <c r="FR472" s="645"/>
      <c r="FS472" s="645"/>
      <c r="FT472" s="645"/>
      <c r="FU472" s="645"/>
      <c r="FV472" s="645"/>
      <c r="FW472" s="645"/>
      <c r="FX472" s="645"/>
      <c r="FY472" s="645"/>
      <c r="FZ472" s="645"/>
      <c r="GA472" s="645"/>
      <c r="GB472" s="645"/>
      <c r="GC472" s="645"/>
      <c r="GD472" s="645"/>
      <c r="GE472" s="645"/>
      <c r="GF472" s="645"/>
      <c r="GG472" s="645"/>
      <c r="GH472" s="645"/>
      <c r="GI472" s="645"/>
      <c r="GJ472" s="645"/>
      <c r="GK472" s="645"/>
      <c r="GL472" s="645"/>
      <c r="GM472" s="645"/>
      <c r="GN472" s="645"/>
      <c r="GO472" s="645"/>
      <c r="GP472" s="645"/>
      <c r="GQ472" s="645"/>
      <c r="GR472" s="645"/>
      <c r="GS472" s="645"/>
      <c r="GT472" s="645"/>
      <c r="GU472" s="645"/>
      <c r="GV472" s="645"/>
      <c r="GW472" s="645"/>
      <c r="GX472" s="645"/>
      <c r="GY472" s="645"/>
      <c r="GZ472" s="645"/>
      <c r="HA472" s="645"/>
      <c r="HB472" s="645"/>
      <c r="HC472" s="645"/>
      <c r="HD472" s="645"/>
      <c r="HE472" s="645"/>
      <c r="HF472" s="645"/>
      <c r="HG472" s="645"/>
      <c r="HH472" s="645"/>
      <c r="HI472" s="645"/>
      <c r="HJ472" s="645"/>
      <c r="HK472" s="645"/>
      <c r="HL472" s="645"/>
      <c r="HM472" s="645"/>
      <c r="HN472" s="645"/>
      <c r="HO472" s="645"/>
      <c r="HP472" s="645"/>
      <c r="HQ472" s="645"/>
      <c r="HR472" s="645">
        <v>0.23449999999999999</v>
      </c>
      <c r="HS472" s="645">
        <f t="shared" si="848"/>
        <v>1574.5</v>
      </c>
      <c r="HT472" s="645">
        <f t="shared" si="849"/>
        <v>1</v>
      </c>
      <c r="HU472" s="618">
        <f t="shared" si="850"/>
        <v>5.9741518474217843</v>
      </c>
      <c r="HV472" s="618"/>
      <c r="HW472" s="618">
        <f t="shared" si="835"/>
        <v>27.516704376661067</v>
      </c>
      <c r="HX472" s="618">
        <f t="shared" si="851"/>
        <v>5.2687552188209867</v>
      </c>
      <c r="HY472" s="618">
        <f t="shared" si="852"/>
        <v>0.23449999999999999</v>
      </c>
      <c r="HZ472" s="618"/>
      <c r="IA472" s="618"/>
      <c r="IB472" s="618">
        <f t="shared" si="836"/>
        <v>25.000350341399081</v>
      </c>
      <c r="IC472" s="618">
        <f t="shared" si="837"/>
        <v>1E-3</v>
      </c>
      <c r="ID472" s="618"/>
      <c r="IE472" s="618">
        <f t="shared" si="838"/>
        <v>0</v>
      </c>
      <c r="IF472" s="618">
        <f t="shared" si="839"/>
        <v>40.704999999999998</v>
      </c>
      <c r="IG472" s="618"/>
      <c r="IH472" s="618">
        <f t="shared" si="840"/>
        <v>0</v>
      </c>
      <c r="II472" s="618">
        <f t="shared" si="841"/>
        <v>40.704999999999998</v>
      </c>
      <c r="IJ472" s="618"/>
      <c r="IK472" s="618">
        <f t="shared" si="842"/>
        <v>0</v>
      </c>
      <c r="IL472" s="618">
        <f t="shared" si="843"/>
        <v>40.704999999999998</v>
      </c>
      <c r="IM472" s="618"/>
      <c r="IN472" s="618">
        <f t="shared" si="844"/>
        <v>0</v>
      </c>
      <c r="IO472" s="618">
        <f t="shared" si="845"/>
        <v>40.704999999999998</v>
      </c>
      <c r="IP472" s="618"/>
      <c r="IQ472" s="618">
        <f t="shared" si="846"/>
        <v>0</v>
      </c>
      <c r="IR472" s="618">
        <f t="shared" si="847"/>
        <v>40.704999999999998</v>
      </c>
      <c r="IS472" s="645"/>
      <c r="IT472" s="645"/>
      <c r="IU472" s="645"/>
      <c r="IV472" s="645"/>
      <c r="IW472" s="645"/>
      <c r="IX472" s="645"/>
      <c r="IY472" s="645"/>
      <c r="IZ472" s="645"/>
      <c r="JA472" s="645"/>
      <c r="JB472" s="645"/>
      <c r="JC472" s="645"/>
      <c r="JD472" s="645"/>
      <c r="JE472" s="645"/>
      <c r="JF472" s="645"/>
      <c r="JG472" s="645"/>
      <c r="JH472" s="645"/>
      <c r="JI472" s="645"/>
      <c r="JJ472" s="645"/>
      <c r="JK472" s="645"/>
      <c r="JL472" s="645"/>
      <c r="JM472" s="645"/>
      <c r="JN472" s="645"/>
      <c r="JO472" s="645"/>
      <c r="JP472" s="645"/>
      <c r="JQ472" s="645"/>
      <c r="JR472" s="645"/>
      <c r="JS472" s="645"/>
      <c r="JT472" s="645"/>
      <c r="JU472" s="645"/>
      <c r="JV472" s="653"/>
    </row>
    <row r="473" spans="1:282" s="612" customFormat="1">
      <c r="A473" s="611"/>
      <c r="U473" s="613"/>
      <c r="V473" s="613"/>
      <c r="AC473" s="613"/>
      <c r="AD473" s="613"/>
      <c r="AL473" s="613"/>
      <c r="AM473" s="613"/>
      <c r="AT473" s="613"/>
      <c r="AU473" s="613"/>
      <c r="CH473" s="611"/>
      <c r="CI473" s="611"/>
      <c r="CO473" s="695"/>
      <c r="CP473" s="645"/>
      <c r="CQ473" s="618"/>
      <c r="CR473" s="618"/>
      <c r="CS473" s="618"/>
      <c r="CT473" s="626"/>
      <c r="CU473" s="626"/>
      <c r="CV473" s="626"/>
      <c r="CW473" s="646"/>
      <c r="CX473" s="646"/>
      <c r="CY473" s="625"/>
      <c r="CZ473" s="625"/>
      <c r="DA473" s="625"/>
      <c r="DB473" s="625"/>
      <c r="DC473" s="645"/>
      <c r="DD473" s="645"/>
      <c r="DE473" s="645"/>
      <c r="DF473" s="645"/>
      <c r="DG473" s="645"/>
      <c r="DH473" s="645"/>
      <c r="DI473" s="645"/>
      <c r="DJ473" s="645"/>
      <c r="DK473" s="645"/>
      <c r="DL473" s="645"/>
      <c r="DM473" s="645"/>
      <c r="DN473" s="645"/>
      <c r="DO473" s="645"/>
      <c r="DP473" s="645"/>
      <c r="DQ473" s="645"/>
      <c r="DR473" s="645"/>
      <c r="DS473" s="645"/>
      <c r="DT473" s="645"/>
      <c r="DU473" s="645"/>
      <c r="DV473" s="645"/>
      <c r="DW473" s="645"/>
      <c r="DX473" s="645"/>
      <c r="DY473" s="645"/>
      <c r="DZ473" s="645"/>
      <c r="EA473" s="645"/>
      <c r="EB473" s="645"/>
      <c r="EC473" s="645"/>
      <c r="ED473" s="645"/>
      <c r="EE473" s="645"/>
      <c r="EF473" s="645"/>
      <c r="EG473" s="645"/>
      <c r="EH473" s="645"/>
      <c r="EI473" s="645"/>
      <c r="EJ473" s="645"/>
      <c r="EK473" s="645"/>
      <c r="EL473" s="645"/>
      <c r="EM473" s="645"/>
      <c r="EN473" s="645"/>
      <c r="EO473" s="645"/>
      <c r="EP473" s="645"/>
      <c r="EQ473" s="645"/>
      <c r="ER473" s="645"/>
      <c r="ES473" s="645"/>
      <c r="ET473" s="645"/>
      <c r="EU473" s="645"/>
      <c r="EV473" s="645"/>
      <c r="EW473" s="645"/>
      <c r="EX473" s="645"/>
      <c r="EY473" s="645"/>
      <c r="EZ473" s="645"/>
      <c r="FA473" s="645"/>
      <c r="FB473" s="645"/>
      <c r="FC473" s="645"/>
      <c r="FD473" s="645"/>
      <c r="FE473" s="645"/>
      <c r="FF473" s="645"/>
      <c r="FG473" s="645"/>
      <c r="FH473" s="645"/>
      <c r="FI473" s="645"/>
      <c r="FJ473" s="645"/>
      <c r="FK473" s="645"/>
      <c r="FL473" s="645"/>
      <c r="FM473" s="645"/>
      <c r="FN473" s="645"/>
      <c r="FO473" s="645"/>
      <c r="FP473" s="645"/>
      <c r="FQ473" s="645"/>
      <c r="FR473" s="645"/>
      <c r="FS473" s="645"/>
      <c r="FT473" s="645"/>
      <c r="FU473" s="645"/>
      <c r="FV473" s="645"/>
      <c r="FW473" s="645"/>
      <c r="FX473" s="645"/>
      <c r="FY473" s="645"/>
      <c r="FZ473" s="645"/>
      <c r="GA473" s="645"/>
      <c r="GB473" s="645"/>
      <c r="GC473" s="645"/>
      <c r="GD473" s="645"/>
      <c r="GE473" s="645"/>
      <c r="GF473" s="645"/>
      <c r="GG473" s="645"/>
      <c r="GH473" s="645"/>
      <c r="GI473" s="645"/>
      <c r="GJ473" s="645"/>
      <c r="GK473" s="645"/>
      <c r="GL473" s="645"/>
      <c r="GM473" s="645"/>
      <c r="GN473" s="645"/>
      <c r="GO473" s="645"/>
      <c r="GP473" s="645"/>
      <c r="GQ473" s="645"/>
      <c r="GR473" s="645"/>
      <c r="GS473" s="645"/>
      <c r="GT473" s="645"/>
      <c r="GU473" s="645"/>
      <c r="GV473" s="645"/>
      <c r="GW473" s="645"/>
      <c r="GX473" s="645"/>
      <c r="GY473" s="645"/>
      <c r="GZ473" s="645"/>
      <c r="HA473" s="645"/>
      <c r="HB473" s="645"/>
      <c r="HC473" s="645"/>
      <c r="HD473" s="645"/>
      <c r="HE473" s="645"/>
      <c r="HF473" s="645"/>
      <c r="HG473" s="645"/>
      <c r="HH473" s="645"/>
      <c r="HI473" s="645"/>
      <c r="HJ473" s="645"/>
      <c r="HK473" s="645"/>
      <c r="HL473" s="645"/>
      <c r="HM473" s="645"/>
      <c r="HN473" s="645"/>
      <c r="HO473" s="645"/>
      <c r="HP473" s="645"/>
      <c r="HQ473" s="645"/>
      <c r="HR473" s="645">
        <v>0.23499999999999999</v>
      </c>
      <c r="HS473" s="645">
        <f t="shared" si="848"/>
        <v>1577.8571428571427</v>
      </c>
      <c r="HT473" s="645">
        <f t="shared" si="849"/>
        <v>1</v>
      </c>
      <c r="HU473" s="618">
        <f t="shared" si="850"/>
        <v>5.9868908913954089</v>
      </c>
      <c r="HV473" s="618"/>
      <c r="HW473" s="618">
        <f t="shared" si="835"/>
        <v>27.498614934218519</v>
      </c>
      <c r="HX473" s="618">
        <f t="shared" si="851"/>
        <v>5.2784859428448971</v>
      </c>
      <c r="HY473" s="618">
        <f t="shared" si="852"/>
        <v>0.23499999999999999</v>
      </c>
      <c r="HZ473" s="618"/>
      <c r="IA473" s="618"/>
      <c r="IB473" s="618">
        <f t="shared" si="836"/>
        <v>25.000350341399081</v>
      </c>
      <c r="IC473" s="618">
        <f t="shared" si="837"/>
        <v>1E-3</v>
      </c>
      <c r="ID473" s="618"/>
      <c r="IE473" s="618">
        <f t="shared" si="838"/>
        <v>0</v>
      </c>
      <c r="IF473" s="618">
        <f t="shared" si="839"/>
        <v>40.704999999999998</v>
      </c>
      <c r="IG473" s="618"/>
      <c r="IH473" s="618">
        <f t="shared" si="840"/>
        <v>0</v>
      </c>
      <c r="II473" s="618">
        <f t="shared" si="841"/>
        <v>40.704999999999998</v>
      </c>
      <c r="IJ473" s="618"/>
      <c r="IK473" s="618">
        <f t="shared" si="842"/>
        <v>0</v>
      </c>
      <c r="IL473" s="618">
        <f t="shared" si="843"/>
        <v>40.704999999999998</v>
      </c>
      <c r="IM473" s="618"/>
      <c r="IN473" s="618">
        <f t="shared" si="844"/>
        <v>0</v>
      </c>
      <c r="IO473" s="618">
        <f t="shared" si="845"/>
        <v>40.704999999999998</v>
      </c>
      <c r="IP473" s="618"/>
      <c r="IQ473" s="618">
        <f t="shared" si="846"/>
        <v>0</v>
      </c>
      <c r="IR473" s="618">
        <f t="shared" si="847"/>
        <v>40.704999999999998</v>
      </c>
      <c r="IS473" s="645"/>
      <c r="IT473" s="645"/>
      <c r="IU473" s="645"/>
      <c r="IV473" s="645"/>
      <c r="IW473" s="645"/>
      <c r="IX473" s="645"/>
      <c r="IY473" s="645"/>
      <c r="IZ473" s="645"/>
      <c r="JA473" s="645"/>
      <c r="JB473" s="645"/>
      <c r="JC473" s="645"/>
      <c r="JD473" s="645"/>
      <c r="JE473" s="645"/>
      <c r="JF473" s="645"/>
      <c r="JG473" s="645"/>
      <c r="JH473" s="645"/>
      <c r="JI473" s="645"/>
      <c r="JJ473" s="645"/>
      <c r="JK473" s="645"/>
      <c r="JL473" s="645"/>
      <c r="JM473" s="645"/>
      <c r="JN473" s="645"/>
      <c r="JO473" s="645"/>
      <c r="JP473" s="645"/>
      <c r="JQ473" s="645"/>
      <c r="JR473" s="645"/>
      <c r="JS473" s="645"/>
      <c r="JT473" s="645"/>
      <c r="JU473" s="645"/>
      <c r="JV473" s="653"/>
    </row>
    <row r="474" spans="1:282" s="612" customFormat="1">
      <c r="A474" s="611"/>
      <c r="U474" s="613"/>
      <c r="V474" s="613"/>
      <c r="AC474" s="613"/>
      <c r="AD474" s="613"/>
      <c r="AL474" s="613"/>
      <c r="AM474" s="613"/>
      <c r="AT474" s="613"/>
      <c r="AU474" s="613"/>
      <c r="CH474" s="611"/>
      <c r="CI474" s="611"/>
      <c r="CO474" s="695"/>
      <c r="CP474" s="645"/>
      <c r="CQ474" s="618"/>
      <c r="CR474" s="618"/>
      <c r="CS474" s="618"/>
      <c r="CT474" s="626"/>
      <c r="CU474" s="626"/>
      <c r="CV474" s="626"/>
      <c r="CW474" s="646"/>
      <c r="CX474" s="646"/>
      <c r="CY474" s="625"/>
      <c r="CZ474" s="625"/>
      <c r="DA474" s="625"/>
      <c r="DB474" s="625"/>
      <c r="DC474" s="645"/>
      <c r="DD474" s="645"/>
      <c r="DE474" s="645"/>
      <c r="DF474" s="645"/>
      <c r="DG474" s="645"/>
      <c r="DH474" s="645"/>
      <c r="DI474" s="645"/>
      <c r="DJ474" s="645"/>
      <c r="DK474" s="645"/>
      <c r="DL474" s="645"/>
      <c r="DM474" s="645"/>
      <c r="DN474" s="645"/>
      <c r="DO474" s="645"/>
      <c r="DP474" s="645"/>
      <c r="DQ474" s="645"/>
      <c r="DR474" s="645"/>
      <c r="DS474" s="645"/>
      <c r="DT474" s="645"/>
      <c r="DU474" s="645"/>
      <c r="DV474" s="645"/>
      <c r="DW474" s="645"/>
      <c r="DX474" s="645"/>
      <c r="DY474" s="645"/>
      <c r="DZ474" s="645"/>
      <c r="EA474" s="645"/>
      <c r="EB474" s="645"/>
      <c r="EC474" s="645"/>
      <c r="ED474" s="645"/>
      <c r="EE474" s="645"/>
      <c r="EF474" s="645"/>
      <c r="EG474" s="645"/>
      <c r="EH474" s="645"/>
      <c r="EI474" s="645"/>
      <c r="EJ474" s="645"/>
      <c r="EK474" s="645"/>
      <c r="EL474" s="645"/>
      <c r="EM474" s="645"/>
      <c r="EN474" s="645"/>
      <c r="EO474" s="645"/>
      <c r="EP474" s="645"/>
      <c r="EQ474" s="645"/>
      <c r="ER474" s="645"/>
      <c r="ES474" s="645"/>
      <c r="ET474" s="645"/>
      <c r="EU474" s="645"/>
      <c r="EV474" s="645"/>
      <c r="EW474" s="645"/>
      <c r="EX474" s="645"/>
      <c r="EY474" s="645"/>
      <c r="EZ474" s="645"/>
      <c r="FA474" s="645"/>
      <c r="FB474" s="645"/>
      <c r="FC474" s="645"/>
      <c r="FD474" s="645"/>
      <c r="FE474" s="645"/>
      <c r="FF474" s="645"/>
      <c r="FG474" s="645"/>
      <c r="FH474" s="645"/>
      <c r="FI474" s="645"/>
      <c r="FJ474" s="645"/>
      <c r="FK474" s="645"/>
      <c r="FL474" s="645"/>
      <c r="FM474" s="645"/>
      <c r="FN474" s="645"/>
      <c r="FO474" s="645"/>
      <c r="FP474" s="645"/>
      <c r="FQ474" s="645"/>
      <c r="FR474" s="645"/>
      <c r="FS474" s="645"/>
      <c r="FT474" s="645"/>
      <c r="FU474" s="645"/>
      <c r="FV474" s="645"/>
      <c r="FW474" s="645"/>
      <c r="FX474" s="645"/>
      <c r="FY474" s="645"/>
      <c r="FZ474" s="645"/>
      <c r="GA474" s="645"/>
      <c r="GB474" s="645"/>
      <c r="GC474" s="645"/>
      <c r="GD474" s="645"/>
      <c r="GE474" s="645"/>
      <c r="GF474" s="645"/>
      <c r="GG474" s="645"/>
      <c r="GH474" s="645"/>
      <c r="GI474" s="645"/>
      <c r="GJ474" s="645"/>
      <c r="GK474" s="645"/>
      <c r="GL474" s="645"/>
      <c r="GM474" s="645"/>
      <c r="GN474" s="645"/>
      <c r="GO474" s="645"/>
      <c r="GP474" s="645"/>
      <c r="GQ474" s="645"/>
      <c r="GR474" s="645"/>
      <c r="GS474" s="645"/>
      <c r="GT474" s="645"/>
      <c r="GU474" s="645"/>
      <c r="GV474" s="645"/>
      <c r="GW474" s="645"/>
      <c r="GX474" s="645"/>
      <c r="GY474" s="645"/>
      <c r="GZ474" s="645"/>
      <c r="HA474" s="645"/>
      <c r="HB474" s="645"/>
      <c r="HC474" s="645"/>
      <c r="HD474" s="645"/>
      <c r="HE474" s="645"/>
      <c r="HF474" s="645"/>
      <c r="HG474" s="645"/>
      <c r="HH474" s="645"/>
      <c r="HI474" s="645"/>
      <c r="HJ474" s="645"/>
      <c r="HK474" s="645"/>
      <c r="HL474" s="645"/>
      <c r="HM474" s="645"/>
      <c r="HN474" s="645"/>
      <c r="HO474" s="645"/>
      <c r="HP474" s="645"/>
      <c r="HQ474" s="645"/>
      <c r="HR474" s="645">
        <v>0.23549999999999999</v>
      </c>
      <c r="HS474" s="645">
        <f t="shared" si="848"/>
        <v>1581.2142857142856</v>
      </c>
      <c r="HT474" s="645">
        <f t="shared" si="849"/>
        <v>1</v>
      </c>
      <c r="HU474" s="618">
        <f t="shared" si="850"/>
        <v>5.9996299353690334</v>
      </c>
      <c r="HV474" s="618"/>
      <c r="HW474" s="618">
        <f t="shared" si="835"/>
        <v>27.480525491775971</v>
      </c>
      <c r="HX474" s="618">
        <f t="shared" si="851"/>
        <v>5.2882102656965095</v>
      </c>
      <c r="HY474" s="618">
        <f t="shared" si="852"/>
        <v>0.23549999999999999</v>
      </c>
      <c r="HZ474" s="618"/>
      <c r="IA474" s="618"/>
      <c r="IB474" s="618">
        <f t="shared" si="836"/>
        <v>25.000350341399081</v>
      </c>
      <c r="IC474" s="618">
        <f t="shared" si="837"/>
        <v>1E-3</v>
      </c>
      <c r="ID474" s="618"/>
      <c r="IE474" s="618">
        <f t="shared" si="838"/>
        <v>0</v>
      </c>
      <c r="IF474" s="618">
        <f t="shared" si="839"/>
        <v>40.704999999999998</v>
      </c>
      <c r="IG474" s="618"/>
      <c r="IH474" s="618">
        <f t="shared" si="840"/>
        <v>0</v>
      </c>
      <c r="II474" s="618">
        <f t="shared" si="841"/>
        <v>40.704999999999998</v>
      </c>
      <c r="IJ474" s="618"/>
      <c r="IK474" s="618">
        <f t="shared" si="842"/>
        <v>0</v>
      </c>
      <c r="IL474" s="618">
        <f t="shared" si="843"/>
        <v>40.704999999999998</v>
      </c>
      <c r="IM474" s="618"/>
      <c r="IN474" s="618">
        <f t="shared" si="844"/>
        <v>0</v>
      </c>
      <c r="IO474" s="618">
        <f t="shared" si="845"/>
        <v>40.704999999999998</v>
      </c>
      <c r="IP474" s="618"/>
      <c r="IQ474" s="618">
        <f t="shared" si="846"/>
        <v>0</v>
      </c>
      <c r="IR474" s="618">
        <f t="shared" si="847"/>
        <v>40.704999999999998</v>
      </c>
      <c r="IS474" s="645"/>
      <c r="IT474" s="645"/>
      <c r="IU474" s="645"/>
      <c r="IV474" s="645"/>
      <c r="IW474" s="645"/>
      <c r="IX474" s="645"/>
      <c r="IY474" s="645"/>
      <c r="IZ474" s="645"/>
      <c r="JA474" s="645"/>
      <c r="JB474" s="645"/>
      <c r="JC474" s="645"/>
      <c r="JD474" s="645"/>
      <c r="JE474" s="645"/>
      <c r="JF474" s="645"/>
      <c r="JG474" s="645"/>
      <c r="JH474" s="645"/>
      <c r="JI474" s="645"/>
      <c r="JJ474" s="645"/>
      <c r="JK474" s="645"/>
      <c r="JL474" s="645"/>
      <c r="JM474" s="645"/>
      <c r="JN474" s="645"/>
      <c r="JO474" s="645"/>
      <c r="JP474" s="645"/>
      <c r="JQ474" s="645"/>
      <c r="JR474" s="645"/>
      <c r="JS474" s="645"/>
      <c r="JT474" s="645"/>
      <c r="JU474" s="645"/>
      <c r="JV474" s="653"/>
    </row>
    <row r="475" spans="1:282" s="612" customFormat="1">
      <c r="A475" s="611"/>
      <c r="U475" s="613"/>
      <c r="V475" s="613"/>
      <c r="AC475" s="613"/>
      <c r="AD475" s="613"/>
      <c r="AL475" s="613"/>
      <c r="AM475" s="613"/>
      <c r="AT475" s="613"/>
      <c r="AU475" s="613"/>
      <c r="CH475" s="611"/>
      <c r="CI475" s="611"/>
      <c r="CO475" s="695"/>
      <c r="CP475" s="645"/>
      <c r="CQ475" s="618"/>
      <c r="CR475" s="618"/>
      <c r="CS475" s="618"/>
      <c r="CT475" s="626"/>
      <c r="CU475" s="626"/>
      <c r="CV475" s="626"/>
      <c r="CW475" s="646"/>
      <c r="CX475" s="646"/>
      <c r="CY475" s="625"/>
      <c r="CZ475" s="625"/>
      <c r="DA475" s="625"/>
      <c r="DB475" s="625"/>
      <c r="DC475" s="645"/>
      <c r="DD475" s="645"/>
      <c r="DE475" s="645"/>
      <c r="DF475" s="645"/>
      <c r="DG475" s="645"/>
      <c r="DH475" s="645"/>
      <c r="DI475" s="645"/>
      <c r="DJ475" s="645"/>
      <c r="DK475" s="645"/>
      <c r="DL475" s="645"/>
      <c r="DM475" s="645"/>
      <c r="DN475" s="645"/>
      <c r="DO475" s="645"/>
      <c r="DP475" s="645"/>
      <c r="DQ475" s="645"/>
      <c r="DR475" s="645"/>
      <c r="DS475" s="645"/>
      <c r="DT475" s="645"/>
      <c r="DU475" s="645"/>
      <c r="DV475" s="645"/>
      <c r="DW475" s="645"/>
      <c r="DX475" s="645"/>
      <c r="DY475" s="645"/>
      <c r="DZ475" s="645"/>
      <c r="EA475" s="645"/>
      <c r="EB475" s="645"/>
      <c r="EC475" s="645"/>
      <c r="ED475" s="645"/>
      <c r="EE475" s="645"/>
      <c r="EF475" s="645"/>
      <c r="EG475" s="645"/>
      <c r="EH475" s="645"/>
      <c r="EI475" s="645"/>
      <c r="EJ475" s="645"/>
      <c r="EK475" s="645"/>
      <c r="EL475" s="645"/>
      <c r="EM475" s="645"/>
      <c r="EN475" s="645"/>
      <c r="EO475" s="645"/>
      <c r="EP475" s="645"/>
      <c r="EQ475" s="645"/>
      <c r="ER475" s="645"/>
      <c r="ES475" s="645"/>
      <c r="ET475" s="645"/>
      <c r="EU475" s="645"/>
      <c r="EV475" s="645"/>
      <c r="EW475" s="645"/>
      <c r="EX475" s="645"/>
      <c r="EY475" s="645"/>
      <c r="EZ475" s="645"/>
      <c r="FA475" s="645"/>
      <c r="FB475" s="645"/>
      <c r="FC475" s="645"/>
      <c r="FD475" s="645"/>
      <c r="FE475" s="645"/>
      <c r="FF475" s="645"/>
      <c r="FG475" s="645"/>
      <c r="FH475" s="645"/>
      <c r="FI475" s="645"/>
      <c r="FJ475" s="645"/>
      <c r="FK475" s="645"/>
      <c r="FL475" s="645"/>
      <c r="FM475" s="645"/>
      <c r="FN475" s="645"/>
      <c r="FO475" s="645"/>
      <c r="FP475" s="645"/>
      <c r="FQ475" s="645"/>
      <c r="FR475" s="645"/>
      <c r="FS475" s="645"/>
      <c r="FT475" s="645"/>
      <c r="FU475" s="645"/>
      <c r="FV475" s="645"/>
      <c r="FW475" s="645"/>
      <c r="FX475" s="645"/>
      <c r="FY475" s="645"/>
      <c r="FZ475" s="645"/>
      <c r="GA475" s="645"/>
      <c r="GB475" s="645"/>
      <c r="GC475" s="645"/>
      <c r="GD475" s="645"/>
      <c r="GE475" s="645"/>
      <c r="GF475" s="645"/>
      <c r="GG475" s="645"/>
      <c r="GH475" s="645"/>
      <c r="GI475" s="645"/>
      <c r="GJ475" s="645"/>
      <c r="GK475" s="645"/>
      <c r="GL475" s="645"/>
      <c r="GM475" s="645"/>
      <c r="GN475" s="645"/>
      <c r="GO475" s="645"/>
      <c r="GP475" s="645"/>
      <c r="GQ475" s="645"/>
      <c r="GR475" s="645"/>
      <c r="GS475" s="645"/>
      <c r="GT475" s="645"/>
      <c r="GU475" s="645"/>
      <c r="GV475" s="645"/>
      <c r="GW475" s="645"/>
      <c r="GX475" s="645"/>
      <c r="GY475" s="645"/>
      <c r="GZ475" s="645"/>
      <c r="HA475" s="645"/>
      <c r="HB475" s="645"/>
      <c r="HC475" s="645"/>
      <c r="HD475" s="645"/>
      <c r="HE475" s="645"/>
      <c r="HF475" s="645"/>
      <c r="HG475" s="645"/>
      <c r="HH475" s="645"/>
      <c r="HI475" s="645"/>
      <c r="HJ475" s="645"/>
      <c r="HK475" s="645"/>
      <c r="HL475" s="645"/>
      <c r="HM475" s="645"/>
      <c r="HN475" s="645"/>
      <c r="HO475" s="645"/>
      <c r="HP475" s="645"/>
      <c r="HQ475" s="645"/>
      <c r="HR475" s="645">
        <v>0.23599999999999999</v>
      </c>
      <c r="HS475" s="645">
        <f t="shared" si="848"/>
        <v>1584.5714285714284</v>
      </c>
      <c r="HT475" s="645">
        <f t="shared" si="849"/>
        <v>1</v>
      </c>
      <c r="HU475" s="618">
        <f t="shared" si="850"/>
        <v>6.012368979342658</v>
      </c>
      <c r="HV475" s="618"/>
      <c r="HW475" s="618">
        <f t="shared" si="835"/>
        <v>27.462436049333427</v>
      </c>
      <c r="HX475" s="618">
        <f t="shared" si="851"/>
        <v>5.2979281873758239</v>
      </c>
      <c r="HY475" s="618">
        <f t="shared" si="852"/>
        <v>0.23599999999999999</v>
      </c>
      <c r="HZ475" s="618"/>
      <c r="IA475" s="618"/>
      <c r="IB475" s="618">
        <f t="shared" si="836"/>
        <v>25.000350341399081</v>
      </c>
      <c r="IC475" s="618">
        <f t="shared" si="837"/>
        <v>1E-3</v>
      </c>
      <c r="ID475" s="618"/>
      <c r="IE475" s="618">
        <f t="shared" si="838"/>
        <v>0</v>
      </c>
      <c r="IF475" s="618">
        <f t="shared" si="839"/>
        <v>40.704999999999998</v>
      </c>
      <c r="IG475" s="618"/>
      <c r="IH475" s="618">
        <f t="shared" si="840"/>
        <v>0</v>
      </c>
      <c r="II475" s="618">
        <f t="shared" si="841"/>
        <v>40.704999999999998</v>
      </c>
      <c r="IJ475" s="618"/>
      <c r="IK475" s="618">
        <f t="shared" si="842"/>
        <v>0</v>
      </c>
      <c r="IL475" s="618">
        <f t="shared" si="843"/>
        <v>40.704999999999998</v>
      </c>
      <c r="IM475" s="618"/>
      <c r="IN475" s="618">
        <f t="shared" si="844"/>
        <v>0</v>
      </c>
      <c r="IO475" s="618">
        <f t="shared" si="845"/>
        <v>40.704999999999998</v>
      </c>
      <c r="IP475" s="618"/>
      <c r="IQ475" s="618">
        <f t="shared" si="846"/>
        <v>0</v>
      </c>
      <c r="IR475" s="618">
        <f t="shared" si="847"/>
        <v>40.704999999999998</v>
      </c>
      <c r="IS475" s="645"/>
      <c r="IT475" s="645"/>
      <c r="IU475" s="645"/>
      <c r="IV475" s="645"/>
      <c r="IW475" s="645"/>
      <c r="IX475" s="645"/>
      <c r="IY475" s="645"/>
      <c r="IZ475" s="645"/>
      <c r="JA475" s="645"/>
      <c r="JB475" s="645"/>
      <c r="JC475" s="645"/>
      <c r="JD475" s="645"/>
      <c r="JE475" s="645"/>
      <c r="JF475" s="645"/>
      <c r="JG475" s="645"/>
      <c r="JH475" s="645"/>
      <c r="JI475" s="645"/>
      <c r="JJ475" s="645"/>
      <c r="JK475" s="645"/>
      <c r="JL475" s="645"/>
      <c r="JM475" s="645"/>
      <c r="JN475" s="645"/>
      <c r="JO475" s="645"/>
      <c r="JP475" s="645"/>
      <c r="JQ475" s="645"/>
      <c r="JR475" s="645"/>
      <c r="JS475" s="645"/>
      <c r="JT475" s="645"/>
      <c r="JU475" s="645"/>
      <c r="JV475" s="653"/>
    </row>
    <row r="476" spans="1:282" s="612" customFormat="1">
      <c r="A476" s="611"/>
      <c r="U476" s="613"/>
      <c r="V476" s="613"/>
      <c r="AC476" s="613"/>
      <c r="AD476" s="613"/>
      <c r="AL476" s="613"/>
      <c r="AM476" s="613"/>
      <c r="AT476" s="613"/>
      <c r="AU476" s="613"/>
      <c r="CH476" s="611"/>
      <c r="CI476" s="611"/>
      <c r="CO476" s="695"/>
      <c r="CP476" s="645"/>
      <c r="CQ476" s="618"/>
      <c r="CR476" s="618"/>
      <c r="CS476" s="618"/>
      <c r="CT476" s="626"/>
      <c r="CU476" s="626"/>
      <c r="CV476" s="626"/>
      <c r="CW476" s="646"/>
      <c r="CX476" s="646"/>
      <c r="CY476" s="625"/>
      <c r="CZ476" s="625"/>
      <c r="DA476" s="625"/>
      <c r="DB476" s="625"/>
      <c r="DC476" s="645"/>
      <c r="DD476" s="645"/>
      <c r="DE476" s="645"/>
      <c r="DF476" s="645"/>
      <c r="DG476" s="645"/>
      <c r="DH476" s="645"/>
      <c r="DI476" s="645"/>
      <c r="DJ476" s="645"/>
      <c r="DK476" s="645"/>
      <c r="DL476" s="645"/>
      <c r="DM476" s="645"/>
      <c r="DN476" s="645"/>
      <c r="DO476" s="645"/>
      <c r="DP476" s="645"/>
      <c r="DQ476" s="645"/>
      <c r="DR476" s="645"/>
      <c r="DS476" s="645"/>
      <c r="DT476" s="645"/>
      <c r="DU476" s="645"/>
      <c r="DV476" s="645"/>
      <c r="DW476" s="645"/>
      <c r="DX476" s="645"/>
      <c r="DY476" s="645"/>
      <c r="DZ476" s="645"/>
      <c r="EA476" s="645"/>
      <c r="EB476" s="645"/>
      <c r="EC476" s="645"/>
      <c r="ED476" s="645"/>
      <c r="EE476" s="645"/>
      <c r="EF476" s="645"/>
      <c r="EG476" s="645"/>
      <c r="EH476" s="645"/>
      <c r="EI476" s="645"/>
      <c r="EJ476" s="645"/>
      <c r="EK476" s="645"/>
      <c r="EL476" s="645"/>
      <c r="EM476" s="645"/>
      <c r="EN476" s="645"/>
      <c r="EO476" s="645"/>
      <c r="EP476" s="645"/>
      <c r="EQ476" s="645"/>
      <c r="ER476" s="645"/>
      <c r="ES476" s="645"/>
      <c r="ET476" s="645"/>
      <c r="EU476" s="645"/>
      <c r="EV476" s="645"/>
      <c r="EW476" s="645"/>
      <c r="EX476" s="645"/>
      <c r="EY476" s="645"/>
      <c r="EZ476" s="645"/>
      <c r="FA476" s="645"/>
      <c r="FB476" s="645"/>
      <c r="FC476" s="645"/>
      <c r="FD476" s="645"/>
      <c r="FE476" s="645"/>
      <c r="FF476" s="645"/>
      <c r="FG476" s="645"/>
      <c r="FH476" s="645"/>
      <c r="FI476" s="645"/>
      <c r="FJ476" s="645"/>
      <c r="FK476" s="645"/>
      <c r="FL476" s="645"/>
      <c r="FM476" s="645"/>
      <c r="FN476" s="645"/>
      <c r="FO476" s="645"/>
      <c r="FP476" s="645"/>
      <c r="FQ476" s="645"/>
      <c r="FR476" s="645"/>
      <c r="FS476" s="645"/>
      <c r="FT476" s="645"/>
      <c r="FU476" s="645"/>
      <c r="FV476" s="645"/>
      <c r="FW476" s="645"/>
      <c r="FX476" s="645"/>
      <c r="FY476" s="645"/>
      <c r="FZ476" s="645"/>
      <c r="GA476" s="645"/>
      <c r="GB476" s="645"/>
      <c r="GC476" s="645"/>
      <c r="GD476" s="645"/>
      <c r="GE476" s="645"/>
      <c r="GF476" s="645"/>
      <c r="GG476" s="645"/>
      <c r="GH476" s="645"/>
      <c r="GI476" s="645"/>
      <c r="GJ476" s="645"/>
      <c r="GK476" s="645"/>
      <c r="GL476" s="645"/>
      <c r="GM476" s="645"/>
      <c r="GN476" s="645"/>
      <c r="GO476" s="645"/>
      <c r="GP476" s="645"/>
      <c r="GQ476" s="645"/>
      <c r="GR476" s="645"/>
      <c r="GS476" s="645"/>
      <c r="GT476" s="645"/>
      <c r="GU476" s="645"/>
      <c r="GV476" s="645"/>
      <c r="GW476" s="645"/>
      <c r="GX476" s="645"/>
      <c r="GY476" s="645"/>
      <c r="GZ476" s="645"/>
      <c r="HA476" s="645"/>
      <c r="HB476" s="645"/>
      <c r="HC476" s="645"/>
      <c r="HD476" s="645"/>
      <c r="HE476" s="645"/>
      <c r="HF476" s="645"/>
      <c r="HG476" s="645"/>
      <c r="HH476" s="645"/>
      <c r="HI476" s="645"/>
      <c r="HJ476" s="645"/>
      <c r="HK476" s="645"/>
      <c r="HL476" s="645"/>
      <c r="HM476" s="645"/>
      <c r="HN476" s="645"/>
      <c r="HO476" s="645"/>
      <c r="HP476" s="645"/>
      <c r="HQ476" s="645"/>
      <c r="HR476" s="645">
        <v>0.23649999999999999</v>
      </c>
      <c r="HS476" s="645">
        <f t="shared" si="848"/>
        <v>1587.9285714285713</v>
      </c>
      <c r="HT476" s="645">
        <f t="shared" si="849"/>
        <v>1</v>
      </c>
      <c r="HU476" s="618">
        <f t="shared" si="850"/>
        <v>6.0251080233162826</v>
      </c>
      <c r="HV476" s="618"/>
      <c r="HW476" s="618">
        <f t="shared" si="835"/>
        <v>27.444346606890878</v>
      </c>
      <c r="HX476" s="618">
        <f t="shared" si="851"/>
        <v>5.3076397078828403</v>
      </c>
      <c r="HY476" s="618">
        <f t="shared" si="852"/>
        <v>0.23649999999999999</v>
      </c>
      <c r="HZ476" s="618"/>
      <c r="IA476" s="618"/>
      <c r="IB476" s="618">
        <f t="shared" si="836"/>
        <v>25.000350341399081</v>
      </c>
      <c r="IC476" s="618">
        <f t="shared" si="837"/>
        <v>1E-3</v>
      </c>
      <c r="ID476" s="618"/>
      <c r="IE476" s="618">
        <f t="shared" si="838"/>
        <v>0</v>
      </c>
      <c r="IF476" s="618">
        <f t="shared" si="839"/>
        <v>40.704999999999998</v>
      </c>
      <c r="IG476" s="618"/>
      <c r="IH476" s="618">
        <f t="shared" si="840"/>
        <v>0</v>
      </c>
      <c r="II476" s="618">
        <f t="shared" si="841"/>
        <v>40.704999999999998</v>
      </c>
      <c r="IJ476" s="618"/>
      <c r="IK476" s="618">
        <f t="shared" si="842"/>
        <v>0</v>
      </c>
      <c r="IL476" s="618">
        <f t="shared" si="843"/>
        <v>40.704999999999998</v>
      </c>
      <c r="IM476" s="618"/>
      <c r="IN476" s="618">
        <f t="shared" si="844"/>
        <v>0</v>
      </c>
      <c r="IO476" s="618">
        <f t="shared" si="845"/>
        <v>40.704999999999998</v>
      </c>
      <c r="IP476" s="618"/>
      <c r="IQ476" s="618">
        <f t="shared" si="846"/>
        <v>0</v>
      </c>
      <c r="IR476" s="618">
        <f t="shared" si="847"/>
        <v>40.704999999999998</v>
      </c>
      <c r="IS476" s="645"/>
      <c r="IT476" s="645"/>
      <c r="IU476" s="645"/>
      <c r="IV476" s="645"/>
      <c r="IW476" s="645"/>
      <c r="IX476" s="645"/>
      <c r="IY476" s="645"/>
      <c r="IZ476" s="645"/>
      <c r="JA476" s="645"/>
      <c r="JB476" s="645"/>
      <c r="JC476" s="645"/>
      <c r="JD476" s="645"/>
      <c r="JE476" s="645"/>
      <c r="JF476" s="645"/>
      <c r="JG476" s="645"/>
      <c r="JH476" s="645"/>
      <c r="JI476" s="645"/>
      <c r="JJ476" s="645"/>
      <c r="JK476" s="645"/>
      <c r="JL476" s="645"/>
      <c r="JM476" s="645"/>
      <c r="JN476" s="645"/>
      <c r="JO476" s="645"/>
      <c r="JP476" s="645"/>
      <c r="JQ476" s="645"/>
      <c r="JR476" s="645"/>
      <c r="JS476" s="645"/>
      <c r="JT476" s="645"/>
      <c r="JU476" s="645"/>
      <c r="JV476" s="653"/>
    </row>
    <row r="477" spans="1:282" s="612" customFormat="1">
      <c r="A477" s="611"/>
      <c r="U477" s="613"/>
      <c r="V477" s="613"/>
      <c r="AC477" s="613"/>
      <c r="AD477" s="613"/>
      <c r="AL477" s="613"/>
      <c r="AM477" s="613"/>
      <c r="AT477" s="613"/>
      <c r="AU477" s="613"/>
      <c r="CH477" s="611"/>
      <c r="CI477" s="611"/>
      <c r="CO477" s="695"/>
      <c r="CP477" s="645"/>
      <c r="CQ477" s="618"/>
      <c r="CR477" s="618"/>
      <c r="CS477" s="618"/>
      <c r="CT477" s="626"/>
      <c r="CU477" s="626"/>
      <c r="CV477" s="626"/>
      <c r="CW477" s="646"/>
      <c r="CX477" s="646"/>
      <c r="CY477" s="625"/>
      <c r="CZ477" s="625"/>
      <c r="DA477" s="625"/>
      <c r="DB477" s="625"/>
      <c r="DC477" s="645"/>
      <c r="DD477" s="645"/>
      <c r="DE477" s="645"/>
      <c r="DF477" s="645"/>
      <c r="DG477" s="645"/>
      <c r="DH477" s="645"/>
      <c r="DI477" s="645"/>
      <c r="DJ477" s="645"/>
      <c r="DK477" s="645"/>
      <c r="DL477" s="645"/>
      <c r="DM477" s="645"/>
      <c r="DN477" s="645"/>
      <c r="DO477" s="645"/>
      <c r="DP477" s="645"/>
      <c r="DQ477" s="645"/>
      <c r="DR477" s="645"/>
      <c r="DS477" s="645"/>
      <c r="DT477" s="645"/>
      <c r="DU477" s="645"/>
      <c r="DV477" s="645"/>
      <c r="DW477" s="645"/>
      <c r="DX477" s="645"/>
      <c r="DY477" s="645"/>
      <c r="DZ477" s="645"/>
      <c r="EA477" s="645"/>
      <c r="EB477" s="645"/>
      <c r="EC477" s="645"/>
      <c r="ED477" s="645"/>
      <c r="EE477" s="645"/>
      <c r="EF477" s="645"/>
      <c r="EG477" s="645"/>
      <c r="EH477" s="645"/>
      <c r="EI477" s="645"/>
      <c r="EJ477" s="645"/>
      <c r="EK477" s="645"/>
      <c r="EL477" s="645"/>
      <c r="EM477" s="645"/>
      <c r="EN477" s="645"/>
      <c r="EO477" s="645"/>
      <c r="EP477" s="645"/>
      <c r="EQ477" s="645"/>
      <c r="ER477" s="645"/>
      <c r="ES477" s="645"/>
      <c r="ET477" s="645"/>
      <c r="EU477" s="645"/>
      <c r="EV477" s="645"/>
      <c r="EW477" s="645"/>
      <c r="EX477" s="645"/>
      <c r="EY477" s="645"/>
      <c r="EZ477" s="645"/>
      <c r="FA477" s="645"/>
      <c r="FB477" s="645"/>
      <c r="FC477" s="645"/>
      <c r="FD477" s="645"/>
      <c r="FE477" s="645"/>
      <c r="FF477" s="645"/>
      <c r="FG477" s="645"/>
      <c r="FH477" s="645"/>
      <c r="FI477" s="645"/>
      <c r="FJ477" s="645"/>
      <c r="FK477" s="645"/>
      <c r="FL477" s="645"/>
      <c r="FM477" s="645"/>
      <c r="FN477" s="645"/>
      <c r="FO477" s="645"/>
      <c r="FP477" s="645"/>
      <c r="FQ477" s="645"/>
      <c r="FR477" s="645"/>
      <c r="FS477" s="645"/>
      <c r="FT477" s="645"/>
      <c r="FU477" s="645"/>
      <c r="FV477" s="645"/>
      <c r="FW477" s="645"/>
      <c r="FX477" s="645"/>
      <c r="FY477" s="645"/>
      <c r="FZ477" s="645"/>
      <c r="GA477" s="645"/>
      <c r="GB477" s="645"/>
      <c r="GC477" s="645"/>
      <c r="GD477" s="645"/>
      <c r="GE477" s="645"/>
      <c r="GF477" s="645"/>
      <c r="GG477" s="645"/>
      <c r="GH477" s="645"/>
      <c r="GI477" s="645"/>
      <c r="GJ477" s="645"/>
      <c r="GK477" s="645"/>
      <c r="GL477" s="645"/>
      <c r="GM477" s="645"/>
      <c r="GN477" s="645"/>
      <c r="GO477" s="645"/>
      <c r="GP477" s="645"/>
      <c r="GQ477" s="645"/>
      <c r="GR477" s="645"/>
      <c r="GS477" s="645"/>
      <c r="GT477" s="645"/>
      <c r="GU477" s="645"/>
      <c r="GV477" s="645"/>
      <c r="GW477" s="645"/>
      <c r="GX477" s="645"/>
      <c r="GY477" s="645"/>
      <c r="GZ477" s="645"/>
      <c r="HA477" s="645"/>
      <c r="HB477" s="645"/>
      <c r="HC477" s="645"/>
      <c r="HD477" s="645"/>
      <c r="HE477" s="645"/>
      <c r="HF477" s="645"/>
      <c r="HG477" s="645"/>
      <c r="HH477" s="645"/>
      <c r="HI477" s="645"/>
      <c r="HJ477" s="645"/>
      <c r="HK477" s="645"/>
      <c r="HL477" s="645"/>
      <c r="HM477" s="645"/>
      <c r="HN477" s="645"/>
      <c r="HO477" s="645"/>
      <c r="HP477" s="645"/>
      <c r="HQ477" s="645"/>
      <c r="HR477" s="645">
        <v>0.23699999999999999</v>
      </c>
      <c r="HS477" s="645">
        <f t="shared" si="848"/>
        <v>1591.2857142857142</v>
      </c>
      <c r="HT477" s="645">
        <f t="shared" si="849"/>
        <v>1</v>
      </c>
      <c r="HU477" s="618">
        <f t="shared" si="850"/>
        <v>6.0378470672899072</v>
      </c>
      <c r="HV477" s="618"/>
      <c r="HW477" s="618">
        <f t="shared" si="835"/>
        <v>27.42625716444833</v>
      </c>
      <c r="HX477" s="618">
        <f t="shared" si="851"/>
        <v>5.3173448272175587</v>
      </c>
      <c r="HY477" s="618">
        <f t="shared" si="852"/>
        <v>0.23699999999999999</v>
      </c>
      <c r="HZ477" s="618"/>
      <c r="IA477" s="618"/>
      <c r="IB477" s="618">
        <f t="shared" si="836"/>
        <v>25.000350341399081</v>
      </c>
      <c r="IC477" s="618">
        <f t="shared" si="837"/>
        <v>1E-3</v>
      </c>
      <c r="ID477" s="618"/>
      <c r="IE477" s="618">
        <f t="shared" si="838"/>
        <v>0</v>
      </c>
      <c r="IF477" s="618">
        <f t="shared" si="839"/>
        <v>40.704999999999998</v>
      </c>
      <c r="IG477" s="618"/>
      <c r="IH477" s="618">
        <f t="shared" si="840"/>
        <v>0</v>
      </c>
      <c r="II477" s="618">
        <f t="shared" si="841"/>
        <v>40.704999999999998</v>
      </c>
      <c r="IJ477" s="618"/>
      <c r="IK477" s="618">
        <f t="shared" si="842"/>
        <v>0</v>
      </c>
      <c r="IL477" s="618">
        <f t="shared" si="843"/>
        <v>40.704999999999998</v>
      </c>
      <c r="IM477" s="618"/>
      <c r="IN477" s="618">
        <f t="shared" si="844"/>
        <v>0</v>
      </c>
      <c r="IO477" s="618">
        <f t="shared" si="845"/>
        <v>40.704999999999998</v>
      </c>
      <c r="IP477" s="618"/>
      <c r="IQ477" s="618">
        <f t="shared" si="846"/>
        <v>0</v>
      </c>
      <c r="IR477" s="618">
        <f t="shared" si="847"/>
        <v>40.704999999999998</v>
      </c>
      <c r="IS477" s="645"/>
      <c r="IT477" s="645"/>
      <c r="IU477" s="645"/>
      <c r="IV477" s="645"/>
      <c r="IW477" s="645"/>
      <c r="IX477" s="645"/>
      <c r="IY477" s="645"/>
      <c r="IZ477" s="645"/>
      <c r="JA477" s="645"/>
      <c r="JB477" s="645"/>
      <c r="JC477" s="645"/>
      <c r="JD477" s="645"/>
      <c r="JE477" s="645"/>
      <c r="JF477" s="645"/>
      <c r="JG477" s="645"/>
      <c r="JH477" s="645"/>
      <c r="JI477" s="645"/>
      <c r="JJ477" s="645"/>
      <c r="JK477" s="645"/>
      <c r="JL477" s="645"/>
      <c r="JM477" s="645"/>
      <c r="JN477" s="645"/>
      <c r="JO477" s="645"/>
      <c r="JP477" s="645"/>
      <c r="JQ477" s="645"/>
      <c r="JR477" s="645"/>
      <c r="JS477" s="645"/>
      <c r="JT477" s="645"/>
      <c r="JU477" s="645"/>
      <c r="JV477" s="653"/>
    </row>
    <row r="478" spans="1:282" s="612" customFormat="1">
      <c r="A478" s="611"/>
      <c r="U478" s="613"/>
      <c r="V478" s="613"/>
      <c r="AC478" s="613"/>
      <c r="AD478" s="613"/>
      <c r="AL478" s="613"/>
      <c r="AM478" s="613"/>
      <c r="AT478" s="613"/>
      <c r="AU478" s="613"/>
      <c r="CH478" s="611"/>
      <c r="CI478" s="611"/>
      <c r="CO478" s="695"/>
      <c r="CP478" s="645"/>
      <c r="CQ478" s="618"/>
      <c r="CR478" s="618"/>
      <c r="CS478" s="618"/>
      <c r="CT478" s="626"/>
      <c r="CU478" s="626"/>
      <c r="CV478" s="626"/>
      <c r="CW478" s="646"/>
      <c r="CX478" s="646"/>
      <c r="CY478" s="625"/>
      <c r="CZ478" s="625"/>
      <c r="DA478" s="625"/>
      <c r="DB478" s="625"/>
      <c r="DC478" s="645"/>
      <c r="DD478" s="645"/>
      <c r="DE478" s="645"/>
      <c r="DF478" s="645"/>
      <c r="DG478" s="645"/>
      <c r="DH478" s="645"/>
      <c r="DI478" s="645"/>
      <c r="DJ478" s="645"/>
      <c r="DK478" s="645"/>
      <c r="DL478" s="645"/>
      <c r="DM478" s="645"/>
      <c r="DN478" s="645"/>
      <c r="DO478" s="645"/>
      <c r="DP478" s="645"/>
      <c r="DQ478" s="645"/>
      <c r="DR478" s="645"/>
      <c r="DS478" s="645"/>
      <c r="DT478" s="645"/>
      <c r="DU478" s="645"/>
      <c r="DV478" s="645"/>
      <c r="DW478" s="645"/>
      <c r="DX478" s="645"/>
      <c r="DY478" s="645"/>
      <c r="DZ478" s="645"/>
      <c r="EA478" s="645"/>
      <c r="EB478" s="645"/>
      <c r="EC478" s="645"/>
      <c r="ED478" s="645"/>
      <c r="EE478" s="645"/>
      <c r="EF478" s="645"/>
      <c r="EG478" s="645"/>
      <c r="EH478" s="645"/>
      <c r="EI478" s="645"/>
      <c r="EJ478" s="645"/>
      <c r="EK478" s="645"/>
      <c r="EL478" s="645"/>
      <c r="EM478" s="645"/>
      <c r="EN478" s="645"/>
      <c r="EO478" s="645"/>
      <c r="EP478" s="645"/>
      <c r="EQ478" s="645"/>
      <c r="ER478" s="645"/>
      <c r="ES478" s="645"/>
      <c r="ET478" s="645"/>
      <c r="EU478" s="645"/>
      <c r="EV478" s="645"/>
      <c r="EW478" s="645"/>
      <c r="EX478" s="645"/>
      <c r="EY478" s="645"/>
      <c r="EZ478" s="645"/>
      <c r="FA478" s="645"/>
      <c r="FB478" s="645"/>
      <c r="FC478" s="645"/>
      <c r="FD478" s="645"/>
      <c r="FE478" s="645"/>
      <c r="FF478" s="645"/>
      <c r="FG478" s="645"/>
      <c r="FH478" s="645"/>
      <c r="FI478" s="645"/>
      <c r="FJ478" s="645"/>
      <c r="FK478" s="645"/>
      <c r="FL478" s="645"/>
      <c r="FM478" s="645"/>
      <c r="FN478" s="645"/>
      <c r="FO478" s="645"/>
      <c r="FP478" s="645"/>
      <c r="FQ478" s="645"/>
      <c r="FR478" s="645"/>
      <c r="FS478" s="645"/>
      <c r="FT478" s="645"/>
      <c r="FU478" s="645"/>
      <c r="FV478" s="645"/>
      <c r="FW478" s="645"/>
      <c r="FX478" s="645"/>
      <c r="FY478" s="645"/>
      <c r="FZ478" s="645"/>
      <c r="GA478" s="645"/>
      <c r="GB478" s="645"/>
      <c r="GC478" s="645"/>
      <c r="GD478" s="645"/>
      <c r="GE478" s="645"/>
      <c r="GF478" s="645"/>
      <c r="GG478" s="645"/>
      <c r="GH478" s="645"/>
      <c r="GI478" s="645"/>
      <c r="GJ478" s="645"/>
      <c r="GK478" s="645"/>
      <c r="GL478" s="645"/>
      <c r="GM478" s="645"/>
      <c r="GN478" s="645"/>
      <c r="GO478" s="645"/>
      <c r="GP478" s="645"/>
      <c r="GQ478" s="645"/>
      <c r="GR478" s="645"/>
      <c r="GS478" s="645"/>
      <c r="GT478" s="645"/>
      <c r="GU478" s="645"/>
      <c r="GV478" s="645"/>
      <c r="GW478" s="645"/>
      <c r="GX478" s="645"/>
      <c r="GY478" s="645"/>
      <c r="GZ478" s="645"/>
      <c r="HA478" s="645"/>
      <c r="HB478" s="645"/>
      <c r="HC478" s="645"/>
      <c r="HD478" s="645"/>
      <c r="HE478" s="645"/>
      <c r="HF478" s="645"/>
      <c r="HG478" s="645"/>
      <c r="HH478" s="645"/>
      <c r="HI478" s="645"/>
      <c r="HJ478" s="645"/>
      <c r="HK478" s="645"/>
      <c r="HL478" s="645"/>
      <c r="HM478" s="645"/>
      <c r="HN478" s="645"/>
      <c r="HO478" s="645"/>
      <c r="HP478" s="645"/>
      <c r="HQ478" s="645"/>
      <c r="HR478" s="645">
        <v>0.23749999999999999</v>
      </c>
      <c r="HS478" s="645">
        <f t="shared" si="848"/>
        <v>1594.6428571428571</v>
      </c>
      <c r="HT478" s="645">
        <f t="shared" si="849"/>
        <v>1</v>
      </c>
      <c r="HU478" s="618">
        <f t="shared" si="850"/>
        <v>6.0505861112635317</v>
      </c>
      <c r="HV478" s="618"/>
      <c r="HW478" s="618">
        <f t="shared" si="835"/>
        <v>27.408167722005786</v>
      </c>
      <c r="HX478" s="618">
        <f t="shared" si="851"/>
        <v>5.3270435453799783</v>
      </c>
      <c r="HY478" s="618">
        <f t="shared" si="852"/>
        <v>0.23749999999999999</v>
      </c>
      <c r="HZ478" s="618"/>
      <c r="IA478" s="618"/>
      <c r="IB478" s="618">
        <f t="shared" si="836"/>
        <v>25.000350341399081</v>
      </c>
      <c r="IC478" s="618">
        <f t="shared" si="837"/>
        <v>1E-3</v>
      </c>
      <c r="ID478" s="618"/>
      <c r="IE478" s="618">
        <f t="shared" si="838"/>
        <v>0</v>
      </c>
      <c r="IF478" s="618">
        <f t="shared" si="839"/>
        <v>40.704999999999998</v>
      </c>
      <c r="IG478" s="618"/>
      <c r="IH478" s="618">
        <f t="shared" si="840"/>
        <v>0</v>
      </c>
      <c r="II478" s="618">
        <f t="shared" si="841"/>
        <v>40.704999999999998</v>
      </c>
      <c r="IJ478" s="618"/>
      <c r="IK478" s="618">
        <f t="shared" si="842"/>
        <v>0</v>
      </c>
      <c r="IL478" s="618">
        <f t="shared" si="843"/>
        <v>40.704999999999998</v>
      </c>
      <c r="IM478" s="618"/>
      <c r="IN478" s="618">
        <f t="shared" si="844"/>
        <v>0</v>
      </c>
      <c r="IO478" s="618">
        <f t="shared" si="845"/>
        <v>40.704999999999998</v>
      </c>
      <c r="IP478" s="618"/>
      <c r="IQ478" s="618">
        <f t="shared" si="846"/>
        <v>0</v>
      </c>
      <c r="IR478" s="618">
        <f t="shared" si="847"/>
        <v>40.704999999999998</v>
      </c>
      <c r="IS478" s="645"/>
      <c r="IT478" s="645"/>
      <c r="IU478" s="645"/>
      <c r="IV478" s="645"/>
      <c r="IW478" s="645"/>
      <c r="IX478" s="645"/>
      <c r="IY478" s="645"/>
      <c r="IZ478" s="645"/>
      <c r="JA478" s="645"/>
      <c r="JB478" s="645"/>
      <c r="JC478" s="645"/>
      <c r="JD478" s="645"/>
      <c r="JE478" s="645"/>
      <c r="JF478" s="645"/>
      <c r="JG478" s="645"/>
      <c r="JH478" s="645"/>
      <c r="JI478" s="645"/>
      <c r="JJ478" s="645"/>
      <c r="JK478" s="645"/>
      <c r="JL478" s="645"/>
      <c r="JM478" s="645"/>
      <c r="JN478" s="645"/>
      <c r="JO478" s="645"/>
      <c r="JP478" s="645"/>
      <c r="JQ478" s="645"/>
      <c r="JR478" s="645"/>
      <c r="JS478" s="645"/>
      <c r="JT478" s="645"/>
      <c r="JU478" s="645"/>
      <c r="JV478" s="653"/>
    </row>
    <row r="479" spans="1:282" s="612" customFormat="1">
      <c r="A479" s="611"/>
      <c r="U479" s="613"/>
      <c r="V479" s="613"/>
      <c r="AC479" s="613"/>
      <c r="AD479" s="613"/>
      <c r="AL479" s="613"/>
      <c r="AM479" s="613"/>
      <c r="AT479" s="613"/>
      <c r="AU479" s="613"/>
      <c r="CH479" s="611"/>
      <c r="CI479" s="611"/>
      <c r="CO479" s="695"/>
      <c r="CP479" s="645"/>
      <c r="CQ479" s="618"/>
      <c r="CR479" s="618"/>
      <c r="CS479" s="618"/>
      <c r="CT479" s="626"/>
      <c r="CU479" s="626"/>
      <c r="CV479" s="626"/>
      <c r="CW479" s="646"/>
      <c r="CX479" s="646"/>
      <c r="CY479" s="625"/>
      <c r="CZ479" s="625"/>
      <c r="DA479" s="625"/>
      <c r="DB479" s="625"/>
      <c r="DC479" s="645"/>
      <c r="DD479" s="645"/>
      <c r="DE479" s="645"/>
      <c r="DF479" s="645"/>
      <c r="DG479" s="645"/>
      <c r="DH479" s="645"/>
      <c r="DI479" s="645"/>
      <c r="DJ479" s="645"/>
      <c r="DK479" s="645"/>
      <c r="DL479" s="645"/>
      <c r="DM479" s="645"/>
      <c r="DN479" s="645"/>
      <c r="DO479" s="645"/>
      <c r="DP479" s="645"/>
      <c r="DQ479" s="645"/>
      <c r="DR479" s="645"/>
      <c r="DS479" s="645"/>
      <c r="DT479" s="645"/>
      <c r="DU479" s="645"/>
      <c r="DV479" s="645"/>
      <c r="DW479" s="645"/>
      <c r="DX479" s="645"/>
      <c r="DY479" s="645"/>
      <c r="DZ479" s="645"/>
      <c r="EA479" s="645"/>
      <c r="EB479" s="645"/>
      <c r="EC479" s="645"/>
      <c r="ED479" s="645"/>
      <c r="EE479" s="645"/>
      <c r="EF479" s="645"/>
      <c r="EG479" s="645"/>
      <c r="EH479" s="645"/>
      <c r="EI479" s="645"/>
      <c r="EJ479" s="645"/>
      <c r="EK479" s="645"/>
      <c r="EL479" s="645"/>
      <c r="EM479" s="645"/>
      <c r="EN479" s="645"/>
      <c r="EO479" s="645"/>
      <c r="EP479" s="645"/>
      <c r="EQ479" s="645"/>
      <c r="ER479" s="645"/>
      <c r="ES479" s="645"/>
      <c r="ET479" s="645"/>
      <c r="EU479" s="645"/>
      <c r="EV479" s="645"/>
      <c r="EW479" s="645"/>
      <c r="EX479" s="645"/>
      <c r="EY479" s="645"/>
      <c r="EZ479" s="645"/>
      <c r="FA479" s="645"/>
      <c r="FB479" s="645"/>
      <c r="FC479" s="645"/>
      <c r="FD479" s="645"/>
      <c r="FE479" s="645"/>
      <c r="FF479" s="645"/>
      <c r="FG479" s="645"/>
      <c r="FH479" s="645"/>
      <c r="FI479" s="645"/>
      <c r="FJ479" s="645"/>
      <c r="FK479" s="645"/>
      <c r="FL479" s="645"/>
      <c r="FM479" s="645"/>
      <c r="FN479" s="645"/>
      <c r="FO479" s="645"/>
      <c r="FP479" s="645"/>
      <c r="FQ479" s="645"/>
      <c r="FR479" s="645"/>
      <c r="FS479" s="645"/>
      <c r="FT479" s="645"/>
      <c r="FU479" s="645"/>
      <c r="FV479" s="645"/>
      <c r="FW479" s="645"/>
      <c r="FX479" s="645"/>
      <c r="FY479" s="645"/>
      <c r="FZ479" s="645"/>
      <c r="GA479" s="645"/>
      <c r="GB479" s="645"/>
      <c r="GC479" s="645"/>
      <c r="GD479" s="645"/>
      <c r="GE479" s="645"/>
      <c r="GF479" s="645"/>
      <c r="GG479" s="645"/>
      <c r="GH479" s="645"/>
      <c r="GI479" s="645"/>
      <c r="GJ479" s="645"/>
      <c r="GK479" s="645"/>
      <c r="GL479" s="645"/>
      <c r="GM479" s="645"/>
      <c r="GN479" s="645"/>
      <c r="GO479" s="645"/>
      <c r="GP479" s="645"/>
      <c r="GQ479" s="645"/>
      <c r="GR479" s="645"/>
      <c r="GS479" s="645"/>
      <c r="GT479" s="645"/>
      <c r="GU479" s="645"/>
      <c r="GV479" s="645"/>
      <c r="GW479" s="645"/>
      <c r="GX479" s="645"/>
      <c r="GY479" s="645"/>
      <c r="GZ479" s="645"/>
      <c r="HA479" s="645"/>
      <c r="HB479" s="645"/>
      <c r="HC479" s="645"/>
      <c r="HD479" s="645"/>
      <c r="HE479" s="645"/>
      <c r="HF479" s="645"/>
      <c r="HG479" s="645"/>
      <c r="HH479" s="645"/>
      <c r="HI479" s="645"/>
      <c r="HJ479" s="645"/>
      <c r="HK479" s="645"/>
      <c r="HL479" s="645"/>
      <c r="HM479" s="645"/>
      <c r="HN479" s="645"/>
      <c r="HO479" s="645"/>
      <c r="HP479" s="645"/>
      <c r="HQ479" s="645"/>
      <c r="HR479" s="645">
        <v>0.23799999999999999</v>
      </c>
      <c r="HS479" s="645">
        <f t="shared" si="848"/>
        <v>1598</v>
      </c>
      <c r="HT479" s="645">
        <f t="shared" si="849"/>
        <v>1</v>
      </c>
      <c r="HU479" s="618">
        <f t="shared" si="850"/>
        <v>6.0633251552371563</v>
      </c>
      <c r="HV479" s="618"/>
      <c r="HW479" s="618">
        <f t="shared" si="835"/>
        <v>27.390078279563241</v>
      </c>
      <c r="HX479" s="618">
        <f t="shared" si="851"/>
        <v>5.3367358623700998</v>
      </c>
      <c r="HY479" s="618">
        <f t="shared" si="852"/>
        <v>0.23799999999999999</v>
      </c>
      <c r="HZ479" s="618"/>
      <c r="IA479" s="618"/>
      <c r="IB479" s="618">
        <f t="shared" si="836"/>
        <v>25.000350341399081</v>
      </c>
      <c r="IC479" s="618">
        <f t="shared" si="837"/>
        <v>1E-3</v>
      </c>
      <c r="ID479" s="618"/>
      <c r="IE479" s="618">
        <f t="shared" si="838"/>
        <v>0</v>
      </c>
      <c r="IF479" s="618">
        <f t="shared" si="839"/>
        <v>40.704999999999998</v>
      </c>
      <c r="IG479" s="618"/>
      <c r="IH479" s="618">
        <f t="shared" si="840"/>
        <v>0</v>
      </c>
      <c r="II479" s="618">
        <f t="shared" si="841"/>
        <v>40.704999999999998</v>
      </c>
      <c r="IJ479" s="618"/>
      <c r="IK479" s="618">
        <f t="shared" si="842"/>
        <v>0</v>
      </c>
      <c r="IL479" s="618">
        <f t="shared" si="843"/>
        <v>40.704999999999998</v>
      </c>
      <c r="IM479" s="618"/>
      <c r="IN479" s="618">
        <f t="shared" si="844"/>
        <v>0</v>
      </c>
      <c r="IO479" s="618">
        <f t="shared" si="845"/>
        <v>40.704999999999998</v>
      </c>
      <c r="IP479" s="618"/>
      <c r="IQ479" s="618">
        <f t="shared" si="846"/>
        <v>0</v>
      </c>
      <c r="IR479" s="618">
        <f t="shared" si="847"/>
        <v>40.704999999999998</v>
      </c>
      <c r="IS479" s="645"/>
      <c r="IT479" s="645"/>
      <c r="IU479" s="645"/>
      <c r="IV479" s="645"/>
      <c r="IW479" s="645"/>
      <c r="IX479" s="645"/>
      <c r="IY479" s="645"/>
      <c r="IZ479" s="645"/>
      <c r="JA479" s="645"/>
      <c r="JB479" s="645"/>
      <c r="JC479" s="645"/>
      <c r="JD479" s="645"/>
      <c r="JE479" s="645"/>
      <c r="JF479" s="645"/>
      <c r="JG479" s="645"/>
      <c r="JH479" s="645"/>
      <c r="JI479" s="645"/>
      <c r="JJ479" s="645"/>
      <c r="JK479" s="645"/>
      <c r="JL479" s="645"/>
      <c r="JM479" s="645"/>
      <c r="JN479" s="645"/>
      <c r="JO479" s="645"/>
      <c r="JP479" s="645"/>
      <c r="JQ479" s="645"/>
      <c r="JR479" s="645"/>
      <c r="JS479" s="645"/>
      <c r="JT479" s="645"/>
      <c r="JU479" s="645"/>
      <c r="JV479" s="653"/>
    </row>
    <row r="480" spans="1:282" s="612" customFormat="1">
      <c r="A480" s="611"/>
      <c r="U480" s="613"/>
      <c r="V480" s="613"/>
      <c r="AC480" s="613"/>
      <c r="AD480" s="613"/>
      <c r="AL480" s="613"/>
      <c r="AM480" s="613"/>
      <c r="AT480" s="613"/>
      <c r="AU480" s="613"/>
      <c r="CH480" s="611"/>
      <c r="CI480" s="611"/>
      <c r="CO480" s="695"/>
      <c r="CP480" s="645"/>
      <c r="CQ480" s="618"/>
      <c r="CR480" s="618"/>
      <c r="CS480" s="618"/>
      <c r="CT480" s="626"/>
      <c r="CU480" s="626"/>
      <c r="CV480" s="626"/>
      <c r="CW480" s="646"/>
      <c r="CX480" s="646"/>
      <c r="CY480" s="625"/>
      <c r="CZ480" s="625"/>
      <c r="DA480" s="625"/>
      <c r="DB480" s="625"/>
      <c r="DC480" s="645"/>
      <c r="DD480" s="645"/>
      <c r="DE480" s="645"/>
      <c r="DF480" s="645"/>
      <c r="DG480" s="645"/>
      <c r="DH480" s="645"/>
      <c r="DI480" s="645"/>
      <c r="DJ480" s="645"/>
      <c r="DK480" s="645"/>
      <c r="DL480" s="645"/>
      <c r="DM480" s="645"/>
      <c r="DN480" s="645"/>
      <c r="DO480" s="645"/>
      <c r="DP480" s="645"/>
      <c r="DQ480" s="645"/>
      <c r="DR480" s="645"/>
      <c r="DS480" s="645"/>
      <c r="DT480" s="645"/>
      <c r="DU480" s="645"/>
      <c r="DV480" s="645"/>
      <c r="DW480" s="645"/>
      <c r="DX480" s="645"/>
      <c r="DY480" s="645"/>
      <c r="DZ480" s="645"/>
      <c r="EA480" s="645"/>
      <c r="EB480" s="645"/>
      <c r="EC480" s="645"/>
      <c r="ED480" s="645"/>
      <c r="EE480" s="645"/>
      <c r="EF480" s="645"/>
      <c r="EG480" s="645"/>
      <c r="EH480" s="645"/>
      <c r="EI480" s="645"/>
      <c r="EJ480" s="645"/>
      <c r="EK480" s="645"/>
      <c r="EL480" s="645"/>
      <c r="EM480" s="645"/>
      <c r="EN480" s="645"/>
      <c r="EO480" s="645"/>
      <c r="EP480" s="645"/>
      <c r="EQ480" s="645"/>
      <c r="ER480" s="645"/>
      <c r="ES480" s="645"/>
      <c r="ET480" s="645"/>
      <c r="EU480" s="645"/>
      <c r="EV480" s="645"/>
      <c r="EW480" s="645"/>
      <c r="EX480" s="645"/>
      <c r="EY480" s="645"/>
      <c r="EZ480" s="645"/>
      <c r="FA480" s="645"/>
      <c r="FB480" s="645"/>
      <c r="FC480" s="645"/>
      <c r="FD480" s="645"/>
      <c r="FE480" s="645"/>
      <c r="FF480" s="645"/>
      <c r="FG480" s="645"/>
      <c r="FH480" s="645"/>
      <c r="FI480" s="645"/>
      <c r="FJ480" s="645"/>
      <c r="FK480" s="645"/>
      <c r="FL480" s="645"/>
      <c r="FM480" s="645"/>
      <c r="FN480" s="645"/>
      <c r="FO480" s="645"/>
      <c r="FP480" s="645"/>
      <c r="FQ480" s="645"/>
      <c r="FR480" s="645"/>
      <c r="FS480" s="645"/>
      <c r="FT480" s="645"/>
      <c r="FU480" s="645"/>
      <c r="FV480" s="645"/>
      <c r="FW480" s="645"/>
      <c r="FX480" s="645"/>
      <c r="FY480" s="645"/>
      <c r="FZ480" s="645"/>
      <c r="GA480" s="645"/>
      <c r="GB480" s="645"/>
      <c r="GC480" s="645"/>
      <c r="GD480" s="645"/>
      <c r="GE480" s="645"/>
      <c r="GF480" s="645"/>
      <c r="GG480" s="645"/>
      <c r="GH480" s="645"/>
      <c r="GI480" s="645"/>
      <c r="GJ480" s="645"/>
      <c r="GK480" s="645"/>
      <c r="GL480" s="645"/>
      <c r="GM480" s="645"/>
      <c r="GN480" s="645"/>
      <c r="GO480" s="645"/>
      <c r="GP480" s="645"/>
      <c r="GQ480" s="645"/>
      <c r="GR480" s="645"/>
      <c r="GS480" s="645"/>
      <c r="GT480" s="645"/>
      <c r="GU480" s="645"/>
      <c r="GV480" s="645"/>
      <c r="GW480" s="645"/>
      <c r="GX480" s="645"/>
      <c r="GY480" s="645"/>
      <c r="GZ480" s="645"/>
      <c r="HA480" s="645"/>
      <c r="HB480" s="645"/>
      <c r="HC480" s="645"/>
      <c r="HD480" s="645"/>
      <c r="HE480" s="645"/>
      <c r="HF480" s="645"/>
      <c r="HG480" s="645"/>
      <c r="HH480" s="645"/>
      <c r="HI480" s="645"/>
      <c r="HJ480" s="645"/>
      <c r="HK480" s="645"/>
      <c r="HL480" s="645"/>
      <c r="HM480" s="645"/>
      <c r="HN480" s="645"/>
      <c r="HO480" s="645"/>
      <c r="HP480" s="645"/>
      <c r="HQ480" s="645"/>
      <c r="HR480" s="645">
        <v>0.23849999999999999</v>
      </c>
      <c r="HS480" s="645">
        <f t="shared" si="848"/>
        <v>1601.3571428571427</v>
      </c>
      <c r="HT480" s="645">
        <f t="shared" si="849"/>
        <v>1</v>
      </c>
      <c r="HU480" s="618">
        <f t="shared" si="850"/>
        <v>6.0760641992107809</v>
      </c>
      <c r="HV480" s="618"/>
      <c r="HW480" s="618">
        <f t="shared" si="835"/>
        <v>27.371988837120689</v>
      </c>
      <c r="HX480" s="618">
        <f t="shared" si="851"/>
        <v>5.3464217781879233</v>
      </c>
      <c r="HY480" s="618">
        <f t="shared" si="852"/>
        <v>0.23849999999999999</v>
      </c>
      <c r="HZ480" s="618"/>
      <c r="IA480" s="618"/>
      <c r="IB480" s="618">
        <f t="shared" si="836"/>
        <v>25.000350341399081</v>
      </c>
      <c r="IC480" s="618">
        <f t="shared" si="837"/>
        <v>1E-3</v>
      </c>
      <c r="ID480" s="618"/>
      <c r="IE480" s="618">
        <f t="shared" si="838"/>
        <v>0</v>
      </c>
      <c r="IF480" s="618">
        <f t="shared" si="839"/>
        <v>40.704999999999998</v>
      </c>
      <c r="IG480" s="618"/>
      <c r="IH480" s="618">
        <f t="shared" si="840"/>
        <v>0</v>
      </c>
      <c r="II480" s="618">
        <f t="shared" si="841"/>
        <v>40.704999999999998</v>
      </c>
      <c r="IJ480" s="618"/>
      <c r="IK480" s="618">
        <f t="shared" si="842"/>
        <v>0</v>
      </c>
      <c r="IL480" s="618">
        <f t="shared" si="843"/>
        <v>40.704999999999998</v>
      </c>
      <c r="IM480" s="618"/>
      <c r="IN480" s="618">
        <f t="shared" si="844"/>
        <v>0</v>
      </c>
      <c r="IO480" s="618">
        <f t="shared" si="845"/>
        <v>40.704999999999998</v>
      </c>
      <c r="IP480" s="618"/>
      <c r="IQ480" s="618">
        <f t="shared" si="846"/>
        <v>0</v>
      </c>
      <c r="IR480" s="618">
        <f t="shared" si="847"/>
        <v>40.704999999999998</v>
      </c>
      <c r="IS480" s="645"/>
      <c r="IT480" s="645"/>
      <c r="IU480" s="645"/>
      <c r="IV480" s="645"/>
      <c r="IW480" s="645"/>
      <c r="IX480" s="645"/>
      <c r="IY480" s="645"/>
      <c r="IZ480" s="645"/>
      <c r="JA480" s="645"/>
      <c r="JB480" s="645"/>
      <c r="JC480" s="645"/>
      <c r="JD480" s="645"/>
      <c r="JE480" s="645"/>
      <c r="JF480" s="645"/>
      <c r="JG480" s="645"/>
      <c r="JH480" s="645"/>
      <c r="JI480" s="645"/>
      <c r="JJ480" s="645"/>
      <c r="JK480" s="645"/>
      <c r="JL480" s="645"/>
      <c r="JM480" s="645"/>
      <c r="JN480" s="645"/>
      <c r="JO480" s="645"/>
      <c r="JP480" s="645"/>
      <c r="JQ480" s="645"/>
      <c r="JR480" s="645"/>
      <c r="JS480" s="645"/>
      <c r="JT480" s="645"/>
      <c r="JU480" s="645"/>
      <c r="JV480" s="653"/>
    </row>
    <row r="481" spans="1:282" s="612" customFormat="1">
      <c r="A481" s="611"/>
      <c r="U481" s="613"/>
      <c r="V481" s="613"/>
      <c r="AC481" s="613"/>
      <c r="AD481" s="613"/>
      <c r="AL481" s="613"/>
      <c r="AM481" s="613"/>
      <c r="AT481" s="613"/>
      <c r="AU481" s="613"/>
      <c r="CH481" s="611"/>
      <c r="CI481" s="611"/>
      <c r="CO481" s="695"/>
      <c r="CP481" s="645"/>
      <c r="CQ481" s="618"/>
      <c r="CR481" s="618"/>
      <c r="CS481" s="618"/>
      <c r="CT481" s="626"/>
      <c r="CU481" s="626"/>
      <c r="CV481" s="626"/>
      <c r="CW481" s="646"/>
      <c r="CX481" s="646"/>
      <c r="CY481" s="625"/>
      <c r="CZ481" s="625"/>
      <c r="DA481" s="625"/>
      <c r="DB481" s="625"/>
      <c r="DC481" s="645"/>
      <c r="DD481" s="645"/>
      <c r="DE481" s="645"/>
      <c r="DF481" s="645"/>
      <c r="DG481" s="645"/>
      <c r="DH481" s="645"/>
      <c r="DI481" s="645"/>
      <c r="DJ481" s="645"/>
      <c r="DK481" s="645"/>
      <c r="DL481" s="645"/>
      <c r="DM481" s="645"/>
      <c r="DN481" s="645"/>
      <c r="DO481" s="645"/>
      <c r="DP481" s="645"/>
      <c r="DQ481" s="645"/>
      <c r="DR481" s="645"/>
      <c r="DS481" s="645"/>
      <c r="DT481" s="645"/>
      <c r="DU481" s="645"/>
      <c r="DV481" s="645"/>
      <c r="DW481" s="645"/>
      <c r="DX481" s="645"/>
      <c r="DY481" s="645"/>
      <c r="DZ481" s="645"/>
      <c r="EA481" s="645"/>
      <c r="EB481" s="645"/>
      <c r="EC481" s="645"/>
      <c r="ED481" s="645"/>
      <c r="EE481" s="645"/>
      <c r="EF481" s="645"/>
      <c r="EG481" s="645"/>
      <c r="EH481" s="645"/>
      <c r="EI481" s="645"/>
      <c r="EJ481" s="645"/>
      <c r="EK481" s="645"/>
      <c r="EL481" s="645"/>
      <c r="EM481" s="645"/>
      <c r="EN481" s="645"/>
      <c r="EO481" s="645"/>
      <c r="EP481" s="645"/>
      <c r="EQ481" s="645"/>
      <c r="ER481" s="645"/>
      <c r="ES481" s="645"/>
      <c r="ET481" s="645"/>
      <c r="EU481" s="645"/>
      <c r="EV481" s="645"/>
      <c r="EW481" s="645"/>
      <c r="EX481" s="645"/>
      <c r="EY481" s="645"/>
      <c r="EZ481" s="645"/>
      <c r="FA481" s="645"/>
      <c r="FB481" s="645"/>
      <c r="FC481" s="645"/>
      <c r="FD481" s="645"/>
      <c r="FE481" s="645"/>
      <c r="FF481" s="645"/>
      <c r="FG481" s="645"/>
      <c r="FH481" s="645"/>
      <c r="FI481" s="645"/>
      <c r="FJ481" s="645"/>
      <c r="FK481" s="645"/>
      <c r="FL481" s="645"/>
      <c r="FM481" s="645"/>
      <c r="FN481" s="645"/>
      <c r="FO481" s="645"/>
      <c r="FP481" s="645"/>
      <c r="FQ481" s="645"/>
      <c r="FR481" s="645"/>
      <c r="FS481" s="645"/>
      <c r="FT481" s="645"/>
      <c r="FU481" s="645"/>
      <c r="FV481" s="645"/>
      <c r="FW481" s="645"/>
      <c r="FX481" s="645"/>
      <c r="FY481" s="645"/>
      <c r="FZ481" s="645"/>
      <c r="GA481" s="645"/>
      <c r="GB481" s="645"/>
      <c r="GC481" s="645"/>
      <c r="GD481" s="645"/>
      <c r="GE481" s="645"/>
      <c r="GF481" s="645"/>
      <c r="GG481" s="645"/>
      <c r="GH481" s="645"/>
      <c r="GI481" s="645"/>
      <c r="GJ481" s="645"/>
      <c r="GK481" s="645"/>
      <c r="GL481" s="645"/>
      <c r="GM481" s="645"/>
      <c r="GN481" s="645"/>
      <c r="GO481" s="645"/>
      <c r="GP481" s="645"/>
      <c r="GQ481" s="645"/>
      <c r="GR481" s="645"/>
      <c r="GS481" s="645"/>
      <c r="GT481" s="645"/>
      <c r="GU481" s="645"/>
      <c r="GV481" s="645"/>
      <c r="GW481" s="645"/>
      <c r="GX481" s="645"/>
      <c r="GY481" s="645"/>
      <c r="GZ481" s="645"/>
      <c r="HA481" s="645"/>
      <c r="HB481" s="645"/>
      <c r="HC481" s="645"/>
      <c r="HD481" s="645"/>
      <c r="HE481" s="645"/>
      <c r="HF481" s="645"/>
      <c r="HG481" s="645"/>
      <c r="HH481" s="645"/>
      <c r="HI481" s="645"/>
      <c r="HJ481" s="645"/>
      <c r="HK481" s="645"/>
      <c r="HL481" s="645"/>
      <c r="HM481" s="645"/>
      <c r="HN481" s="645"/>
      <c r="HO481" s="645"/>
      <c r="HP481" s="645"/>
      <c r="HQ481" s="645"/>
      <c r="HR481" s="645">
        <v>0.23899999999999999</v>
      </c>
      <c r="HS481" s="645">
        <f t="shared" si="848"/>
        <v>1604.7142857142856</v>
      </c>
      <c r="HT481" s="645">
        <f t="shared" si="849"/>
        <v>1</v>
      </c>
      <c r="HU481" s="618">
        <f t="shared" si="850"/>
        <v>6.0888032431844055</v>
      </c>
      <c r="HV481" s="618"/>
      <c r="HW481" s="618">
        <f t="shared" si="835"/>
        <v>27.353899394678145</v>
      </c>
      <c r="HX481" s="618">
        <f t="shared" si="851"/>
        <v>5.3561012928334488</v>
      </c>
      <c r="HY481" s="618">
        <f t="shared" si="852"/>
        <v>0.23899999999999999</v>
      </c>
      <c r="HZ481" s="618"/>
      <c r="IA481" s="618"/>
      <c r="IB481" s="618">
        <f t="shared" si="836"/>
        <v>25.000350341399081</v>
      </c>
      <c r="IC481" s="618">
        <f t="shared" si="837"/>
        <v>1E-3</v>
      </c>
      <c r="ID481" s="618"/>
      <c r="IE481" s="618">
        <f t="shared" si="838"/>
        <v>0</v>
      </c>
      <c r="IF481" s="618">
        <f t="shared" si="839"/>
        <v>40.704999999999998</v>
      </c>
      <c r="IG481" s="618"/>
      <c r="IH481" s="618">
        <f t="shared" si="840"/>
        <v>0</v>
      </c>
      <c r="II481" s="618">
        <f t="shared" si="841"/>
        <v>40.704999999999998</v>
      </c>
      <c r="IJ481" s="618"/>
      <c r="IK481" s="618">
        <f t="shared" si="842"/>
        <v>0</v>
      </c>
      <c r="IL481" s="618">
        <f t="shared" si="843"/>
        <v>40.704999999999998</v>
      </c>
      <c r="IM481" s="618"/>
      <c r="IN481" s="618">
        <f t="shared" si="844"/>
        <v>0</v>
      </c>
      <c r="IO481" s="618">
        <f t="shared" si="845"/>
        <v>40.704999999999998</v>
      </c>
      <c r="IP481" s="618"/>
      <c r="IQ481" s="618">
        <f t="shared" si="846"/>
        <v>0</v>
      </c>
      <c r="IR481" s="618">
        <f t="shared" si="847"/>
        <v>40.704999999999998</v>
      </c>
      <c r="IS481" s="645"/>
      <c r="IT481" s="645"/>
      <c r="IU481" s="645"/>
      <c r="IV481" s="645"/>
      <c r="IW481" s="645"/>
      <c r="IX481" s="645"/>
      <c r="IY481" s="645"/>
      <c r="IZ481" s="645"/>
      <c r="JA481" s="645"/>
      <c r="JB481" s="645"/>
      <c r="JC481" s="645"/>
      <c r="JD481" s="645"/>
      <c r="JE481" s="645"/>
      <c r="JF481" s="645"/>
      <c r="JG481" s="645"/>
      <c r="JH481" s="645"/>
      <c r="JI481" s="645"/>
      <c r="JJ481" s="645"/>
      <c r="JK481" s="645"/>
      <c r="JL481" s="645"/>
      <c r="JM481" s="645"/>
      <c r="JN481" s="645"/>
      <c r="JO481" s="645"/>
      <c r="JP481" s="645"/>
      <c r="JQ481" s="645"/>
      <c r="JR481" s="645"/>
      <c r="JS481" s="645"/>
      <c r="JT481" s="645"/>
      <c r="JU481" s="645"/>
      <c r="JV481" s="653"/>
    </row>
    <row r="482" spans="1:282" s="612" customFormat="1">
      <c r="A482" s="611"/>
      <c r="U482" s="613"/>
      <c r="V482" s="613"/>
      <c r="AC482" s="613"/>
      <c r="AD482" s="613"/>
      <c r="AL482" s="613"/>
      <c r="AM482" s="613"/>
      <c r="AT482" s="613"/>
      <c r="AU482" s="613"/>
      <c r="CH482" s="611"/>
      <c r="CI482" s="611"/>
      <c r="CO482" s="695"/>
      <c r="CP482" s="645"/>
      <c r="CQ482" s="618"/>
      <c r="CR482" s="618"/>
      <c r="CS482" s="618"/>
      <c r="CT482" s="626"/>
      <c r="CU482" s="626"/>
      <c r="CV482" s="626"/>
      <c r="CW482" s="646"/>
      <c r="CX482" s="646"/>
      <c r="CY482" s="625"/>
      <c r="CZ482" s="625"/>
      <c r="DA482" s="625"/>
      <c r="DB482" s="625"/>
      <c r="DC482" s="645"/>
      <c r="DD482" s="645"/>
      <c r="DE482" s="645"/>
      <c r="DF482" s="645"/>
      <c r="DG482" s="645"/>
      <c r="DH482" s="645"/>
      <c r="DI482" s="645"/>
      <c r="DJ482" s="645"/>
      <c r="DK482" s="645"/>
      <c r="DL482" s="645"/>
      <c r="DM482" s="645"/>
      <c r="DN482" s="645"/>
      <c r="DO482" s="645"/>
      <c r="DP482" s="645"/>
      <c r="DQ482" s="645"/>
      <c r="DR482" s="645"/>
      <c r="DS482" s="645"/>
      <c r="DT482" s="645"/>
      <c r="DU482" s="645"/>
      <c r="DV482" s="645"/>
      <c r="DW482" s="645"/>
      <c r="DX482" s="645"/>
      <c r="DY482" s="645"/>
      <c r="DZ482" s="645"/>
      <c r="EA482" s="645"/>
      <c r="EB482" s="645"/>
      <c r="EC482" s="645"/>
      <c r="ED482" s="645"/>
      <c r="EE482" s="645"/>
      <c r="EF482" s="645"/>
      <c r="EG482" s="645"/>
      <c r="EH482" s="645"/>
      <c r="EI482" s="645"/>
      <c r="EJ482" s="645"/>
      <c r="EK482" s="645"/>
      <c r="EL482" s="645"/>
      <c r="EM482" s="645"/>
      <c r="EN482" s="645"/>
      <c r="EO482" s="645"/>
      <c r="EP482" s="645"/>
      <c r="EQ482" s="645"/>
      <c r="ER482" s="645"/>
      <c r="ES482" s="645"/>
      <c r="ET482" s="645"/>
      <c r="EU482" s="645"/>
      <c r="EV482" s="645"/>
      <c r="EW482" s="645"/>
      <c r="EX482" s="645"/>
      <c r="EY482" s="645"/>
      <c r="EZ482" s="645"/>
      <c r="FA482" s="645"/>
      <c r="FB482" s="645"/>
      <c r="FC482" s="645"/>
      <c r="FD482" s="645"/>
      <c r="FE482" s="645"/>
      <c r="FF482" s="645"/>
      <c r="FG482" s="645"/>
      <c r="FH482" s="645"/>
      <c r="FI482" s="645"/>
      <c r="FJ482" s="645"/>
      <c r="FK482" s="645"/>
      <c r="FL482" s="645"/>
      <c r="FM482" s="645"/>
      <c r="FN482" s="645"/>
      <c r="FO482" s="645"/>
      <c r="FP482" s="645"/>
      <c r="FQ482" s="645"/>
      <c r="FR482" s="645"/>
      <c r="FS482" s="645"/>
      <c r="FT482" s="645"/>
      <c r="FU482" s="645"/>
      <c r="FV482" s="645"/>
      <c r="FW482" s="645"/>
      <c r="FX482" s="645"/>
      <c r="FY482" s="645"/>
      <c r="FZ482" s="645"/>
      <c r="GA482" s="645"/>
      <c r="GB482" s="645"/>
      <c r="GC482" s="645"/>
      <c r="GD482" s="645"/>
      <c r="GE482" s="645"/>
      <c r="GF482" s="645"/>
      <c r="GG482" s="645"/>
      <c r="GH482" s="645"/>
      <c r="GI482" s="645"/>
      <c r="GJ482" s="645"/>
      <c r="GK482" s="645"/>
      <c r="GL482" s="645"/>
      <c r="GM482" s="645"/>
      <c r="GN482" s="645"/>
      <c r="GO482" s="645"/>
      <c r="GP482" s="645"/>
      <c r="GQ482" s="645"/>
      <c r="GR482" s="645"/>
      <c r="GS482" s="645"/>
      <c r="GT482" s="645"/>
      <c r="GU482" s="645"/>
      <c r="GV482" s="645"/>
      <c r="GW482" s="645"/>
      <c r="GX482" s="645"/>
      <c r="GY482" s="645"/>
      <c r="GZ482" s="645"/>
      <c r="HA482" s="645"/>
      <c r="HB482" s="645"/>
      <c r="HC482" s="645"/>
      <c r="HD482" s="645"/>
      <c r="HE482" s="645"/>
      <c r="HF482" s="645"/>
      <c r="HG482" s="645"/>
      <c r="HH482" s="645"/>
      <c r="HI482" s="645"/>
      <c r="HJ482" s="645"/>
      <c r="HK482" s="645"/>
      <c r="HL482" s="645"/>
      <c r="HM482" s="645"/>
      <c r="HN482" s="645"/>
      <c r="HO482" s="645"/>
      <c r="HP482" s="645"/>
      <c r="HQ482" s="645"/>
      <c r="HR482" s="645">
        <v>0.23949999999999999</v>
      </c>
      <c r="HS482" s="645">
        <f t="shared" si="848"/>
        <v>1608.0714285714284</v>
      </c>
      <c r="HT482" s="645">
        <f t="shared" si="849"/>
        <v>1</v>
      </c>
      <c r="HU482" s="618">
        <f t="shared" si="850"/>
        <v>6.10154228715803</v>
      </c>
      <c r="HV482" s="618"/>
      <c r="HW482" s="618">
        <f t="shared" si="835"/>
        <v>27.3358099522356</v>
      </c>
      <c r="HX482" s="618">
        <f t="shared" si="851"/>
        <v>5.3657744063066763</v>
      </c>
      <c r="HY482" s="618">
        <f t="shared" si="852"/>
        <v>0.23949999999999999</v>
      </c>
      <c r="HZ482" s="618"/>
      <c r="IA482" s="618"/>
      <c r="IB482" s="618">
        <f t="shared" si="836"/>
        <v>25.000350341399081</v>
      </c>
      <c r="IC482" s="618">
        <f t="shared" si="837"/>
        <v>1E-3</v>
      </c>
      <c r="ID482" s="618"/>
      <c r="IE482" s="618">
        <f t="shared" si="838"/>
        <v>0</v>
      </c>
      <c r="IF482" s="618">
        <f t="shared" si="839"/>
        <v>40.704999999999998</v>
      </c>
      <c r="IG482" s="618"/>
      <c r="IH482" s="618">
        <f t="shared" si="840"/>
        <v>0</v>
      </c>
      <c r="II482" s="618">
        <f t="shared" si="841"/>
        <v>40.704999999999998</v>
      </c>
      <c r="IJ482" s="618"/>
      <c r="IK482" s="618">
        <f t="shared" si="842"/>
        <v>0</v>
      </c>
      <c r="IL482" s="618">
        <f t="shared" si="843"/>
        <v>40.704999999999998</v>
      </c>
      <c r="IM482" s="618"/>
      <c r="IN482" s="618">
        <f t="shared" si="844"/>
        <v>0</v>
      </c>
      <c r="IO482" s="618">
        <f t="shared" si="845"/>
        <v>40.704999999999998</v>
      </c>
      <c r="IP482" s="618"/>
      <c r="IQ482" s="618">
        <f t="shared" si="846"/>
        <v>0</v>
      </c>
      <c r="IR482" s="618">
        <f t="shared" si="847"/>
        <v>40.704999999999998</v>
      </c>
      <c r="IS482" s="645"/>
      <c r="IT482" s="645"/>
      <c r="IU482" s="645"/>
      <c r="IV482" s="645"/>
      <c r="IW482" s="645"/>
      <c r="IX482" s="645"/>
      <c r="IY482" s="645"/>
      <c r="IZ482" s="645"/>
      <c r="JA482" s="645"/>
      <c r="JB482" s="645"/>
      <c r="JC482" s="645"/>
      <c r="JD482" s="645"/>
      <c r="JE482" s="645"/>
      <c r="JF482" s="645"/>
      <c r="JG482" s="645"/>
      <c r="JH482" s="645"/>
      <c r="JI482" s="645"/>
      <c r="JJ482" s="645"/>
      <c r="JK482" s="645"/>
      <c r="JL482" s="645"/>
      <c r="JM482" s="645"/>
      <c r="JN482" s="645"/>
      <c r="JO482" s="645"/>
      <c r="JP482" s="645"/>
      <c r="JQ482" s="645"/>
      <c r="JR482" s="645"/>
      <c r="JS482" s="645"/>
      <c r="JT482" s="645"/>
      <c r="JU482" s="645"/>
      <c r="JV482" s="653"/>
    </row>
    <row r="483" spans="1:282" s="612" customFormat="1">
      <c r="A483" s="611"/>
      <c r="U483" s="613"/>
      <c r="V483" s="613"/>
      <c r="AC483" s="613"/>
      <c r="AD483" s="613"/>
      <c r="AL483" s="613"/>
      <c r="AM483" s="613"/>
      <c r="AT483" s="613"/>
      <c r="AU483" s="613"/>
      <c r="CH483" s="611"/>
      <c r="CI483" s="611"/>
      <c r="CO483" s="695"/>
      <c r="CP483" s="645"/>
      <c r="CQ483" s="618"/>
      <c r="CR483" s="618"/>
      <c r="CS483" s="618"/>
      <c r="CT483" s="626"/>
      <c r="CU483" s="626"/>
      <c r="CV483" s="626"/>
      <c r="CW483" s="646"/>
      <c r="CX483" s="646"/>
      <c r="CY483" s="625"/>
      <c r="CZ483" s="625"/>
      <c r="DA483" s="625"/>
      <c r="DB483" s="625"/>
      <c r="DC483" s="645"/>
      <c r="DD483" s="645"/>
      <c r="DE483" s="645"/>
      <c r="DF483" s="645"/>
      <c r="DG483" s="645"/>
      <c r="DH483" s="645"/>
      <c r="DI483" s="645"/>
      <c r="DJ483" s="645"/>
      <c r="DK483" s="645"/>
      <c r="DL483" s="645"/>
      <c r="DM483" s="645"/>
      <c r="DN483" s="645"/>
      <c r="DO483" s="645"/>
      <c r="DP483" s="645"/>
      <c r="DQ483" s="645"/>
      <c r="DR483" s="645"/>
      <c r="DS483" s="645"/>
      <c r="DT483" s="645"/>
      <c r="DU483" s="645"/>
      <c r="DV483" s="645"/>
      <c r="DW483" s="645"/>
      <c r="DX483" s="645"/>
      <c r="DY483" s="645"/>
      <c r="DZ483" s="645"/>
      <c r="EA483" s="645"/>
      <c r="EB483" s="645"/>
      <c r="EC483" s="645"/>
      <c r="ED483" s="645"/>
      <c r="EE483" s="645"/>
      <c r="EF483" s="645"/>
      <c r="EG483" s="645"/>
      <c r="EH483" s="645"/>
      <c r="EI483" s="645"/>
      <c r="EJ483" s="645"/>
      <c r="EK483" s="645"/>
      <c r="EL483" s="645"/>
      <c r="EM483" s="645"/>
      <c r="EN483" s="645"/>
      <c r="EO483" s="645"/>
      <c r="EP483" s="645"/>
      <c r="EQ483" s="645"/>
      <c r="ER483" s="645"/>
      <c r="ES483" s="645"/>
      <c r="ET483" s="645"/>
      <c r="EU483" s="645"/>
      <c r="EV483" s="645"/>
      <c r="EW483" s="645"/>
      <c r="EX483" s="645"/>
      <c r="EY483" s="645"/>
      <c r="EZ483" s="645"/>
      <c r="FA483" s="645"/>
      <c r="FB483" s="645"/>
      <c r="FC483" s="645"/>
      <c r="FD483" s="645"/>
      <c r="FE483" s="645"/>
      <c r="FF483" s="645"/>
      <c r="FG483" s="645"/>
      <c r="FH483" s="645"/>
      <c r="FI483" s="645"/>
      <c r="FJ483" s="645"/>
      <c r="FK483" s="645"/>
      <c r="FL483" s="645"/>
      <c r="FM483" s="645"/>
      <c r="FN483" s="645"/>
      <c r="FO483" s="645"/>
      <c r="FP483" s="645"/>
      <c r="FQ483" s="645"/>
      <c r="FR483" s="645"/>
      <c r="FS483" s="645"/>
      <c r="FT483" s="645"/>
      <c r="FU483" s="645"/>
      <c r="FV483" s="645"/>
      <c r="FW483" s="645"/>
      <c r="FX483" s="645"/>
      <c r="FY483" s="645"/>
      <c r="FZ483" s="645"/>
      <c r="GA483" s="645"/>
      <c r="GB483" s="645"/>
      <c r="GC483" s="645"/>
      <c r="GD483" s="645"/>
      <c r="GE483" s="645"/>
      <c r="GF483" s="645"/>
      <c r="GG483" s="645"/>
      <c r="GH483" s="645"/>
      <c r="GI483" s="645"/>
      <c r="GJ483" s="645"/>
      <c r="GK483" s="645"/>
      <c r="GL483" s="645"/>
      <c r="GM483" s="645"/>
      <c r="GN483" s="645"/>
      <c r="GO483" s="645"/>
      <c r="GP483" s="645"/>
      <c r="GQ483" s="645"/>
      <c r="GR483" s="645"/>
      <c r="GS483" s="645"/>
      <c r="GT483" s="645"/>
      <c r="GU483" s="645"/>
      <c r="GV483" s="645"/>
      <c r="GW483" s="645"/>
      <c r="GX483" s="645"/>
      <c r="GY483" s="645"/>
      <c r="GZ483" s="645"/>
      <c r="HA483" s="645"/>
      <c r="HB483" s="645"/>
      <c r="HC483" s="645"/>
      <c r="HD483" s="645"/>
      <c r="HE483" s="645"/>
      <c r="HF483" s="645"/>
      <c r="HG483" s="645"/>
      <c r="HH483" s="645"/>
      <c r="HI483" s="645"/>
      <c r="HJ483" s="645"/>
      <c r="HK483" s="645"/>
      <c r="HL483" s="645"/>
      <c r="HM483" s="645"/>
      <c r="HN483" s="645"/>
      <c r="HO483" s="645"/>
      <c r="HP483" s="645"/>
      <c r="HQ483" s="645"/>
      <c r="HR483" s="645">
        <v>0.24</v>
      </c>
      <c r="HS483" s="645">
        <f t="shared" si="848"/>
        <v>1611.4285714285713</v>
      </c>
      <c r="HT483" s="645">
        <f t="shared" si="849"/>
        <v>1</v>
      </c>
      <c r="HU483" s="618">
        <f t="shared" si="850"/>
        <v>6.1142813311316546</v>
      </c>
      <c r="HV483" s="618"/>
      <c r="HW483" s="618">
        <f t="shared" si="835"/>
        <v>27.317720509793048</v>
      </c>
      <c r="HX483" s="618">
        <f t="shared" si="851"/>
        <v>5.375441118607605</v>
      </c>
      <c r="HY483" s="618">
        <f t="shared" si="852"/>
        <v>0.24</v>
      </c>
      <c r="HZ483" s="618"/>
      <c r="IA483" s="618"/>
      <c r="IB483" s="618">
        <f t="shared" si="836"/>
        <v>25.000350341399081</v>
      </c>
      <c r="IC483" s="618">
        <f t="shared" si="837"/>
        <v>1E-3</v>
      </c>
      <c r="ID483" s="618"/>
      <c r="IE483" s="618">
        <f t="shared" si="838"/>
        <v>0</v>
      </c>
      <c r="IF483" s="618">
        <f t="shared" si="839"/>
        <v>40.704999999999998</v>
      </c>
      <c r="IG483" s="618"/>
      <c r="IH483" s="618">
        <f t="shared" si="840"/>
        <v>0</v>
      </c>
      <c r="II483" s="618">
        <f t="shared" si="841"/>
        <v>40.704999999999998</v>
      </c>
      <c r="IJ483" s="618"/>
      <c r="IK483" s="618">
        <f t="shared" si="842"/>
        <v>0</v>
      </c>
      <c r="IL483" s="618">
        <f t="shared" si="843"/>
        <v>40.704999999999998</v>
      </c>
      <c r="IM483" s="618"/>
      <c r="IN483" s="618">
        <f t="shared" si="844"/>
        <v>0</v>
      </c>
      <c r="IO483" s="618">
        <f t="shared" si="845"/>
        <v>40.704999999999998</v>
      </c>
      <c r="IP483" s="618"/>
      <c r="IQ483" s="618">
        <f t="shared" si="846"/>
        <v>0</v>
      </c>
      <c r="IR483" s="618">
        <f t="shared" si="847"/>
        <v>40.704999999999998</v>
      </c>
      <c r="IS483" s="645"/>
      <c r="IT483" s="645"/>
      <c r="IU483" s="645"/>
      <c r="IV483" s="645"/>
      <c r="IW483" s="645"/>
      <c r="IX483" s="645"/>
      <c r="IY483" s="645"/>
      <c r="IZ483" s="645"/>
      <c r="JA483" s="645"/>
      <c r="JB483" s="645"/>
      <c r="JC483" s="645"/>
      <c r="JD483" s="645"/>
      <c r="JE483" s="645"/>
      <c r="JF483" s="645"/>
      <c r="JG483" s="645"/>
      <c r="JH483" s="645"/>
      <c r="JI483" s="645"/>
      <c r="JJ483" s="645"/>
      <c r="JK483" s="645"/>
      <c r="JL483" s="645"/>
      <c r="JM483" s="645"/>
      <c r="JN483" s="645"/>
      <c r="JO483" s="645"/>
      <c r="JP483" s="645"/>
      <c r="JQ483" s="645"/>
      <c r="JR483" s="645"/>
      <c r="JS483" s="645"/>
      <c r="JT483" s="645"/>
      <c r="JU483" s="645"/>
      <c r="JV483" s="653"/>
    </row>
    <row r="484" spans="1:282" s="612" customFormat="1">
      <c r="A484" s="611"/>
      <c r="U484" s="613"/>
      <c r="V484" s="613"/>
      <c r="AC484" s="613"/>
      <c r="AD484" s="613"/>
      <c r="AL484" s="613"/>
      <c r="AM484" s="613"/>
      <c r="AT484" s="613"/>
      <c r="AU484" s="613"/>
      <c r="CH484" s="611"/>
      <c r="CI484" s="611"/>
      <c r="CO484" s="695"/>
      <c r="CP484" s="645"/>
      <c r="CQ484" s="618"/>
      <c r="CR484" s="618"/>
      <c r="CS484" s="618"/>
      <c r="CT484" s="626"/>
      <c r="CU484" s="626"/>
      <c r="CV484" s="626"/>
      <c r="CW484" s="646"/>
      <c r="CX484" s="646"/>
      <c r="CY484" s="625"/>
      <c r="CZ484" s="625"/>
      <c r="DA484" s="625"/>
      <c r="DB484" s="625"/>
      <c r="DC484" s="645"/>
      <c r="DD484" s="645"/>
      <c r="DE484" s="645"/>
      <c r="DF484" s="645"/>
      <c r="DG484" s="645"/>
      <c r="DH484" s="645"/>
      <c r="DI484" s="645"/>
      <c r="DJ484" s="645"/>
      <c r="DK484" s="645"/>
      <c r="DL484" s="645"/>
      <c r="DM484" s="645"/>
      <c r="DN484" s="645"/>
      <c r="DO484" s="645"/>
      <c r="DP484" s="645"/>
      <c r="DQ484" s="645"/>
      <c r="DR484" s="645"/>
      <c r="DS484" s="645"/>
      <c r="DT484" s="645"/>
      <c r="DU484" s="645"/>
      <c r="DV484" s="645"/>
      <c r="DW484" s="645"/>
      <c r="DX484" s="645"/>
      <c r="DY484" s="645"/>
      <c r="DZ484" s="645"/>
      <c r="EA484" s="645"/>
      <c r="EB484" s="645"/>
      <c r="EC484" s="645"/>
      <c r="ED484" s="645"/>
      <c r="EE484" s="645"/>
      <c r="EF484" s="645"/>
      <c r="EG484" s="645"/>
      <c r="EH484" s="645"/>
      <c r="EI484" s="645"/>
      <c r="EJ484" s="645"/>
      <c r="EK484" s="645"/>
      <c r="EL484" s="645"/>
      <c r="EM484" s="645"/>
      <c r="EN484" s="645"/>
      <c r="EO484" s="645"/>
      <c r="EP484" s="645"/>
      <c r="EQ484" s="645"/>
      <c r="ER484" s="645"/>
      <c r="ES484" s="645"/>
      <c r="ET484" s="645"/>
      <c r="EU484" s="645"/>
      <c r="EV484" s="645"/>
      <c r="EW484" s="645"/>
      <c r="EX484" s="645"/>
      <c r="EY484" s="645"/>
      <c r="EZ484" s="645"/>
      <c r="FA484" s="645"/>
      <c r="FB484" s="645"/>
      <c r="FC484" s="645"/>
      <c r="FD484" s="645"/>
      <c r="FE484" s="645"/>
      <c r="FF484" s="645"/>
      <c r="FG484" s="645"/>
      <c r="FH484" s="645"/>
      <c r="FI484" s="645"/>
      <c r="FJ484" s="645"/>
      <c r="FK484" s="645"/>
      <c r="FL484" s="645"/>
      <c r="FM484" s="645"/>
      <c r="FN484" s="645"/>
      <c r="FO484" s="645"/>
      <c r="FP484" s="645"/>
      <c r="FQ484" s="645"/>
      <c r="FR484" s="645"/>
      <c r="FS484" s="645"/>
      <c r="FT484" s="645"/>
      <c r="FU484" s="645"/>
      <c r="FV484" s="645"/>
      <c r="FW484" s="645"/>
      <c r="FX484" s="645"/>
      <c r="FY484" s="645"/>
      <c r="FZ484" s="645"/>
      <c r="GA484" s="645"/>
      <c r="GB484" s="645"/>
      <c r="GC484" s="645"/>
      <c r="GD484" s="645"/>
      <c r="GE484" s="645"/>
      <c r="GF484" s="645"/>
      <c r="GG484" s="645"/>
      <c r="GH484" s="645"/>
      <c r="GI484" s="645"/>
      <c r="GJ484" s="645"/>
      <c r="GK484" s="645"/>
      <c r="GL484" s="645"/>
      <c r="GM484" s="645"/>
      <c r="GN484" s="645"/>
      <c r="GO484" s="645"/>
      <c r="GP484" s="645"/>
      <c r="GQ484" s="645"/>
      <c r="GR484" s="645"/>
      <c r="GS484" s="645"/>
      <c r="GT484" s="645"/>
      <c r="GU484" s="645"/>
      <c r="GV484" s="645"/>
      <c r="GW484" s="645"/>
      <c r="GX484" s="645"/>
      <c r="GY484" s="645"/>
      <c r="GZ484" s="645"/>
      <c r="HA484" s="645"/>
      <c r="HB484" s="645"/>
      <c r="HC484" s="645"/>
      <c r="HD484" s="645"/>
      <c r="HE484" s="645"/>
      <c r="HF484" s="645"/>
      <c r="HG484" s="645"/>
      <c r="HH484" s="645"/>
      <c r="HI484" s="645"/>
      <c r="HJ484" s="645"/>
      <c r="HK484" s="645"/>
      <c r="HL484" s="645"/>
      <c r="HM484" s="645"/>
      <c r="HN484" s="645"/>
      <c r="HO484" s="645"/>
      <c r="HP484" s="645"/>
      <c r="HQ484" s="645"/>
      <c r="HR484" s="645">
        <v>0.24049999999999999</v>
      </c>
      <c r="HS484" s="645">
        <f t="shared" si="848"/>
        <v>1614.7857142857142</v>
      </c>
      <c r="HT484" s="645">
        <f t="shared" si="849"/>
        <v>1</v>
      </c>
      <c r="HU484" s="618">
        <f t="shared" si="850"/>
        <v>6.1270203751052792</v>
      </c>
      <c r="HV484" s="618"/>
      <c r="HW484" s="618">
        <f t="shared" si="835"/>
        <v>27.299631067350504</v>
      </c>
      <c r="HX484" s="618">
        <f t="shared" si="851"/>
        <v>5.3851014297362356</v>
      </c>
      <c r="HY484" s="618">
        <f t="shared" si="852"/>
        <v>0.24049999999999999</v>
      </c>
      <c r="HZ484" s="618"/>
      <c r="IA484" s="618"/>
      <c r="IB484" s="618">
        <f t="shared" si="836"/>
        <v>25.000350341399081</v>
      </c>
      <c r="IC484" s="618">
        <f t="shared" si="837"/>
        <v>1E-3</v>
      </c>
      <c r="ID484" s="618"/>
      <c r="IE484" s="618">
        <f t="shared" si="838"/>
        <v>0</v>
      </c>
      <c r="IF484" s="618">
        <f t="shared" si="839"/>
        <v>40.704999999999998</v>
      </c>
      <c r="IG484" s="618"/>
      <c r="IH484" s="618">
        <f t="shared" si="840"/>
        <v>0</v>
      </c>
      <c r="II484" s="618">
        <f t="shared" si="841"/>
        <v>40.704999999999998</v>
      </c>
      <c r="IJ484" s="618"/>
      <c r="IK484" s="618">
        <f t="shared" si="842"/>
        <v>0</v>
      </c>
      <c r="IL484" s="618">
        <f t="shared" si="843"/>
        <v>40.704999999999998</v>
      </c>
      <c r="IM484" s="618"/>
      <c r="IN484" s="618">
        <f t="shared" si="844"/>
        <v>0</v>
      </c>
      <c r="IO484" s="618">
        <f t="shared" si="845"/>
        <v>40.704999999999998</v>
      </c>
      <c r="IP484" s="618"/>
      <c r="IQ484" s="618">
        <f t="shared" si="846"/>
        <v>0</v>
      </c>
      <c r="IR484" s="618">
        <f t="shared" si="847"/>
        <v>40.704999999999998</v>
      </c>
      <c r="IS484" s="645"/>
      <c r="IT484" s="645"/>
      <c r="IU484" s="645"/>
      <c r="IV484" s="645"/>
      <c r="IW484" s="645"/>
      <c r="IX484" s="645"/>
      <c r="IY484" s="645"/>
      <c r="IZ484" s="645"/>
      <c r="JA484" s="645"/>
      <c r="JB484" s="645"/>
      <c r="JC484" s="645"/>
      <c r="JD484" s="645"/>
      <c r="JE484" s="645"/>
      <c r="JF484" s="645"/>
      <c r="JG484" s="645"/>
      <c r="JH484" s="645"/>
      <c r="JI484" s="645"/>
      <c r="JJ484" s="645"/>
      <c r="JK484" s="645"/>
      <c r="JL484" s="645"/>
      <c r="JM484" s="645"/>
      <c r="JN484" s="645"/>
      <c r="JO484" s="645"/>
      <c r="JP484" s="645"/>
      <c r="JQ484" s="645"/>
      <c r="JR484" s="645"/>
      <c r="JS484" s="645"/>
      <c r="JT484" s="645"/>
      <c r="JU484" s="645"/>
      <c r="JV484" s="653"/>
    </row>
    <row r="485" spans="1:282" s="612" customFormat="1">
      <c r="A485" s="611"/>
      <c r="U485" s="613"/>
      <c r="V485" s="613"/>
      <c r="AC485" s="613"/>
      <c r="AD485" s="613"/>
      <c r="AL485" s="613"/>
      <c r="AM485" s="613"/>
      <c r="AT485" s="613"/>
      <c r="AU485" s="613"/>
      <c r="CH485" s="611"/>
      <c r="CI485" s="611"/>
      <c r="CO485" s="695"/>
      <c r="CP485" s="645"/>
      <c r="CQ485" s="618"/>
      <c r="CR485" s="618"/>
      <c r="CS485" s="618"/>
      <c r="CT485" s="626"/>
      <c r="CU485" s="626"/>
      <c r="CV485" s="626"/>
      <c r="CW485" s="646"/>
      <c r="CX485" s="646"/>
      <c r="CY485" s="625"/>
      <c r="CZ485" s="625"/>
      <c r="DA485" s="625"/>
      <c r="DB485" s="625"/>
      <c r="DC485" s="645"/>
      <c r="DD485" s="645"/>
      <c r="DE485" s="645"/>
      <c r="DF485" s="645"/>
      <c r="DG485" s="645"/>
      <c r="DH485" s="645"/>
      <c r="DI485" s="645"/>
      <c r="DJ485" s="645"/>
      <c r="DK485" s="645"/>
      <c r="DL485" s="645"/>
      <c r="DM485" s="645"/>
      <c r="DN485" s="645"/>
      <c r="DO485" s="645"/>
      <c r="DP485" s="645"/>
      <c r="DQ485" s="645"/>
      <c r="DR485" s="645"/>
      <c r="DS485" s="645"/>
      <c r="DT485" s="645"/>
      <c r="DU485" s="645"/>
      <c r="DV485" s="645"/>
      <c r="DW485" s="645"/>
      <c r="DX485" s="645"/>
      <c r="DY485" s="645"/>
      <c r="DZ485" s="645"/>
      <c r="EA485" s="645"/>
      <c r="EB485" s="645"/>
      <c r="EC485" s="645"/>
      <c r="ED485" s="645"/>
      <c r="EE485" s="645"/>
      <c r="EF485" s="645"/>
      <c r="EG485" s="645"/>
      <c r="EH485" s="645"/>
      <c r="EI485" s="645"/>
      <c r="EJ485" s="645"/>
      <c r="EK485" s="645"/>
      <c r="EL485" s="645"/>
      <c r="EM485" s="645"/>
      <c r="EN485" s="645"/>
      <c r="EO485" s="645"/>
      <c r="EP485" s="645"/>
      <c r="EQ485" s="645"/>
      <c r="ER485" s="645"/>
      <c r="ES485" s="645"/>
      <c r="ET485" s="645"/>
      <c r="EU485" s="645"/>
      <c r="EV485" s="645"/>
      <c r="EW485" s="645"/>
      <c r="EX485" s="645"/>
      <c r="EY485" s="645"/>
      <c r="EZ485" s="645"/>
      <c r="FA485" s="645"/>
      <c r="FB485" s="645"/>
      <c r="FC485" s="645"/>
      <c r="FD485" s="645"/>
      <c r="FE485" s="645"/>
      <c r="FF485" s="645"/>
      <c r="FG485" s="645"/>
      <c r="FH485" s="645"/>
      <c r="FI485" s="645"/>
      <c r="FJ485" s="645"/>
      <c r="FK485" s="645"/>
      <c r="FL485" s="645"/>
      <c r="FM485" s="645"/>
      <c r="FN485" s="645"/>
      <c r="FO485" s="645"/>
      <c r="FP485" s="645"/>
      <c r="FQ485" s="645"/>
      <c r="FR485" s="645"/>
      <c r="FS485" s="645"/>
      <c r="FT485" s="645"/>
      <c r="FU485" s="645"/>
      <c r="FV485" s="645"/>
      <c r="FW485" s="645"/>
      <c r="FX485" s="645"/>
      <c r="FY485" s="645"/>
      <c r="FZ485" s="645"/>
      <c r="GA485" s="645"/>
      <c r="GB485" s="645"/>
      <c r="GC485" s="645"/>
      <c r="GD485" s="645"/>
      <c r="GE485" s="645"/>
      <c r="GF485" s="645"/>
      <c r="GG485" s="645"/>
      <c r="GH485" s="645"/>
      <c r="GI485" s="645"/>
      <c r="GJ485" s="645"/>
      <c r="GK485" s="645"/>
      <c r="GL485" s="645"/>
      <c r="GM485" s="645"/>
      <c r="GN485" s="645"/>
      <c r="GO485" s="645"/>
      <c r="GP485" s="645"/>
      <c r="GQ485" s="645"/>
      <c r="GR485" s="645"/>
      <c r="GS485" s="645"/>
      <c r="GT485" s="645"/>
      <c r="GU485" s="645"/>
      <c r="GV485" s="645"/>
      <c r="GW485" s="645"/>
      <c r="GX485" s="645"/>
      <c r="GY485" s="645"/>
      <c r="GZ485" s="645"/>
      <c r="HA485" s="645"/>
      <c r="HB485" s="645"/>
      <c r="HC485" s="645"/>
      <c r="HD485" s="645"/>
      <c r="HE485" s="645"/>
      <c r="HF485" s="645"/>
      <c r="HG485" s="645"/>
      <c r="HH485" s="645"/>
      <c r="HI485" s="645"/>
      <c r="HJ485" s="645"/>
      <c r="HK485" s="645"/>
      <c r="HL485" s="645"/>
      <c r="HM485" s="645"/>
      <c r="HN485" s="645"/>
      <c r="HO485" s="645"/>
      <c r="HP485" s="645"/>
      <c r="HQ485" s="645"/>
      <c r="HR485" s="645">
        <v>0.24099999999999999</v>
      </c>
      <c r="HS485" s="645">
        <f t="shared" si="848"/>
        <v>1618.1428571428571</v>
      </c>
      <c r="HT485" s="645">
        <f t="shared" si="849"/>
        <v>1</v>
      </c>
      <c r="HU485" s="618">
        <f t="shared" si="850"/>
        <v>6.1397594190789038</v>
      </c>
      <c r="HV485" s="618"/>
      <c r="HW485" s="618">
        <f t="shared" si="835"/>
        <v>27.281541624907959</v>
      </c>
      <c r="HX485" s="618">
        <f t="shared" si="851"/>
        <v>5.3947553396925683</v>
      </c>
      <c r="HY485" s="618">
        <f t="shared" si="852"/>
        <v>0.24099999999999999</v>
      </c>
      <c r="HZ485" s="618"/>
      <c r="IA485" s="618"/>
      <c r="IB485" s="618">
        <f t="shared" si="836"/>
        <v>25.000350341399081</v>
      </c>
      <c r="IC485" s="618">
        <f t="shared" si="837"/>
        <v>1E-3</v>
      </c>
      <c r="ID485" s="618"/>
      <c r="IE485" s="618">
        <f t="shared" si="838"/>
        <v>0</v>
      </c>
      <c r="IF485" s="618">
        <f t="shared" si="839"/>
        <v>40.704999999999998</v>
      </c>
      <c r="IG485" s="618"/>
      <c r="IH485" s="618">
        <f t="shared" si="840"/>
        <v>0</v>
      </c>
      <c r="II485" s="618">
        <f t="shared" si="841"/>
        <v>40.704999999999998</v>
      </c>
      <c r="IJ485" s="618"/>
      <c r="IK485" s="618">
        <f t="shared" si="842"/>
        <v>0</v>
      </c>
      <c r="IL485" s="618">
        <f t="shared" si="843"/>
        <v>40.704999999999998</v>
      </c>
      <c r="IM485" s="618"/>
      <c r="IN485" s="618">
        <f t="shared" si="844"/>
        <v>0</v>
      </c>
      <c r="IO485" s="618">
        <f t="shared" si="845"/>
        <v>40.704999999999998</v>
      </c>
      <c r="IP485" s="618"/>
      <c r="IQ485" s="618">
        <f t="shared" si="846"/>
        <v>0</v>
      </c>
      <c r="IR485" s="618">
        <f t="shared" si="847"/>
        <v>40.704999999999998</v>
      </c>
      <c r="IS485" s="645"/>
      <c r="IT485" s="645"/>
      <c r="IU485" s="645"/>
      <c r="IV485" s="645"/>
      <c r="IW485" s="645"/>
      <c r="IX485" s="645"/>
      <c r="IY485" s="645"/>
      <c r="IZ485" s="645"/>
      <c r="JA485" s="645"/>
      <c r="JB485" s="645"/>
      <c r="JC485" s="645"/>
      <c r="JD485" s="645"/>
      <c r="JE485" s="645"/>
      <c r="JF485" s="645"/>
      <c r="JG485" s="645"/>
      <c r="JH485" s="645"/>
      <c r="JI485" s="645"/>
      <c r="JJ485" s="645"/>
      <c r="JK485" s="645"/>
      <c r="JL485" s="645"/>
      <c r="JM485" s="645"/>
      <c r="JN485" s="645"/>
      <c r="JO485" s="645"/>
      <c r="JP485" s="645"/>
      <c r="JQ485" s="645"/>
      <c r="JR485" s="645"/>
      <c r="JS485" s="645"/>
      <c r="JT485" s="645"/>
      <c r="JU485" s="645"/>
      <c r="JV485" s="653"/>
    </row>
    <row r="486" spans="1:282" s="612" customFormat="1">
      <c r="A486" s="611"/>
      <c r="U486" s="613"/>
      <c r="V486" s="613"/>
      <c r="AC486" s="613"/>
      <c r="AD486" s="613"/>
      <c r="AL486" s="613"/>
      <c r="AM486" s="613"/>
      <c r="AT486" s="613"/>
      <c r="AU486" s="613"/>
      <c r="CH486" s="611"/>
      <c r="CI486" s="611"/>
      <c r="CO486" s="695"/>
      <c r="CP486" s="645"/>
      <c r="CQ486" s="618"/>
      <c r="CR486" s="618"/>
      <c r="CS486" s="618"/>
      <c r="CT486" s="626"/>
      <c r="CU486" s="626"/>
      <c r="CV486" s="626"/>
      <c r="CW486" s="646"/>
      <c r="CX486" s="646"/>
      <c r="CY486" s="625"/>
      <c r="CZ486" s="625"/>
      <c r="DA486" s="625"/>
      <c r="DB486" s="625"/>
      <c r="DC486" s="645"/>
      <c r="DD486" s="645"/>
      <c r="DE486" s="645"/>
      <c r="DF486" s="645"/>
      <c r="DG486" s="645"/>
      <c r="DH486" s="645"/>
      <c r="DI486" s="645"/>
      <c r="DJ486" s="645"/>
      <c r="DK486" s="645"/>
      <c r="DL486" s="645"/>
      <c r="DM486" s="645"/>
      <c r="DN486" s="645"/>
      <c r="DO486" s="645"/>
      <c r="DP486" s="645"/>
      <c r="DQ486" s="645"/>
      <c r="DR486" s="645"/>
      <c r="DS486" s="645"/>
      <c r="DT486" s="645"/>
      <c r="DU486" s="645"/>
      <c r="DV486" s="645"/>
      <c r="DW486" s="645"/>
      <c r="DX486" s="645"/>
      <c r="DY486" s="645"/>
      <c r="DZ486" s="645"/>
      <c r="EA486" s="645"/>
      <c r="EB486" s="645"/>
      <c r="EC486" s="645"/>
      <c r="ED486" s="645"/>
      <c r="EE486" s="645"/>
      <c r="EF486" s="645"/>
      <c r="EG486" s="645"/>
      <c r="EH486" s="645"/>
      <c r="EI486" s="645"/>
      <c r="EJ486" s="645"/>
      <c r="EK486" s="645"/>
      <c r="EL486" s="645"/>
      <c r="EM486" s="645"/>
      <c r="EN486" s="645"/>
      <c r="EO486" s="645"/>
      <c r="EP486" s="645"/>
      <c r="EQ486" s="645"/>
      <c r="ER486" s="645"/>
      <c r="ES486" s="645"/>
      <c r="ET486" s="645"/>
      <c r="EU486" s="645"/>
      <c r="EV486" s="645"/>
      <c r="EW486" s="645"/>
      <c r="EX486" s="645"/>
      <c r="EY486" s="645"/>
      <c r="EZ486" s="645"/>
      <c r="FA486" s="645"/>
      <c r="FB486" s="645"/>
      <c r="FC486" s="645"/>
      <c r="FD486" s="645"/>
      <c r="FE486" s="645"/>
      <c r="FF486" s="645"/>
      <c r="FG486" s="645"/>
      <c r="FH486" s="645"/>
      <c r="FI486" s="645"/>
      <c r="FJ486" s="645"/>
      <c r="FK486" s="645"/>
      <c r="FL486" s="645"/>
      <c r="FM486" s="645"/>
      <c r="FN486" s="645"/>
      <c r="FO486" s="645"/>
      <c r="FP486" s="645"/>
      <c r="FQ486" s="645"/>
      <c r="FR486" s="645"/>
      <c r="FS486" s="645"/>
      <c r="FT486" s="645"/>
      <c r="FU486" s="645"/>
      <c r="FV486" s="645"/>
      <c r="FW486" s="645"/>
      <c r="FX486" s="645"/>
      <c r="FY486" s="645"/>
      <c r="FZ486" s="645"/>
      <c r="GA486" s="645"/>
      <c r="GB486" s="645"/>
      <c r="GC486" s="645"/>
      <c r="GD486" s="645"/>
      <c r="GE486" s="645"/>
      <c r="GF486" s="645"/>
      <c r="GG486" s="645"/>
      <c r="GH486" s="645"/>
      <c r="GI486" s="645"/>
      <c r="GJ486" s="645"/>
      <c r="GK486" s="645"/>
      <c r="GL486" s="645"/>
      <c r="GM486" s="645"/>
      <c r="GN486" s="645"/>
      <c r="GO486" s="645"/>
      <c r="GP486" s="645"/>
      <c r="GQ486" s="645"/>
      <c r="GR486" s="645"/>
      <c r="GS486" s="645"/>
      <c r="GT486" s="645"/>
      <c r="GU486" s="645"/>
      <c r="GV486" s="645"/>
      <c r="GW486" s="645"/>
      <c r="GX486" s="645"/>
      <c r="GY486" s="645"/>
      <c r="GZ486" s="645"/>
      <c r="HA486" s="645"/>
      <c r="HB486" s="645"/>
      <c r="HC486" s="645"/>
      <c r="HD486" s="645"/>
      <c r="HE486" s="645"/>
      <c r="HF486" s="645"/>
      <c r="HG486" s="645"/>
      <c r="HH486" s="645"/>
      <c r="HI486" s="645"/>
      <c r="HJ486" s="645"/>
      <c r="HK486" s="645"/>
      <c r="HL486" s="645"/>
      <c r="HM486" s="645"/>
      <c r="HN486" s="645"/>
      <c r="HO486" s="645"/>
      <c r="HP486" s="645"/>
      <c r="HQ486" s="645"/>
      <c r="HR486" s="645">
        <v>0.24149999999999999</v>
      </c>
      <c r="HS486" s="645">
        <f t="shared" si="848"/>
        <v>1621.5</v>
      </c>
      <c r="HT486" s="645">
        <f t="shared" si="849"/>
        <v>1</v>
      </c>
      <c r="HU486" s="618">
        <f t="shared" si="850"/>
        <v>6.1524984630525283</v>
      </c>
      <c r="HV486" s="618"/>
      <c r="HW486" s="618">
        <f t="shared" si="835"/>
        <v>27.263452182465411</v>
      </c>
      <c r="HX486" s="618">
        <f t="shared" si="851"/>
        <v>5.4044028484766029</v>
      </c>
      <c r="HY486" s="618">
        <f t="shared" si="852"/>
        <v>0.24149999999999999</v>
      </c>
      <c r="HZ486" s="618"/>
      <c r="IA486" s="618"/>
      <c r="IB486" s="618">
        <f t="shared" si="836"/>
        <v>25.000350341399081</v>
      </c>
      <c r="IC486" s="618">
        <f t="shared" si="837"/>
        <v>1E-3</v>
      </c>
      <c r="ID486" s="618"/>
      <c r="IE486" s="618">
        <f t="shared" si="838"/>
        <v>0</v>
      </c>
      <c r="IF486" s="618">
        <f t="shared" si="839"/>
        <v>40.704999999999998</v>
      </c>
      <c r="IG486" s="618"/>
      <c r="IH486" s="618">
        <f t="shared" si="840"/>
        <v>0</v>
      </c>
      <c r="II486" s="618">
        <f t="shared" si="841"/>
        <v>40.704999999999998</v>
      </c>
      <c r="IJ486" s="618"/>
      <c r="IK486" s="618">
        <f t="shared" si="842"/>
        <v>0</v>
      </c>
      <c r="IL486" s="618">
        <f t="shared" si="843"/>
        <v>40.704999999999998</v>
      </c>
      <c r="IM486" s="618"/>
      <c r="IN486" s="618">
        <f t="shared" si="844"/>
        <v>0</v>
      </c>
      <c r="IO486" s="618">
        <f t="shared" si="845"/>
        <v>40.704999999999998</v>
      </c>
      <c r="IP486" s="618"/>
      <c r="IQ486" s="618">
        <f t="shared" si="846"/>
        <v>0</v>
      </c>
      <c r="IR486" s="618">
        <f t="shared" si="847"/>
        <v>40.704999999999998</v>
      </c>
      <c r="IS486" s="645"/>
      <c r="IT486" s="645"/>
      <c r="IU486" s="645"/>
      <c r="IV486" s="645"/>
      <c r="IW486" s="645"/>
      <c r="IX486" s="645"/>
      <c r="IY486" s="645"/>
      <c r="IZ486" s="645"/>
      <c r="JA486" s="645"/>
      <c r="JB486" s="645"/>
      <c r="JC486" s="645"/>
      <c r="JD486" s="645"/>
      <c r="JE486" s="645"/>
      <c r="JF486" s="645"/>
      <c r="JG486" s="645"/>
      <c r="JH486" s="645"/>
      <c r="JI486" s="645"/>
      <c r="JJ486" s="645"/>
      <c r="JK486" s="645"/>
      <c r="JL486" s="645"/>
      <c r="JM486" s="645"/>
      <c r="JN486" s="645"/>
      <c r="JO486" s="645"/>
      <c r="JP486" s="645"/>
      <c r="JQ486" s="645"/>
      <c r="JR486" s="645"/>
      <c r="JS486" s="645"/>
      <c r="JT486" s="645"/>
      <c r="JU486" s="645"/>
      <c r="JV486" s="653"/>
    </row>
    <row r="487" spans="1:282" s="612" customFormat="1">
      <c r="A487" s="611"/>
      <c r="U487" s="613"/>
      <c r="V487" s="613"/>
      <c r="AC487" s="613"/>
      <c r="AD487" s="613"/>
      <c r="AL487" s="613"/>
      <c r="AM487" s="613"/>
      <c r="AT487" s="613"/>
      <c r="AU487" s="613"/>
      <c r="CH487" s="611"/>
      <c r="CI487" s="611"/>
      <c r="CO487" s="695"/>
      <c r="CP487" s="645"/>
      <c r="CQ487" s="618"/>
      <c r="CR487" s="618"/>
      <c r="CS487" s="618"/>
      <c r="CT487" s="626"/>
      <c r="CU487" s="626"/>
      <c r="CV487" s="626"/>
      <c r="CW487" s="646"/>
      <c r="CX487" s="646"/>
      <c r="CY487" s="625"/>
      <c r="CZ487" s="625"/>
      <c r="DA487" s="625"/>
      <c r="DB487" s="625"/>
      <c r="DC487" s="645"/>
      <c r="DD487" s="645"/>
      <c r="DE487" s="645"/>
      <c r="DF487" s="645"/>
      <c r="DG487" s="645"/>
      <c r="DH487" s="645"/>
      <c r="DI487" s="645"/>
      <c r="DJ487" s="645"/>
      <c r="DK487" s="645"/>
      <c r="DL487" s="645"/>
      <c r="DM487" s="645"/>
      <c r="DN487" s="645"/>
      <c r="DO487" s="645"/>
      <c r="DP487" s="645"/>
      <c r="DQ487" s="645"/>
      <c r="DR487" s="645"/>
      <c r="DS487" s="645"/>
      <c r="DT487" s="645"/>
      <c r="DU487" s="645"/>
      <c r="DV487" s="645"/>
      <c r="DW487" s="645"/>
      <c r="DX487" s="645"/>
      <c r="DY487" s="645"/>
      <c r="DZ487" s="645"/>
      <c r="EA487" s="645"/>
      <c r="EB487" s="645"/>
      <c r="EC487" s="645"/>
      <c r="ED487" s="645"/>
      <c r="EE487" s="645"/>
      <c r="EF487" s="645"/>
      <c r="EG487" s="645"/>
      <c r="EH487" s="645"/>
      <c r="EI487" s="645"/>
      <c r="EJ487" s="645"/>
      <c r="EK487" s="645"/>
      <c r="EL487" s="645"/>
      <c r="EM487" s="645"/>
      <c r="EN487" s="645"/>
      <c r="EO487" s="645"/>
      <c r="EP487" s="645"/>
      <c r="EQ487" s="645"/>
      <c r="ER487" s="645"/>
      <c r="ES487" s="645"/>
      <c r="ET487" s="645"/>
      <c r="EU487" s="645"/>
      <c r="EV487" s="645"/>
      <c r="EW487" s="645"/>
      <c r="EX487" s="645"/>
      <c r="EY487" s="645"/>
      <c r="EZ487" s="645"/>
      <c r="FA487" s="645"/>
      <c r="FB487" s="645"/>
      <c r="FC487" s="645"/>
      <c r="FD487" s="645"/>
      <c r="FE487" s="645"/>
      <c r="FF487" s="645"/>
      <c r="FG487" s="645"/>
      <c r="FH487" s="645"/>
      <c r="FI487" s="645"/>
      <c r="FJ487" s="645"/>
      <c r="FK487" s="645"/>
      <c r="FL487" s="645"/>
      <c r="FM487" s="645"/>
      <c r="FN487" s="645"/>
      <c r="FO487" s="645"/>
      <c r="FP487" s="645"/>
      <c r="FQ487" s="645"/>
      <c r="FR487" s="645"/>
      <c r="FS487" s="645"/>
      <c r="FT487" s="645"/>
      <c r="FU487" s="645"/>
      <c r="FV487" s="645"/>
      <c r="FW487" s="645"/>
      <c r="FX487" s="645"/>
      <c r="FY487" s="645"/>
      <c r="FZ487" s="645"/>
      <c r="GA487" s="645"/>
      <c r="GB487" s="645"/>
      <c r="GC487" s="645"/>
      <c r="GD487" s="645"/>
      <c r="GE487" s="645"/>
      <c r="GF487" s="645"/>
      <c r="GG487" s="645"/>
      <c r="GH487" s="645"/>
      <c r="GI487" s="645"/>
      <c r="GJ487" s="645"/>
      <c r="GK487" s="645"/>
      <c r="GL487" s="645"/>
      <c r="GM487" s="645"/>
      <c r="GN487" s="645"/>
      <c r="GO487" s="645"/>
      <c r="GP487" s="645"/>
      <c r="GQ487" s="645"/>
      <c r="GR487" s="645"/>
      <c r="GS487" s="645"/>
      <c r="GT487" s="645"/>
      <c r="GU487" s="645"/>
      <c r="GV487" s="645"/>
      <c r="GW487" s="645"/>
      <c r="GX487" s="645"/>
      <c r="GY487" s="645"/>
      <c r="GZ487" s="645"/>
      <c r="HA487" s="645"/>
      <c r="HB487" s="645"/>
      <c r="HC487" s="645"/>
      <c r="HD487" s="645"/>
      <c r="HE487" s="645"/>
      <c r="HF487" s="645"/>
      <c r="HG487" s="645"/>
      <c r="HH487" s="645"/>
      <c r="HI487" s="645"/>
      <c r="HJ487" s="645"/>
      <c r="HK487" s="645"/>
      <c r="HL487" s="645"/>
      <c r="HM487" s="645"/>
      <c r="HN487" s="645"/>
      <c r="HO487" s="645"/>
      <c r="HP487" s="645"/>
      <c r="HQ487" s="645"/>
      <c r="HR487" s="645">
        <v>0.24199999999999999</v>
      </c>
      <c r="HS487" s="645">
        <f t="shared" si="848"/>
        <v>1624.8571428571429</v>
      </c>
      <c r="HT487" s="645">
        <f t="shared" si="849"/>
        <v>1</v>
      </c>
      <c r="HU487" s="618">
        <f t="shared" si="850"/>
        <v>6.1652375070261529</v>
      </c>
      <c r="HV487" s="618"/>
      <c r="HW487" s="618">
        <f t="shared" si="835"/>
        <v>27.245362740022863</v>
      </c>
      <c r="HX487" s="618">
        <f t="shared" si="851"/>
        <v>5.4140439560883395</v>
      </c>
      <c r="HY487" s="618">
        <f t="shared" si="852"/>
        <v>0.24199999999999999</v>
      </c>
      <c r="HZ487" s="618"/>
      <c r="IA487" s="618"/>
      <c r="IB487" s="618">
        <f t="shared" si="836"/>
        <v>25.000350341399081</v>
      </c>
      <c r="IC487" s="618">
        <f t="shared" si="837"/>
        <v>1E-3</v>
      </c>
      <c r="ID487" s="618"/>
      <c r="IE487" s="618">
        <f t="shared" si="838"/>
        <v>0</v>
      </c>
      <c r="IF487" s="618">
        <f t="shared" si="839"/>
        <v>40.704999999999998</v>
      </c>
      <c r="IG487" s="618"/>
      <c r="IH487" s="618">
        <f t="shared" si="840"/>
        <v>0</v>
      </c>
      <c r="II487" s="618">
        <f t="shared" si="841"/>
        <v>40.704999999999998</v>
      </c>
      <c r="IJ487" s="618"/>
      <c r="IK487" s="618">
        <f t="shared" si="842"/>
        <v>0</v>
      </c>
      <c r="IL487" s="618">
        <f t="shared" si="843"/>
        <v>40.704999999999998</v>
      </c>
      <c r="IM487" s="618"/>
      <c r="IN487" s="618">
        <f t="shared" si="844"/>
        <v>0</v>
      </c>
      <c r="IO487" s="618">
        <f t="shared" si="845"/>
        <v>40.704999999999998</v>
      </c>
      <c r="IP487" s="618"/>
      <c r="IQ487" s="618">
        <f t="shared" si="846"/>
        <v>0</v>
      </c>
      <c r="IR487" s="618">
        <f t="shared" si="847"/>
        <v>40.704999999999998</v>
      </c>
      <c r="IS487" s="645"/>
      <c r="IT487" s="645"/>
      <c r="IU487" s="645"/>
      <c r="IV487" s="645"/>
      <c r="IW487" s="645"/>
      <c r="IX487" s="645"/>
      <c r="IY487" s="645"/>
      <c r="IZ487" s="645"/>
      <c r="JA487" s="645"/>
      <c r="JB487" s="645"/>
      <c r="JC487" s="645"/>
      <c r="JD487" s="645"/>
      <c r="JE487" s="645"/>
      <c r="JF487" s="645"/>
      <c r="JG487" s="645"/>
      <c r="JH487" s="645"/>
      <c r="JI487" s="645"/>
      <c r="JJ487" s="645"/>
      <c r="JK487" s="645"/>
      <c r="JL487" s="645"/>
      <c r="JM487" s="645"/>
      <c r="JN487" s="645"/>
      <c r="JO487" s="645"/>
      <c r="JP487" s="645"/>
      <c r="JQ487" s="645"/>
      <c r="JR487" s="645"/>
      <c r="JS487" s="645"/>
      <c r="JT487" s="645"/>
      <c r="JU487" s="645"/>
      <c r="JV487" s="653"/>
    </row>
    <row r="488" spans="1:282" s="612" customFormat="1">
      <c r="A488" s="611"/>
      <c r="U488" s="613"/>
      <c r="V488" s="613"/>
      <c r="AC488" s="613"/>
      <c r="AD488" s="613"/>
      <c r="AL488" s="613"/>
      <c r="AM488" s="613"/>
      <c r="AT488" s="613"/>
      <c r="AU488" s="613"/>
      <c r="CH488" s="611"/>
      <c r="CI488" s="611"/>
      <c r="CO488" s="695"/>
      <c r="CP488" s="645"/>
      <c r="CQ488" s="618"/>
      <c r="CR488" s="618"/>
      <c r="CS488" s="618"/>
      <c r="CT488" s="626"/>
      <c r="CU488" s="626"/>
      <c r="CV488" s="626"/>
      <c r="CW488" s="646"/>
      <c r="CX488" s="646"/>
      <c r="CY488" s="625"/>
      <c r="CZ488" s="625"/>
      <c r="DA488" s="625"/>
      <c r="DB488" s="625"/>
      <c r="DC488" s="645"/>
      <c r="DD488" s="645"/>
      <c r="DE488" s="645"/>
      <c r="DF488" s="645"/>
      <c r="DG488" s="645"/>
      <c r="DH488" s="645"/>
      <c r="DI488" s="645"/>
      <c r="DJ488" s="645"/>
      <c r="DK488" s="645"/>
      <c r="DL488" s="645"/>
      <c r="DM488" s="645"/>
      <c r="DN488" s="645"/>
      <c r="DO488" s="645"/>
      <c r="DP488" s="645"/>
      <c r="DQ488" s="645"/>
      <c r="DR488" s="645"/>
      <c r="DS488" s="645"/>
      <c r="DT488" s="645"/>
      <c r="DU488" s="645"/>
      <c r="DV488" s="645"/>
      <c r="DW488" s="645"/>
      <c r="DX488" s="645"/>
      <c r="DY488" s="645"/>
      <c r="DZ488" s="645"/>
      <c r="EA488" s="645"/>
      <c r="EB488" s="645"/>
      <c r="EC488" s="645"/>
      <c r="ED488" s="645"/>
      <c r="EE488" s="645"/>
      <c r="EF488" s="645"/>
      <c r="EG488" s="645"/>
      <c r="EH488" s="645"/>
      <c r="EI488" s="645"/>
      <c r="EJ488" s="645"/>
      <c r="EK488" s="645"/>
      <c r="EL488" s="645"/>
      <c r="EM488" s="645"/>
      <c r="EN488" s="645"/>
      <c r="EO488" s="645"/>
      <c r="EP488" s="645"/>
      <c r="EQ488" s="645"/>
      <c r="ER488" s="645"/>
      <c r="ES488" s="645"/>
      <c r="ET488" s="645"/>
      <c r="EU488" s="645"/>
      <c r="EV488" s="645"/>
      <c r="EW488" s="645"/>
      <c r="EX488" s="645"/>
      <c r="EY488" s="645"/>
      <c r="EZ488" s="645"/>
      <c r="FA488" s="645"/>
      <c r="FB488" s="645"/>
      <c r="FC488" s="645"/>
      <c r="FD488" s="645"/>
      <c r="FE488" s="645"/>
      <c r="FF488" s="645"/>
      <c r="FG488" s="645"/>
      <c r="FH488" s="645"/>
      <c r="FI488" s="645"/>
      <c r="FJ488" s="645"/>
      <c r="FK488" s="645"/>
      <c r="FL488" s="645"/>
      <c r="FM488" s="645"/>
      <c r="FN488" s="645"/>
      <c r="FO488" s="645"/>
      <c r="FP488" s="645"/>
      <c r="FQ488" s="645"/>
      <c r="FR488" s="645"/>
      <c r="FS488" s="645"/>
      <c r="FT488" s="645"/>
      <c r="FU488" s="645"/>
      <c r="FV488" s="645"/>
      <c r="FW488" s="645"/>
      <c r="FX488" s="645"/>
      <c r="FY488" s="645"/>
      <c r="FZ488" s="645"/>
      <c r="GA488" s="645"/>
      <c r="GB488" s="645"/>
      <c r="GC488" s="645"/>
      <c r="GD488" s="645"/>
      <c r="GE488" s="645"/>
      <c r="GF488" s="645"/>
      <c r="GG488" s="645"/>
      <c r="GH488" s="645"/>
      <c r="GI488" s="645"/>
      <c r="GJ488" s="645"/>
      <c r="GK488" s="645"/>
      <c r="GL488" s="645"/>
      <c r="GM488" s="645"/>
      <c r="GN488" s="645"/>
      <c r="GO488" s="645"/>
      <c r="GP488" s="645"/>
      <c r="GQ488" s="645"/>
      <c r="GR488" s="645"/>
      <c r="GS488" s="645"/>
      <c r="GT488" s="645"/>
      <c r="GU488" s="645"/>
      <c r="GV488" s="645"/>
      <c r="GW488" s="645"/>
      <c r="GX488" s="645"/>
      <c r="GY488" s="645"/>
      <c r="GZ488" s="645"/>
      <c r="HA488" s="645"/>
      <c r="HB488" s="645"/>
      <c r="HC488" s="645"/>
      <c r="HD488" s="645"/>
      <c r="HE488" s="645"/>
      <c r="HF488" s="645"/>
      <c r="HG488" s="645"/>
      <c r="HH488" s="645"/>
      <c r="HI488" s="645"/>
      <c r="HJ488" s="645"/>
      <c r="HK488" s="645"/>
      <c r="HL488" s="645"/>
      <c r="HM488" s="645"/>
      <c r="HN488" s="645"/>
      <c r="HO488" s="645"/>
      <c r="HP488" s="645"/>
      <c r="HQ488" s="645"/>
      <c r="HR488" s="645">
        <v>0.24249999999999999</v>
      </c>
      <c r="HS488" s="645">
        <f t="shared" si="848"/>
        <v>1628.2142857142856</v>
      </c>
      <c r="HT488" s="645">
        <f t="shared" si="849"/>
        <v>1</v>
      </c>
      <c r="HU488" s="618">
        <f t="shared" si="850"/>
        <v>6.1779765509997775</v>
      </c>
      <c r="HV488" s="618"/>
      <c r="HW488" s="618">
        <f t="shared" si="835"/>
        <v>27.227273297580318</v>
      </c>
      <c r="HX488" s="618">
        <f t="shared" si="851"/>
        <v>5.4236786625277782</v>
      </c>
      <c r="HY488" s="618">
        <f t="shared" si="852"/>
        <v>0.24249999999999999</v>
      </c>
      <c r="HZ488" s="618"/>
      <c r="IA488" s="618"/>
      <c r="IB488" s="618">
        <f t="shared" si="836"/>
        <v>25.000350341399081</v>
      </c>
      <c r="IC488" s="618">
        <f t="shared" si="837"/>
        <v>1E-3</v>
      </c>
      <c r="ID488" s="618"/>
      <c r="IE488" s="618">
        <f t="shared" si="838"/>
        <v>0</v>
      </c>
      <c r="IF488" s="618">
        <f t="shared" si="839"/>
        <v>40.704999999999998</v>
      </c>
      <c r="IG488" s="618"/>
      <c r="IH488" s="618">
        <f t="shared" si="840"/>
        <v>0</v>
      </c>
      <c r="II488" s="618">
        <f t="shared" si="841"/>
        <v>40.704999999999998</v>
      </c>
      <c r="IJ488" s="618"/>
      <c r="IK488" s="618">
        <f t="shared" si="842"/>
        <v>0</v>
      </c>
      <c r="IL488" s="618">
        <f t="shared" si="843"/>
        <v>40.704999999999998</v>
      </c>
      <c r="IM488" s="618"/>
      <c r="IN488" s="618">
        <f t="shared" si="844"/>
        <v>0</v>
      </c>
      <c r="IO488" s="618">
        <f t="shared" si="845"/>
        <v>40.704999999999998</v>
      </c>
      <c r="IP488" s="618"/>
      <c r="IQ488" s="618">
        <f t="shared" si="846"/>
        <v>0</v>
      </c>
      <c r="IR488" s="618">
        <f t="shared" si="847"/>
        <v>40.704999999999998</v>
      </c>
      <c r="IS488" s="645"/>
      <c r="IT488" s="645"/>
      <c r="IU488" s="645"/>
      <c r="IV488" s="645"/>
      <c r="IW488" s="645"/>
      <c r="IX488" s="645"/>
      <c r="IY488" s="645"/>
      <c r="IZ488" s="645"/>
      <c r="JA488" s="645"/>
      <c r="JB488" s="645"/>
      <c r="JC488" s="645"/>
      <c r="JD488" s="645"/>
      <c r="JE488" s="645"/>
      <c r="JF488" s="645"/>
      <c r="JG488" s="645"/>
      <c r="JH488" s="645"/>
      <c r="JI488" s="645"/>
      <c r="JJ488" s="645"/>
      <c r="JK488" s="645"/>
      <c r="JL488" s="645"/>
      <c r="JM488" s="645"/>
      <c r="JN488" s="645"/>
      <c r="JO488" s="645"/>
      <c r="JP488" s="645"/>
      <c r="JQ488" s="645"/>
      <c r="JR488" s="645"/>
      <c r="JS488" s="645"/>
      <c r="JT488" s="645"/>
      <c r="JU488" s="645"/>
      <c r="JV488" s="653"/>
    </row>
    <row r="489" spans="1:282" s="612" customFormat="1">
      <c r="A489" s="611"/>
      <c r="U489" s="613"/>
      <c r="V489" s="613"/>
      <c r="AC489" s="613"/>
      <c r="AD489" s="613"/>
      <c r="AL489" s="613"/>
      <c r="AM489" s="613"/>
      <c r="AT489" s="613"/>
      <c r="AU489" s="613"/>
      <c r="CH489" s="611"/>
      <c r="CI489" s="611"/>
      <c r="CO489" s="695"/>
      <c r="CP489" s="645"/>
      <c r="CQ489" s="618"/>
      <c r="CR489" s="618"/>
      <c r="CS489" s="618"/>
      <c r="CT489" s="626"/>
      <c r="CU489" s="626"/>
      <c r="CV489" s="626"/>
      <c r="CW489" s="646"/>
      <c r="CX489" s="646"/>
      <c r="CY489" s="625"/>
      <c r="CZ489" s="625"/>
      <c r="DA489" s="625"/>
      <c r="DB489" s="625"/>
      <c r="DC489" s="645"/>
      <c r="DD489" s="645"/>
      <c r="DE489" s="645"/>
      <c r="DF489" s="645"/>
      <c r="DG489" s="645"/>
      <c r="DH489" s="645"/>
      <c r="DI489" s="645"/>
      <c r="DJ489" s="645"/>
      <c r="DK489" s="645"/>
      <c r="DL489" s="645"/>
      <c r="DM489" s="645"/>
      <c r="DN489" s="645"/>
      <c r="DO489" s="645"/>
      <c r="DP489" s="645"/>
      <c r="DQ489" s="645"/>
      <c r="DR489" s="645"/>
      <c r="DS489" s="645"/>
      <c r="DT489" s="645"/>
      <c r="DU489" s="645"/>
      <c r="DV489" s="645"/>
      <c r="DW489" s="645"/>
      <c r="DX489" s="645"/>
      <c r="DY489" s="645"/>
      <c r="DZ489" s="645"/>
      <c r="EA489" s="645"/>
      <c r="EB489" s="645"/>
      <c r="EC489" s="645"/>
      <c r="ED489" s="645"/>
      <c r="EE489" s="645"/>
      <c r="EF489" s="645"/>
      <c r="EG489" s="645"/>
      <c r="EH489" s="645"/>
      <c r="EI489" s="645"/>
      <c r="EJ489" s="645"/>
      <c r="EK489" s="645"/>
      <c r="EL489" s="645"/>
      <c r="EM489" s="645"/>
      <c r="EN489" s="645"/>
      <c r="EO489" s="645"/>
      <c r="EP489" s="645"/>
      <c r="EQ489" s="645"/>
      <c r="ER489" s="645"/>
      <c r="ES489" s="645"/>
      <c r="ET489" s="645"/>
      <c r="EU489" s="645"/>
      <c r="EV489" s="645"/>
      <c r="EW489" s="645"/>
      <c r="EX489" s="645"/>
      <c r="EY489" s="645"/>
      <c r="EZ489" s="645"/>
      <c r="FA489" s="645"/>
      <c r="FB489" s="645"/>
      <c r="FC489" s="645"/>
      <c r="FD489" s="645"/>
      <c r="FE489" s="645"/>
      <c r="FF489" s="645"/>
      <c r="FG489" s="645"/>
      <c r="FH489" s="645"/>
      <c r="FI489" s="645"/>
      <c r="FJ489" s="645"/>
      <c r="FK489" s="645"/>
      <c r="FL489" s="645"/>
      <c r="FM489" s="645"/>
      <c r="FN489" s="645"/>
      <c r="FO489" s="645"/>
      <c r="FP489" s="645"/>
      <c r="FQ489" s="645"/>
      <c r="FR489" s="645"/>
      <c r="FS489" s="645"/>
      <c r="FT489" s="645"/>
      <c r="FU489" s="645"/>
      <c r="FV489" s="645"/>
      <c r="FW489" s="645"/>
      <c r="FX489" s="645"/>
      <c r="FY489" s="645"/>
      <c r="FZ489" s="645"/>
      <c r="GA489" s="645"/>
      <c r="GB489" s="645"/>
      <c r="GC489" s="645"/>
      <c r="GD489" s="645"/>
      <c r="GE489" s="645"/>
      <c r="GF489" s="645"/>
      <c r="GG489" s="645"/>
      <c r="GH489" s="645"/>
      <c r="GI489" s="645"/>
      <c r="GJ489" s="645"/>
      <c r="GK489" s="645"/>
      <c r="GL489" s="645"/>
      <c r="GM489" s="645"/>
      <c r="GN489" s="645"/>
      <c r="GO489" s="645"/>
      <c r="GP489" s="645"/>
      <c r="GQ489" s="645"/>
      <c r="GR489" s="645"/>
      <c r="GS489" s="645"/>
      <c r="GT489" s="645"/>
      <c r="GU489" s="645"/>
      <c r="GV489" s="645"/>
      <c r="GW489" s="645"/>
      <c r="GX489" s="645"/>
      <c r="GY489" s="645"/>
      <c r="GZ489" s="645"/>
      <c r="HA489" s="645"/>
      <c r="HB489" s="645"/>
      <c r="HC489" s="645"/>
      <c r="HD489" s="645"/>
      <c r="HE489" s="645"/>
      <c r="HF489" s="645"/>
      <c r="HG489" s="645"/>
      <c r="HH489" s="645"/>
      <c r="HI489" s="645"/>
      <c r="HJ489" s="645"/>
      <c r="HK489" s="645"/>
      <c r="HL489" s="645"/>
      <c r="HM489" s="645"/>
      <c r="HN489" s="645"/>
      <c r="HO489" s="645"/>
      <c r="HP489" s="645"/>
      <c r="HQ489" s="645"/>
      <c r="HR489" s="645">
        <v>0.24299999999999999</v>
      </c>
      <c r="HS489" s="645">
        <f t="shared" si="848"/>
        <v>1631.5714285714284</v>
      </c>
      <c r="HT489" s="645">
        <f t="shared" si="849"/>
        <v>1</v>
      </c>
      <c r="HU489" s="618">
        <f t="shared" si="850"/>
        <v>6.1907155949734021</v>
      </c>
      <c r="HV489" s="618"/>
      <c r="HW489" s="618">
        <f t="shared" si="835"/>
        <v>27.20918385513777</v>
      </c>
      <c r="HX489" s="618">
        <f t="shared" si="851"/>
        <v>5.433306967794918</v>
      </c>
      <c r="HY489" s="618">
        <f t="shared" si="852"/>
        <v>0.24299999999999999</v>
      </c>
      <c r="HZ489" s="618"/>
      <c r="IA489" s="618"/>
      <c r="IB489" s="618">
        <f t="shared" si="836"/>
        <v>25.000350341399081</v>
      </c>
      <c r="IC489" s="618">
        <f t="shared" si="837"/>
        <v>1E-3</v>
      </c>
      <c r="ID489" s="618"/>
      <c r="IE489" s="618">
        <f t="shared" si="838"/>
        <v>0</v>
      </c>
      <c r="IF489" s="618">
        <f t="shared" si="839"/>
        <v>40.704999999999998</v>
      </c>
      <c r="IG489" s="618"/>
      <c r="IH489" s="618">
        <f t="shared" si="840"/>
        <v>0</v>
      </c>
      <c r="II489" s="618">
        <f t="shared" si="841"/>
        <v>40.704999999999998</v>
      </c>
      <c r="IJ489" s="618"/>
      <c r="IK489" s="618">
        <f t="shared" si="842"/>
        <v>0</v>
      </c>
      <c r="IL489" s="618">
        <f t="shared" si="843"/>
        <v>40.704999999999998</v>
      </c>
      <c r="IM489" s="618"/>
      <c r="IN489" s="618">
        <f t="shared" si="844"/>
        <v>0</v>
      </c>
      <c r="IO489" s="618">
        <f t="shared" si="845"/>
        <v>40.704999999999998</v>
      </c>
      <c r="IP489" s="618"/>
      <c r="IQ489" s="618">
        <f t="shared" si="846"/>
        <v>0</v>
      </c>
      <c r="IR489" s="618">
        <f t="shared" si="847"/>
        <v>40.704999999999998</v>
      </c>
      <c r="IS489" s="645"/>
      <c r="IT489" s="645"/>
      <c r="IU489" s="645"/>
      <c r="IV489" s="645"/>
      <c r="IW489" s="645"/>
      <c r="IX489" s="645"/>
      <c r="IY489" s="645"/>
      <c r="IZ489" s="645"/>
      <c r="JA489" s="645"/>
      <c r="JB489" s="645"/>
      <c r="JC489" s="645"/>
      <c r="JD489" s="645"/>
      <c r="JE489" s="645"/>
      <c r="JF489" s="645"/>
      <c r="JG489" s="645"/>
      <c r="JH489" s="645"/>
      <c r="JI489" s="645"/>
      <c r="JJ489" s="645"/>
      <c r="JK489" s="645"/>
      <c r="JL489" s="645"/>
      <c r="JM489" s="645"/>
      <c r="JN489" s="645"/>
      <c r="JO489" s="645"/>
      <c r="JP489" s="645"/>
      <c r="JQ489" s="645"/>
      <c r="JR489" s="645"/>
      <c r="JS489" s="645"/>
      <c r="JT489" s="645"/>
      <c r="JU489" s="645"/>
      <c r="JV489" s="653"/>
    </row>
    <row r="490" spans="1:282" s="612" customFormat="1">
      <c r="A490" s="611"/>
      <c r="U490" s="613"/>
      <c r="V490" s="613"/>
      <c r="AC490" s="613"/>
      <c r="AD490" s="613"/>
      <c r="AL490" s="613"/>
      <c r="AM490" s="613"/>
      <c r="AT490" s="613"/>
      <c r="AU490" s="613"/>
      <c r="CH490" s="611"/>
      <c r="CI490" s="611"/>
      <c r="CO490" s="695"/>
      <c r="CP490" s="645"/>
      <c r="CQ490" s="618"/>
      <c r="CR490" s="618"/>
      <c r="CS490" s="618"/>
      <c r="CT490" s="626"/>
      <c r="CU490" s="626"/>
      <c r="CV490" s="626"/>
      <c r="CW490" s="646"/>
      <c r="CX490" s="646"/>
      <c r="CY490" s="625"/>
      <c r="CZ490" s="625"/>
      <c r="DA490" s="625"/>
      <c r="DB490" s="625"/>
      <c r="DC490" s="645"/>
      <c r="DD490" s="645"/>
      <c r="DE490" s="645"/>
      <c r="DF490" s="645"/>
      <c r="DG490" s="645"/>
      <c r="DH490" s="645"/>
      <c r="DI490" s="645"/>
      <c r="DJ490" s="645"/>
      <c r="DK490" s="645"/>
      <c r="DL490" s="645"/>
      <c r="DM490" s="645"/>
      <c r="DN490" s="645"/>
      <c r="DO490" s="645"/>
      <c r="DP490" s="645"/>
      <c r="DQ490" s="645"/>
      <c r="DR490" s="645"/>
      <c r="DS490" s="645"/>
      <c r="DT490" s="645"/>
      <c r="DU490" s="645"/>
      <c r="DV490" s="645"/>
      <c r="DW490" s="645"/>
      <c r="DX490" s="645"/>
      <c r="DY490" s="645"/>
      <c r="DZ490" s="645"/>
      <c r="EA490" s="645"/>
      <c r="EB490" s="645"/>
      <c r="EC490" s="645"/>
      <c r="ED490" s="645"/>
      <c r="EE490" s="645"/>
      <c r="EF490" s="645"/>
      <c r="EG490" s="645"/>
      <c r="EH490" s="645"/>
      <c r="EI490" s="645"/>
      <c r="EJ490" s="645"/>
      <c r="EK490" s="645"/>
      <c r="EL490" s="645"/>
      <c r="EM490" s="645"/>
      <c r="EN490" s="645"/>
      <c r="EO490" s="645"/>
      <c r="EP490" s="645"/>
      <c r="EQ490" s="645"/>
      <c r="ER490" s="645"/>
      <c r="ES490" s="645"/>
      <c r="ET490" s="645"/>
      <c r="EU490" s="645"/>
      <c r="EV490" s="645"/>
      <c r="EW490" s="645"/>
      <c r="EX490" s="645"/>
      <c r="EY490" s="645"/>
      <c r="EZ490" s="645"/>
      <c r="FA490" s="645"/>
      <c r="FB490" s="645"/>
      <c r="FC490" s="645"/>
      <c r="FD490" s="645"/>
      <c r="FE490" s="645"/>
      <c r="FF490" s="645"/>
      <c r="FG490" s="645"/>
      <c r="FH490" s="645"/>
      <c r="FI490" s="645"/>
      <c r="FJ490" s="645"/>
      <c r="FK490" s="645"/>
      <c r="FL490" s="645"/>
      <c r="FM490" s="645"/>
      <c r="FN490" s="645"/>
      <c r="FO490" s="645"/>
      <c r="FP490" s="645"/>
      <c r="FQ490" s="645"/>
      <c r="FR490" s="645"/>
      <c r="FS490" s="645"/>
      <c r="FT490" s="645"/>
      <c r="FU490" s="645"/>
      <c r="FV490" s="645"/>
      <c r="FW490" s="645"/>
      <c r="FX490" s="645"/>
      <c r="FY490" s="645"/>
      <c r="FZ490" s="645"/>
      <c r="GA490" s="645"/>
      <c r="GB490" s="645"/>
      <c r="GC490" s="645"/>
      <c r="GD490" s="645"/>
      <c r="GE490" s="645"/>
      <c r="GF490" s="645"/>
      <c r="GG490" s="645"/>
      <c r="GH490" s="645"/>
      <c r="GI490" s="645"/>
      <c r="GJ490" s="645"/>
      <c r="GK490" s="645"/>
      <c r="GL490" s="645"/>
      <c r="GM490" s="645"/>
      <c r="GN490" s="645"/>
      <c r="GO490" s="645"/>
      <c r="GP490" s="645"/>
      <c r="GQ490" s="645"/>
      <c r="GR490" s="645"/>
      <c r="GS490" s="645"/>
      <c r="GT490" s="645"/>
      <c r="GU490" s="645"/>
      <c r="GV490" s="645"/>
      <c r="GW490" s="645"/>
      <c r="GX490" s="645"/>
      <c r="GY490" s="645"/>
      <c r="GZ490" s="645"/>
      <c r="HA490" s="645"/>
      <c r="HB490" s="645"/>
      <c r="HC490" s="645"/>
      <c r="HD490" s="645"/>
      <c r="HE490" s="645"/>
      <c r="HF490" s="645"/>
      <c r="HG490" s="645"/>
      <c r="HH490" s="645"/>
      <c r="HI490" s="645"/>
      <c r="HJ490" s="645"/>
      <c r="HK490" s="645"/>
      <c r="HL490" s="645"/>
      <c r="HM490" s="645"/>
      <c r="HN490" s="645"/>
      <c r="HO490" s="645"/>
      <c r="HP490" s="645"/>
      <c r="HQ490" s="645"/>
      <c r="HR490" s="645">
        <v>0.24349999999999999</v>
      </c>
      <c r="HS490" s="645">
        <f t="shared" si="848"/>
        <v>1634.9285714285713</v>
      </c>
      <c r="HT490" s="645">
        <f t="shared" si="849"/>
        <v>1</v>
      </c>
      <c r="HU490" s="618">
        <f t="shared" si="850"/>
        <v>6.2034546389470266</v>
      </c>
      <c r="HV490" s="618"/>
      <c r="HW490" s="618">
        <f t="shared" si="835"/>
        <v>27.191094412695222</v>
      </c>
      <c r="HX490" s="618">
        <f t="shared" si="851"/>
        <v>5.4429288718897597</v>
      </c>
      <c r="HY490" s="618">
        <f t="shared" si="852"/>
        <v>0.24349999999999999</v>
      </c>
      <c r="HZ490" s="618"/>
      <c r="IA490" s="618"/>
      <c r="IB490" s="618">
        <f t="shared" si="836"/>
        <v>25.000350341399081</v>
      </c>
      <c r="IC490" s="618">
        <f t="shared" si="837"/>
        <v>1E-3</v>
      </c>
      <c r="ID490" s="618"/>
      <c r="IE490" s="618">
        <f t="shared" si="838"/>
        <v>0</v>
      </c>
      <c r="IF490" s="618">
        <f t="shared" si="839"/>
        <v>40.704999999999998</v>
      </c>
      <c r="IG490" s="618"/>
      <c r="IH490" s="618">
        <f t="shared" si="840"/>
        <v>0</v>
      </c>
      <c r="II490" s="618">
        <f t="shared" si="841"/>
        <v>40.704999999999998</v>
      </c>
      <c r="IJ490" s="618"/>
      <c r="IK490" s="618">
        <f t="shared" si="842"/>
        <v>0</v>
      </c>
      <c r="IL490" s="618">
        <f t="shared" si="843"/>
        <v>40.704999999999998</v>
      </c>
      <c r="IM490" s="618"/>
      <c r="IN490" s="618">
        <f t="shared" si="844"/>
        <v>0</v>
      </c>
      <c r="IO490" s="618">
        <f t="shared" si="845"/>
        <v>40.704999999999998</v>
      </c>
      <c r="IP490" s="618"/>
      <c r="IQ490" s="618">
        <f t="shared" si="846"/>
        <v>0</v>
      </c>
      <c r="IR490" s="618">
        <f t="shared" si="847"/>
        <v>40.704999999999998</v>
      </c>
      <c r="IS490" s="645"/>
      <c r="IT490" s="645"/>
      <c r="IU490" s="645"/>
      <c r="IV490" s="645"/>
      <c r="IW490" s="645"/>
      <c r="IX490" s="645"/>
      <c r="IY490" s="645"/>
      <c r="IZ490" s="645"/>
      <c r="JA490" s="645"/>
      <c r="JB490" s="645"/>
      <c r="JC490" s="645"/>
      <c r="JD490" s="645"/>
      <c r="JE490" s="645"/>
      <c r="JF490" s="645"/>
      <c r="JG490" s="645"/>
      <c r="JH490" s="645"/>
      <c r="JI490" s="645"/>
      <c r="JJ490" s="645"/>
      <c r="JK490" s="645"/>
      <c r="JL490" s="645"/>
      <c r="JM490" s="645"/>
      <c r="JN490" s="645"/>
      <c r="JO490" s="645"/>
      <c r="JP490" s="645"/>
      <c r="JQ490" s="645"/>
      <c r="JR490" s="645"/>
      <c r="JS490" s="645"/>
      <c r="JT490" s="645"/>
      <c r="JU490" s="645"/>
      <c r="JV490" s="653"/>
    </row>
    <row r="491" spans="1:282" s="612" customFormat="1">
      <c r="A491" s="611"/>
      <c r="U491" s="613"/>
      <c r="V491" s="613"/>
      <c r="AC491" s="613"/>
      <c r="AD491" s="613"/>
      <c r="AL491" s="613"/>
      <c r="AM491" s="613"/>
      <c r="AT491" s="613"/>
      <c r="AU491" s="613"/>
      <c r="CH491" s="611"/>
      <c r="CI491" s="611"/>
      <c r="CO491" s="695"/>
      <c r="CP491" s="645"/>
      <c r="CQ491" s="618"/>
      <c r="CR491" s="618"/>
      <c r="CS491" s="618"/>
      <c r="CT491" s="626"/>
      <c r="CU491" s="626"/>
      <c r="CV491" s="626"/>
      <c r="CW491" s="646"/>
      <c r="CX491" s="646"/>
      <c r="CY491" s="625"/>
      <c r="CZ491" s="625"/>
      <c r="DA491" s="625"/>
      <c r="DB491" s="625"/>
      <c r="DC491" s="645"/>
      <c r="DD491" s="645"/>
      <c r="DE491" s="645"/>
      <c r="DF491" s="645"/>
      <c r="DG491" s="645"/>
      <c r="DH491" s="645"/>
      <c r="DI491" s="645"/>
      <c r="DJ491" s="645"/>
      <c r="DK491" s="645"/>
      <c r="DL491" s="645"/>
      <c r="DM491" s="645"/>
      <c r="DN491" s="645"/>
      <c r="DO491" s="645"/>
      <c r="DP491" s="645"/>
      <c r="DQ491" s="645"/>
      <c r="DR491" s="645"/>
      <c r="DS491" s="645"/>
      <c r="DT491" s="645"/>
      <c r="DU491" s="645"/>
      <c r="DV491" s="645"/>
      <c r="DW491" s="645"/>
      <c r="DX491" s="645"/>
      <c r="DY491" s="645"/>
      <c r="DZ491" s="645"/>
      <c r="EA491" s="645"/>
      <c r="EB491" s="645"/>
      <c r="EC491" s="645"/>
      <c r="ED491" s="645"/>
      <c r="EE491" s="645"/>
      <c r="EF491" s="645"/>
      <c r="EG491" s="645"/>
      <c r="EH491" s="645"/>
      <c r="EI491" s="645"/>
      <c r="EJ491" s="645"/>
      <c r="EK491" s="645"/>
      <c r="EL491" s="645"/>
      <c r="EM491" s="645"/>
      <c r="EN491" s="645"/>
      <c r="EO491" s="645"/>
      <c r="EP491" s="645"/>
      <c r="EQ491" s="645"/>
      <c r="ER491" s="645"/>
      <c r="ES491" s="645"/>
      <c r="ET491" s="645"/>
      <c r="EU491" s="645"/>
      <c r="EV491" s="645"/>
      <c r="EW491" s="645"/>
      <c r="EX491" s="645"/>
      <c r="EY491" s="645"/>
      <c r="EZ491" s="645"/>
      <c r="FA491" s="645"/>
      <c r="FB491" s="645"/>
      <c r="FC491" s="645"/>
      <c r="FD491" s="645"/>
      <c r="FE491" s="645"/>
      <c r="FF491" s="645"/>
      <c r="FG491" s="645"/>
      <c r="FH491" s="645"/>
      <c r="FI491" s="645"/>
      <c r="FJ491" s="645"/>
      <c r="FK491" s="645"/>
      <c r="FL491" s="645"/>
      <c r="FM491" s="645"/>
      <c r="FN491" s="645"/>
      <c r="FO491" s="645"/>
      <c r="FP491" s="645"/>
      <c r="FQ491" s="645"/>
      <c r="FR491" s="645"/>
      <c r="FS491" s="645"/>
      <c r="FT491" s="645"/>
      <c r="FU491" s="645"/>
      <c r="FV491" s="645"/>
      <c r="FW491" s="645"/>
      <c r="FX491" s="645"/>
      <c r="FY491" s="645"/>
      <c r="FZ491" s="645"/>
      <c r="GA491" s="645"/>
      <c r="GB491" s="645"/>
      <c r="GC491" s="645"/>
      <c r="GD491" s="645"/>
      <c r="GE491" s="645"/>
      <c r="GF491" s="645"/>
      <c r="GG491" s="645"/>
      <c r="GH491" s="645"/>
      <c r="GI491" s="645"/>
      <c r="GJ491" s="645"/>
      <c r="GK491" s="645"/>
      <c r="GL491" s="645"/>
      <c r="GM491" s="645"/>
      <c r="GN491" s="645"/>
      <c r="GO491" s="645"/>
      <c r="GP491" s="645"/>
      <c r="GQ491" s="645"/>
      <c r="GR491" s="645"/>
      <c r="GS491" s="645"/>
      <c r="GT491" s="645"/>
      <c r="GU491" s="645"/>
      <c r="GV491" s="645"/>
      <c r="GW491" s="645"/>
      <c r="GX491" s="645"/>
      <c r="GY491" s="645"/>
      <c r="GZ491" s="645"/>
      <c r="HA491" s="645"/>
      <c r="HB491" s="645"/>
      <c r="HC491" s="645"/>
      <c r="HD491" s="645"/>
      <c r="HE491" s="645"/>
      <c r="HF491" s="645"/>
      <c r="HG491" s="645"/>
      <c r="HH491" s="645"/>
      <c r="HI491" s="645"/>
      <c r="HJ491" s="645"/>
      <c r="HK491" s="645"/>
      <c r="HL491" s="645"/>
      <c r="HM491" s="645"/>
      <c r="HN491" s="645"/>
      <c r="HO491" s="645"/>
      <c r="HP491" s="645"/>
      <c r="HQ491" s="645"/>
      <c r="HR491" s="645">
        <v>0.24399999999999999</v>
      </c>
      <c r="HS491" s="645">
        <f t="shared" si="848"/>
        <v>1638.2857142857142</v>
      </c>
      <c r="HT491" s="645">
        <f t="shared" si="849"/>
        <v>1</v>
      </c>
      <c r="HU491" s="618">
        <f t="shared" si="850"/>
        <v>6.2161936829206512</v>
      </c>
      <c r="HV491" s="618"/>
      <c r="HW491" s="618">
        <f t="shared" si="835"/>
        <v>27.173004970252677</v>
      </c>
      <c r="HX491" s="618">
        <f t="shared" si="851"/>
        <v>5.4525443748123035</v>
      </c>
      <c r="HY491" s="618">
        <f t="shared" si="852"/>
        <v>0.24399999999999999</v>
      </c>
      <c r="HZ491" s="618"/>
      <c r="IA491" s="618"/>
      <c r="IB491" s="618">
        <f t="shared" si="836"/>
        <v>25.000350341399081</v>
      </c>
      <c r="IC491" s="618">
        <f t="shared" si="837"/>
        <v>1E-3</v>
      </c>
      <c r="ID491" s="618"/>
      <c r="IE491" s="618">
        <f t="shared" si="838"/>
        <v>0</v>
      </c>
      <c r="IF491" s="618">
        <f t="shared" si="839"/>
        <v>40.704999999999998</v>
      </c>
      <c r="IG491" s="618"/>
      <c r="IH491" s="618">
        <f t="shared" si="840"/>
        <v>0</v>
      </c>
      <c r="II491" s="618">
        <f t="shared" si="841"/>
        <v>40.704999999999998</v>
      </c>
      <c r="IJ491" s="618"/>
      <c r="IK491" s="618">
        <f t="shared" si="842"/>
        <v>0</v>
      </c>
      <c r="IL491" s="618">
        <f t="shared" si="843"/>
        <v>40.704999999999998</v>
      </c>
      <c r="IM491" s="618"/>
      <c r="IN491" s="618">
        <f t="shared" si="844"/>
        <v>0</v>
      </c>
      <c r="IO491" s="618">
        <f t="shared" si="845"/>
        <v>40.704999999999998</v>
      </c>
      <c r="IP491" s="618"/>
      <c r="IQ491" s="618">
        <f t="shared" si="846"/>
        <v>0</v>
      </c>
      <c r="IR491" s="618">
        <f t="shared" si="847"/>
        <v>40.704999999999998</v>
      </c>
      <c r="IS491" s="645"/>
      <c r="IT491" s="645"/>
      <c r="IU491" s="645"/>
      <c r="IV491" s="645"/>
      <c r="IW491" s="645"/>
      <c r="IX491" s="645"/>
      <c r="IY491" s="645"/>
      <c r="IZ491" s="645"/>
      <c r="JA491" s="645"/>
      <c r="JB491" s="645"/>
      <c r="JC491" s="645"/>
      <c r="JD491" s="645"/>
      <c r="JE491" s="645"/>
      <c r="JF491" s="645"/>
      <c r="JG491" s="645"/>
      <c r="JH491" s="645"/>
      <c r="JI491" s="645"/>
      <c r="JJ491" s="645"/>
      <c r="JK491" s="645"/>
      <c r="JL491" s="645"/>
      <c r="JM491" s="645"/>
      <c r="JN491" s="645"/>
      <c r="JO491" s="645"/>
      <c r="JP491" s="645"/>
      <c r="JQ491" s="645"/>
      <c r="JR491" s="645"/>
      <c r="JS491" s="645"/>
      <c r="JT491" s="645"/>
      <c r="JU491" s="645"/>
      <c r="JV491" s="653"/>
    </row>
    <row r="492" spans="1:282" s="612" customFormat="1">
      <c r="A492" s="611"/>
      <c r="U492" s="613"/>
      <c r="V492" s="613"/>
      <c r="AC492" s="613"/>
      <c r="AD492" s="613"/>
      <c r="AL492" s="613"/>
      <c r="AM492" s="613"/>
      <c r="AT492" s="613"/>
      <c r="AU492" s="613"/>
      <c r="CH492" s="611"/>
      <c r="CI492" s="611"/>
      <c r="CO492" s="695"/>
      <c r="CP492" s="645"/>
      <c r="CQ492" s="618"/>
      <c r="CR492" s="618"/>
      <c r="CS492" s="618"/>
      <c r="CT492" s="626"/>
      <c r="CU492" s="626"/>
      <c r="CV492" s="626"/>
      <c r="CW492" s="646"/>
      <c r="CX492" s="646"/>
      <c r="CY492" s="625"/>
      <c r="CZ492" s="625"/>
      <c r="DA492" s="625"/>
      <c r="DB492" s="625"/>
      <c r="DC492" s="645"/>
      <c r="DD492" s="645"/>
      <c r="DE492" s="645"/>
      <c r="DF492" s="645"/>
      <c r="DG492" s="645"/>
      <c r="DH492" s="645"/>
      <c r="DI492" s="645"/>
      <c r="DJ492" s="645"/>
      <c r="DK492" s="645"/>
      <c r="DL492" s="645"/>
      <c r="DM492" s="645"/>
      <c r="DN492" s="645"/>
      <c r="DO492" s="645"/>
      <c r="DP492" s="645"/>
      <c r="DQ492" s="645"/>
      <c r="DR492" s="645"/>
      <c r="DS492" s="645"/>
      <c r="DT492" s="645"/>
      <c r="DU492" s="645"/>
      <c r="DV492" s="645"/>
      <c r="DW492" s="645"/>
      <c r="DX492" s="645"/>
      <c r="DY492" s="645"/>
      <c r="DZ492" s="645"/>
      <c r="EA492" s="645"/>
      <c r="EB492" s="645"/>
      <c r="EC492" s="645"/>
      <c r="ED492" s="645"/>
      <c r="EE492" s="645"/>
      <c r="EF492" s="645"/>
      <c r="EG492" s="645"/>
      <c r="EH492" s="645"/>
      <c r="EI492" s="645"/>
      <c r="EJ492" s="645"/>
      <c r="EK492" s="645"/>
      <c r="EL492" s="645"/>
      <c r="EM492" s="645"/>
      <c r="EN492" s="645"/>
      <c r="EO492" s="645"/>
      <c r="EP492" s="645"/>
      <c r="EQ492" s="645"/>
      <c r="ER492" s="645"/>
      <c r="ES492" s="645"/>
      <c r="ET492" s="645"/>
      <c r="EU492" s="645"/>
      <c r="EV492" s="645"/>
      <c r="EW492" s="645"/>
      <c r="EX492" s="645"/>
      <c r="EY492" s="645"/>
      <c r="EZ492" s="645"/>
      <c r="FA492" s="645"/>
      <c r="FB492" s="645"/>
      <c r="FC492" s="645"/>
      <c r="FD492" s="645"/>
      <c r="FE492" s="645"/>
      <c r="FF492" s="645"/>
      <c r="FG492" s="645"/>
      <c r="FH492" s="645"/>
      <c r="FI492" s="645"/>
      <c r="FJ492" s="645"/>
      <c r="FK492" s="645"/>
      <c r="FL492" s="645"/>
      <c r="FM492" s="645"/>
      <c r="FN492" s="645"/>
      <c r="FO492" s="645"/>
      <c r="FP492" s="645"/>
      <c r="FQ492" s="645"/>
      <c r="FR492" s="645"/>
      <c r="FS492" s="645"/>
      <c r="FT492" s="645"/>
      <c r="FU492" s="645"/>
      <c r="FV492" s="645"/>
      <c r="FW492" s="645"/>
      <c r="FX492" s="645"/>
      <c r="FY492" s="645"/>
      <c r="FZ492" s="645"/>
      <c r="GA492" s="645"/>
      <c r="GB492" s="645"/>
      <c r="GC492" s="645"/>
      <c r="GD492" s="645"/>
      <c r="GE492" s="645"/>
      <c r="GF492" s="645"/>
      <c r="GG492" s="645"/>
      <c r="GH492" s="645"/>
      <c r="GI492" s="645"/>
      <c r="GJ492" s="645"/>
      <c r="GK492" s="645"/>
      <c r="GL492" s="645"/>
      <c r="GM492" s="645"/>
      <c r="GN492" s="645"/>
      <c r="GO492" s="645"/>
      <c r="GP492" s="645"/>
      <c r="GQ492" s="645"/>
      <c r="GR492" s="645"/>
      <c r="GS492" s="645"/>
      <c r="GT492" s="645"/>
      <c r="GU492" s="645"/>
      <c r="GV492" s="645"/>
      <c r="GW492" s="645"/>
      <c r="GX492" s="645"/>
      <c r="GY492" s="645"/>
      <c r="GZ492" s="645"/>
      <c r="HA492" s="645"/>
      <c r="HB492" s="645"/>
      <c r="HC492" s="645"/>
      <c r="HD492" s="645"/>
      <c r="HE492" s="645"/>
      <c r="HF492" s="645"/>
      <c r="HG492" s="645"/>
      <c r="HH492" s="645"/>
      <c r="HI492" s="645"/>
      <c r="HJ492" s="645"/>
      <c r="HK492" s="645"/>
      <c r="HL492" s="645"/>
      <c r="HM492" s="645"/>
      <c r="HN492" s="645"/>
      <c r="HO492" s="645"/>
      <c r="HP492" s="645"/>
      <c r="HQ492" s="645"/>
      <c r="HR492" s="645">
        <v>0.2445</v>
      </c>
      <c r="HS492" s="645">
        <f t="shared" si="848"/>
        <v>1641.6428571428571</v>
      </c>
      <c r="HT492" s="645">
        <f t="shared" si="849"/>
        <v>1</v>
      </c>
      <c r="HU492" s="618">
        <f t="shared" si="850"/>
        <v>6.2289327268942758</v>
      </c>
      <c r="HV492" s="618"/>
      <c r="HW492" s="618">
        <f t="shared" si="835"/>
        <v>27.154915527810129</v>
      </c>
      <c r="HX492" s="618">
        <f t="shared" si="851"/>
        <v>5.4621534765625492</v>
      </c>
      <c r="HY492" s="618">
        <f t="shared" si="852"/>
        <v>0.2445</v>
      </c>
      <c r="HZ492" s="618"/>
      <c r="IA492" s="618"/>
      <c r="IB492" s="618">
        <f t="shared" si="836"/>
        <v>25.000350341399081</v>
      </c>
      <c r="IC492" s="618">
        <f t="shared" si="837"/>
        <v>1E-3</v>
      </c>
      <c r="ID492" s="618"/>
      <c r="IE492" s="618">
        <f t="shared" si="838"/>
        <v>0</v>
      </c>
      <c r="IF492" s="618">
        <f t="shared" si="839"/>
        <v>40.704999999999998</v>
      </c>
      <c r="IG492" s="618"/>
      <c r="IH492" s="618">
        <f t="shared" si="840"/>
        <v>0</v>
      </c>
      <c r="II492" s="618">
        <f t="shared" si="841"/>
        <v>40.704999999999998</v>
      </c>
      <c r="IJ492" s="618"/>
      <c r="IK492" s="618">
        <f t="shared" si="842"/>
        <v>0</v>
      </c>
      <c r="IL492" s="618">
        <f t="shared" si="843"/>
        <v>40.704999999999998</v>
      </c>
      <c r="IM492" s="618"/>
      <c r="IN492" s="618">
        <f t="shared" si="844"/>
        <v>0</v>
      </c>
      <c r="IO492" s="618">
        <f t="shared" si="845"/>
        <v>40.704999999999998</v>
      </c>
      <c r="IP492" s="618"/>
      <c r="IQ492" s="618">
        <f t="shared" si="846"/>
        <v>0</v>
      </c>
      <c r="IR492" s="618">
        <f t="shared" si="847"/>
        <v>40.704999999999998</v>
      </c>
      <c r="IS492" s="645"/>
      <c r="IT492" s="645"/>
      <c r="IU492" s="645"/>
      <c r="IV492" s="645"/>
      <c r="IW492" s="645"/>
      <c r="IX492" s="645"/>
      <c r="IY492" s="645"/>
      <c r="IZ492" s="645"/>
      <c r="JA492" s="645"/>
      <c r="JB492" s="645"/>
      <c r="JC492" s="645"/>
      <c r="JD492" s="645"/>
      <c r="JE492" s="645"/>
      <c r="JF492" s="645"/>
      <c r="JG492" s="645"/>
      <c r="JH492" s="645"/>
      <c r="JI492" s="645"/>
      <c r="JJ492" s="645"/>
      <c r="JK492" s="645"/>
      <c r="JL492" s="645"/>
      <c r="JM492" s="645"/>
      <c r="JN492" s="645"/>
      <c r="JO492" s="645"/>
      <c r="JP492" s="645"/>
      <c r="JQ492" s="645"/>
      <c r="JR492" s="645"/>
      <c r="JS492" s="645"/>
      <c r="JT492" s="645"/>
      <c r="JU492" s="645"/>
      <c r="JV492" s="653"/>
    </row>
    <row r="493" spans="1:282" s="612" customFormat="1">
      <c r="A493" s="611"/>
      <c r="U493" s="613"/>
      <c r="V493" s="613"/>
      <c r="AC493" s="613"/>
      <c r="AD493" s="613"/>
      <c r="AL493" s="613"/>
      <c r="AM493" s="613"/>
      <c r="AT493" s="613"/>
      <c r="AU493" s="613"/>
      <c r="CH493" s="611"/>
      <c r="CI493" s="611"/>
      <c r="CO493" s="695"/>
      <c r="CP493" s="645"/>
      <c r="CQ493" s="618"/>
      <c r="CR493" s="618"/>
      <c r="CS493" s="618"/>
      <c r="CT493" s="626"/>
      <c r="CU493" s="626"/>
      <c r="CV493" s="626"/>
      <c r="CW493" s="646"/>
      <c r="CX493" s="646"/>
      <c r="CY493" s="625"/>
      <c r="CZ493" s="625"/>
      <c r="DA493" s="625"/>
      <c r="DB493" s="625"/>
      <c r="DC493" s="645"/>
      <c r="DD493" s="645"/>
      <c r="DE493" s="645"/>
      <c r="DF493" s="645"/>
      <c r="DG493" s="645"/>
      <c r="DH493" s="645"/>
      <c r="DI493" s="645"/>
      <c r="DJ493" s="645"/>
      <c r="DK493" s="645"/>
      <c r="DL493" s="645"/>
      <c r="DM493" s="645"/>
      <c r="DN493" s="645"/>
      <c r="DO493" s="645"/>
      <c r="DP493" s="645"/>
      <c r="DQ493" s="645"/>
      <c r="DR493" s="645"/>
      <c r="DS493" s="645"/>
      <c r="DT493" s="645"/>
      <c r="DU493" s="645"/>
      <c r="DV493" s="645"/>
      <c r="DW493" s="645"/>
      <c r="DX493" s="645"/>
      <c r="DY493" s="645"/>
      <c r="DZ493" s="645"/>
      <c r="EA493" s="645"/>
      <c r="EB493" s="645"/>
      <c r="EC493" s="645"/>
      <c r="ED493" s="645"/>
      <c r="EE493" s="645"/>
      <c r="EF493" s="645"/>
      <c r="EG493" s="645"/>
      <c r="EH493" s="645"/>
      <c r="EI493" s="645"/>
      <c r="EJ493" s="645"/>
      <c r="EK493" s="645"/>
      <c r="EL493" s="645"/>
      <c r="EM493" s="645"/>
      <c r="EN493" s="645"/>
      <c r="EO493" s="645"/>
      <c r="EP493" s="645"/>
      <c r="EQ493" s="645"/>
      <c r="ER493" s="645"/>
      <c r="ES493" s="645"/>
      <c r="ET493" s="645"/>
      <c r="EU493" s="645"/>
      <c r="EV493" s="645"/>
      <c r="EW493" s="645"/>
      <c r="EX493" s="645"/>
      <c r="EY493" s="645"/>
      <c r="EZ493" s="645"/>
      <c r="FA493" s="645"/>
      <c r="FB493" s="645"/>
      <c r="FC493" s="645"/>
      <c r="FD493" s="645"/>
      <c r="FE493" s="645"/>
      <c r="FF493" s="645"/>
      <c r="FG493" s="645"/>
      <c r="FH493" s="645"/>
      <c r="FI493" s="645"/>
      <c r="FJ493" s="645"/>
      <c r="FK493" s="645"/>
      <c r="FL493" s="645"/>
      <c r="FM493" s="645"/>
      <c r="FN493" s="645"/>
      <c r="FO493" s="645"/>
      <c r="FP493" s="645"/>
      <c r="FQ493" s="645"/>
      <c r="FR493" s="645"/>
      <c r="FS493" s="645"/>
      <c r="FT493" s="645"/>
      <c r="FU493" s="645"/>
      <c r="FV493" s="645"/>
      <c r="FW493" s="645"/>
      <c r="FX493" s="645"/>
      <c r="FY493" s="645"/>
      <c r="FZ493" s="645"/>
      <c r="GA493" s="645"/>
      <c r="GB493" s="645"/>
      <c r="GC493" s="645"/>
      <c r="GD493" s="645"/>
      <c r="GE493" s="645"/>
      <c r="GF493" s="645"/>
      <c r="GG493" s="645"/>
      <c r="GH493" s="645"/>
      <c r="GI493" s="645"/>
      <c r="GJ493" s="645"/>
      <c r="GK493" s="645"/>
      <c r="GL493" s="645"/>
      <c r="GM493" s="645"/>
      <c r="GN493" s="645"/>
      <c r="GO493" s="645"/>
      <c r="GP493" s="645"/>
      <c r="GQ493" s="645"/>
      <c r="GR493" s="645"/>
      <c r="GS493" s="645"/>
      <c r="GT493" s="645"/>
      <c r="GU493" s="645"/>
      <c r="GV493" s="645"/>
      <c r="GW493" s="645"/>
      <c r="GX493" s="645"/>
      <c r="GY493" s="645"/>
      <c r="GZ493" s="645"/>
      <c r="HA493" s="645"/>
      <c r="HB493" s="645"/>
      <c r="HC493" s="645"/>
      <c r="HD493" s="645"/>
      <c r="HE493" s="645"/>
      <c r="HF493" s="645"/>
      <c r="HG493" s="645"/>
      <c r="HH493" s="645"/>
      <c r="HI493" s="645"/>
      <c r="HJ493" s="645"/>
      <c r="HK493" s="645"/>
      <c r="HL493" s="645"/>
      <c r="HM493" s="645"/>
      <c r="HN493" s="645"/>
      <c r="HO493" s="645"/>
      <c r="HP493" s="645"/>
      <c r="HQ493" s="645"/>
      <c r="HR493" s="645">
        <v>0.245</v>
      </c>
      <c r="HS493" s="645">
        <f t="shared" si="848"/>
        <v>1645</v>
      </c>
      <c r="HT493" s="645">
        <f t="shared" si="849"/>
        <v>1</v>
      </c>
      <c r="HU493" s="618">
        <f t="shared" si="850"/>
        <v>6.2416717708679004</v>
      </c>
      <c r="HV493" s="618"/>
      <c r="HW493" s="618">
        <f t="shared" si="835"/>
        <v>27.136826085367581</v>
      </c>
      <c r="HX493" s="618">
        <f t="shared" si="851"/>
        <v>5.471756177140497</v>
      </c>
      <c r="HY493" s="618">
        <f t="shared" si="852"/>
        <v>0.245</v>
      </c>
      <c r="HZ493" s="618"/>
      <c r="IA493" s="618"/>
      <c r="IB493" s="618">
        <f t="shared" si="836"/>
        <v>25.000350341399081</v>
      </c>
      <c r="IC493" s="618">
        <f t="shared" si="837"/>
        <v>1E-3</v>
      </c>
      <c r="ID493" s="618"/>
      <c r="IE493" s="618">
        <f t="shared" si="838"/>
        <v>0</v>
      </c>
      <c r="IF493" s="618">
        <f t="shared" si="839"/>
        <v>40.704999999999998</v>
      </c>
      <c r="IG493" s="618"/>
      <c r="IH493" s="618">
        <f t="shared" si="840"/>
        <v>0</v>
      </c>
      <c r="II493" s="618">
        <f t="shared" si="841"/>
        <v>40.704999999999998</v>
      </c>
      <c r="IJ493" s="618"/>
      <c r="IK493" s="618">
        <f t="shared" si="842"/>
        <v>0</v>
      </c>
      <c r="IL493" s="618">
        <f t="shared" si="843"/>
        <v>40.704999999999998</v>
      </c>
      <c r="IM493" s="618"/>
      <c r="IN493" s="618">
        <f t="shared" si="844"/>
        <v>0</v>
      </c>
      <c r="IO493" s="618">
        <f t="shared" si="845"/>
        <v>40.704999999999998</v>
      </c>
      <c r="IP493" s="618"/>
      <c r="IQ493" s="618">
        <f t="shared" si="846"/>
        <v>0</v>
      </c>
      <c r="IR493" s="618">
        <f t="shared" si="847"/>
        <v>40.704999999999998</v>
      </c>
      <c r="IS493" s="645"/>
      <c r="IT493" s="645"/>
      <c r="IU493" s="645"/>
      <c r="IV493" s="645"/>
      <c r="IW493" s="645"/>
      <c r="IX493" s="645"/>
      <c r="IY493" s="645"/>
      <c r="IZ493" s="645"/>
      <c r="JA493" s="645"/>
      <c r="JB493" s="645"/>
      <c r="JC493" s="645"/>
      <c r="JD493" s="645"/>
      <c r="JE493" s="645"/>
      <c r="JF493" s="645"/>
      <c r="JG493" s="645"/>
      <c r="JH493" s="645"/>
      <c r="JI493" s="645"/>
      <c r="JJ493" s="645"/>
      <c r="JK493" s="645"/>
      <c r="JL493" s="645"/>
      <c r="JM493" s="645"/>
      <c r="JN493" s="645"/>
      <c r="JO493" s="645"/>
      <c r="JP493" s="645"/>
      <c r="JQ493" s="645"/>
      <c r="JR493" s="645"/>
      <c r="JS493" s="645"/>
      <c r="JT493" s="645"/>
      <c r="JU493" s="645"/>
      <c r="JV493" s="653"/>
    </row>
    <row r="494" spans="1:282" s="612" customFormat="1">
      <c r="A494" s="611"/>
      <c r="U494" s="613"/>
      <c r="V494" s="613"/>
      <c r="AC494" s="613"/>
      <c r="AD494" s="613"/>
      <c r="AL494" s="613"/>
      <c r="AM494" s="613"/>
      <c r="AT494" s="613"/>
      <c r="AU494" s="613"/>
      <c r="CH494" s="611"/>
      <c r="CI494" s="611"/>
      <c r="CO494" s="695"/>
      <c r="CP494" s="645"/>
      <c r="CQ494" s="618"/>
      <c r="CR494" s="618"/>
      <c r="CS494" s="618"/>
      <c r="CT494" s="626"/>
      <c r="CU494" s="626"/>
      <c r="CV494" s="626"/>
      <c r="CW494" s="646"/>
      <c r="CX494" s="646"/>
      <c r="CY494" s="625"/>
      <c r="CZ494" s="625"/>
      <c r="DA494" s="625"/>
      <c r="DB494" s="625"/>
      <c r="DC494" s="645"/>
      <c r="DD494" s="645"/>
      <c r="DE494" s="645"/>
      <c r="DF494" s="645"/>
      <c r="DG494" s="645"/>
      <c r="DH494" s="645"/>
      <c r="DI494" s="645"/>
      <c r="DJ494" s="645"/>
      <c r="DK494" s="645"/>
      <c r="DL494" s="645"/>
      <c r="DM494" s="645"/>
      <c r="DN494" s="645"/>
      <c r="DO494" s="645"/>
      <c r="DP494" s="645"/>
      <c r="DQ494" s="645"/>
      <c r="DR494" s="645"/>
      <c r="DS494" s="645"/>
      <c r="DT494" s="645"/>
      <c r="DU494" s="645"/>
      <c r="DV494" s="645"/>
      <c r="DW494" s="645"/>
      <c r="DX494" s="645"/>
      <c r="DY494" s="645"/>
      <c r="DZ494" s="645"/>
      <c r="EA494" s="645"/>
      <c r="EB494" s="645"/>
      <c r="EC494" s="645"/>
      <c r="ED494" s="645"/>
      <c r="EE494" s="645"/>
      <c r="EF494" s="645"/>
      <c r="EG494" s="645"/>
      <c r="EH494" s="645"/>
      <c r="EI494" s="645"/>
      <c r="EJ494" s="645"/>
      <c r="EK494" s="645"/>
      <c r="EL494" s="645"/>
      <c r="EM494" s="645"/>
      <c r="EN494" s="645"/>
      <c r="EO494" s="645"/>
      <c r="EP494" s="645"/>
      <c r="EQ494" s="645"/>
      <c r="ER494" s="645"/>
      <c r="ES494" s="645"/>
      <c r="ET494" s="645"/>
      <c r="EU494" s="645"/>
      <c r="EV494" s="645"/>
      <c r="EW494" s="645"/>
      <c r="EX494" s="645"/>
      <c r="EY494" s="645"/>
      <c r="EZ494" s="645"/>
      <c r="FA494" s="645"/>
      <c r="FB494" s="645"/>
      <c r="FC494" s="645"/>
      <c r="FD494" s="645"/>
      <c r="FE494" s="645"/>
      <c r="FF494" s="645"/>
      <c r="FG494" s="645"/>
      <c r="FH494" s="645"/>
      <c r="FI494" s="645"/>
      <c r="FJ494" s="645"/>
      <c r="FK494" s="645"/>
      <c r="FL494" s="645"/>
      <c r="FM494" s="645"/>
      <c r="FN494" s="645"/>
      <c r="FO494" s="645"/>
      <c r="FP494" s="645"/>
      <c r="FQ494" s="645"/>
      <c r="FR494" s="645"/>
      <c r="FS494" s="645"/>
      <c r="FT494" s="645"/>
      <c r="FU494" s="645"/>
      <c r="FV494" s="645"/>
      <c r="FW494" s="645"/>
      <c r="FX494" s="645"/>
      <c r="FY494" s="645"/>
      <c r="FZ494" s="645"/>
      <c r="GA494" s="645"/>
      <c r="GB494" s="645"/>
      <c r="GC494" s="645"/>
      <c r="GD494" s="645"/>
      <c r="GE494" s="645"/>
      <c r="GF494" s="645"/>
      <c r="GG494" s="645"/>
      <c r="GH494" s="645"/>
      <c r="GI494" s="645"/>
      <c r="GJ494" s="645"/>
      <c r="GK494" s="645"/>
      <c r="GL494" s="645"/>
      <c r="GM494" s="645"/>
      <c r="GN494" s="645"/>
      <c r="GO494" s="645"/>
      <c r="GP494" s="645"/>
      <c r="GQ494" s="645"/>
      <c r="GR494" s="645"/>
      <c r="GS494" s="645"/>
      <c r="GT494" s="645"/>
      <c r="GU494" s="645"/>
      <c r="GV494" s="645"/>
      <c r="GW494" s="645"/>
      <c r="GX494" s="645"/>
      <c r="GY494" s="645"/>
      <c r="GZ494" s="645"/>
      <c r="HA494" s="645"/>
      <c r="HB494" s="645"/>
      <c r="HC494" s="645"/>
      <c r="HD494" s="645"/>
      <c r="HE494" s="645"/>
      <c r="HF494" s="645"/>
      <c r="HG494" s="645"/>
      <c r="HH494" s="645"/>
      <c r="HI494" s="645"/>
      <c r="HJ494" s="645"/>
      <c r="HK494" s="645"/>
      <c r="HL494" s="645"/>
      <c r="HM494" s="645"/>
      <c r="HN494" s="645"/>
      <c r="HO494" s="645"/>
      <c r="HP494" s="645"/>
      <c r="HQ494" s="645"/>
      <c r="HR494" s="645">
        <v>0.2455</v>
      </c>
      <c r="HS494" s="645">
        <f t="shared" si="848"/>
        <v>1648.3571428571429</v>
      </c>
      <c r="HT494" s="645">
        <f t="shared" si="849"/>
        <v>1</v>
      </c>
      <c r="HU494" s="618">
        <f t="shared" si="850"/>
        <v>6.2544108148415249</v>
      </c>
      <c r="HV494" s="618"/>
      <c r="HW494" s="618">
        <f t="shared" si="835"/>
        <v>27.118736642925036</v>
      </c>
      <c r="HX494" s="618">
        <f t="shared" si="851"/>
        <v>5.4813524765461459</v>
      </c>
      <c r="HY494" s="618">
        <f t="shared" si="852"/>
        <v>0.2455</v>
      </c>
      <c r="HZ494" s="618"/>
      <c r="IA494" s="618"/>
      <c r="IB494" s="618">
        <f t="shared" si="836"/>
        <v>25.000350341399081</v>
      </c>
      <c r="IC494" s="618">
        <f t="shared" si="837"/>
        <v>1E-3</v>
      </c>
      <c r="ID494" s="618"/>
      <c r="IE494" s="618">
        <f t="shared" si="838"/>
        <v>0</v>
      </c>
      <c r="IF494" s="618">
        <f t="shared" si="839"/>
        <v>40.704999999999998</v>
      </c>
      <c r="IG494" s="618"/>
      <c r="IH494" s="618">
        <f t="shared" si="840"/>
        <v>0</v>
      </c>
      <c r="II494" s="618">
        <f t="shared" si="841"/>
        <v>40.704999999999998</v>
      </c>
      <c r="IJ494" s="618"/>
      <c r="IK494" s="618">
        <f t="shared" si="842"/>
        <v>0</v>
      </c>
      <c r="IL494" s="618">
        <f t="shared" si="843"/>
        <v>40.704999999999998</v>
      </c>
      <c r="IM494" s="618"/>
      <c r="IN494" s="618">
        <f t="shared" si="844"/>
        <v>0</v>
      </c>
      <c r="IO494" s="618">
        <f t="shared" si="845"/>
        <v>40.704999999999998</v>
      </c>
      <c r="IP494" s="618"/>
      <c r="IQ494" s="618">
        <f t="shared" si="846"/>
        <v>0</v>
      </c>
      <c r="IR494" s="618">
        <f t="shared" si="847"/>
        <v>40.704999999999998</v>
      </c>
      <c r="IS494" s="645"/>
      <c r="IT494" s="645"/>
      <c r="IU494" s="645"/>
      <c r="IV494" s="645"/>
      <c r="IW494" s="645"/>
      <c r="IX494" s="645"/>
      <c r="IY494" s="645"/>
      <c r="IZ494" s="645"/>
      <c r="JA494" s="645"/>
      <c r="JB494" s="645"/>
      <c r="JC494" s="645"/>
      <c r="JD494" s="645"/>
      <c r="JE494" s="645"/>
      <c r="JF494" s="645"/>
      <c r="JG494" s="645"/>
      <c r="JH494" s="645"/>
      <c r="JI494" s="645"/>
      <c r="JJ494" s="645"/>
      <c r="JK494" s="645"/>
      <c r="JL494" s="645"/>
      <c r="JM494" s="645"/>
      <c r="JN494" s="645"/>
      <c r="JO494" s="645"/>
      <c r="JP494" s="645"/>
      <c r="JQ494" s="645"/>
      <c r="JR494" s="645"/>
      <c r="JS494" s="645"/>
      <c r="JT494" s="645"/>
      <c r="JU494" s="645"/>
      <c r="JV494" s="653"/>
    </row>
    <row r="495" spans="1:282" s="612" customFormat="1">
      <c r="A495" s="611"/>
      <c r="U495" s="613"/>
      <c r="V495" s="613"/>
      <c r="AC495" s="613"/>
      <c r="AD495" s="613"/>
      <c r="AL495" s="613"/>
      <c r="AM495" s="613"/>
      <c r="AT495" s="613"/>
      <c r="AU495" s="613"/>
      <c r="CH495" s="611"/>
      <c r="CI495" s="611"/>
      <c r="CO495" s="695"/>
      <c r="CP495" s="645"/>
      <c r="CQ495" s="618"/>
      <c r="CR495" s="618"/>
      <c r="CS495" s="618"/>
      <c r="CT495" s="626"/>
      <c r="CU495" s="626"/>
      <c r="CV495" s="626"/>
      <c r="CW495" s="646"/>
      <c r="CX495" s="646"/>
      <c r="CY495" s="625"/>
      <c r="CZ495" s="625"/>
      <c r="DA495" s="625"/>
      <c r="DB495" s="625"/>
      <c r="DC495" s="645"/>
      <c r="DD495" s="645"/>
      <c r="DE495" s="645"/>
      <c r="DF495" s="645"/>
      <c r="DG495" s="645"/>
      <c r="DH495" s="645"/>
      <c r="DI495" s="645"/>
      <c r="DJ495" s="645"/>
      <c r="DK495" s="645"/>
      <c r="DL495" s="645"/>
      <c r="DM495" s="645"/>
      <c r="DN495" s="645"/>
      <c r="DO495" s="645"/>
      <c r="DP495" s="645"/>
      <c r="DQ495" s="645"/>
      <c r="DR495" s="645"/>
      <c r="DS495" s="645"/>
      <c r="DT495" s="645"/>
      <c r="DU495" s="645"/>
      <c r="DV495" s="645"/>
      <c r="DW495" s="645"/>
      <c r="DX495" s="645"/>
      <c r="DY495" s="645"/>
      <c r="DZ495" s="645"/>
      <c r="EA495" s="645"/>
      <c r="EB495" s="645"/>
      <c r="EC495" s="645"/>
      <c r="ED495" s="645"/>
      <c r="EE495" s="645"/>
      <c r="EF495" s="645"/>
      <c r="EG495" s="645"/>
      <c r="EH495" s="645"/>
      <c r="EI495" s="645"/>
      <c r="EJ495" s="645"/>
      <c r="EK495" s="645"/>
      <c r="EL495" s="645"/>
      <c r="EM495" s="645"/>
      <c r="EN495" s="645"/>
      <c r="EO495" s="645"/>
      <c r="EP495" s="645"/>
      <c r="EQ495" s="645"/>
      <c r="ER495" s="645"/>
      <c r="ES495" s="645"/>
      <c r="ET495" s="645"/>
      <c r="EU495" s="645"/>
      <c r="EV495" s="645"/>
      <c r="EW495" s="645"/>
      <c r="EX495" s="645"/>
      <c r="EY495" s="645"/>
      <c r="EZ495" s="645"/>
      <c r="FA495" s="645"/>
      <c r="FB495" s="645"/>
      <c r="FC495" s="645"/>
      <c r="FD495" s="645"/>
      <c r="FE495" s="645"/>
      <c r="FF495" s="645"/>
      <c r="FG495" s="645"/>
      <c r="FH495" s="645"/>
      <c r="FI495" s="645"/>
      <c r="FJ495" s="645"/>
      <c r="FK495" s="645"/>
      <c r="FL495" s="645"/>
      <c r="FM495" s="645"/>
      <c r="FN495" s="645"/>
      <c r="FO495" s="645"/>
      <c r="FP495" s="645"/>
      <c r="FQ495" s="645"/>
      <c r="FR495" s="645"/>
      <c r="FS495" s="645"/>
      <c r="FT495" s="645"/>
      <c r="FU495" s="645"/>
      <c r="FV495" s="645"/>
      <c r="FW495" s="645"/>
      <c r="FX495" s="645"/>
      <c r="FY495" s="645"/>
      <c r="FZ495" s="645"/>
      <c r="GA495" s="645"/>
      <c r="GB495" s="645"/>
      <c r="GC495" s="645"/>
      <c r="GD495" s="645"/>
      <c r="GE495" s="645"/>
      <c r="GF495" s="645"/>
      <c r="GG495" s="645"/>
      <c r="GH495" s="645"/>
      <c r="GI495" s="645"/>
      <c r="GJ495" s="645"/>
      <c r="GK495" s="645"/>
      <c r="GL495" s="645"/>
      <c r="GM495" s="645"/>
      <c r="GN495" s="645"/>
      <c r="GO495" s="645"/>
      <c r="GP495" s="645"/>
      <c r="GQ495" s="645"/>
      <c r="GR495" s="645"/>
      <c r="GS495" s="645"/>
      <c r="GT495" s="645"/>
      <c r="GU495" s="645"/>
      <c r="GV495" s="645"/>
      <c r="GW495" s="645"/>
      <c r="GX495" s="645"/>
      <c r="GY495" s="645"/>
      <c r="GZ495" s="645"/>
      <c r="HA495" s="645"/>
      <c r="HB495" s="645"/>
      <c r="HC495" s="645"/>
      <c r="HD495" s="645"/>
      <c r="HE495" s="645"/>
      <c r="HF495" s="645"/>
      <c r="HG495" s="645"/>
      <c r="HH495" s="645"/>
      <c r="HI495" s="645"/>
      <c r="HJ495" s="645"/>
      <c r="HK495" s="645"/>
      <c r="HL495" s="645"/>
      <c r="HM495" s="645"/>
      <c r="HN495" s="645"/>
      <c r="HO495" s="645"/>
      <c r="HP495" s="645"/>
      <c r="HQ495" s="645"/>
      <c r="HR495" s="645">
        <v>0.246</v>
      </c>
      <c r="HS495" s="645">
        <f t="shared" si="848"/>
        <v>1651.7142857142858</v>
      </c>
      <c r="HT495" s="645">
        <f t="shared" si="849"/>
        <v>1</v>
      </c>
      <c r="HU495" s="618">
        <f t="shared" si="850"/>
        <v>6.2671498588151495</v>
      </c>
      <c r="HV495" s="618"/>
      <c r="HW495" s="618">
        <f t="shared" si="835"/>
        <v>27.100647200482488</v>
      </c>
      <c r="HX495" s="618">
        <f t="shared" si="851"/>
        <v>5.4909423747794968</v>
      </c>
      <c r="HY495" s="618">
        <f t="shared" si="852"/>
        <v>0.246</v>
      </c>
      <c r="HZ495" s="618"/>
      <c r="IA495" s="618"/>
      <c r="IB495" s="618">
        <f t="shared" si="836"/>
        <v>25.000350341399081</v>
      </c>
      <c r="IC495" s="618">
        <f t="shared" si="837"/>
        <v>1E-3</v>
      </c>
      <c r="ID495" s="618"/>
      <c r="IE495" s="618">
        <f t="shared" si="838"/>
        <v>0</v>
      </c>
      <c r="IF495" s="618">
        <f t="shared" si="839"/>
        <v>40.704999999999998</v>
      </c>
      <c r="IG495" s="618"/>
      <c r="IH495" s="618">
        <f t="shared" si="840"/>
        <v>0</v>
      </c>
      <c r="II495" s="618">
        <f t="shared" si="841"/>
        <v>40.704999999999998</v>
      </c>
      <c r="IJ495" s="618"/>
      <c r="IK495" s="618">
        <f t="shared" si="842"/>
        <v>0</v>
      </c>
      <c r="IL495" s="618">
        <f t="shared" si="843"/>
        <v>40.704999999999998</v>
      </c>
      <c r="IM495" s="618"/>
      <c r="IN495" s="618">
        <f t="shared" si="844"/>
        <v>0</v>
      </c>
      <c r="IO495" s="618">
        <f t="shared" si="845"/>
        <v>40.704999999999998</v>
      </c>
      <c r="IP495" s="618"/>
      <c r="IQ495" s="618">
        <f t="shared" si="846"/>
        <v>0</v>
      </c>
      <c r="IR495" s="618">
        <f t="shared" si="847"/>
        <v>40.704999999999998</v>
      </c>
      <c r="IS495" s="645"/>
      <c r="IT495" s="645"/>
      <c r="IU495" s="645"/>
      <c r="IV495" s="645"/>
      <c r="IW495" s="645"/>
      <c r="IX495" s="645"/>
      <c r="IY495" s="645"/>
      <c r="IZ495" s="645"/>
      <c r="JA495" s="645"/>
      <c r="JB495" s="645"/>
      <c r="JC495" s="645"/>
      <c r="JD495" s="645"/>
      <c r="JE495" s="645"/>
      <c r="JF495" s="645"/>
      <c r="JG495" s="645"/>
      <c r="JH495" s="645"/>
      <c r="JI495" s="645"/>
      <c r="JJ495" s="645"/>
      <c r="JK495" s="645"/>
      <c r="JL495" s="645"/>
      <c r="JM495" s="645"/>
      <c r="JN495" s="645"/>
      <c r="JO495" s="645"/>
      <c r="JP495" s="645"/>
      <c r="JQ495" s="645"/>
      <c r="JR495" s="645"/>
      <c r="JS495" s="645"/>
      <c r="JT495" s="645"/>
      <c r="JU495" s="645"/>
      <c r="JV495" s="653"/>
    </row>
    <row r="496" spans="1:282" s="612" customFormat="1">
      <c r="A496" s="611"/>
      <c r="U496" s="613"/>
      <c r="V496" s="613"/>
      <c r="AC496" s="613"/>
      <c r="AD496" s="613"/>
      <c r="AL496" s="613"/>
      <c r="AM496" s="613"/>
      <c r="AT496" s="613"/>
      <c r="AU496" s="613"/>
      <c r="CH496" s="611"/>
      <c r="CI496" s="611"/>
      <c r="CO496" s="695"/>
      <c r="CP496" s="645"/>
      <c r="CQ496" s="618"/>
      <c r="CR496" s="618"/>
      <c r="CS496" s="618"/>
      <c r="CT496" s="626"/>
      <c r="CU496" s="626"/>
      <c r="CV496" s="626"/>
      <c r="CW496" s="646"/>
      <c r="CX496" s="646"/>
      <c r="CY496" s="625"/>
      <c r="CZ496" s="625"/>
      <c r="DA496" s="625"/>
      <c r="DB496" s="625"/>
      <c r="DC496" s="645"/>
      <c r="DD496" s="645"/>
      <c r="DE496" s="645"/>
      <c r="DF496" s="645"/>
      <c r="DG496" s="645"/>
      <c r="DH496" s="645"/>
      <c r="DI496" s="645"/>
      <c r="DJ496" s="645"/>
      <c r="DK496" s="645"/>
      <c r="DL496" s="645"/>
      <c r="DM496" s="645"/>
      <c r="DN496" s="645"/>
      <c r="DO496" s="645"/>
      <c r="DP496" s="645"/>
      <c r="DQ496" s="645"/>
      <c r="DR496" s="645"/>
      <c r="DS496" s="645"/>
      <c r="DT496" s="645"/>
      <c r="DU496" s="645"/>
      <c r="DV496" s="645"/>
      <c r="DW496" s="645"/>
      <c r="DX496" s="645"/>
      <c r="DY496" s="645"/>
      <c r="DZ496" s="645"/>
      <c r="EA496" s="645"/>
      <c r="EB496" s="645"/>
      <c r="EC496" s="645"/>
      <c r="ED496" s="645"/>
      <c r="EE496" s="645"/>
      <c r="EF496" s="645"/>
      <c r="EG496" s="645"/>
      <c r="EH496" s="645"/>
      <c r="EI496" s="645"/>
      <c r="EJ496" s="645"/>
      <c r="EK496" s="645"/>
      <c r="EL496" s="645"/>
      <c r="EM496" s="645"/>
      <c r="EN496" s="645"/>
      <c r="EO496" s="645"/>
      <c r="EP496" s="645"/>
      <c r="EQ496" s="645"/>
      <c r="ER496" s="645"/>
      <c r="ES496" s="645"/>
      <c r="ET496" s="645"/>
      <c r="EU496" s="645"/>
      <c r="EV496" s="645"/>
      <c r="EW496" s="645"/>
      <c r="EX496" s="645"/>
      <c r="EY496" s="645"/>
      <c r="EZ496" s="645"/>
      <c r="FA496" s="645"/>
      <c r="FB496" s="645"/>
      <c r="FC496" s="645"/>
      <c r="FD496" s="645"/>
      <c r="FE496" s="645"/>
      <c r="FF496" s="645"/>
      <c r="FG496" s="645"/>
      <c r="FH496" s="645"/>
      <c r="FI496" s="645"/>
      <c r="FJ496" s="645"/>
      <c r="FK496" s="645"/>
      <c r="FL496" s="645"/>
      <c r="FM496" s="645"/>
      <c r="FN496" s="645"/>
      <c r="FO496" s="645"/>
      <c r="FP496" s="645"/>
      <c r="FQ496" s="645"/>
      <c r="FR496" s="645"/>
      <c r="FS496" s="645"/>
      <c r="FT496" s="645"/>
      <c r="FU496" s="645"/>
      <c r="FV496" s="645"/>
      <c r="FW496" s="645"/>
      <c r="FX496" s="645"/>
      <c r="FY496" s="645"/>
      <c r="FZ496" s="645"/>
      <c r="GA496" s="645"/>
      <c r="GB496" s="645"/>
      <c r="GC496" s="645"/>
      <c r="GD496" s="645"/>
      <c r="GE496" s="645"/>
      <c r="GF496" s="645"/>
      <c r="GG496" s="645"/>
      <c r="GH496" s="645"/>
      <c r="GI496" s="645"/>
      <c r="GJ496" s="645"/>
      <c r="GK496" s="645"/>
      <c r="GL496" s="645"/>
      <c r="GM496" s="645"/>
      <c r="GN496" s="645"/>
      <c r="GO496" s="645"/>
      <c r="GP496" s="645"/>
      <c r="GQ496" s="645"/>
      <c r="GR496" s="645"/>
      <c r="GS496" s="645"/>
      <c r="GT496" s="645"/>
      <c r="GU496" s="645"/>
      <c r="GV496" s="645"/>
      <c r="GW496" s="645"/>
      <c r="GX496" s="645"/>
      <c r="GY496" s="645"/>
      <c r="GZ496" s="645"/>
      <c r="HA496" s="645"/>
      <c r="HB496" s="645"/>
      <c r="HC496" s="645"/>
      <c r="HD496" s="645"/>
      <c r="HE496" s="645"/>
      <c r="HF496" s="645"/>
      <c r="HG496" s="645"/>
      <c r="HH496" s="645"/>
      <c r="HI496" s="645"/>
      <c r="HJ496" s="645"/>
      <c r="HK496" s="645"/>
      <c r="HL496" s="645"/>
      <c r="HM496" s="645"/>
      <c r="HN496" s="645"/>
      <c r="HO496" s="645"/>
      <c r="HP496" s="645"/>
      <c r="HQ496" s="645"/>
      <c r="HR496" s="645">
        <v>0.2465</v>
      </c>
      <c r="HS496" s="645">
        <f t="shared" si="848"/>
        <v>1655.0714285714284</v>
      </c>
      <c r="HT496" s="645">
        <f t="shared" si="849"/>
        <v>1</v>
      </c>
      <c r="HU496" s="618">
        <f t="shared" si="850"/>
        <v>6.2798889027887741</v>
      </c>
      <c r="HV496" s="618"/>
      <c r="HW496" s="618">
        <f t="shared" si="835"/>
        <v>27.08255775803994</v>
      </c>
      <c r="HX496" s="618">
        <f t="shared" si="851"/>
        <v>5.5005258718405496</v>
      </c>
      <c r="HY496" s="618">
        <f t="shared" si="852"/>
        <v>0.2465</v>
      </c>
      <c r="HZ496" s="618"/>
      <c r="IA496" s="618"/>
      <c r="IB496" s="618">
        <f t="shared" si="836"/>
        <v>25.000350341399081</v>
      </c>
      <c r="IC496" s="618">
        <f t="shared" si="837"/>
        <v>1E-3</v>
      </c>
      <c r="ID496" s="618"/>
      <c r="IE496" s="618">
        <f t="shared" si="838"/>
        <v>0</v>
      </c>
      <c r="IF496" s="618">
        <f t="shared" si="839"/>
        <v>40.704999999999998</v>
      </c>
      <c r="IG496" s="618"/>
      <c r="IH496" s="618">
        <f t="shared" si="840"/>
        <v>0</v>
      </c>
      <c r="II496" s="618">
        <f t="shared" si="841"/>
        <v>40.704999999999998</v>
      </c>
      <c r="IJ496" s="618"/>
      <c r="IK496" s="618">
        <f t="shared" si="842"/>
        <v>0</v>
      </c>
      <c r="IL496" s="618">
        <f t="shared" si="843"/>
        <v>40.704999999999998</v>
      </c>
      <c r="IM496" s="618"/>
      <c r="IN496" s="618">
        <f t="shared" si="844"/>
        <v>0</v>
      </c>
      <c r="IO496" s="618">
        <f t="shared" si="845"/>
        <v>40.704999999999998</v>
      </c>
      <c r="IP496" s="618"/>
      <c r="IQ496" s="618">
        <f t="shared" si="846"/>
        <v>0</v>
      </c>
      <c r="IR496" s="618">
        <f t="shared" si="847"/>
        <v>40.704999999999998</v>
      </c>
      <c r="IS496" s="645"/>
      <c r="IT496" s="645"/>
      <c r="IU496" s="645"/>
      <c r="IV496" s="645"/>
      <c r="IW496" s="645"/>
      <c r="IX496" s="645"/>
      <c r="IY496" s="645"/>
      <c r="IZ496" s="645"/>
      <c r="JA496" s="645"/>
      <c r="JB496" s="645"/>
      <c r="JC496" s="645"/>
      <c r="JD496" s="645"/>
      <c r="JE496" s="645"/>
      <c r="JF496" s="645"/>
      <c r="JG496" s="645"/>
      <c r="JH496" s="645"/>
      <c r="JI496" s="645"/>
      <c r="JJ496" s="645"/>
      <c r="JK496" s="645"/>
      <c r="JL496" s="645"/>
      <c r="JM496" s="645"/>
      <c r="JN496" s="645"/>
      <c r="JO496" s="645"/>
      <c r="JP496" s="645"/>
      <c r="JQ496" s="645"/>
      <c r="JR496" s="645"/>
      <c r="JS496" s="645"/>
      <c r="JT496" s="645"/>
      <c r="JU496" s="645"/>
      <c r="JV496" s="653"/>
    </row>
    <row r="497" spans="1:298" s="612" customFormat="1">
      <c r="A497" s="611"/>
      <c r="U497" s="613"/>
      <c r="V497" s="613"/>
      <c r="AC497" s="613"/>
      <c r="AD497" s="613"/>
      <c r="AL497" s="613"/>
      <c r="AM497" s="613"/>
      <c r="AT497" s="613"/>
      <c r="AU497" s="613"/>
      <c r="CH497" s="611"/>
      <c r="CI497" s="611"/>
      <c r="CO497" s="695"/>
      <c r="CP497" s="645"/>
      <c r="CQ497" s="618"/>
      <c r="CR497" s="618"/>
      <c r="CS497" s="618"/>
      <c r="CT497" s="626"/>
      <c r="CU497" s="626"/>
      <c r="CV497" s="626"/>
      <c r="CW497" s="646"/>
      <c r="CX497" s="646"/>
      <c r="CY497" s="625"/>
      <c r="CZ497" s="625"/>
      <c r="DA497" s="625"/>
      <c r="DB497" s="625"/>
      <c r="DC497" s="645"/>
      <c r="DD497" s="645"/>
      <c r="DE497" s="645"/>
      <c r="DF497" s="645"/>
      <c r="DG497" s="645"/>
      <c r="DH497" s="645"/>
      <c r="DI497" s="645"/>
      <c r="DJ497" s="645"/>
      <c r="DK497" s="645"/>
      <c r="DL497" s="645"/>
      <c r="DM497" s="645"/>
      <c r="DN497" s="645"/>
      <c r="DO497" s="645"/>
      <c r="DP497" s="645"/>
      <c r="DQ497" s="645"/>
      <c r="DR497" s="645"/>
      <c r="DS497" s="645"/>
      <c r="DT497" s="645"/>
      <c r="DU497" s="645"/>
      <c r="DV497" s="645"/>
      <c r="DW497" s="645"/>
      <c r="DX497" s="645"/>
      <c r="DY497" s="645"/>
      <c r="DZ497" s="645"/>
      <c r="EA497" s="645"/>
      <c r="EB497" s="645"/>
      <c r="EC497" s="645"/>
      <c r="ED497" s="645"/>
      <c r="EE497" s="645"/>
      <c r="EF497" s="645"/>
      <c r="EG497" s="645"/>
      <c r="EH497" s="645"/>
      <c r="EI497" s="645"/>
      <c r="EJ497" s="645"/>
      <c r="EK497" s="645"/>
      <c r="EL497" s="645"/>
      <c r="EM497" s="645"/>
      <c r="EN497" s="645"/>
      <c r="EO497" s="645"/>
      <c r="EP497" s="645"/>
      <c r="EQ497" s="645"/>
      <c r="ER497" s="645"/>
      <c r="ES497" s="645"/>
      <c r="ET497" s="645"/>
      <c r="EU497" s="645"/>
      <c r="EV497" s="645"/>
      <c r="EW497" s="645"/>
      <c r="EX497" s="645"/>
      <c r="EY497" s="645"/>
      <c r="EZ497" s="645"/>
      <c r="FA497" s="645"/>
      <c r="FB497" s="645"/>
      <c r="FC497" s="645"/>
      <c r="FD497" s="645"/>
      <c r="FE497" s="645"/>
      <c r="FF497" s="645"/>
      <c r="FG497" s="645"/>
      <c r="FH497" s="645"/>
      <c r="FI497" s="645"/>
      <c r="FJ497" s="645"/>
      <c r="FK497" s="645"/>
      <c r="FL497" s="645"/>
      <c r="FM497" s="645"/>
      <c r="FN497" s="645"/>
      <c r="FO497" s="645"/>
      <c r="FP497" s="645"/>
      <c r="FQ497" s="645"/>
      <c r="FR497" s="645"/>
      <c r="FS497" s="645"/>
      <c r="FT497" s="645"/>
      <c r="FU497" s="645"/>
      <c r="FV497" s="645"/>
      <c r="FW497" s="645"/>
      <c r="FX497" s="645"/>
      <c r="FY497" s="645"/>
      <c r="FZ497" s="645"/>
      <c r="GA497" s="645"/>
      <c r="GB497" s="645"/>
      <c r="GC497" s="645"/>
      <c r="GD497" s="645"/>
      <c r="GE497" s="645"/>
      <c r="GF497" s="645"/>
      <c r="GG497" s="645"/>
      <c r="GH497" s="645"/>
      <c r="GI497" s="645"/>
      <c r="GJ497" s="645"/>
      <c r="GK497" s="645"/>
      <c r="GL497" s="645"/>
      <c r="GM497" s="645"/>
      <c r="GN497" s="645"/>
      <c r="GO497" s="645"/>
      <c r="GP497" s="645"/>
      <c r="GQ497" s="645"/>
      <c r="GR497" s="645"/>
      <c r="GS497" s="645"/>
      <c r="GT497" s="645"/>
      <c r="GU497" s="645"/>
      <c r="GV497" s="645"/>
      <c r="GW497" s="645"/>
      <c r="GX497" s="645"/>
      <c r="GY497" s="645"/>
      <c r="GZ497" s="645"/>
      <c r="HA497" s="645"/>
      <c r="HB497" s="645"/>
      <c r="HC497" s="645"/>
      <c r="HD497" s="645"/>
      <c r="HE497" s="645"/>
      <c r="HF497" s="645"/>
      <c r="HG497" s="645"/>
      <c r="HH497" s="645"/>
      <c r="HI497" s="645"/>
      <c r="HJ497" s="645"/>
      <c r="HK497" s="645"/>
      <c r="HL497" s="645"/>
      <c r="HM497" s="645"/>
      <c r="HN497" s="645"/>
      <c r="HO497" s="645"/>
      <c r="HP497" s="645"/>
      <c r="HQ497" s="645"/>
      <c r="HR497" s="645">
        <v>0.247</v>
      </c>
      <c r="HS497" s="645">
        <f t="shared" si="848"/>
        <v>1658.4285714285713</v>
      </c>
      <c r="HT497" s="645">
        <f t="shared" si="849"/>
        <v>1</v>
      </c>
      <c r="HU497" s="618">
        <f t="shared" si="850"/>
        <v>6.2926279467623987</v>
      </c>
      <c r="HV497" s="618"/>
      <c r="HW497" s="618">
        <f t="shared" si="835"/>
        <v>27.064468315597395</v>
      </c>
      <c r="HX497" s="618">
        <f t="shared" si="851"/>
        <v>5.5101029677293045</v>
      </c>
      <c r="HY497" s="618">
        <f t="shared" si="852"/>
        <v>0.247</v>
      </c>
      <c r="HZ497" s="618"/>
      <c r="IA497" s="618"/>
      <c r="IB497" s="618">
        <f t="shared" si="836"/>
        <v>25.000350341399081</v>
      </c>
      <c r="IC497" s="618">
        <f t="shared" si="837"/>
        <v>1E-3</v>
      </c>
      <c r="ID497" s="618"/>
      <c r="IE497" s="618">
        <f t="shared" si="838"/>
        <v>0</v>
      </c>
      <c r="IF497" s="618">
        <f t="shared" si="839"/>
        <v>40.704999999999998</v>
      </c>
      <c r="IG497" s="618"/>
      <c r="IH497" s="618">
        <f t="shared" si="840"/>
        <v>0</v>
      </c>
      <c r="II497" s="618">
        <f t="shared" si="841"/>
        <v>40.704999999999998</v>
      </c>
      <c r="IJ497" s="618"/>
      <c r="IK497" s="618">
        <f t="shared" si="842"/>
        <v>0</v>
      </c>
      <c r="IL497" s="618">
        <f t="shared" si="843"/>
        <v>40.704999999999998</v>
      </c>
      <c r="IM497" s="618"/>
      <c r="IN497" s="618">
        <f t="shared" si="844"/>
        <v>0</v>
      </c>
      <c r="IO497" s="618">
        <f t="shared" si="845"/>
        <v>40.704999999999998</v>
      </c>
      <c r="IP497" s="618"/>
      <c r="IQ497" s="618">
        <f t="shared" si="846"/>
        <v>0</v>
      </c>
      <c r="IR497" s="618">
        <f t="shared" si="847"/>
        <v>40.704999999999998</v>
      </c>
      <c r="IS497" s="645"/>
      <c r="IT497" s="645"/>
      <c r="IU497" s="645"/>
      <c r="IV497" s="645"/>
      <c r="IW497" s="645"/>
      <c r="IX497" s="645"/>
      <c r="IY497" s="645"/>
      <c r="IZ497" s="645"/>
      <c r="JA497" s="645"/>
      <c r="JB497" s="645"/>
      <c r="JC497" s="645"/>
      <c r="JD497" s="645"/>
      <c r="JE497" s="645"/>
      <c r="JF497" s="645"/>
      <c r="JG497" s="645"/>
      <c r="JH497" s="645"/>
      <c r="JI497" s="645"/>
      <c r="JJ497" s="645"/>
      <c r="JK497" s="645"/>
      <c r="JL497" s="645"/>
      <c r="JM497" s="645"/>
      <c r="JN497" s="645"/>
      <c r="JO497" s="645"/>
      <c r="JP497" s="645"/>
      <c r="JQ497" s="645"/>
      <c r="JR497" s="645"/>
      <c r="JS497" s="645"/>
      <c r="JT497" s="645"/>
      <c r="JU497" s="645"/>
      <c r="JV497" s="653"/>
    </row>
    <row r="498" spans="1:298" s="612" customFormat="1">
      <c r="A498" s="611"/>
      <c r="U498" s="613"/>
      <c r="V498" s="613"/>
      <c r="AC498" s="613"/>
      <c r="AD498" s="613"/>
      <c r="AL498" s="613"/>
      <c r="AM498" s="613"/>
      <c r="AT498" s="613"/>
      <c r="AU498" s="613"/>
      <c r="CH498" s="611"/>
      <c r="CI498" s="611"/>
      <c r="CO498" s="695"/>
      <c r="CP498" s="645"/>
      <c r="CQ498" s="618"/>
      <c r="CR498" s="618"/>
      <c r="CS498" s="618"/>
      <c r="CT498" s="626"/>
      <c r="CU498" s="626"/>
      <c r="CV498" s="626"/>
      <c r="CW498" s="646"/>
      <c r="CX498" s="646"/>
      <c r="CY498" s="625"/>
      <c r="CZ498" s="625"/>
      <c r="DA498" s="625"/>
      <c r="DB498" s="625"/>
      <c r="DC498" s="645"/>
      <c r="DD498" s="645"/>
      <c r="DE498" s="645"/>
      <c r="DF498" s="645"/>
      <c r="DG498" s="645"/>
      <c r="DH498" s="645"/>
      <c r="DI498" s="645"/>
      <c r="DJ498" s="645"/>
      <c r="DK498" s="645"/>
      <c r="DL498" s="645"/>
      <c r="DM498" s="645"/>
      <c r="DN498" s="645"/>
      <c r="DO498" s="645"/>
      <c r="DP498" s="645"/>
      <c r="DQ498" s="645"/>
      <c r="DR498" s="645"/>
      <c r="DS498" s="645"/>
      <c r="DT498" s="645"/>
      <c r="DU498" s="645"/>
      <c r="DV498" s="645"/>
      <c r="DW498" s="645"/>
      <c r="DX498" s="645"/>
      <c r="DY498" s="645"/>
      <c r="DZ498" s="645"/>
      <c r="EA498" s="645"/>
      <c r="EB498" s="645"/>
      <c r="EC498" s="645"/>
      <c r="ED498" s="645"/>
      <c r="EE498" s="645"/>
      <c r="EF498" s="645"/>
      <c r="EG498" s="645"/>
      <c r="EH498" s="645"/>
      <c r="EI498" s="645"/>
      <c r="EJ498" s="645"/>
      <c r="EK498" s="645"/>
      <c r="EL498" s="645"/>
      <c r="EM498" s="645"/>
      <c r="EN498" s="645"/>
      <c r="EO498" s="645"/>
      <c r="EP498" s="645"/>
      <c r="EQ498" s="645"/>
      <c r="ER498" s="645"/>
      <c r="ES498" s="645"/>
      <c r="ET498" s="645"/>
      <c r="EU498" s="645"/>
      <c r="EV498" s="645"/>
      <c r="EW498" s="645"/>
      <c r="EX498" s="645"/>
      <c r="EY498" s="645"/>
      <c r="EZ498" s="645"/>
      <c r="FA498" s="645"/>
      <c r="FB498" s="645"/>
      <c r="FC498" s="645"/>
      <c r="FD498" s="645"/>
      <c r="FE498" s="645"/>
      <c r="FF498" s="645"/>
      <c r="FG498" s="645"/>
      <c r="FH498" s="645"/>
      <c r="FI498" s="645"/>
      <c r="FJ498" s="645"/>
      <c r="FK498" s="645"/>
      <c r="FL498" s="645"/>
      <c r="FM498" s="645"/>
      <c r="FN498" s="645"/>
      <c r="FO498" s="645"/>
      <c r="FP498" s="645"/>
      <c r="FQ498" s="645"/>
      <c r="FR498" s="645"/>
      <c r="FS498" s="645"/>
      <c r="FT498" s="645"/>
      <c r="FU498" s="645"/>
      <c r="FV498" s="645"/>
      <c r="FW498" s="645"/>
      <c r="FX498" s="645"/>
      <c r="FY498" s="645"/>
      <c r="FZ498" s="645"/>
      <c r="GA498" s="645"/>
      <c r="GB498" s="645"/>
      <c r="GC498" s="645"/>
      <c r="GD498" s="645"/>
      <c r="GE498" s="645"/>
      <c r="GF498" s="645"/>
      <c r="GG498" s="645"/>
      <c r="GH498" s="645"/>
      <c r="GI498" s="645"/>
      <c r="GJ498" s="645"/>
      <c r="GK498" s="645"/>
      <c r="GL498" s="645"/>
      <c r="GM498" s="645"/>
      <c r="GN498" s="645"/>
      <c r="GO498" s="645"/>
      <c r="GP498" s="645"/>
      <c r="GQ498" s="645"/>
      <c r="GR498" s="645"/>
      <c r="GS498" s="645"/>
      <c r="GT498" s="645"/>
      <c r="GU498" s="645"/>
      <c r="GV498" s="645"/>
      <c r="GW498" s="645"/>
      <c r="GX498" s="645"/>
      <c r="GY498" s="645"/>
      <c r="GZ498" s="645"/>
      <c r="HA498" s="645"/>
      <c r="HB498" s="645"/>
      <c r="HC498" s="645"/>
      <c r="HD498" s="645"/>
      <c r="HE498" s="645"/>
      <c r="HF498" s="645"/>
      <c r="HG498" s="645"/>
      <c r="HH498" s="645"/>
      <c r="HI498" s="645"/>
      <c r="HJ498" s="645"/>
      <c r="HK498" s="645"/>
      <c r="HL498" s="645"/>
      <c r="HM498" s="645"/>
      <c r="HN498" s="645"/>
      <c r="HO498" s="645"/>
      <c r="HP498" s="645"/>
      <c r="HQ498" s="645"/>
      <c r="HR498" s="645">
        <v>0.2475</v>
      </c>
      <c r="HS498" s="645">
        <f t="shared" si="848"/>
        <v>1661.7857142857142</v>
      </c>
      <c r="HT498" s="645">
        <f t="shared" si="849"/>
        <v>1</v>
      </c>
      <c r="HU498" s="618">
        <f t="shared" si="850"/>
        <v>6.3053669907360232</v>
      </c>
      <c r="HV498" s="618"/>
      <c r="HW498" s="618">
        <f t="shared" si="835"/>
        <v>27.046378873154847</v>
      </c>
      <c r="HX498" s="618">
        <f t="shared" si="851"/>
        <v>5.5196736624457614</v>
      </c>
      <c r="HY498" s="618">
        <f t="shared" si="852"/>
        <v>0.2475</v>
      </c>
      <c r="HZ498" s="618"/>
      <c r="IA498" s="618"/>
      <c r="IB498" s="618">
        <f t="shared" si="836"/>
        <v>25.000350341399081</v>
      </c>
      <c r="IC498" s="618">
        <f t="shared" si="837"/>
        <v>1E-3</v>
      </c>
      <c r="ID498" s="618"/>
      <c r="IE498" s="618">
        <f t="shared" si="838"/>
        <v>0</v>
      </c>
      <c r="IF498" s="618">
        <f t="shared" si="839"/>
        <v>40.704999999999998</v>
      </c>
      <c r="IG498" s="618"/>
      <c r="IH498" s="618">
        <f t="shared" si="840"/>
        <v>0</v>
      </c>
      <c r="II498" s="618">
        <f t="shared" si="841"/>
        <v>40.704999999999998</v>
      </c>
      <c r="IJ498" s="618"/>
      <c r="IK498" s="618">
        <f t="shared" si="842"/>
        <v>0</v>
      </c>
      <c r="IL498" s="618">
        <f t="shared" si="843"/>
        <v>40.704999999999998</v>
      </c>
      <c r="IM498" s="618"/>
      <c r="IN498" s="618">
        <f t="shared" si="844"/>
        <v>0</v>
      </c>
      <c r="IO498" s="618">
        <f t="shared" si="845"/>
        <v>40.704999999999998</v>
      </c>
      <c r="IP498" s="618"/>
      <c r="IQ498" s="618">
        <f t="shared" si="846"/>
        <v>0</v>
      </c>
      <c r="IR498" s="618">
        <f t="shared" si="847"/>
        <v>40.704999999999998</v>
      </c>
      <c r="IS498" s="645"/>
      <c r="IT498" s="645"/>
      <c r="IU498" s="645"/>
      <c r="IV498" s="645"/>
      <c r="IW498" s="645"/>
      <c r="IX498" s="645"/>
      <c r="IY498" s="645"/>
      <c r="IZ498" s="645"/>
      <c r="JA498" s="645"/>
      <c r="JB498" s="645"/>
      <c r="JC498" s="645"/>
      <c r="JD498" s="645"/>
      <c r="JE498" s="645"/>
      <c r="JF498" s="645"/>
      <c r="JG498" s="645"/>
      <c r="JH498" s="645"/>
      <c r="JI498" s="645"/>
      <c r="JJ498" s="645"/>
      <c r="JK498" s="645"/>
      <c r="JL498" s="645"/>
      <c r="JM498" s="645"/>
      <c r="JN498" s="645"/>
      <c r="JO498" s="645"/>
      <c r="JP498" s="645"/>
      <c r="JQ498" s="645"/>
      <c r="JR498" s="645"/>
      <c r="JS498" s="645"/>
      <c r="JT498" s="645"/>
      <c r="JU498" s="645"/>
      <c r="JV498" s="653"/>
    </row>
    <row r="499" spans="1:298" s="612" customFormat="1">
      <c r="A499" s="611"/>
      <c r="U499" s="613"/>
      <c r="V499" s="613"/>
      <c r="AC499" s="613"/>
      <c r="AD499" s="613"/>
      <c r="AL499" s="613"/>
      <c r="AM499" s="613"/>
      <c r="AT499" s="613"/>
      <c r="AU499" s="613"/>
      <c r="CH499" s="611"/>
      <c r="CI499" s="611"/>
      <c r="CO499" s="695"/>
      <c r="CP499" s="645"/>
      <c r="CQ499" s="618"/>
      <c r="CR499" s="618"/>
      <c r="CS499" s="618"/>
      <c r="CT499" s="626"/>
      <c r="CU499" s="626"/>
      <c r="CV499" s="626"/>
      <c r="CW499" s="646"/>
      <c r="CX499" s="646"/>
      <c r="CY499" s="625"/>
      <c r="CZ499" s="625"/>
      <c r="DA499" s="625"/>
      <c r="DB499" s="625"/>
      <c r="DC499" s="645"/>
      <c r="DD499" s="645"/>
      <c r="DE499" s="645"/>
      <c r="DF499" s="645"/>
      <c r="DG499" s="645"/>
      <c r="DH499" s="645"/>
      <c r="DI499" s="645"/>
      <c r="DJ499" s="645"/>
      <c r="DK499" s="645"/>
      <c r="DL499" s="645"/>
      <c r="DM499" s="645"/>
      <c r="DN499" s="645"/>
      <c r="DO499" s="645"/>
      <c r="DP499" s="645"/>
      <c r="DQ499" s="645"/>
      <c r="DR499" s="645"/>
      <c r="DS499" s="645"/>
      <c r="DT499" s="645"/>
      <c r="DU499" s="645"/>
      <c r="DV499" s="645"/>
      <c r="DW499" s="645"/>
      <c r="DX499" s="645"/>
      <c r="DY499" s="645"/>
      <c r="DZ499" s="645"/>
      <c r="EA499" s="645"/>
      <c r="EB499" s="645"/>
      <c r="EC499" s="645"/>
      <c r="ED499" s="645"/>
      <c r="EE499" s="645"/>
      <c r="EF499" s="645"/>
      <c r="EG499" s="645"/>
      <c r="EH499" s="645"/>
      <c r="EI499" s="645"/>
      <c r="EJ499" s="645"/>
      <c r="EK499" s="645"/>
      <c r="EL499" s="645"/>
      <c r="EM499" s="645"/>
      <c r="EN499" s="645"/>
      <c r="EO499" s="645"/>
      <c r="EP499" s="645"/>
      <c r="EQ499" s="645"/>
      <c r="ER499" s="645"/>
      <c r="ES499" s="645"/>
      <c r="ET499" s="645"/>
      <c r="EU499" s="645"/>
      <c r="EV499" s="645"/>
      <c r="EW499" s="645"/>
      <c r="EX499" s="645"/>
      <c r="EY499" s="645"/>
      <c r="EZ499" s="645"/>
      <c r="FA499" s="645"/>
      <c r="FB499" s="645"/>
      <c r="FC499" s="645"/>
      <c r="FD499" s="645"/>
      <c r="FE499" s="645"/>
      <c r="FF499" s="645"/>
      <c r="FG499" s="645"/>
      <c r="FH499" s="645"/>
      <c r="FI499" s="645"/>
      <c r="FJ499" s="645"/>
      <c r="FK499" s="645"/>
      <c r="FL499" s="645"/>
      <c r="FM499" s="645"/>
      <c r="FN499" s="645"/>
      <c r="FO499" s="645"/>
      <c r="FP499" s="645"/>
      <c r="FQ499" s="645"/>
      <c r="FR499" s="645"/>
      <c r="FS499" s="645"/>
      <c r="FT499" s="645"/>
      <c r="FU499" s="645"/>
      <c r="FV499" s="645"/>
      <c r="FW499" s="645"/>
      <c r="FX499" s="645"/>
      <c r="FY499" s="645"/>
      <c r="FZ499" s="645"/>
      <c r="GA499" s="645"/>
      <c r="GB499" s="645"/>
      <c r="GC499" s="645"/>
      <c r="GD499" s="645"/>
      <c r="GE499" s="645"/>
      <c r="GF499" s="645"/>
      <c r="GG499" s="645"/>
      <c r="GH499" s="645"/>
      <c r="GI499" s="645"/>
      <c r="GJ499" s="645"/>
      <c r="GK499" s="645"/>
      <c r="GL499" s="645"/>
      <c r="GM499" s="645"/>
      <c r="GN499" s="645"/>
      <c r="GO499" s="645"/>
      <c r="GP499" s="645"/>
      <c r="GQ499" s="645"/>
      <c r="GR499" s="645"/>
      <c r="GS499" s="645"/>
      <c r="GT499" s="645"/>
      <c r="GU499" s="645"/>
      <c r="GV499" s="645"/>
      <c r="GW499" s="645"/>
      <c r="GX499" s="645"/>
      <c r="GY499" s="645"/>
      <c r="GZ499" s="645"/>
      <c r="HA499" s="645"/>
      <c r="HB499" s="645"/>
      <c r="HC499" s="645"/>
      <c r="HD499" s="645"/>
      <c r="HE499" s="645"/>
      <c r="HF499" s="645"/>
      <c r="HG499" s="645"/>
      <c r="HH499" s="645"/>
      <c r="HI499" s="645"/>
      <c r="HJ499" s="645"/>
      <c r="HK499" s="645"/>
      <c r="HL499" s="645"/>
      <c r="HM499" s="645"/>
      <c r="HN499" s="645"/>
      <c r="HO499" s="645"/>
      <c r="HP499" s="645"/>
      <c r="HQ499" s="645"/>
      <c r="HR499" s="645">
        <v>0.248</v>
      </c>
      <c r="HS499" s="645">
        <f t="shared" si="848"/>
        <v>1665.1428571428571</v>
      </c>
      <c r="HT499" s="645">
        <f t="shared" si="849"/>
        <v>1</v>
      </c>
      <c r="HU499" s="618">
        <f t="shared" si="850"/>
        <v>6.3181060347096478</v>
      </c>
      <c r="HV499" s="618"/>
      <c r="HW499" s="618">
        <f t="shared" si="835"/>
        <v>27.028289430712299</v>
      </c>
      <c r="HX499" s="618">
        <f t="shared" si="851"/>
        <v>5.5292379559899194</v>
      </c>
      <c r="HY499" s="618">
        <f t="shared" si="852"/>
        <v>0.248</v>
      </c>
      <c r="HZ499" s="618"/>
      <c r="IA499" s="618"/>
      <c r="IB499" s="618">
        <f t="shared" si="836"/>
        <v>25.000350341399081</v>
      </c>
      <c r="IC499" s="618">
        <f t="shared" si="837"/>
        <v>1E-3</v>
      </c>
      <c r="ID499" s="618"/>
      <c r="IE499" s="618">
        <f t="shared" si="838"/>
        <v>0</v>
      </c>
      <c r="IF499" s="618">
        <f t="shared" si="839"/>
        <v>40.704999999999998</v>
      </c>
      <c r="IG499" s="618"/>
      <c r="IH499" s="618">
        <f t="shared" si="840"/>
        <v>0</v>
      </c>
      <c r="II499" s="618">
        <f t="shared" si="841"/>
        <v>40.704999999999998</v>
      </c>
      <c r="IJ499" s="618"/>
      <c r="IK499" s="618">
        <f t="shared" si="842"/>
        <v>0</v>
      </c>
      <c r="IL499" s="618">
        <f t="shared" si="843"/>
        <v>40.704999999999998</v>
      </c>
      <c r="IM499" s="618"/>
      <c r="IN499" s="618">
        <f t="shared" si="844"/>
        <v>0</v>
      </c>
      <c r="IO499" s="618">
        <f t="shared" si="845"/>
        <v>40.704999999999998</v>
      </c>
      <c r="IP499" s="618"/>
      <c r="IQ499" s="618">
        <f t="shared" si="846"/>
        <v>0</v>
      </c>
      <c r="IR499" s="618">
        <f t="shared" si="847"/>
        <v>40.704999999999998</v>
      </c>
      <c r="IS499" s="645"/>
      <c r="IT499" s="645"/>
      <c r="IU499" s="645"/>
      <c r="IV499" s="645"/>
      <c r="IW499" s="645"/>
      <c r="IX499" s="645"/>
      <c r="IY499" s="645"/>
      <c r="IZ499" s="645"/>
      <c r="JA499" s="645"/>
      <c r="JB499" s="645"/>
      <c r="JC499" s="645"/>
      <c r="JD499" s="645"/>
      <c r="JE499" s="645"/>
      <c r="JF499" s="645"/>
      <c r="JG499" s="645"/>
      <c r="JH499" s="645"/>
      <c r="JI499" s="645"/>
      <c r="JJ499" s="645"/>
      <c r="JK499" s="645"/>
      <c r="JL499" s="645"/>
      <c r="JM499" s="645"/>
      <c r="JN499" s="645"/>
      <c r="JO499" s="645"/>
      <c r="JP499" s="645"/>
      <c r="JQ499" s="645"/>
      <c r="JR499" s="645"/>
      <c r="JS499" s="645"/>
      <c r="JT499" s="645"/>
      <c r="JU499" s="645"/>
      <c r="JV499" s="653"/>
    </row>
    <row r="500" spans="1:298" s="612" customFormat="1">
      <c r="A500" s="611"/>
      <c r="U500" s="613"/>
      <c r="V500" s="613"/>
      <c r="AC500" s="613"/>
      <c r="AD500" s="613"/>
      <c r="AL500" s="613"/>
      <c r="AM500" s="613"/>
      <c r="AT500" s="613"/>
      <c r="AU500" s="613"/>
      <c r="CH500" s="611"/>
      <c r="CI500" s="611"/>
      <c r="CO500" s="695"/>
      <c r="CP500" s="645"/>
      <c r="CQ500" s="618"/>
      <c r="CR500" s="618"/>
      <c r="CS500" s="618"/>
      <c r="CT500" s="626"/>
      <c r="CU500" s="626"/>
      <c r="CV500" s="626"/>
      <c r="CW500" s="646"/>
      <c r="CX500" s="646"/>
      <c r="CY500" s="625"/>
      <c r="CZ500" s="625"/>
      <c r="DA500" s="625"/>
      <c r="DB500" s="625"/>
      <c r="DC500" s="645"/>
      <c r="DD500" s="645"/>
      <c r="DE500" s="645"/>
      <c r="DF500" s="645"/>
      <c r="DG500" s="645"/>
      <c r="DH500" s="645"/>
      <c r="DI500" s="645"/>
      <c r="DJ500" s="645"/>
      <c r="DK500" s="645"/>
      <c r="DL500" s="645"/>
      <c r="DM500" s="645"/>
      <c r="DN500" s="645"/>
      <c r="DO500" s="645"/>
      <c r="DP500" s="645"/>
      <c r="DQ500" s="645"/>
      <c r="DR500" s="645"/>
      <c r="DS500" s="645"/>
      <c r="DT500" s="645"/>
      <c r="DU500" s="645"/>
      <c r="DV500" s="645"/>
      <c r="DW500" s="645"/>
      <c r="DX500" s="645"/>
      <c r="DY500" s="645"/>
      <c r="DZ500" s="645"/>
      <c r="EA500" s="645"/>
      <c r="EB500" s="645"/>
      <c r="EC500" s="645"/>
      <c r="ED500" s="645"/>
      <c r="EE500" s="645"/>
      <c r="EF500" s="645"/>
      <c r="EG500" s="645"/>
      <c r="EH500" s="645"/>
      <c r="EI500" s="645"/>
      <c r="EJ500" s="645"/>
      <c r="EK500" s="645"/>
      <c r="EL500" s="645"/>
      <c r="EM500" s="645"/>
      <c r="EN500" s="645"/>
      <c r="EO500" s="645"/>
      <c r="EP500" s="645"/>
      <c r="EQ500" s="645"/>
      <c r="ER500" s="645"/>
      <c r="ES500" s="645"/>
      <c r="ET500" s="645"/>
      <c r="EU500" s="645"/>
      <c r="EV500" s="645"/>
      <c r="EW500" s="645"/>
      <c r="EX500" s="645"/>
      <c r="EY500" s="645"/>
      <c r="EZ500" s="645"/>
      <c r="FA500" s="645"/>
      <c r="FB500" s="645"/>
      <c r="FC500" s="645"/>
      <c r="FD500" s="645"/>
      <c r="FE500" s="645"/>
      <c r="FF500" s="645"/>
      <c r="FG500" s="645"/>
      <c r="FH500" s="645"/>
      <c r="FI500" s="645"/>
      <c r="FJ500" s="645"/>
      <c r="FK500" s="645"/>
      <c r="FL500" s="645"/>
      <c r="FM500" s="645"/>
      <c r="FN500" s="645"/>
      <c r="FO500" s="645"/>
      <c r="FP500" s="645"/>
      <c r="FQ500" s="645"/>
      <c r="FR500" s="645"/>
      <c r="FS500" s="645"/>
      <c r="FT500" s="645"/>
      <c r="FU500" s="645"/>
      <c r="FV500" s="645"/>
      <c r="FW500" s="645"/>
      <c r="FX500" s="645"/>
      <c r="FY500" s="645"/>
      <c r="FZ500" s="645"/>
      <c r="GA500" s="645"/>
      <c r="GB500" s="645"/>
      <c r="GC500" s="645"/>
      <c r="GD500" s="645"/>
      <c r="GE500" s="645"/>
      <c r="GF500" s="645"/>
      <c r="GG500" s="645"/>
      <c r="GH500" s="645"/>
      <c r="GI500" s="645"/>
      <c r="GJ500" s="645"/>
      <c r="GK500" s="645"/>
      <c r="GL500" s="645"/>
      <c r="GM500" s="645"/>
      <c r="GN500" s="645"/>
      <c r="GO500" s="645"/>
      <c r="GP500" s="645"/>
      <c r="GQ500" s="645"/>
      <c r="GR500" s="645"/>
      <c r="GS500" s="645"/>
      <c r="GT500" s="645"/>
      <c r="GU500" s="645"/>
      <c r="GV500" s="645"/>
      <c r="GW500" s="645"/>
      <c r="GX500" s="645"/>
      <c r="GY500" s="645"/>
      <c r="GZ500" s="645"/>
      <c r="HA500" s="645"/>
      <c r="HB500" s="645"/>
      <c r="HC500" s="645"/>
      <c r="HD500" s="645"/>
      <c r="HE500" s="645"/>
      <c r="HF500" s="645"/>
      <c r="HG500" s="645"/>
      <c r="HH500" s="645"/>
      <c r="HI500" s="645"/>
      <c r="HJ500" s="645"/>
      <c r="HK500" s="645"/>
      <c r="HL500" s="645"/>
      <c r="HM500" s="645"/>
      <c r="HN500" s="645"/>
      <c r="HO500" s="645"/>
      <c r="HP500" s="645"/>
      <c r="HQ500" s="645"/>
      <c r="HR500" s="645">
        <v>0.2485</v>
      </c>
      <c r="HS500" s="645">
        <f t="shared" si="848"/>
        <v>1668.5</v>
      </c>
      <c r="HT500" s="645">
        <f t="shared" si="849"/>
        <v>1</v>
      </c>
      <c r="HU500" s="618">
        <f t="shared" si="850"/>
        <v>6.3308450786832724</v>
      </c>
      <c r="HV500" s="618"/>
      <c r="HW500" s="618">
        <f t="shared" si="835"/>
        <v>27.010199988269754</v>
      </c>
      <c r="HX500" s="618">
        <f t="shared" si="851"/>
        <v>5.5387958483617794</v>
      </c>
      <c r="HY500" s="618">
        <f t="shared" si="852"/>
        <v>0.2485</v>
      </c>
      <c r="HZ500" s="618"/>
      <c r="IA500" s="618"/>
      <c r="IB500" s="618">
        <f t="shared" si="836"/>
        <v>25.000350341399081</v>
      </c>
      <c r="IC500" s="618">
        <f t="shared" si="837"/>
        <v>1E-3</v>
      </c>
      <c r="ID500" s="618"/>
      <c r="IE500" s="618">
        <f t="shared" si="838"/>
        <v>0</v>
      </c>
      <c r="IF500" s="618">
        <f t="shared" si="839"/>
        <v>40.704999999999998</v>
      </c>
      <c r="IG500" s="618"/>
      <c r="IH500" s="618">
        <f t="shared" si="840"/>
        <v>0</v>
      </c>
      <c r="II500" s="618">
        <f t="shared" si="841"/>
        <v>40.704999999999998</v>
      </c>
      <c r="IJ500" s="618"/>
      <c r="IK500" s="618">
        <f t="shared" si="842"/>
        <v>0</v>
      </c>
      <c r="IL500" s="618">
        <f t="shared" si="843"/>
        <v>40.704999999999998</v>
      </c>
      <c r="IM500" s="618"/>
      <c r="IN500" s="618">
        <f t="shared" si="844"/>
        <v>0</v>
      </c>
      <c r="IO500" s="618">
        <f t="shared" si="845"/>
        <v>40.704999999999998</v>
      </c>
      <c r="IP500" s="618"/>
      <c r="IQ500" s="618">
        <f t="shared" si="846"/>
        <v>0</v>
      </c>
      <c r="IR500" s="618">
        <f t="shared" si="847"/>
        <v>40.704999999999998</v>
      </c>
      <c r="IS500" s="645"/>
      <c r="IT500" s="645"/>
      <c r="IU500" s="645"/>
      <c r="IV500" s="645"/>
      <c r="IW500" s="645"/>
      <c r="IX500" s="645"/>
      <c r="IY500" s="645"/>
      <c r="IZ500" s="645"/>
      <c r="JA500" s="645"/>
      <c r="JB500" s="645"/>
      <c r="JC500" s="645"/>
      <c r="JD500" s="645"/>
      <c r="JE500" s="645"/>
      <c r="JF500" s="645"/>
      <c r="JG500" s="645"/>
      <c r="JH500" s="645"/>
      <c r="JI500" s="645"/>
      <c r="JJ500" s="645"/>
      <c r="JK500" s="645"/>
      <c r="JL500" s="645"/>
      <c r="JM500" s="645"/>
      <c r="JN500" s="645"/>
      <c r="JO500" s="645"/>
      <c r="JP500" s="645"/>
      <c r="JQ500" s="645"/>
      <c r="JR500" s="645"/>
      <c r="JS500" s="645"/>
      <c r="JT500" s="645"/>
      <c r="JU500" s="645"/>
      <c r="JV500" s="653"/>
    </row>
    <row r="501" spans="1:298" s="612" customFormat="1">
      <c r="A501" s="611"/>
      <c r="U501" s="613"/>
      <c r="V501" s="613"/>
      <c r="AC501" s="613"/>
      <c r="AD501" s="613"/>
      <c r="AL501" s="613"/>
      <c r="AM501" s="613"/>
      <c r="AT501" s="613"/>
      <c r="AU501" s="613"/>
      <c r="CH501" s="611"/>
      <c r="CI501" s="611"/>
      <c r="CO501" s="695"/>
      <c r="CP501" s="645"/>
      <c r="CQ501" s="618"/>
      <c r="CR501" s="618"/>
      <c r="CS501" s="618"/>
      <c r="CT501" s="626"/>
      <c r="CU501" s="626"/>
      <c r="CV501" s="626"/>
      <c r="CW501" s="646"/>
      <c r="CX501" s="646"/>
      <c r="CY501" s="625"/>
      <c r="CZ501" s="625"/>
      <c r="DA501" s="625"/>
      <c r="DB501" s="625"/>
      <c r="DC501" s="645"/>
      <c r="DD501" s="645"/>
      <c r="DE501" s="645"/>
      <c r="DF501" s="645"/>
      <c r="DG501" s="645"/>
      <c r="DH501" s="645"/>
      <c r="DI501" s="645"/>
      <c r="DJ501" s="645"/>
      <c r="DK501" s="645"/>
      <c r="DL501" s="645"/>
      <c r="DM501" s="645"/>
      <c r="DN501" s="645"/>
      <c r="DO501" s="645"/>
      <c r="DP501" s="645"/>
      <c r="DQ501" s="645"/>
      <c r="DR501" s="645"/>
      <c r="DS501" s="645"/>
      <c r="DT501" s="645"/>
      <c r="DU501" s="645"/>
      <c r="DV501" s="645"/>
      <c r="DW501" s="645"/>
      <c r="DX501" s="645"/>
      <c r="DY501" s="645"/>
      <c r="DZ501" s="645"/>
      <c r="EA501" s="645"/>
      <c r="EB501" s="645"/>
      <c r="EC501" s="645"/>
      <c r="ED501" s="645"/>
      <c r="EE501" s="645"/>
      <c r="EF501" s="645"/>
      <c r="EG501" s="645"/>
      <c r="EH501" s="645"/>
      <c r="EI501" s="645"/>
      <c r="EJ501" s="645"/>
      <c r="EK501" s="645"/>
      <c r="EL501" s="645"/>
      <c r="EM501" s="645"/>
      <c r="EN501" s="645"/>
      <c r="EO501" s="645"/>
      <c r="EP501" s="645"/>
      <c r="EQ501" s="645"/>
      <c r="ER501" s="645"/>
      <c r="ES501" s="645"/>
      <c r="ET501" s="645"/>
      <c r="EU501" s="645"/>
      <c r="EV501" s="645"/>
      <c r="EW501" s="645"/>
      <c r="EX501" s="645"/>
      <c r="EY501" s="645"/>
      <c r="EZ501" s="645"/>
      <c r="FA501" s="645"/>
      <c r="FB501" s="645"/>
      <c r="FC501" s="645"/>
      <c r="FD501" s="645"/>
      <c r="FE501" s="645"/>
      <c r="FF501" s="645"/>
      <c r="FG501" s="645"/>
      <c r="FH501" s="645"/>
      <c r="FI501" s="645"/>
      <c r="FJ501" s="645"/>
      <c r="FK501" s="645"/>
      <c r="FL501" s="645"/>
      <c r="FM501" s="645"/>
      <c r="FN501" s="645"/>
      <c r="FO501" s="645"/>
      <c r="FP501" s="645"/>
      <c r="FQ501" s="645"/>
      <c r="FR501" s="645"/>
      <c r="FS501" s="645"/>
      <c r="FT501" s="645"/>
      <c r="FU501" s="645"/>
      <c r="FV501" s="645"/>
      <c r="FW501" s="645"/>
      <c r="FX501" s="645"/>
      <c r="FY501" s="645"/>
      <c r="FZ501" s="645"/>
      <c r="GA501" s="645"/>
      <c r="GB501" s="645"/>
      <c r="GC501" s="645"/>
      <c r="GD501" s="645"/>
      <c r="GE501" s="645"/>
      <c r="GF501" s="645"/>
      <c r="GG501" s="645"/>
      <c r="GH501" s="645"/>
      <c r="GI501" s="645"/>
      <c r="GJ501" s="645"/>
      <c r="GK501" s="645"/>
      <c r="GL501" s="645"/>
      <c r="GM501" s="645"/>
      <c r="GN501" s="645"/>
      <c r="GO501" s="645"/>
      <c r="GP501" s="645"/>
      <c r="GQ501" s="645"/>
      <c r="GR501" s="645"/>
      <c r="GS501" s="645"/>
      <c r="GT501" s="645"/>
      <c r="GU501" s="645"/>
      <c r="GV501" s="645"/>
      <c r="GW501" s="645"/>
      <c r="GX501" s="645"/>
      <c r="GY501" s="645"/>
      <c r="GZ501" s="645"/>
      <c r="HA501" s="645"/>
      <c r="HB501" s="645"/>
      <c r="HC501" s="645"/>
      <c r="HD501" s="645"/>
      <c r="HE501" s="645"/>
      <c r="HF501" s="645"/>
      <c r="HG501" s="645"/>
      <c r="HH501" s="645"/>
      <c r="HI501" s="645"/>
      <c r="HJ501" s="645"/>
      <c r="HK501" s="645"/>
      <c r="HL501" s="645"/>
      <c r="HM501" s="645"/>
      <c r="HN501" s="645"/>
      <c r="HO501" s="645"/>
      <c r="HP501" s="645"/>
      <c r="HQ501" s="645"/>
      <c r="HR501" s="645">
        <v>0.249</v>
      </c>
      <c r="HS501" s="645">
        <f t="shared" si="848"/>
        <v>1671.8571428571429</v>
      </c>
      <c r="HT501" s="645">
        <f t="shared" si="849"/>
        <v>1</v>
      </c>
      <c r="HU501" s="618">
        <f t="shared" si="850"/>
        <v>6.343584122656897</v>
      </c>
      <c r="HV501" s="618"/>
      <c r="HW501" s="618">
        <f t="shared" si="835"/>
        <v>26.992110545827206</v>
      </c>
      <c r="HX501" s="618">
        <f t="shared" si="851"/>
        <v>5.5483473395613414</v>
      </c>
      <c r="HY501" s="618">
        <f t="shared" si="852"/>
        <v>0.249</v>
      </c>
      <c r="HZ501" s="618"/>
      <c r="IA501" s="618"/>
      <c r="IB501" s="618">
        <f t="shared" si="836"/>
        <v>25.000350341399081</v>
      </c>
      <c r="IC501" s="618">
        <f t="shared" si="837"/>
        <v>1E-3</v>
      </c>
      <c r="ID501" s="618"/>
      <c r="IE501" s="618">
        <f t="shared" si="838"/>
        <v>0</v>
      </c>
      <c r="IF501" s="618">
        <f t="shared" si="839"/>
        <v>40.704999999999998</v>
      </c>
      <c r="IG501" s="618"/>
      <c r="IH501" s="618">
        <f t="shared" si="840"/>
        <v>0</v>
      </c>
      <c r="II501" s="618">
        <f t="shared" si="841"/>
        <v>40.704999999999998</v>
      </c>
      <c r="IJ501" s="618"/>
      <c r="IK501" s="618">
        <f t="shared" si="842"/>
        <v>0</v>
      </c>
      <c r="IL501" s="618">
        <f t="shared" si="843"/>
        <v>40.704999999999998</v>
      </c>
      <c r="IM501" s="618"/>
      <c r="IN501" s="618">
        <f t="shared" si="844"/>
        <v>0</v>
      </c>
      <c r="IO501" s="618">
        <f t="shared" si="845"/>
        <v>40.704999999999998</v>
      </c>
      <c r="IP501" s="618"/>
      <c r="IQ501" s="618">
        <f t="shared" si="846"/>
        <v>0</v>
      </c>
      <c r="IR501" s="618">
        <f t="shared" si="847"/>
        <v>40.704999999999998</v>
      </c>
      <c r="IS501" s="645"/>
      <c r="IT501" s="645"/>
      <c r="IU501" s="645"/>
      <c r="IV501" s="645"/>
      <c r="IW501" s="645"/>
      <c r="IX501" s="645"/>
      <c r="IY501" s="645"/>
      <c r="IZ501" s="645"/>
      <c r="JA501" s="645"/>
      <c r="JB501" s="645"/>
      <c r="JC501" s="645"/>
      <c r="JD501" s="645"/>
      <c r="JE501" s="645"/>
      <c r="JF501" s="645"/>
      <c r="JG501" s="645"/>
      <c r="JH501" s="645"/>
      <c r="JI501" s="645"/>
      <c r="JJ501" s="645"/>
      <c r="JK501" s="645"/>
      <c r="JL501" s="645"/>
      <c r="JM501" s="645"/>
      <c r="JN501" s="645"/>
      <c r="JO501" s="645"/>
      <c r="JP501" s="645"/>
      <c r="JQ501" s="645"/>
      <c r="JR501" s="645"/>
      <c r="JS501" s="645"/>
      <c r="JT501" s="645"/>
      <c r="JU501" s="645"/>
      <c r="JV501" s="653"/>
    </row>
    <row r="502" spans="1:298" s="612" customFormat="1">
      <c r="A502" s="611"/>
      <c r="U502" s="613"/>
      <c r="V502" s="613"/>
      <c r="AC502" s="613"/>
      <c r="AD502" s="613"/>
      <c r="AL502" s="613"/>
      <c r="AM502" s="613"/>
      <c r="AT502" s="613"/>
      <c r="AU502" s="613"/>
      <c r="CH502" s="611"/>
      <c r="CI502" s="611"/>
      <c r="CO502" s="695"/>
      <c r="CP502" s="645"/>
      <c r="CQ502" s="618"/>
      <c r="CR502" s="618"/>
      <c r="CS502" s="618"/>
      <c r="CT502" s="626"/>
      <c r="CU502" s="626"/>
      <c r="CV502" s="626"/>
      <c r="CW502" s="646"/>
      <c r="CX502" s="646"/>
      <c r="CY502" s="625"/>
      <c r="CZ502" s="625"/>
      <c r="DA502" s="625"/>
      <c r="DB502" s="625"/>
      <c r="DC502" s="645"/>
      <c r="DD502" s="645"/>
      <c r="DE502" s="645"/>
      <c r="DF502" s="645"/>
      <c r="DG502" s="645"/>
      <c r="DH502" s="645"/>
      <c r="DI502" s="645"/>
      <c r="DJ502" s="645"/>
      <c r="DK502" s="645"/>
      <c r="DL502" s="645"/>
      <c r="DM502" s="645"/>
      <c r="DN502" s="645"/>
      <c r="DO502" s="645"/>
      <c r="DP502" s="645"/>
      <c r="DQ502" s="645"/>
      <c r="DR502" s="645"/>
      <c r="DS502" s="645"/>
      <c r="DT502" s="645"/>
      <c r="DU502" s="645"/>
      <c r="DV502" s="645"/>
      <c r="DW502" s="645"/>
      <c r="DX502" s="645"/>
      <c r="DY502" s="645"/>
      <c r="DZ502" s="645"/>
      <c r="EA502" s="645"/>
      <c r="EB502" s="645"/>
      <c r="EC502" s="645"/>
      <c r="ED502" s="645"/>
      <c r="EE502" s="645"/>
      <c r="EF502" s="645"/>
      <c r="EG502" s="645"/>
      <c r="EH502" s="645"/>
      <c r="EI502" s="645"/>
      <c r="EJ502" s="645"/>
      <c r="EK502" s="645"/>
      <c r="EL502" s="645"/>
      <c r="EM502" s="645"/>
      <c r="EN502" s="645"/>
      <c r="EO502" s="645"/>
      <c r="EP502" s="645"/>
      <c r="EQ502" s="645"/>
      <c r="ER502" s="645"/>
      <c r="ES502" s="645"/>
      <c r="ET502" s="645"/>
      <c r="EU502" s="645"/>
      <c r="EV502" s="645"/>
      <c r="EW502" s="645"/>
      <c r="EX502" s="645"/>
      <c r="EY502" s="645"/>
      <c r="EZ502" s="645"/>
      <c r="FA502" s="645"/>
      <c r="FB502" s="645"/>
      <c r="FC502" s="645"/>
      <c r="FD502" s="645"/>
      <c r="FE502" s="645"/>
      <c r="FF502" s="645"/>
      <c r="FG502" s="645"/>
      <c r="FH502" s="645"/>
      <c r="FI502" s="645"/>
      <c r="FJ502" s="645"/>
      <c r="FK502" s="645"/>
      <c r="FL502" s="645"/>
      <c r="FM502" s="645"/>
      <c r="FN502" s="645"/>
      <c r="FO502" s="645"/>
      <c r="FP502" s="645"/>
      <c r="FQ502" s="645"/>
      <c r="FR502" s="645"/>
      <c r="FS502" s="645"/>
      <c r="FT502" s="645"/>
      <c r="FU502" s="645"/>
      <c r="FV502" s="645"/>
      <c r="FW502" s="645"/>
      <c r="FX502" s="645"/>
      <c r="FY502" s="645"/>
      <c r="FZ502" s="645"/>
      <c r="GA502" s="645"/>
      <c r="GB502" s="645"/>
      <c r="GC502" s="645"/>
      <c r="GD502" s="645"/>
      <c r="GE502" s="645"/>
      <c r="GF502" s="645"/>
      <c r="GG502" s="645"/>
      <c r="GH502" s="645"/>
      <c r="GI502" s="645"/>
      <c r="GJ502" s="645"/>
      <c r="GK502" s="645"/>
      <c r="GL502" s="645"/>
      <c r="GM502" s="645"/>
      <c r="GN502" s="645"/>
      <c r="GO502" s="645"/>
      <c r="GP502" s="645"/>
      <c r="GQ502" s="645"/>
      <c r="GR502" s="645"/>
      <c r="GS502" s="645"/>
      <c r="GT502" s="645"/>
      <c r="GU502" s="645"/>
      <c r="GV502" s="645"/>
      <c r="GW502" s="645"/>
      <c r="GX502" s="645"/>
      <c r="GY502" s="645"/>
      <c r="GZ502" s="645"/>
      <c r="HA502" s="645"/>
      <c r="HB502" s="645"/>
      <c r="HC502" s="645"/>
      <c r="HD502" s="645"/>
      <c r="HE502" s="645"/>
      <c r="HF502" s="645"/>
      <c r="HG502" s="645"/>
      <c r="HH502" s="645"/>
      <c r="HI502" s="645"/>
      <c r="HJ502" s="645"/>
      <c r="HK502" s="645"/>
      <c r="HL502" s="645"/>
      <c r="HM502" s="645"/>
      <c r="HN502" s="645"/>
      <c r="HO502" s="645"/>
      <c r="HP502" s="645"/>
      <c r="HQ502" s="645"/>
      <c r="HR502" s="645">
        <v>0.2495</v>
      </c>
      <c r="HS502" s="645">
        <f t="shared" si="848"/>
        <v>1675.2142857142858</v>
      </c>
      <c r="HT502" s="645">
        <f t="shared" si="849"/>
        <v>1</v>
      </c>
      <c r="HU502" s="618">
        <f t="shared" si="850"/>
        <v>6.3563231666305215</v>
      </c>
      <c r="HV502" s="618"/>
      <c r="HW502" s="618">
        <f t="shared" si="835"/>
        <v>26.974021103384658</v>
      </c>
      <c r="HX502" s="618">
        <f t="shared" si="851"/>
        <v>5.5578924295886054</v>
      </c>
      <c r="HY502" s="618">
        <f t="shared" si="852"/>
        <v>0.2495</v>
      </c>
      <c r="HZ502" s="618"/>
      <c r="IA502" s="618"/>
      <c r="IB502" s="618">
        <f t="shared" si="836"/>
        <v>25.000350341399081</v>
      </c>
      <c r="IC502" s="618">
        <f t="shared" si="837"/>
        <v>1E-3</v>
      </c>
      <c r="ID502" s="618"/>
      <c r="IE502" s="618">
        <f t="shared" si="838"/>
        <v>0</v>
      </c>
      <c r="IF502" s="618">
        <f t="shared" si="839"/>
        <v>40.704999999999998</v>
      </c>
      <c r="IG502" s="618"/>
      <c r="IH502" s="618">
        <f t="shared" si="840"/>
        <v>0</v>
      </c>
      <c r="II502" s="618">
        <f t="shared" si="841"/>
        <v>40.704999999999998</v>
      </c>
      <c r="IJ502" s="618"/>
      <c r="IK502" s="618">
        <f t="shared" si="842"/>
        <v>0</v>
      </c>
      <c r="IL502" s="618">
        <f t="shared" si="843"/>
        <v>40.704999999999998</v>
      </c>
      <c r="IM502" s="618"/>
      <c r="IN502" s="618">
        <f t="shared" si="844"/>
        <v>0</v>
      </c>
      <c r="IO502" s="618">
        <f t="shared" si="845"/>
        <v>40.704999999999998</v>
      </c>
      <c r="IP502" s="618"/>
      <c r="IQ502" s="618">
        <f t="shared" si="846"/>
        <v>0</v>
      </c>
      <c r="IR502" s="618">
        <f t="shared" si="847"/>
        <v>40.704999999999998</v>
      </c>
      <c r="IS502" s="645"/>
      <c r="IT502" s="645"/>
      <c r="IU502" s="645"/>
      <c r="IV502" s="645"/>
      <c r="IW502" s="645"/>
      <c r="IX502" s="645"/>
      <c r="IY502" s="645"/>
      <c r="IZ502" s="645"/>
      <c r="JA502" s="645"/>
      <c r="JB502" s="645"/>
      <c r="JC502" s="645"/>
      <c r="JD502" s="645"/>
      <c r="JE502" s="645"/>
      <c r="JF502" s="645"/>
      <c r="JG502" s="645"/>
      <c r="JH502" s="645"/>
      <c r="JI502" s="645"/>
      <c r="JJ502" s="645"/>
      <c r="JK502" s="645"/>
      <c r="JL502" s="645"/>
      <c r="JM502" s="645"/>
      <c r="JN502" s="645"/>
      <c r="JO502" s="645"/>
      <c r="JP502" s="645"/>
      <c r="JQ502" s="645"/>
      <c r="JR502" s="645"/>
      <c r="JS502" s="645"/>
      <c r="JT502" s="645"/>
      <c r="JU502" s="645"/>
      <c r="JV502" s="653"/>
    </row>
    <row r="503" spans="1:298" s="612" customFormat="1">
      <c r="A503" s="611"/>
      <c r="U503" s="613"/>
      <c r="V503" s="613"/>
      <c r="AC503" s="613"/>
      <c r="AD503" s="613"/>
      <c r="AL503" s="613"/>
      <c r="AM503" s="613"/>
      <c r="AT503" s="613"/>
      <c r="AU503" s="613"/>
      <c r="CH503" s="611"/>
      <c r="CI503" s="611"/>
      <c r="CO503" s="695"/>
      <c r="CP503" s="645"/>
      <c r="CQ503" s="618"/>
      <c r="CR503" s="618"/>
      <c r="CS503" s="618"/>
      <c r="CT503" s="626"/>
      <c r="CU503" s="626"/>
      <c r="CV503" s="626"/>
      <c r="CW503" s="646"/>
      <c r="CX503" s="646"/>
      <c r="CY503" s="625"/>
      <c r="CZ503" s="625"/>
      <c r="DA503" s="625"/>
      <c r="DB503" s="625"/>
      <c r="DC503" s="645"/>
      <c r="DD503" s="645"/>
      <c r="DE503" s="645"/>
      <c r="DF503" s="645"/>
      <c r="DG503" s="645"/>
      <c r="DH503" s="645"/>
      <c r="DI503" s="645"/>
      <c r="DJ503" s="645"/>
      <c r="DK503" s="645"/>
      <c r="DL503" s="645"/>
      <c r="DM503" s="645"/>
      <c r="DN503" s="645"/>
      <c r="DO503" s="645"/>
      <c r="DP503" s="645"/>
      <c r="DQ503" s="645"/>
      <c r="DR503" s="645"/>
      <c r="DS503" s="645"/>
      <c r="DT503" s="645"/>
      <c r="DU503" s="645"/>
      <c r="DV503" s="645"/>
      <c r="DW503" s="645"/>
      <c r="DX503" s="645"/>
      <c r="DY503" s="645"/>
      <c r="DZ503" s="645"/>
      <c r="EA503" s="645"/>
      <c r="EB503" s="645"/>
      <c r="EC503" s="645"/>
      <c r="ED503" s="645"/>
      <c r="EE503" s="645"/>
      <c r="EF503" s="645"/>
      <c r="EG503" s="645"/>
      <c r="EH503" s="645"/>
      <c r="EI503" s="645"/>
      <c r="EJ503" s="645"/>
      <c r="EK503" s="645"/>
      <c r="EL503" s="645"/>
      <c r="EM503" s="645"/>
      <c r="EN503" s="645"/>
      <c r="EO503" s="645"/>
      <c r="EP503" s="645"/>
      <c r="EQ503" s="645"/>
      <c r="ER503" s="645"/>
      <c r="ES503" s="645"/>
      <c r="ET503" s="645"/>
      <c r="EU503" s="645"/>
      <c r="EV503" s="645"/>
      <c r="EW503" s="645"/>
      <c r="EX503" s="645"/>
      <c r="EY503" s="645"/>
      <c r="EZ503" s="645"/>
      <c r="FA503" s="645"/>
      <c r="FB503" s="645"/>
      <c r="FC503" s="645"/>
      <c r="FD503" s="645"/>
      <c r="FE503" s="645"/>
      <c r="FF503" s="645"/>
      <c r="FG503" s="645"/>
      <c r="FH503" s="645"/>
      <c r="FI503" s="645"/>
      <c r="FJ503" s="645"/>
      <c r="FK503" s="645"/>
      <c r="FL503" s="645"/>
      <c r="FM503" s="645"/>
      <c r="FN503" s="645"/>
      <c r="FO503" s="645"/>
      <c r="FP503" s="645"/>
      <c r="FQ503" s="645"/>
      <c r="FR503" s="645"/>
      <c r="FS503" s="645"/>
      <c r="FT503" s="645"/>
      <c r="FU503" s="645"/>
      <c r="FV503" s="645"/>
      <c r="FW503" s="645"/>
      <c r="FX503" s="645"/>
      <c r="FY503" s="645"/>
      <c r="FZ503" s="645"/>
      <c r="GA503" s="645"/>
      <c r="GB503" s="645"/>
      <c r="GC503" s="645"/>
      <c r="GD503" s="645"/>
      <c r="GE503" s="645"/>
      <c r="GF503" s="645"/>
      <c r="GG503" s="645"/>
      <c r="GH503" s="645"/>
      <c r="GI503" s="645"/>
      <c r="GJ503" s="645"/>
      <c r="GK503" s="645"/>
      <c r="GL503" s="645"/>
      <c r="GM503" s="645"/>
      <c r="GN503" s="645"/>
      <c r="GO503" s="645"/>
      <c r="GP503" s="645"/>
      <c r="GQ503" s="645"/>
      <c r="GR503" s="645"/>
      <c r="GS503" s="645"/>
      <c r="GT503" s="645"/>
      <c r="GU503" s="645"/>
      <c r="GV503" s="645"/>
      <c r="GW503" s="645"/>
      <c r="GX503" s="645"/>
      <c r="GY503" s="645"/>
      <c r="GZ503" s="645"/>
      <c r="HA503" s="645"/>
      <c r="HB503" s="645"/>
      <c r="HC503" s="645"/>
      <c r="HD503" s="645"/>
      <c r="HE503" s="645"/>
      <c r="HF503" s="645"/>
      <c r="HG503" s="645"/>
      <c r="HH503" s="645"/>
      <c r="HI503" s="645"/>
      <c r="HJ503" s="645"/>
      <c r="HK503" s="645"/>
      <c r="HL503" s="645"/>
      <c r="HM503" s="645"/>
      <c r="HN503" s="645"/>
      <c r="HO503" s="645"/>
      <c r="HP503" s="645"/>
      <c r="HQ503" s="645"/>
      <c r="HR503" s="645">
        <v>0.25</v>
      </c>
      <c r="HS503" s="645">
        <f t="shared" si="848"/>
        <v>1678.5714285714287</v>
      </c>
      <c r="HT503" s="645">
        <f t="shared" si="849"/>
        <v>1</v>
      </c>
      <c r="HU503" s="618">
        <f t="shared" si="850"/>
        <v>6.3690622106041461</v>
      </c>
      <c r="HV503" s="618"/>
      <c r="HW503" s="618">
        <f t="shared" si="835"/>
        <v>26.955931660942113</v>
      </c>
      <c r="HX503" s="618">
        <f t="shared" si="851"/>
        <v>5.5674311184435714</v>
      </c>
      <c r="HY503" s="618">
        <f t="shared" si="852"/>
        <v>0.25</v>
      </c>
      <c r="HZ503" s="618"/>
      <c r="IA503" s="618"/>
      <c r="IB503" s="618">
        <f t="shared" si="836"/>
        <v>25.000350341399081</v>
      </c>
      <c r="IC503" s="618">
        <f t="shared" si="837"/>
        <v>1E-3</v>
      </c>
      <c r="ID503" s="618"/>
      <c r="IE503" s="618">
        <f t="shared" si="838"/>
        <v>0</v>
      </c>
      <c r="IF503" s="618">
        <f t="shared" si="839"/>
        <v>40.704999999999998</v>
      </c>
      <c r="IG503" s="618"/>
      <c r="IH503" s="618">
        <f t="shared" si="840"/>
        <v>0</v>
      </c>
      <c r="II503" s="618">
        <f t="shared" si="841"/>
        <v>40.704999999999998</v>
      </c>
      <c r="IJ503" s="618"/>
      <c r="IK503" s="618">
        <f t="shared" si="842"/>
        <v>0</v>
      </c>
      <c r="IL503" s="618">
        <f t="shared" si="843"/>
        <v>40.704999999999998</v>
      </c>
      <c r="IM503" s="618"/>
      <c r="IN503" s="618">
        <f t="shared" si="844"/>
        <v>0</v>
      </c>
      <c r="IO503" s="618">
        <f t="shared" si="845"/>
        <v>40.704999999999998</v>
      </c>
      <c r="IP503" s="618"/>
      <c r="IQ503" s="618">
        <f t="shared" si="846"/>
        <v>0</v>
      </c>
      <c r="IR503" s="618">
        <f t="shared" si="847"/>
        <v>40.704999999999998</v>
      </c>
      <c r="IS503" s="645"/>
      <c r="IT503" s="645"/>
      <c r="IU503" s="645"/>
      <c r="IV503" s="645"/>
      <c r="IW503" s="645"/>
      <c r="IX503" s="645"/>
      <c r="IY503" s="645"/>
      <c r="IZ503" s="645"/>
      <c r="JA503" s="645"/>
      <c r="JB503" s="645"/>
      <c r="JC503" s="645"/>
      <c r="JD503" s="645"/>
      <c r="JE503" s="645"/>
      <c r="JF503" s="645"/>
      <c r="JG503" s="645"/>
      <c r="JH503" s="645"/>
      <c r="JI503" s="645"/>
      <c r="JJ503" s="645"/>
      <c r="JK503" s="645"/>
      <c r="JL503" s="645"/>
      <c r="JM503" s="645"/>
      <c r="JN503" s="645"/>
      <c r="JO503" s="645"/>
      <c r="JP503" s="645"/>
      <c r="JQ503" s="645"/>
      <c r="JR503" s="645"/>
      <c r="JS503" s="645"/>
      <c r="JT503" s="645"/>
      <c r="JU503" s="645"/>
      <c r="JV503" s="653"/>
    </row>
    <row r="504" spans="1:298" s="612" customFormat="1">
      <c r="A504" s="611"/>
      <c r="AL504" s="613"/>
      <c r="AM504" s="613"/>
      <c r="AT504" s="613"/>
      <c r="AU504" s="613"/>
      <c r="CH504" s="611"/>
      <c r="CI504" s="611"/>
      <c r="CO504" s="695"/>
      <c r="CP504" s="645"/>
      <c r="CQ504" s="618"/>
      <c r="CR504" s="618"/>
      <c r="CS504" s="618"/>
      <c r="CT504" s="626"/>
      <c r="CU504" s="626"/>
      <c r="CV504" s="626"/>
      <c r="CW504" s="646"/>
      <c r="CX504" s="646"/>
      <c r="CY504" s="625"/>
      <c r="CZ504" s="625"/>
      <c r="DA504" s="625"/>
      <c r="DB504" s="625"/>
      <c r="DC504" s="645"/>
      <c r="DD504" s="645"/>
      <c r="DE504" s="645"/>
      <c r="DF504" s="645"/>
      <c r="DG504" s="645"/>
      <c r="DH504" s="645"/>
      <c r="DI504" s="645"/>
      <c r="DJ504" s="645"/>
      <c r="DK504" s="645"/>
      <c r="DL504" s="645"/>
      <c r="DM504" s="645"/>
      <c r="DN504" s="645"/>
      <c r="DO504" s="645"/>
      <c r="DP504" s="645"/>
      <c r="DQ504" s="645"/>
      <c r="DR504" s="645"/>
      <c r="DS504" s="645"/>
      <c r="DT504" s="645"/>
      <c r="DU504" s="645"/>
      <c r="DV504" s="645"/>
      <c r="DW504" s="645"/>
      <c r="DX504" s="645"/>
      <c r="DY504" s="645"/>
      <c r="DZ504" s="645"/>
      <c r="EA504" s="645"/>
      <c r="EB504" s="645"/>
      <c r="EC504" s="645"/>
      <c r="ED504" s="645"/>
      <c r="EE504" s="645"/>
      <c r="EF504" s="645"/>
      <c r="EG504" s="645"/>
      <c r="EH504" s="645"/>
      <c r="EI504" s="645"/>
      <c r="EJ504" s="645"/>
      <c r="EK504" s="645"/>
      <c r="EL504" s="645"/>
      <c r="EM504" s="645"/>
      <c r="EN504" s="645"/>
      <c r="EO504" s="645"/>
      <c r="EP504" s="645"/>
      <c r="EQ504" s="645"/>
      <c r="ER504" s="645"/>
      <c r="ES504" s="645"/>
      <c r="ET504" s="645"/>
      <c r="EU504" s="645"/>
      <c r="EV504" s="645"/>
      <c r="EW504" s="645"/>
      <c r="EX504" s="645"/>
      <c r="EY504" s="645"/>
      <c r="EZ504" s="645"/>
      <c r="FA504" s="645"/>
      <c r="FB504" s="645"/>
      <c r="FC504" s="645"/>
      <c r="FD504" s="645"/>
      <c r="FE504" s="645"/>
      <c r="FF504" s="645"/>
      <c r="FG504" s="645"/>
      <c r="FH504" s="645"/>
      <c r="FI504" s="645"/>
      <c r="FJ504" s="645"/>
      <c r="FK504" s="645"/>
      <c r="FL504" s="645"/>
      <c r="FM504" s="645"/>
      <c r="FN504" s="645"/>
      <c r="FO504" s="645"/>
      <c r="FP504" s="645"/>
      <c r="FQ504" s="645"/>
      <c r="FR504" s="645"/>
      <c r="FS504" s="645"/>
      <c r="FT504" s="645"/>
      <c r="FU504" s="645"/>
      <c r="FV504" s="645"/>
      <c r="FW504" s="645"/>
      <c r="FX504" s="645"/>
      <c r="FY504" s="645"/>
      <c r="FZ504" s="645"/>
      <c r="GA504" s="645"/>
      <c r="GB504" s="645"/>
      <c r="GC504" s="645"/>
      <c r="GD504" s="645"/>
      <c r="GE504" s="645"/>
      <c r="GF504" s="645"/>
      <c r="GG504" s="645"/>
      <c r="GH504" s="645"/>
      <c r="GI504" s="645"/>
      <c r="GJ504" s="645"/>
      <c r="GK504" s="645"/>
      <c r="GL504" s="645"/>
      <c r="GM504" s="645"/>
      <c r="GN504" s="645"/>
      <c r="GO504" s="645"/>
      <c r="GP504" s="645"/>
      <c r="GQ504" s="645"/>
      <c r="GR504" s="645"/>
      <c r="GS504" s="645"/>
      <c r="GT504" s="645"/>
      <c r="GU504" s="645"/>
      <c r="GV504" s="645"/>
      <c r="GW504" s="645"/>
      <c r="GX504" s="645"/>
      <c r="GY504" s="645"/>
      <c r="GZ504" s="645"/>
      <c r="HA504" s="645"/>
      <c r="HB504" s="645"/>
      <c r="HC504" s="645"/>
      <c r="HD504" s="645"/>
      <c r="HE504" s="645"/>
      <c r="HF504" s="645"/>
      <c r="HG504" s="645"/>
      <c r="HH504" s="645"/>
      <c r="HI504" s="645"/>
      <c r="HJ504" s="645"/>
      <c r="HK504" s="645"/>
      <c r="HL504" s="645"/>
      <c r="HM504" s="645"/>
      <c r="HN504" s="645"/>
      <c r="HO504" s="645"/>
      <c r="HP504" s="645"/>
      <c r="HQ504" s="645"/>
      <c r="HR504" s="645">
        <v>0.2505</v>
      </c>
      <c r="HS504" s="645">
        <f t="shared" si="848"/>
        <v>1681.9285714285713</v>
      </c>
      <c r="HT504" s="645">
        <f t="shared" si="849"/>
        <v>1</v>
      </c>
      <c r="HU504" s="618">
        <f t="shared" si="850"/>
        <v>6.3818012545777707</v>
      </c>
      <c r="HV504" s="618"/>
      <c r="HW504" s="618">
        <f t="shared" si="835"/>
        <v>26.937842218499569</v>
      </c>
      <c r="HX504" s="618">
        <f t="shared" si="851"/>
        <v>5.5769634061262394</v>
      </c>
      <c r="HY504" s="618">
        <f t="shared" si="852"/>
        <v>0.2505</v>
      </c>
      <c r="HZ504" s="618"/>
      <c r="IA504" s="618"/>
      <c r="IB504" s="618">
        <f t="shared" si="836"/>
        <v>25.000350341399081</v>
      </c>
      <c r="IC504" s="618">
        <f t="shared" si="837"/>
        <v>1E-3</v>
      </c>
      <c r="ID504" s="618"/>
      <c r="IE504" s="618">
        <f t="shared" si="838"/>
        <v>0</v>
      </c>
      <c r="IF504" s="618">
        <f t="shared" si="839"/>
        <v>40.704999999999998</v>
      </c>
      <c r="IG504" s="618"/>
      <c r="IH504" s="618">
        <f t="shared" si="840"/>
        <v>0</v>
      </c>
      <c r="II504" s="618">
        <f t="shared" si="841"/>
        <v>40.704999999999998</v>
      </c>
      <c r="IJ504" s="618"/>
      <c r="IK504" s="618">
        <f t="shared" si="842"/>
        <v>0</v>
      </c>
      <c r="IL504" s="618">
        <f t="shared" si="843"/>
        <v>40.704999999999998</v>
      </c>
      <c r="IM504" s="618"/>
      <c r="IN504" s="618">
        <f t="shared" si="844"/>
        <v>0</v>
      </c>
      <c r="IO504" s="618">
        <f t="shared" si="845"/>
        <v>40.704999999999998</v>
      </c>
      <c r="IP504" s="618"/>
      <c r="IQ504" s="618">
        <f t="shared" si="846"/>
        <v>0</v>
      </c>
      <c r="IR504" s="618">
        <f t="shared" si="847"/>
        <v>40.704999999999998</v>
      </c>
      <c r="IS504" s="645"/>
      <c r="IT504" s="645"/>
      <c r="IU504" s="645"/>
      <c r="IV504" s="645"/>
      <c r="IW504" s="645"/>
      <c r="IX504" s="645"/>
      <c r="IY504" s="645"/>
      <c r="IZ504" s="645"/>
      <c r="JA504" s="645"/>
      <c r="JB504" s="645"/>
      <c r="JC504" s="645"/>
      <c r="JD504" s="645"/>
      <c r="JE504" s="645"/>
      <c r="JF504" s="645"/>
      <c r="JG504" s="645"/>
      <c r="JH504" s="645"/>
      <c r="JI504" s="645"/>
      <c r="JJ504" s="645"/>
      <c r="JK504" s="645"/>
      <c r="JL504" s="645"/>
      <c r="JM504" s="645"/>
      <c r="JN504" s="645"/>
      <c r="JO504" s="645"/>
      <c r="JP504" s="645"/>
      <c r="JQ504" s="645"/>
      <c r="JR504" s="645"/>
      <c r="JS504" s="645"/>
      <c r="JT504" s="645"/>
      <c r="JU504" s="645"/>
      <c r="JV504" s="653"/>
    </row>
    <row r="505" spans="1:298" s="612" customFormat="1">
      <c r="AU505" s="613"/>
      <c r="CH505" s="611"/>
      <c r="CI505" s="611"/>
      <c r="CO505" s="695"/>
      <c r="CP505" s="645"/>
      <c r="CQ505" s="618"/>
      <c r="CR505" s="618"/>
      <c r="CS505" s="618"/>
      <c r="CT505" s="626"/>
      <c r="CU505" s="626"/>
      <c r="CV505" s="626"/>
      <c r="CW505" s="646"/>
      <c r="CX505" s="646"/>
      <c r="CY505" s="625"/>
      <c r="CZ505" s="625"/>
      <c r="DA505" s="625"/>
      <c r="DB505" s="625"/>
      <c r="DC505" s="645"/>
      <c r="DD505" s="645"/>
      <c r="DE505" s="645"/>
      <c r="DF505" s="645"/>
      <c r="DG505" s="645"/>
      <c r="DH505" s="645"/>
      <c r="DI505" s="645"/>
      <c r="DJ505" s="645"/>
      <c r="DK505" s="645"/>
      <c r="DL505" s="645"/>
      <c r="DM505" s="645"/>
      <c r="DN505" s="645"/>
      <c r="DO505" s="645"/>
      <c r="DP505" s="645"/>
      <c r="DQ505" s="645"/>
      <c r="DR505" s="645"/>
      <c r="DS505" s="645"/>
      <c r="DT505" s="645"/>
      <c r="DU505" s="645"/>
      <c r="DV505" s="645"/>
      <c r="DW505" s="645"/>
      <c r="DX505" s="645"/>
      <c r="DY505" s="645"/>
      <c r="DZ505" s="645"/>
      <c r="EA505" s="645"/>
      <c r="EB505" s="645"/>
      <c r="EC505" s="645"/>
      <c r="ED505" s="645"/>
      <c r="EE505" s="645"/>
      <c r="EF505" s="645"/>
      <c r="EG505" s="645"/>
      <c r="EH505" s="645"/>
      <c r="EI505" s="645"/>
      <c r="EJ505" s="645"/>
      <c r="EK505" s="645"/>
      <c r="EL505" s="645"/>
      <c r="EM505" s="645"/>
      <c r="EN505" s="645"/>
      <c r="EO505" s="645"/>
      <c r="EP505" s="645"/>
      <c r="EQ505" s="645"/>
      <c r="ER505" s="645"/>
      <c r="ES505" s="645"/>
      <c r="ET505" s="645"/>
      <c r="EU505" s="645"/>
      <c r="EV505" s="645"/>
      <c r="EW505" s="645"/>
      <c r="EX505" s="645"/>
      <c r="EY505" s="645"/>
      <c r="EZ505" s="645"/>
      <c r="FA505" s="645"/>
      <c r="FB505" s="645"/>
      <c r="FC505" s="645"/>
      <c r="FD505" s="645"/>
      <c r="FE505" s="645"/>
      <c r="FF505" s="645"/>
      <c r="FG505" s="645"/>
      <c r="FH505" s="645"/>
      <c r="FI505" s="645"/>
      <c r="FJ505" s="645"/>
      <c r="FK505" s="645"/>
      <c r="FL505" s="645"/>
      <c r="FM505" s="645"/>
      <c r="FN505" s="645"/>
      <c r="FO505" s="645"/>
      <c r="FP505" s="645"/>
      <c r="FQ505" s="645"/>
      <c r="FR505" s="645"/>
      <c r="FS505" s="645"/>
      <c r="FT505" s="645"/>
      <c r="FU505" s="645"/>
      <c r="FV505" s="645"/>
      <c r="FW505" s="645"/>
      <c r="FX505" s="645"/>
      <c r="FY505" s="645"/>
      <c r="FZ505" s="645"/>
      <c r="GA505" s="645"/>
      <c r="GB505" s="645"/>
      <c r="GC505" s="645"/>
      <c r="GD505" s="645"/>
      <c r="GE505" s="645"/>
      <c r="GF505" s="645"/>
      <c r="GG505" s="645"/>
      <c r="GH505" s="645"/>
      <c r="GI505" s="645"/>
      <c r="GJ505" s="645"/>
      <c r="GK505" s="645"/>
      <c r="GL505" s="645"/>
      <c r="GM505" s="645"/>
      <c r="GN505" s="645"/>
      <c r="GO505" s="645"/>
      <c r="GP505" s="645"/>
      <c r="GQ505" s="645"/>
      <c r="GR505" s="645"/>
      <c r="GS505" s="645"/>
      <c r="GT505" s="645"/>
      <c r="GU505" s="645"/>
      <c r="GV505" s="645"/>
      <c r="GW505" s="645"/>
      <c r="GX505" s="645"/>
      <c r="GY505" s="645"/>
      <c r="GZ505" s="645"/>
      <c r="HA505" s="645"/>
      <c r="HB505" s="645"/>
      <c r="HC505" s="645"/>
      <c r="HD505" s="645"/>
      <c r="HE505" s="645"/>
      <c r="HF505" s="645"/>
      <c r="HG505" s="645"/>
      <c r="HH505" s="645"/>
      <c r="HI505" s="645"/>
      <c r="HJ505" s="645"/>
      <c r="HK505" s="645"/>
      <c r="HL505" s="645"/>
      <c r="HM505" s="645"/>
      <c r="HN505" s="645"/>
      <c r="HO505" s="645"/>
      <c r="HP505" s="645"/>
      <c r="HQ505" s="645"/>
      <c r="HR505" s="645">
        <v>0.251</v>
      </c>
      <c r="HS505" s="645">
        <f t="shared" si="848"/>
        <v>1685.2857142857142</v>
      </c>
      <c r="HT505" s="645">
        <f t="shared" si="849"/>
        <v>1</v>
      </c>
      <c r="HU505" s="618">
        <f t="shared" si="850"/>
        <v>6.3945402985513953</v>
      </c>
      <c r="HV505" s="618"/>
      <c r="HW505" s="618">
        <f t="shared" si="835"/>
        <v>26.919752776057017</v>
      </c>
      <c r="HX505" s="618">
        <f t="shared" si="851"/>
        <v>5.5864892926366085</v>
      </c>
      <c r="HY505" s="618">
        <f t="shared" si="852"/>
        <v>0.251</v>
      </c>
      <c r="HZ505" s="618"/>
      <c r="IA505" s="618"/>
      <c r="IB505" s="618">
        <f t="shared" si="836"/>
        <v>25.000350341399081</v>
      </c>
      <c r="IC505" s="618">
        <f t="shared" si="837"/>
        <v>1E-3</v>
      </c>
      <c r="ID505" s="618"/>
      <c r="IE505" s="618">
        <f t="shared" si="838"/>
        <v>0</v>
      </c>
      <c r="IF505" s="618">
        <f t="shared" si="839"/>
        <v>40.704999999999998</v>
      </c>
      <c r="IG505" s="618"/>
      <c r="IH505" s="618">
        <f t="shared" si="840"/>
        <v>0</v>
      </c>
      <c r="II505" s="618">
        <f t="shared" si="841"/>
        <v>40.704999999999998</v>
      </c>
      <c r="IJ505" s="618"/>
      <c r="IK505" s="618">
        <f t="shared" si="842"/>
        <v>0</v>
      </c>
      <c r="IL505" s="618">
        <f t="shared" si="843"/>
        <v>40.704999999999998</v>
      </c>
      <c r="IM505" s="618"/>
      <c r="IN505" s="618">
        <f t="shared" si="844"/>
        <v>0</v>
      </c>
      <c r="IO505" s="618">
        <f t="shared" si="845"/>
        <v>40.704999999999998</v>
      </c>
      <c r="IP505" s="618"/>
      <c r="IQ505" s="618">
        <f t="shared" si="846"/>
        <v>0</v>
      </c>
      <c r="IR505" s="618">
        <f t="shared" si="847"/>
        <v>40.704999999999998</v>
      </c>
      <c r="IS505" s="645"/>
      <c r="IT505" s="645"/>
      <c r="IU505" s="645"/>
      <c r="IV505" s="645"/>
      <c r="IW505" s="645"/>
      <c r="IX505" s="645"/>
      <c r="IY505" s="645"/>
      <c r="IZ505" s="645"/>
      <c r="JA505" s="645"/>
      <c r="JB505" s="645"/>
      <c r="JC505" s="645"/>
      <c r="JD505" s="645"/>
      <c r="JE505" s="645"/>
      <c r="JF505" s="645"/>
      <c r="JG505" s="645"/>
      <c r="JH505" s="645"/>
      <c r="JI505" s="645"/>
      <c r="JJ505" s="645"/>
      <c r="JK505" s="645"/>
      <c r="JL505" s="645"/>
      <c r="JM505" s="645"/>
      <c r="JN505" s="645"/>
      <c r="JO505" s="645"/>
      <c r="JP505" s="645"/>
      <c r="JQ505" s="645"/>
      <c r="JR505" s="645"/>
      <c r="JS505" s="645"/>
      <c r="JT505" s="645"/>
      <c r="JU505" s="645"/>
      <c r="JV505" s="653"/>
    </row>
    <row r="506" spans="1:298" s="612" customFormat="1">
      <c r="A506" s="611"/>
      <c r="U506" s="613"/>
      <c r="V506" s="613"/>
      <c r="AC506" s="613"/>
      <c r="AD506" s="613"/>
      <c r="AL506" s="613"/>
      <c r="AM506" s="613"/>
      <c r="AT506" s="613"/>
      <c r="CH506" s="611"/>
      <c r="CI506" s="611"/>
      <c r="CO506" s="695"/>
      <c r="CP506" s="645"/>
      <c r="CQ506" s="618"/>
      <c r="CR506" s="618"/>
      <c r="CS506" s="618"/>
      <c r="CT506" s="626"/>
      <c r="CU506" s="626"/>
      <c r="CV506" s="626"/>
      <c r="CW506" s="646"/>
      <c r="CX506" s="646"/>
      <c r="CY506" s="625"/>
      <c r="CZ506" s="625"/>
      <c r="DA506" s="625"/>
      <c r="DB506" s="625"/>
      <c r="DC506" s="645"/>
      <c r="DD506" s="645"/>
      <c r="DE506" s="645"/>
      <c r="DF506" s="645"/>
      <c r="DG506" s="645"/>
      <c r="DH506" s="645"/>
      <c r="DI506" s="645"/>
      <c r="DJ506" s="645"/>
      <c r="DK506" s="645"/>
      <c r="DL506" s="645"/>
      <c r="DM506" s="645"/>
      <c r="DN506" s="645"/>
      <c r="DO506" s="645"/>
      <c r="DP506" s="645"/>
      <c r="DQ506" s="645"/>
      <c r="DR506" s="645"/>
      <c r="DS506" s="645"/>
      <c r="DT506" s="645"/>
      <c r="DU506" s="645"/>
      <c r="DV506" s="645"/>
      <c r="DW506" s="645"/>
      <c r="DX506" s="645"/>
      <c r="DY506" s="645"/>
      <c r="DZ506" s="645"/>
      <c r="EA506" s="645"/>
      <c r="EB506" s="645"/>
      <c r="EC506" s="645"/>
      <c r="ED506" s="645"/>
      <c r="EE506" s="645"/>
      <c r="EF506" s="645"/>
      <c r="EG506" s="645"/>
      <c r="EH506" s="645"/>
      <c r="EI506" s="645"/>
      <c r="EJ506" s="645"/>
      <c r="EK506" s="645"/>
      <c r="EL506" s="645"/>
      <c r="EM506" s="645"/>
      <c r="EN506" s="645"/>
      <c r="EO506" s="645"/>
      <c r="EP506" s="645"/>
      <c r="EQ506" s="645"/>
      <c r="ER506" s="645"/>
      <c r="ES506" s="645"/>
      <c r="ET506" s="645"/>
      <c r="EU506" s="645"/>
      <c r="EV506" s="645"/>
      <c r="EW506" s="645"/>
      <c r="EX506" s="645"/>
      <c r="EY506" s="645"/>
      <c r="EZ506" s="645"/>
      <c r="FA506" s="645"/>
      <c r="FB506" s="645"/>
      <c r="FC506" s="645"/>
      <c r="FD506" s="645"/>
      <c r="FE506" s="645"/>
      <c r="FF506" s="645"/>
      <c r="FG506" s="645"/>
      <c r="FH506" s="645"/>
      <c r="FI506" s="645"/>
      <c r="FJ506" s="645"/>
      <c r="FK506" s="645"/>
      <c r="FL506" s="645"/>
      <c r="FM506" s="645"/>
      <c r="FN506" s="645"/>
      <c r="FO506" s="645"/>
      <c r="FP506" s="645"/>
      <c r="FQ506" s="645"/>
      <c r="FR506" s="645"/>
      <c r="FS506" s="645"/>
      <c r="FT506" s="645"/>
      <c r="FU506" s="645"/>
      <c r="FV506" s="645"/>
      <c r="FW506" s="645"/>
      <c r="FX506" s="645"/>
      <c r="FY506" s="645"/>
      <c r="FZ506" s="645"/>
      <c r="GA506" s="645"/>
      <c r="GB506" s="645"/>
      <c r="GC506" s="645"/>
      <c r="GD506" s="645"/>
      <c r="GE506" s="645"/>
      <c r="GF506" s="645"/>
      <c r="GG506" s="645"/>
      <c r="GH506" s="645"/>
      <c r="GI506" s="645"/>
      <c r="GJ506" s="645"/>
      <c r="GK506" s="645"/>
      <c r="GL506" s="645"/>
      <c r="GM506" s="645"/>
      <c r="GN506" s="645"/>
      <c r="GO506" s="645"/>
      <c r="GP506" s="645"/>
      <c r="GQ506" s="645"/>
      <c r="GR506" s="645"/>
      <c r="GS506" s="645"/>
      <c r="GT506" s="645"/>
      <c r="GU506" s="645"/>
      <c r="GV506" s="645"/>
      <c r="GW506" s="645"/>
      <c r="GX506" s="645"/>
      <c r="GY506" s="645"/>
      <c r="GZ506" s="645"/>
      <c r="HA506" s="645"/>
      <c r="HB506" s="645"/>
      <c r="HC506" s="645"/>
      <c r="HD506" s="645"/>
      <c r="HE506" s="645"/>
      <c r="HF506" s="645"/>
      <c r="HG506" s="645"/>
      <c r="HH506" s="645"/>
      <c r="HI506" s="645"/>
      <c r="HJ506" s="645"/>
      <c r="HK506" s="645"/>
      <c r="HL506" s="645"/>
      <c r="HM506" s="645"/>
      <c r="HN506" s="645"/>
      <c r="HO506" s="645"/>
      <c r="HP506" s="645"/>
      <c r="HQ506" s="645"/>
      <c r="HR506" s="645"/>
      <c r="HS506" s="645"/>
      <c r="HT506" s="645"/>
      <c r="HU506" s="645"/>
      <c r="HV506" s="645"/>
      <c r="HW506" s="645"/>
      <c r="HX506" s="645"/>
      <c r="HY506" s="645"/>
      <c r="HZ506" s="645"/>
      <c r="IA506" s="645"/>
      <c r="IB506" s="645">
        <f>IB505</f>
        <v>25.000350341399081</v>
      </c>
      <c r="IC506" s="645">
        <f>IF(ABS(IB505)/1000=$HX$505,IC1,IC505)</f>
        <v>1E-3</v>
      </c>
      <c r="ID506" s="645"/>
      <c r="IE506" s="645">
        <f>IE505</f>
        <v>0</v>
      </c>
      <c r="IF506" s="645">
        <f>IF(ABS(IE505)/1000=$HX$505,IF1,IF505)</f>
        <v>40.704999999999998</v>
      </c>
      <c r="IG506" s="645"/>
      <c r="IH506" s="645">
        <f>IH505</f>
        <v>0</v>
      </c>
      <c r="II506" s="645">
        <f>IF(ABS(IH505)/1000=$HX$505,II1,II505)</f>
        <v>40.704999999999998</v>
      </c>
      <c r="IJ506" s="645"/>
      <c r="IK506" s="645">
        <f>IK505</f>
        <v>0</v>
      </c>
      <c r="IL506" s="645">
        <f>IF(ABS(IK505)/1000=$HX$505,IL1,IL505)</f>
        <v>40.704999999999998</v>
      </c>
      <c r="IM506" s="645"/>
      <c r="IN506" s="645">
        <f>IN505</f>
        <v>0</v>
      </c>
      <c r="IO506" s="645">
        <f>IF(ABS(IN505)/1000=$HX$505,IO1,IO505)</f>
        <v>40.704999999999998</v>
      </c>
      <c r="IP506" s="645"/>
      <c r="IQ506" s="645">
        <f>IQ505</f>
        <v>0</v>
      </c>
      <c r="IR506" s="645">
        <f>IF(ABS(IQ505)/1000=$HX$505,IR1,IR505)</f>
        <v>40.704999999999998</v>
      </c>
      <c r="IS506" s="645"/>
      <c r="IT506" s="645"/>
      <c r="IU506" s="645"/>
      <c r="IV506" s="645"/>
      <c r="IW506" s="645"/>
      <c r="IX506" s="645"/>
      <c r="IY506" s="645"/>
      <c r="IZ506" s="645"/>
      <c r="JA506" s="645"/>
      <c r="JB506" s="645"/>
      <c r="JC506" s="645"/>
      <c r="JD506" s="645"/>
      <c r="JE506" s="645"/>
      <c r="JF506" s="645"/>
      <c r="JG506" s="645"/>
      <c r="JH506" s="645"/>
      <c r="JI506" s="645"/>
      <c r="JJ506" s="645"/>
      <c r="JK506" s="645"/>
      <c r="JL506" s="645"/>
      <c r="JM506" s="645"/>
      <c r="JN506" s="645"/>
      <c r="JO506" s="645"/>
      <c r="JP506" s="645"/>
      <c r="JQ506" s="645"/>
      <c r="JR506" s="645"/>
      <c r="JS506" s="645"/>
      <c r="JT506" s="645"/>
      <c r="JU506" s="645"/>
      <c r="JV506" s="653"/>
    </row>
    <row r="507" spans="1:298">
      <c r="CW507" s="646"/>
      <c r="CX507" s="646"/>
      <c r="CY507" s="625"/>
      <c r="CZ507" s="625"/>
      <c r="DA507" s="625"/>
      <c r="DB507" s="625"/>
      <c r="DC507" s="645"/>
      <c r="DD507" s="645"/>
      <c r="DE507" s="645"/>
      <c r="DF507" s="645"/>
      <c r="DG507" s="645"/>
      <c r="DH507" s="645"/>
      <c r="DI507" s="645"/>
      <c r="DJ507" s="645"/>
      <c r="DK507" s="645"/>
      <c r="DL507" s="645"/>
      <c r="DM507" s="645"/>
      <c r="DN507" s="645"/>
      <c r="DO507" s="645"/>
      <c r="DP507" s="645"/>
      <c r="DQ507" s="645"/>
      <c r="DR507" s="645"/>
      <c r="DS507" s="645"/>
      <c r="DT507" s="645"/>
      <c r="DU507" s="645"/>
      <c r="DV507" s="645"/>
      <c r="DW507" s="645"/>
      <c r="DX507" s="645"/>
      <c r="DY507" s="645"/>
      <c r="DZ507" s="645"/>
      <c r="EA507" s="645"/>
      <c r="EB507" s="645"/>
      <c r="EC507" s="645"/>
      <c r="ED507" s="645"/>
      <c r="EE507" s="645"/>
      <c r="EF507" s="645"/>
      <c r="EG507" s="645"/>
      <c r="EH507" s="645"/>
      <c r="EI507" s="645"/>
      <c r="EJ507" s="645"/>
      <c r="EK507" s="645"/>
      <c r="EL507" s="645"/>
      <c r="EM507" s="645"/>
      <c r="EN507" s="645"/>
      <c r="EO507" s="645"/>
      <c r="EP507" s="645"/>
      <c r="EQ507" s="645"/>
      <c r="ER507" s="645"/>
      <c r="ES507" s="645"/>
      <c r="ET507" s="645"/>
      <c r="EU507" s="645"/>
      <c r="EV507" s="645"/>
      <c r="EW507" s="645"/>
      <c r="EX507" s="645"/>
      <c r="EY507" s="645"/>
      <c r="EZ507" s="645"/>
      <c r="FA507" s="645"/>
      <c r="FB507" s="645"/>
      <c r="FC507" s="645"/>
      <c r="FD507" s="645"/>
      <c r="FE507" s="645"/>
      <c r="FF507" s="645"/>
      <c r="FG507" s="645"/>
      <c r="FH507" s="645"/>
      <c r="FI507" s="645"/>
      <c r="FJ507" s="645"/>
      <c r="FK507" s="645"/>
      <c r="FL507" s="645"/>
      <c r="FM507" s="645"/>
      <c r="FN507" s="645"/>
      <c r="FO507" s="645"/>
      <c r="FP507" s="645"/>
      <c r="FQ507" s="645"/>
      <c r="FR507" s="645"/>
      <c r="FS507" s="645"/>
      <c r="FT507" s="645"/>
      <c r="FU507" s="645"/>
      <c r="FV507" s="645"/>
      <c r="FW507" s="645"/>
      <c r="FX507" s="645"/>
      <c r="FY507" s="645"/>
      <c r="FZ507" s="645"/>
      <c r="GA507" s="645"/>
      <c r="GB507" s="645"/>
      <c r="GC507" s="645"/>
      <c r="GD507" s="645"/>
      <c r="GE507" s="645"/>
      <c r="GF507" s="645"/>
      <c r="GG507" s="645"/>
      <c r="GH507" s="645"/>
      <c r="GI507" s="645"/>
      <c r="GJ507" s="645"/>
      <c r="GK507" s="645"/>
      <c r="GL507" s="645"/>
      <c r="GM507" s="645"/>
      <c r="GN507" s="645"/>
      <c r="GO507" s="645"/>
      <c r="GP507" s="645"/>
      <c r="GQ507" s="645"/>
      <c r="GR507" s="645"/>
      <c r="GS507" s="645"/>
      <c r="GT507" s="645"/>
      <c r="GU507" s="645"/>
      <c r="GV507" s="645"/>
      <c r="GW507" s="645"/>
      <c r="GX507" s="645"/>
      <c r="GY507" s="645"/>
      <c r="GZ507" s="645"/>
      <c r="HA507" s="645"/>
      <c r="HB507" s="645"/>
      <c r="HC507" s="645"/>
      <c r="HD507" s="645"/>
      <c r="HE507" s="645"/>
      <c r="IT507" s="645"/>
      <c r="IU507" s="645"/>
      <c r="IV507" s="645"/>
      <c r="IW507" s="645"/>
      <c r="IX507" s="645"/>
      <c r="IY507" s="645"/>
      <c r="IZ507" s="645"/>
      <c r="JA507" s="645"/>
      <c r="JB507" s="645"/>
      <c r="JC507" s="645"/>
      <c r="JD507" s="645"/>
      <c r="JE507" s="645"/>
      <c r="JF507" s="645"/>
      <c r="JG507" s="645"/>
      <c r="JH507" s="645"/>
      <c r="JI507" s="645"/>
      <c r="JJ507" s="645"/>
      <c r="JK507" s="645"/>
      <c r="JL507" s="645"/>
      <c r="JM507" s="645"/>
      <c r="JN507" s="645"/>
      <c r="JO507" s="645"/>
      <c r="JP507" s="645"/>
      <c r="JQ507" s="645"/>
      <c r="JR507" s="645"/>
      <c r="JS507" s="645"/>
      <c r="JT507" s="645"/>
      <c r="JU507" s="645"/>
      <c r="JW507" s="522"/>
      <c r="JX507" s="522"/>
      <c r="JY507" s="522"/>
      <c r="JZ507" s="522"/>
      <c r="KA507" s="522"/>
      <c r="KB507" s="522"/>
      <c r="KC507" s="522"/>
      <c r="KD507" s="522"/>
      <c r="KE507" s="522"/>
      <c r="KF507" s="522"/>
      <c r="KG507" s="522"/>
      <c r="KH507" s="522"/>
      <c r="KI507" s="522"/>
      <c r="KJ507" s="522"/>
      <c r="KK507" s="522"/>
      <c r="KL507" s="522"/>
    </row>
    <row r="508" spans="1:298">
      <c r="CW508" s="646"/>
      <c r="CX508" s="646"/>
      <c r="CY508" s="625"/>
      <c r="CZ508" s="625"/>
      <c r="DA508" s="625"/>
      <c r="DB508" s="625"/>
      <c r="DC508" s="645"/>
      <c r="DD508" s="645"/>
      <c r="DE508" s="645"/>
      <c r="DF508" s="645"/>
      <c r="DG508" s="645"/>
      <c r="DH508" s="645"/>
      <c r="DI508" s="645"/>
      <c r="DJ508" s="645"/>
      <c r="DK508" s="645"/>
      <c r="DL508" s="645"/>
      <c r="DM508" s="645"/>
      <c r="DN508" s="645"/>
      <c r="DO508" s="645"/>
      <c r="DP508" s="645"/>
      <c r="DQ508" s="645"/>
      <c r="DR508" s="645"/>
      <c r="DS508" s="645"/>
      <c r="DT508" s="645"/>
      <c r="DU508" s="645"/>
      <c r="DV508" s="645"/>
      <c r="DW508" s="645"/>
      <c r="DX508" s="645"/>
      <c r="DY508" s="645"/>
      <c r="DZ508" s="645"/>
      <c r="EA508" s="645"/>
      <c r="EB508" s="645"/>
      <c r="EC508" s="645"/>
      <c r="ED508" s="645"/>
      <c r="EE508" s="645"/>
      <c r="EF508" s="645"/>
      <c r="EG508" s="645"/>
      <c r="EH508" s="645"/>
      <c r="EI508" s="645"/>
      <c r="EJ508" s="645"/>
      <c r="EK508" s="645"/>
      <c r="EL508" s="645"/>
      <c r="EM508" s="645"/>
      <c r="EN508" s="645"/>
      <c r="EO508" s="645"/>
      <c r="EP508" s="645"/>
      <c r="EQ508" s="645"/>
      <c r="ER508" s="645"/>
      <c r="ES508" s="645"/>
      <c r="ET508" s="645"/>
      <c r="EU508" s="645"/>
      <c r="EV508" s="645"/>
      <c r="EW508" s="645"/>
      <c r="EX508" s="645"/>
      <c r="EY508" s="645"/>
      <c r="EZ508" s="645"/>
      <c r="FA508" s="645"/>
      <c r="FB508" s="645"/>
      <c r="FC508" s="645"/>
      <c r="FD508" s="645"/>
      <c r="FE508" s="645"/>
      <c r="FF508" s="645"/>
      <c r="FG508" s="645"/>
      <c r="FH508" s="645"/>
      <c r="FI508" s="645"/>
      <c r="FJ508" s="645"/>
      <c r="FK508" s="645"/>
      <c r="FL508" s="645"/>
      <c r="FM508" s="645"/>
      <c r="FN508" s="645"/>
      <c r="FO508" s="645"/>
      <c r="FP508" s="645"/>
      <c r="FQ508" s="645"/>
      <c r="FR508" s="645"/>
      <c r="FS508" s="645"/>
      <c r="FT508" s="645"/>
      <c r="FU508" s="645"/>
      <c r="FV508" s="645"/>
      <c r="FW508" s="645"/>
      <c r="FX508" s="645"/>
      <c r="FY508" s="645"/>
      <c r="FZ508" s="645"/>
      <c r="GA508" s="645"/>
      <c r="GB508" s="645"/>
      <c r="GC508" s="645"/>
      <c r="GD508" s="645"/>
      <c r="GE508" s="645"/>
      <c r="GF508" s="645"/>
      <c r="GG508" s="645"/>
      <c r="GH508" s="645"/>
      <c r="GI508" s="645"/>
      <c r="GJ508" s="645"/>
      <c r="GK508" s="645"/>
      <c r="GL508" s="645"/>
      <c r="GM508" s="645"/>
      <c r="GN508" s="645"/>
      <c r="GO508" s="645"/>
      <c r="GP508" s="645"/>
      <c r="GQ508" s="645"/>
      <c r="GR508" s="645"/>
      <c r="GS508" s="645"/>
      <c r="GT508" s="645"/>
      <c r="GU508" s="645"/>
      <c r="GV508" s="645"/>
      <c r="GW508" s="645"/>
      <c r="GX508" s="645"/>
      <c r="GY508" s="645"/>
      <c r="GZ508" s="645"/>
      <c r="HA508" s="645"/>
      <c r="HB508" s="645"/>
      <c r="HC508" s="645"/>
      <c r="HD508" s="645"/>
      <c r="HE508" s="645"/>
      <c r="IT508" s="645"/>
      <c r="IU508" s="645"/>
      <c r="IV508" s="645"/>
      <c r="IW508" s="645"/>
      <c r="IX508" s="645"/>
      <c r="IY508" s="645"/>
      <c r="IZ508" s="645"/>
      <c r="JA508" s="645"/>
      <c r="JB508" s="645"/>
      <c r="JC508" s="645"/>
      <c r="JD508" s="645"/>
      <c r="JE508" s="645"/>
      <c r="JF508" s="645"/>
      <c r="JG508" s="645"/>
      <c r="JH508" s="645"/>
      <c r="JI508" s="645"/>
      <c r="JJ508" s="645"/>
      <c r="JK508" s="645"/>
      <c r="JL508" s="645"/>
      <c r="JM508" s="645"/>
      <c r="JN508" s="645"/>
      <c r="JO508" s="645"/>
      <c r="JP508" s="645"/>
      <c r="JQ508" s="645"/>
      <c r="JR508" s="645"/>
      <c r="JS508" s="645"/>
      <c r="JT508" s="645"/>
      <c r="JU508" s="645"/>
      <c r="JW508" s="522"/>
      <c r="JX508" s="522"/>
      <c r="JY508" s="522"/>
      <c r="JZ508" s="522"/>
      <c r="KA508" s="522"/>
      <c r="KB508" s="522"/>
      <c r="KC508" s="522"/>
      <c r="KD508" s="522"/>
      <c r="KE508" s="522"/>
      <c r="KF508" s="522"/>
      <c r="KG508" s="522"/>
      <c r="KH508" s="522"/>
      <c r="KI508" s="522"/>
      <c r="KJ508" s="522"/>
      <c r="KK508" s="522"/>
      <c r="KL508" s="522"/>
    </row>
    <row r="509" spans="1:298">
      <c r="CW509" s="646"/>
      <c r="CX509" s="646"/>
      <c r="CY509" s="625"/>
      <c r="CZ509" s="625"/>
      <c r="DA509" s="625"/>
      <c r="DB509" s="625"/>
      <c r="DC509" s="645"/>
      <c r="DD509" s="645"/>
      <c r="DE509" s="645"/>
      <c r="DF509" s="645"/>
      <c r="DG509" s="645"/>
      <c r="DH509" s="645"/>
      <c r="DI509" s="645"/>
      <c r="DJ509" s="645"/>
      <c r="DK509" s="645"/>
      <c r="DL509" s="645"/>
      <c r="DM509" s="645"/>
      <c r="DN509" s="645"/>
      <c r="DO509" s="645"/>
      <c r="DP509" s="645"/>
      <c r="DQ509" s="645"/>
      <c r="DR509" s="645"/>
      <c r="DS509" s="645"/>
      <c r="DT509" s="645"/>
      <c r="DU509" s="645"/>
      <c r="DV509" s="645"/>
      <c r="DW509" s="645"/>
      <c r="DX509" s="645"/>
      <c r="DY509" s="645"/>
      <c r="DZ509" s="645"/>
      <c r="EA509" s="645"/>
      <c r="EB509" s="645"/>
      <c r="EC509" s="645"/>
      <c r="ED509" s="645"/>
      <c r="EE509" s="645"/>
      <c r="EF509" s="645"/>
      <c r="EG509" s="645"/>
      <c r="EH509" s="645"/>
      <c r="EI509" s="645"/>
      <c r="EJ509" s="645"/>
      <c r="EK509" s="645"/>
      <c r="EL509" s="645"/>
      <c r="EM509" s="645"/>
      <c r="EN509" s="645"/>
      <c r="EO509" s="645"/>
      <c r="EP509" s="645"/>
      <c r="EQ509" s="645"/>
      <c r="ER509" s="645"/>
      <c r="ES509" s="645"/>
      <c r="ET509" s="645"/>
      <c r="EU509" s="645"/>
      <c r="EV509" s="645"/>
      <c r="EW509" s="645"/>
      <c r="EX509" s="645"/>
      <c r="EY509" s="645"/>
      <c r="EZ509" s="645"/>
      <c r="FA509" s="645"/>
      <c r="FB509" s="645"/>
      <c r="FC509" s="645"/>
      <c r="FD509" s="645"/>
      <c r="FE509" s="645"/>
      <c r="FF509" s="645"/>
      <c r="FG509" s="645"/>
      <c r="FH509" s="645"/>
      <c r="FI509" s="645"/>
      <c r="FJ509" s="645"/>
      <c r="FK509" s="645"/>
      <c r="FL509" s="645"/>
      <c r="FM509" s="645"/>
      <c r="FN509" s="645"/>
      <c r="FO509" s="645"/>
      <c r="FP509" s="645"/>
      <c r="FQ509" s="645"/>
      <c r="FR509" s="645"/>
      <c r="FS509" s="645"/>
      <c r="FT509" s="645"/>
      <c r="FU509" s="645"/>
      <c r="FV509" s="645"/>
      <c r="FW509" s="645"/>
      <c r="FX509" s="645"/>
      <c r="FY509" s="645"/>
      <c r="FZ509" s="645"/>
      <c r="GA509" s="645"/>
      <c r="GB509" s="645"/>
      <c r="GC509" s="645"/>
      <c r="GD509" s="645"/>
      <c r="GE509" s="645"/>
      <c r="GF509" s="645"/>
      <c r="GG509" s="645"/>
      <c r="GH509" s="645"/>
      <c r="GI509" s="645"/>
      <c r="GJ509" s="645"/>
      <c r="GK509" s="645"/>
      <c r="GL509" s="645"/>
      <c r="GM509" s="645"/>
      <c r="GN509" s="645"/>
      <c r="GO509" s="645"/>
      <c r="GP509" s="645"/>
      <c r="GQ509" s="645"/>
      <c r="GR509" s="645"/>
      <c r="GS509" s="645"/>
      <c r="GT509" s="645"/>
      <c r="GU509" s="645"/>
      <c r="GV509" s="645"/>
      <c r="GW509" s="645"/>
      <c r="GX509" s="645"/>
      <c r="GY509" s="645"/>
      <c r="GZ509" s="645"/>
      <c r="HA509" s="645"/>
      <c r="HB509" s="645"/>
      <c r="HC509" s="645"/>
      <c r="HD509" s="645"/>
      <c r="HE509" s="645"/>
      <c r="IT509" s="645"/>
      <c r="IU509" s="645"/>
      <c r="IV509" s="645"/>
      <c r="IW509" s="645"/>
      <c r="IX509" s="645"/>
      <c r="IY509" s="645"/>
      <c r="IZ509" s="645"/>
      <c r="JA509" s="645"/>
      <c r="JB509" s="645"/>
      <c r="JC509" s="645"/>
      <c r="JD509" s="645"/>
      <c r="JE509" s="645"/>
      <c r="JF509" s="645"/>
      <c r="JG509" s="645"/>
      <c r="JH509" s="645"/>
      <c r="JI509" s="645"/>
      <c r="JJ509" s="645"/>
      <c r="JK509" s="645"/>
      <c r="JL509" s="645"/>
      <c r="JM509" s="645"/>
      <c r="JN509" s="645"/>
      <c r="JO509" s="645"/>
      <c r="JP509" s="645"/>
      <c r="JQ509" s="645"/>
      <c r="JR509" s="645"/>
      <c r="JS509" s="645"/>
      <c r="JT509" s="645"/>
      <c r="JU509" s="645"/>
      <c r="JW509" s="522"/>
      <c r="JX509" s="522"/>
      <c r="JY509" s="522"/>
      <c r="JZ509" s="522"/>
      <c r="KA509" s="522"/>
      <c r="KB509" s="522"/>
      <c r="KC509" s="522"/>
      <c r="KD509" s="522"/>
      <c r="KE509" s="522"/>
      <c r="KF509" s="522"/>
      <c r="KG509" s="522"/>
      <c r="KH509" s="522"/>
      <c r="KI509" s="522"/>
      <c r="KJ509" s="522"/>
      <c r="KK509" s="522"/>
      <c r="KL509" s="522"/>
    </row>
    <row r="510" spans="1:298">
      <c r="CW510" s="646"/>
      <c r="CX510" s="646"/>
      <c r="CY510" s="625"/>
      <c r="CZ510" s="625"/>
      <c r="DA510" s="625"/>
      <c r="DB510" s="625"/>
      <c r="DC510" s="645"/>
      <c r="DD510" s="645"/>
      <c r="DE510" s="645"/>
      <c r="DF510" s="645"/>
      <c r="DG510" s="645"/>
      <c r="DH510" s="645"/>
      <c r="DI510" s="645"/>
      <c r="DJ510" s="645"/>
      <c r="DK510" s="645"/>
      <c r="DL510" s="645"/>
      <c r="DM510" s="645"/>
      <c r="DN510" s="645"/>
      <c r="DO510" s="645"/>
      <c r="DP510" s="645"/>
      <c r="DQ510" s="645"/>
      <c r="DR510" s="645"/>
      <c r="DS510" s="645"/>
      <c r="DT510" s="645"/>
      <c r="DU510" s="645"/>
      <c r="DV510" s="645"/>
      <c r="DW510" s="645"/>
      <c r="DX510" s="645"/>
      <c r="DY510" s="645"/>
      <c r="DZ510" s="645"/>
      <c r="EA510" s="645"/>
      <c r="EB510" s="645"/>
      <c r="EC510" s="645"/>
      <c r="ED510" s="645"/>
      <c r="EE510" s="645"/>
      <c r="EF510" s="645"/>
      <c r="EG510" s="645"/>
      <c r="EH510" s="645"/>
      <c r="EI510" s="645"/>
      <c r="EJ510" s="645"/>
      <c r="EK510" s="645"/>
      <c r="EL510" s="645"/>
      <c r="EM510" s="645"/>
      <c r="EN510" s="645"/>
      <c r="EO510" s="645"/>
      <c r="EP510" s="645"/>
      <c r="EQ510" s="645"/>
      <c r="ER510" s="645"/>
      <c r="ES510" s="645"/>
      <c r="ET510" s="645"/>
      <c r="EU510" s="645"/>
      <c r="EV510" s="645"/>
      <c r="EW510" s="645"/>
      <c r="EX510" s="645"/>
      <c r="EY510" s="645"/>
      <c r="EZ510" s="645"/>
      <c r="FA510" s="645"/>
      <c r="FB510" s="645"/>
      <c r="FC510" s="645"/>
      <c r="FD510" s="645"/>
      <c r="FE510" s="645"/>
      <c r="FF510" s="645"/>
      <c r="FG510" s="645"/>
      <c r="FH510" s="645"/>
      <c r="FI510" s="645"/>
      <c r="FJ510" s="645"/>
      <c r="FK510" s="645"/>
      <c r="FL510" s="645"/>
      <c r="FM510" s="645"/>
      <c r="FN510" s="645"/>
      <c r="FO510" s="645"/>
      <c r="FP510" s="645"/>
      <c r="FQ510" s="645"/>
      <c r="FR510" s="645"/>
      <c r="FS510" s="645"/>
      <c r="FT510" s="645"/>
      <c r="FU510" s="645"/>
      <c r="FV510" s="645"/>
      <c r="FW510" s="645"/>
      <c r="FX510" s="645"/>
      <c r="FY510" s="645"/>
      <c r="FZ510" s="645"/>
      <c r="GA510" s="645"/>
      <c r="GB510" s="645"/>
      <c r="GC510" s="645"/>
      <c r="GD510" s="645"/>
      <c r="GE510" s="645"/>
      <c r="GF510" s="645"/>
      <c r="GG510" s="645"/>
      <c r="GH510" s="645"/>
      <c r="GI510" s="645"/>
      <c r="GJ510" s="645"/>
      <c r="GK510" s="645"/>
      <c r="GL510" s="645"/>
      <c r="GM510" s="645"/>
      <c r="GN510" s="645"/>
      <c r="GO510" s="645"/>
      <c r="GP510" s="645"/>
      <c r="GQ510" s="645"/>
      <c r="GR510" s="645"/>
      <c r="GS510" s="645"/>
      <c r="GT510" s="645"/>
      <c r="GU510" s="645"/>
      <c r="GV510" s="645"/>
      <c r="GW510" s="645"/>
      <c r="GX510" s="645"/>
      <c r="GY510" s="645"/>
      <c r="GZ510" s="645"/>
      <c r="HA510" s="645"/>
      <c r="HB510" s="645"/>
      <c r="HC510" s="645"/>
      <c r="HD510" s="645"/>
      <c r="HE510" s="645"/>
      <c r="IT510" s="645"/>
      <c r="IU510" s="645"/>
      <c r="IV510" s="645"/>
      <c r="IW510" s="645"/>
      <c r="IX510" s="645"/>
      <c r="IY510" s="645"/>
      <c r="IZ510" s="645"/>
      <c r="JA510" s="645"/>
      <c r="JB510" s="645"/>
      <c r="JC510" s="645"/>
      <c r="JD510" s="645"/>
      <c r="JE510" s="645"/>
      <c r="JF510" s="645"/>
      <c r="JG510" s="645"/>
      <c r="JH510" s="645"/>
      <c r="JI510" s="645"/>
      <c r="JJ510" s="645"/>
      <c r="JK510" s="645"/>
      <c r="JL510" s="645"/>
      <c r="JM510" s="645"/>
      <c r="JN510" s="645"/>
      <c r="JO510" s="645"/>
      <c r="JP510" s="645"/>
      <c r="JQ510" s="645"/>
      <c r="JR510" s="645"/>
      <c r="JS510" s="645"/>
      <c r="JT510" s="645"/>
      <c r="JU510" s="645"/>
      <c r="JW510" s="522"/>
      <c r="JX510" s="522"/>
      <c r="JY510" s="522"/>
      <c r="JZ510" s="522"/>
      <c r="KA510" s="522"/>
      <c r="KB510" s="522"/>
      <c r="KC510" s="522"/>
      <c r="KD510" s="522"/>
      <c r="KE510" s="522"/>
      <c r="KF510" s="522"/>
      <c r="KG510" s="522"/>
      <c r="KH510" s="522"/>
      <c r="KI510" s="522"/>
      <c r="KJ510" s="522"/>
      <c r="KK510" s="522"/>
      <c r="KL510" s="522"/>
    </row>
    <row r="511" spans="1:298">
      <c r="CW511" s="646"/>
      <c r="CX511" s="646"/>
      <c r="CY511" s="625"/>
      <c r="CZ511" s="625"/>
      <c r="DA511" s="625"/>
      <c r="DB511" s="625"/>
      <c r="DC511" s="645"/>
      <c r="DD511" s="645"/>
      <c r="DE511" s="645"/>
      <c r="DF511" s="645"/>
      <c r="DG511" s="645"/>
      <c r="DH511" s="645"/>
      <c r="DI511" s="645"/>
      <c r="DJ511" s="645"/>
      <c r="DK511" s="645"/>
      <c r="DL511" s="645"/>
      <c r="DM511" s="645"/>
      <c r="DN511" s="645"/>
      <c r="DO511" s="645"/>
      <c r="DP511" s="645"/>
      <c r="DQ511" s="645"/>
      <c r="DR511" s="645"/>
      <c r="DS511" s="645"/>
      <c r="DT511" s="645"/>
      <c r="DU511" s="645"/>
      <c r="DV511" s="645"/>
      <c r="DW511" s="645"/>
      <c r="DX511" s="645"/>
      <c r="DY511" s="645"/>
      <c r="DZ511" s="645"/>
      <c r="EA511" s="645"/>
      <c r="EB511" s="645"/>
      <c r="EC511" s="645"/>
      <c r="ED511" s="645"/>
      <c r="EE511" s="645"/>
      <c r="EF511" s="645"/>
      <c r="EG511" s="645"/>
      <c r="EH511" s="645"/>
      <c r="EI511" s="645"/>
      <c r="EJ511" s="645"/>
      <c r="EK511" s="645"/>
      <c r="EL511" s="645"/>
      <c r="EM511" s="645"/>
      <c r="EN511" s="645"/>
      <c r="EO511" s="645"/>
      <c r="EP511" s="645"/>
      <c r="EQ511" s="645"/>
      <c r="ER511" s="645"/>
      <c r="ES511" s="645"/>
      <c r="ET511" s="645"/>
      <c r="EU511" s="645"/>
      <c r="EV511" s="645"/>
      <c r="EW511" s="645"/>
      <c r="EX511" s="645"/>
      <c r="EY511" s="645"/>
      <c r="EZ511" s="645"/>
      <c r="FA511" s="645"/>
      <c r="FB511" s="645"/>
      <c r="FC511" s="645"/>
      <c r="FD511" s="645"/>
      <c r="FE511" s="645"/>
      <c r="FF511" s="645"/>
      <c r="FG511" s="645"/>
      <c r="FH511" s="645"/>
      <c r="FI511" s="645"/>
      <c r="FJ511" s="645"/>
      <c r="FK511" s="645"/>
      <c r="FL511" s="645"/>
      <c r="FM511" s="645"/>
      <c r="FN511" s="645"/>
      <c r="FO511" s="645"/>
      <c r="FP511" s="645"/>
      <c r="FQ511" s="645"/>
      <c r="FR511" s="645"/>
      <c r="FS511" s="645"/>
      <c r="FT511" s="645"/>
      <c r="FU511" s="645"/>
      <c r="FV511" s="645"/>
      <c r="FW511" s="645"/>
      <c r="FX511" s="645"/>
      <c r="FY511" s="645"/>
      <c r="FZ511" s="645"/>
      <c r="GA511" s="645"/>
      <c r="GB511" s="645"/>
      <c r="GC511" s="645"/>
      <c r="GD511" s="645"/>
      <c r="GE511" s="645"/>
      <c r="GF511" s="645"/>
      <c r="GG511" s="645"/>
      <c r="GH511" s="645"/>
      <c r="GI511" s="645"/>
      <c r="GJ511" s="645"/>
      <c r="GK511" s="645"/>
      <c r="GL511" s="645"/>
      <c r="GM511" s="645"/>
      <c r="GN511" s="645"/>
      <c r="GO511" s="645"/>
      <c r="GP511" s="645"/>
      <c r="GQ511" s="645"/>
      <c r="GR511" s="645"/>
      <c r="GS511" s="645"/>
      <c r="GT511" s="645"/>
      <c r="GU511" s="645"/>
      <c r="GV511" s="645"/>
      <c r="GW511" s="645"/>
      <c r="GX511" s="645"/>
      <c r="GY511" s="645"/>
      <c r="GZ511" s="645"/>
      <c r="HA511" s="645"/>
      <c r="HB511" s="645"/>
      <c r="HC511" s="645"/>
      <c r="HD511" s="645"/>
      <c r="HE511" s="645"/>
      <c r="IT511" s="645"/>
      <c r="IU511" s="645"/>
      <c r="IV511" s="645"/>
      <c r="IW511" s="645"/>
      <c r="IX511" s="645"/>
      <c r="IY511" s="645"/>
      <c r="IZ511" s="645"/>
      <c r="JA511" s="645"/>
      <c r="JB511" s="645"/>
      <c r="JC511" s="645"/>
      <c r="JD511" s="645"/>
      <c r="JE511" s="645"/>
      <c r="JF511" s="645"/>
      <c r="JG511" s="645"/>
      <c r="JH511" s="645"/>
      <c r="JI511" s="645"/>
      <c r="JJ511" s="645"/>
      <c r="JK511" s="645"/>
      <c r="JL511" s="645"/>
      <c r="JM511" s="645"/>
      <c r="JN511" s="645"/>
      <c r="JO511" s="645"/>
      <c r="JP511" s="645"/>
      <c r="JQ511" s="645"/>
      <c r="JR511" s="645"/>
      <c r="JS511" s="645"/>
      <c r="JT511" s="645"/>
      <c r="JU511" s="645"/>
      <c r="JW511" s="522"/>
      <c r="JX511" s="522"/>
      <c r="JY511" s="522"/>
      <c r="JZ511" s="522"/>
      <c r="KA511" s="522"/>
      <c r="KB511" s="522"/>
      <c r="KC511" s="522"/>
      <c r="KD511" s="522"/>
      <c r="KE511" s="522"/>
      <c r="KF511" s="522"/>
      <c r="KG511" s="522"/>
      <c r="KH511" s="522"/>
      <c r="KI511" s="522"/>
      <c r="KJ511" s="522"/>
      <c r="KK511" s="522"/>
      <c r="KL511" s="522"/>
    </row>
    <row r="512" spans="1:298">
      <c r="CW512" s="646"/>
      <c r="CX512" s="646"/>
      <c r="CY512" s="625"/>
      <c r="CZ512" s="625"/>
      <c r="DA512" s="625"/>
      <c r="DB512" s="625"/>
      <c r="DC512" s="645"/>
      <c r="DD512" s="645"/>
      <c r="DE512" s="645"/>
      <c r="DF512" s="645"/>
      <c r="DG512" s="645"/>
      <c r="DH512" s="645"/>
      <c r="DI512" s="645"/>
      <c r="DJ512" s="645"/>
      <c r="DK512" s="645"/>
      <c r="DL512" s="645"/>
      <c r="DM512" s="645"/>
      <c r="DN512" s="645"/>
      <c r="DO512" s="645"/>
      <c r="DP512" s="645"/>
      <c r="DQ512" s="645"/>
      <c r="DR512" s="645"/>
      <c r="DS512" s="645"/>
      <c r="DT512" s="645"/>
      <c r="DU512" s="645"/>
      <c r="DV512" s="645"/>
      <c r="DW512" s="645"/>
      <c r="DX512" s="645"/>
      <c r="DY512" s="645"/>
      <c r="DZ512" s="645"/>
      <c r="EA512" s="645"/>
      <c r="EB512" s="645"/>
      <c r="EC512" s="645"/>
      <c r="ED512" s="645"/>
      <c r="EE512" s="645"/>
      <c r="EF512" s="645"/>
      <c r="EG512" s="645"/>
      <c r="EH512" s="645"/>
      <c r="EI512" s="645"/>
      <c r="EJ512" s="645"/>
      <c r="EK512" s="645"/>
      <c r="EL512" s="645"/>
      <c r="EM512" s="645"/>
      <c r="EN512" s="645"/>
      <c r="EO512" s="645"/>
      <c r="EP512" s="645"/>
      <c r="EQ512" s="645"/>
      <c r="ER512" s="645"/>
      <c r="ES512" s="645"/>
      <c r="ET512" s="645"/>
      <c r="EU512" s="645"/>
      <c r="EV512" s="645"/>
      <c r="EW512" s="645"/>
      <c r="EX512" s="645"/>
      <c r="EY512" s="645"/>
      <c r="EZ512" s="645"/>
      <c r="FA512" s="645"/>
      <c r="FB512" s="645"/>
      <c r="FC512" s="645"/>
      <c r="FD512" s="645"/>
      <c r="FE512" s="645"/>
      <c r="FF512" s="645"/>
      <c r="FG512" s="645"/>
      <c r="FH512" s="645"/>
      <c r="FI512" s="645"/>
      <c r="FJ512" s="645"/>
      <c r="FK512" s="645"/>
      <c r="FL512" s="645"/>
      <c r="FM512" s="645"/>
      <c r="FN512" s="645"/>
      <c r="FO512" s="645"/>
      <c r="FP512" s="645"/>
      <c r="FQ512" s="645"/>
      <c r="FR512" s="645"/>
      <c r="FS512" s="645"/>
      <c r="FT512" s="645"/>
      <c r="FU512" s="645"/>
      <c r="FV512" s="645"/>
      <c r="FW512" s="645"/>
      <c r="FX512" s="645"/>
      <c r="FY512" s="645"/>
      <c r="FZ512" s="645"/>
      <c r="GA512" s="645"/>
      <c r="GB512" s="645"/>
      <c r="GC512" s="645"/>
      <c r="GD512" s="645"/>
      <c r="GE512" s="645"/>
      <c r="GF512" s="645"/>
      <c r="GG512" s="645"/>
      <c r="GH512" s="645"/>
      <c r="GI512" s="645"/>
      <c r="GJ512" s="645"/>
      <c r="GK512" s="645"/>
      <c r="GL512" s="645"/>
      <c r="GM512" s="645"/>
      <c r="GN512" s="645"/>
      <c r="GO512" s="645"/>
      <c r="GP512" s="645"/>
      <c r="GQ512" s="645"/>
      <c r="GR512" s="645"/>
      <c r="GS512" s="645"/>
      <c r="GT512" s="645"/>
      <c r="GU512" s="645"/>
      <c r="GV512" s="645"/>
      <c r="GW512" s="645"/>
      <c r="GX512" s="645"/>
      <c r="GY512" s="645"/>
      <c r="GZ512" s="645"/>
      <c r="HA512" s="645"/>
      <c r="HB512" s="645"/>
      <c r="HC512" s="645"/>
      <c r="HD512" s="645"/>
      <c r="HE512" s="645"/>
      <c r="IT512" s="645"/>
      <c r="IU512" s="645"/>
      <c r="IV512" s="645"/>
      <c r="IW512" s="645"/>
      <c r="IX512" s="645"/>
      <c r="IY512" s="645"/>
      <c r="IZ512" s="645"/>
      <c r="JA512" s="645"/>
      <c r="JB512" s="645"/>
      <c r="JC512" s="645"/>
      <c r="JD512" s="645"/>
      <c r="JE512" s="645"/>
      <c r="JF512" s="645"/>
      <c r="JG512" s="645"/>
      <c r="JH512" s="645"/>
      <c r="JI512" s="645"/>
      <c r="JJ512" s="645"/>
      <c r="JK512" s="645"/>
      <c r="JL512" s="645"/>
      <c r="JM512" s="645"/>
      <c r="JN512" s="645"/>
      <c r="JO512" s="645"/>
      <c r="JP512" s="645"/>
      <c r="JQ512" s="645"/>
      <c r="JR512" s="645"/>
      <c r="JS512" s="645"/>
      <c r="JT512" s="645"/>
      <c r="JU512" s="645"/>
      <c r="JW512" s="522"/>
      <c r="JX512" s="522"/>
      <c r="JY512" s="522"/>
      <c r="JZ512" s="522"/>
      <c r="KA512" s="522"/>
      <c r="KB512" s="522"/>
      <c r="KC512" s="522"/>
      <c r="KD512" s="522"/>
      <c r="KE512" s="522"/>
      <c r="KF512" s="522"/>
      <c r="KG512" s="522"/>
      <c r="KH512" s="522"/>
      <c r="KI512" s="522"/>
      <c r="KJ512" s="522"/>
      <c r="KK512" s="522"/>
      <c r="KL512" s="522"/>
    </row>
    <row r="513" spans="101:298">
      <c r="CW513" s="646"/>
      <c r="CX513" s="646"/>
      <c r="CY513" s="625"/>
      <c r="CZ513" s="625"/>
      <c r="DA513" s="625"/>
      <c r="DB513" s="625"/>
      <c r="DC513" s="645"/>
      <c r="DD513" s="645"/>
      <c r="DE513" s="645"/>
      <c r="DF513" s="645"/>
      <c r="DG513" s="645"/>
      <c r="DH513" s="645"/>
      <c r="DI513" s="645"/>
      <c r="DJ513" s="645"/>
      <c r="DK513" s="645"/>
      <c r="DL513" s="645"/>
      <c r="DM513" s="645"/>
      <c r="DN513" s="645"/>
      <c r="DO513" s="645"/>
      <c r="DP513" s="645"/>
      <c r="DQ513" s="645"/>
      <c r="DR513" s="645"/>
      <c r="DS513" s="645"/>
      <c r="DT513" s="645"/>
      <c r="DU513" s="645"/>
      <c r="DV513" s="645"/>
      <c r="DW513" s="645"/>
      <c r="DX513" s="645"/>
      <c r="DY513" s="645"/>
      <c r="DZ513" s="645"/>
      <c r="EA513" s="645"/>
      <c r="EB513" s="645"/>
      <c r="EC513" s="645"/>
      <c r="ED513" s="645"/>
      <c r="EE513" s="645"/>
      <c r="EF513" s="645"/>
      <c r="EG513" s="645"/>
      <c r="EH513" s="645"/>
      <c r="EI513" s="645"/>
      <c r="EJ513" s="645"/>
      <c r="EK513" s="645"/>
      <c r="EL513" s="645"/>
      <c r="EM513" s="645"/>
      <c r="EN513" s="645"/>
      <c r="EO513" s="645"/>
      <c r="EP513" s="645"/>
      <c r="EQ513" s="645"/>
      <c r="ER513" s="645"/>
      <c r="ES513" s="645"/>
      <c r="ET513" s="645"/>
      <c r="EU513" s="645"/>
      <c r="EV513" s="645"/>
      <c r="EW513" s="645"/>
      <c r="EX513" s="645"/>
      <c r="EY513" s="645"/>
      <c r="EZ513" s="645"/>
      <c r="FA513" s="645"/>
      <c r="FB513" s="645"/>
      <c r="FC513" s="645"/>
      <c r="FD513" s="645"/>
      <c r="FE513" s="645"/>
      <c r="FF513" s="645"/>
      <c r="FG513" s="645"/>
      <c r="FH513" s="645"/>
      <c r="FI513" s="645"/>
      <c r="FJ513" s="645"/>
      <c r="FK513" s="645"/>
      <c r="FL513" s="645"/>
      <c r="FM513" s="645"/>
      <c r="FN513" s="645"/>
      <c r="FO513" s="645"/>
      <c r="FP513" s="645"/>
      <c r="FQ513" s="645"/>
      <c r="FR513" s="645"/>
      <c r="FS513" s="645"/>
      <c r="FT513" s="645"/>
      <c r="FU513" s="645"/>
      <c r="FV513" s="645"/>
      <c r="FW513" s="645"/>
      <c r="FX513" s="645"/>
      <c r="FY513" s="645"/>
      <c r="FZ513" s="645"/>
      <c r="GA513" s="645"/>
      <c r="GB513" s="645"/>
      <c r="GC513" s="645"/>
      <c r="GD513" s="645"/>
      <c r="GE513" s="645"/>
      <c r="GF513" s="645"/>
      <c r="GG513" s="645"/>
      <c r="GH513" s="645"/>
      <c r="GI513" s="645"/>
      <c r="GJ513" s="645"/>
      <c r="GK513" s="645"/>
      <c r="GL513" s="645"/>
      <c r="GM513" s="645"/>
      <c r="GN513" s="645"/>
      <c r="GO513" s="645"/>
      <c r="GP513" s="645"/>
      <c r="GQ513" s="645"/>
      <c r="GR513" s="645"/>
      <c r="GS513" s="645"/>
      <c r="GT513" s="645"/>
      <c r="GU513" s="645"/>
      <c r="GV513" s="645"/>
      <c r="GW513" s="645"/>
      <c r="GX513" s="645"/>
      <c r="GY513" s="645"/>
      <c r="GZ513" s="645"/>
      <c r="HA513" s="645"/>
      <c r="HB513" s="645"/>
      <c r="HC513" s="645"/>
      <c r="HD513" s="645"/>
      <c r="HE513" s="645"/>
      <c r="IT513" s="645"/>
      <c r="IU513" s="645"/>
      <c r="IV513" s="645"/>
      <c r="IW513" s="645"/>
      <c r="IX513" s="645"/>
      <c r="IY513" s="645"/>
      <c r="IZ513" s="645"/>
      <c r="JA513" s="645"/>
      <c r="JB513" s="645"/>
      <c r="JC513" s="645"/>
      <c r="JD513" s="645"/>
      <c r="JE513" s="645"/>
      <c r="JF513" s="645"/>
      <c r="JG513" s="645"/>
      <c r="JH513" s="645"/>
      <c r="JI513" s="645"/>
      <c r="JJ513" s="645"/>
      <c r="JK513" s="645"/>
      <c r="JL513" s="645"/>
      <c r="JM513" s="645"/>
      <c r="JN513" s="645"/>
      <c r="JO513" s="645"/>
      <c r="JP513" s="645"/>
      <c r="JQ513" s="645"/>
      <c r="JR513" s="645"/>
      <c r="JS513" s="645"/>
      <c r="JT513" s="645"/>
      <c r="JU513" s="645"/>
      <c r="JW513" s="522"/>
      <c r="JX513" s="522"/>
      <c r="JY513" s="522"/>
      <c r="JZ513" s="522"/>
      <c r="KA513" s="522"/>
      <c r="KB513" s="522"/>
      <c r="KC513" s="522"/>
      <c r="KD513" s="522"/>
      <c r="KE513" s="522"/>
      <c r="KF513" s="522"/>
      <c r="KG513" s="522"/>
      <c r="KH513" s="522"/>
      <c r="KI513" s="522"/>
      <c r="KJ513" s="522"/>
      <c r="KK513" s="522"/>
      <c r="KL513" s="522"/>
    </row>
    <row r="514" spans="101:298">
      <c r="CW514" s="646"/>
      <c r="CX514" s="646"/>
      <c r="CY514" s="625"/>
      <c r="CZ514" s="625"/>
      <c r="DA514" s="625"/>
      <c r="DB514" s="625"/>
      <c r="DC514" s="645"/>
      <c r="DD514" s="645"/>
      <c r="DE514" s="645"/>
      <c r="DF514" s="645"/>
      <c r="DG514" s="645"/>
      <c r="DH514" s="645"/>
      <c r="DI514" s="645"/>
      <c r="DJ514" s="645"/>
      <c r="DK514" s="645"/>
      <c r="DL514" s="645"/>
      <c r="DM514" s="645"/>
      <c r="DN514" s="645"/>
      <c r="DO514" s="645"/>
      <c r="DP514" s="645"/>
      <c r="DQ514" s="645"/>
      <c r="DR514" s="645"/>
      <c r="DS514" s="645"/>
      <c r="DT514" s="645"/>
      <c r="DU514" s="645"/>
      <c r="DV514" s="645"/>
      <c r="DW514" s="645"/>
      <c r="DX514" s="645"/>
      <c r="DY514" s="645"/>
      <c r="DZ514" s="645"/>
      <c r="EA514" s="645"/>
      <c r="EB514" s="645"/>
      <c r="EC514" s="645"/>
      <c r="ED514" s="645"/>
      <c r="EE514" s="645"/>
      <c r="EF514" s="645"/>
      <c r="EG514" s="645"/>
      <c r="EH514" s="645"/>
      <c r="EI514" s="645"/>
      <c r="EJ514" s="645"/>
      <c r="EK514" s="645"/>
      <c r="EL514" s="645"/>
      <c r="EM514" s="645"/>
      <c r="EN514" s="645"/>
      <c r="EO514" s="645"/>
      <c r="EP514" s="645"/>
      <c r="EQ514" s="645"/>
      <c r="ER514" s="645"/>
      <c r="ES514" s="645"/>
      <c r="ET514" s="645"/>
      <c r="EU514" s="645"/>
      <c r="EV514" s="645"/>
      <c r="EW514" s="645"/>
      <c r="EX514" s="645"/>
      <c r="EY514" s="645"/>
      <c r="EZ514" s="645"/>
      <c r="FA514" s="645"/>
      <c r="FB514" s="645"/>
      <c r="FC514" s="645"/>
      <c r="FD514" s="645"/>
      <c r="FE514" s="645"/>
      <c r="FF514" s="645"/>
      <c r="FG514" s="645"/>
      <c r="FH514" s="645"/>
      <c r="FI514" s="645"/>
      <c r="FJ514" s="645"/>
      <c r="FK514" s="645"/>
      <c r="FL514" s="645"/>
      <c r="FM514" s="645"/>
      <c r="FN514" s="645"/>
      <c r="FO514" s="645"/>
      <c r="FP514" s="645"/>
      <c r="FQ514" s="645"/>
      <c r="FR514" s="645"/>
      <c r="FS514" s="645"/>
      <c r="FT514" s="645"/>
      <c r="FU514" s="645"/>
      <c r="FV514" s="645"/>
      <c r="FW514" s="645"/>
      <c r="FX514" s="645"/>
      <c r="FY514" s="645"/>
      <c r="FZ514" s="645"/>
      <c r="GA514" s="645"/>
      <c r="GB514" s="645"/>
      <c r="GC514" s="645"/>
      <c r="GD514" s="645"/>
      <c r="GE514" s="645"/>
      <c r="GF514" s="645"/>
      <c r="GG514" s="645"/>
      <c r="GH514" s="645"/>
      <c r="GI514" s="645"/>
      <c r="GJ514" s="645"/>
      <c r="GK514" s="645"/>
      <c r="GL514" s="645"/>
      <c r="GM514" s="645"/>
      <c r="GN514" s="645"/>
      <c r="GO514" s="645"/>
      <c r="GP514" s="645"/>
      <c r="GQ514" s="645"/>
      <c r="GR514" s="645"/>
      <c r="GS514" s="645"/>
      <c r="GT514" s="645"/>
      <c r="GU514" s="645"/>
      <c r="GV514" s="645"/>
      <c r="GW514" s="645"/>
      <c r="GX514" s="645"/>
      <c r="GY514" s="645"/>
      <c r="GZ514" s="645"/>
      <c r="HA514" s="645"/>
      <c r="HB514" s="645"/>
      <c r="HC514" s="645"/>
      <c r="HD514" s="645"/>
      <c r="HE514" s="645"/>
      <c r="IT514" s="645"/>
      <c r="IU514" s="645"/>
      <c r="IV514" s="645"/>
      <c r="IW514" s="645"/>
      <c r="IX514" s="645"/>
      <c r="IY514" s="645"/>
      <c r="IZ514" s="645"/>
      <c r="JA514" s="645"/>
      <c r="JB514" s="645"/>
      <c r="JC514" s="645"/>
      <c r="JD514" s="645"/>
      <c r="JE514" s="645"/>
      <c r="JF514" s="645"/>
      <c r="JG514" s="645"/>
      <c r="JH514" s="645"/>
      <c r="JI514" s="645"/>
      <c r="JJ514" s="645"/>
      <c r="JK514" s="645"/>
      <c r="JL514" s="645"/>
      <c r="JM514" s="645"/>
      <c r="JN514" s="645"/>
      <c r="JO514" s="645"/>
      <c r="JP514" s="645"/>
      <c r="JQ514" s="645"/>
      <c r="JR514" s="645"/>
      <c r="JS514" s="645"/>
      <c r="JT514" s="645"/>
      <c r="JU514" s="645"/>
      <c r="JW514" s="522"/>
      <c r="JX514" s="522"/>
      <c r="JY514" s="522"/>
      <c r="JZ514" s="522"/>
      <c r="KA514" s="522"/>
      <c r="KB514" s="522"/>
      <c r="KC514" s="522"/>
      <c r="KD514" s="522"/>
      <c r="KE514" s="522"/>
      <c r="KF514" s="522"/>
      <c r="KG514" s="522"/>
      <c r="KH514" s="522"/>
      <c r="KI514" s="522"/>
      <c r="KJ514" s="522"/>
      <c r="KK514" s="522"/>
      <c r="KL514" s="522"/>
    </row>
    <row r="515" spans="101:298">
      <c r="CW515" s="646"/>
      <c r="CX515" s="646"/>
      <c r="CY515" s="625"/>
      <c r="CZ515" s="625"/>
      <c r="DA515" s="625"/>
      <c r="DB515" s="625"/>
      <c r="DC515" s="645"/>
      <c r="DD515" s="645"/>
      <c r="DE515" s="645"/>
      <c r="DF515" s="645"/>
      <c r="DG515" s="645"/>
      <c r="DH515" s="645"/>
      <c r="DI515" s="645"/>
      <c r="DJ515" s="645"/>
      <c r="DK515" s="645"/>
      <c r="DL515" s="645"/>
      <c r="DM515" s="645"/>
      <c r="DN515" s="645"/>
      <c r="DO515" s="645"/>
      <c r="DP515" s="645"/>
      <c r="DQ515" s="645"/>
      <c r="DR515" s="645"/>
      <c r="DS515" s="645"/>
      <c r="DT515" s="645"/>
      <c r="DU515" s="645"/>
      <c r="DV515" s="645"/>
      <c r="DW515" s="645"/>
      <c r="DX515" s="645"/>
      <c r="DY515" s="645"/>
      <c r="DZ515" s="645"/>
      <c r="EA515" s="645"/>
      <c r="EB515" s="645"/>
      <c r="EC515" s="645"/>
      <c r="ED515" s="645"/>
      <c r="EE515" s="645"/>
      <c r="EF515" s="645"/>
      <c r="EG515" s="645"/>
      <c r="EH515" s="645"/>
      <c r="EI515" s="645"/>
      <c r="EJ515" s="645"/>
      <c r="EK515" s="645"/>
      <c r="EL515" s="645"/>
      <c r="EM515" s="645"/>
      <c r="EN515" s="645"/>
      <c r="EO515" s="645"/>
      <c r="EP515" s="645"/>
      <c r="EQ515" s="645"/>
      <c r="ER515" s="645"/>
      <c r="ES515" s="645"/>
      <c r="ET515" s="645"/>
      <c r="EU515" s="645"/>
      <c r="EV515" s="645"/>
      <c r="EW515" s="645"/>
      <c r="EX515" s="645"/>
      <c r="EY515" s="645"/>
      <c r="EZ515" s="645"/>
      <c r="FA515" s="645"/>
      <c r="FB515" s="645"/>
      <c r="FC515" s="645"/>
      <c r="FD515" s="645"/>
      <c r="FE515" s="645"/>
      <c r="FF515" s="645"/>
      <c r="FG515" s="645"/>
      <c r="FH515" s="645"/>
      <c r="FI515" s="645"/>
      <c r="FJ515" s="645"/>
      <c r="FK515" s="645"/>
      <c r="FL515" s="645"/>
      <c r="FM515" s="645"/>
      <c r="FN515" s="645"/>
      <c r="FO515" s="645"/>
      <c r="FP515" s="645"/>
      <c r="FQ515" s="645"/>
      <c r="FR515" s="645"/>
      <c r="FS515" s="645"/>
      <c r="FT515" s="645"/>
      <c r="FU515" s="645"/>
      <c r="FV515" s="645"/>
      <c r="FW515" s="645"/>
      <c r="FX515" s="645"/>
      <c r="FY515" s="645"/>
      <c r="FZ515" s="645"/>
      <c r="GA515" s="645"/>
      <c r="GB515" s="645"/>
      <c r="GC515" s="645"/>
      <c r="GD515" s="645"/>
      <c r="GE515" s="645"/>
      <c r="GF515" s="645"/>
      <c r="GG515" s="645"/>
      <c r="GH515" s="645"/>
      <c r="GI515" s="645"/>
      <c r="GJ515" s="645"/>
      <c r="GK515" s="645"/>
      <c r="GL515" s="645"/>
      <c r="GM515" s="645"/>
      <c r="GN515" s="645"/>
      <c r="GO515" s="645"/>
      <c r="GP515" s="645"/>
      <c r="GQ515" s="645"/>
      <c r="GR515" s="645"/>
      <c r="GS515" s="645"/>
      <c r="GT515" s="645"/>
      <c r="GU515" s="645"/>
      <c r="GV515" s="645"/>
      <c r="GW515" s="645"/>
      <c r="GX515" s="645"/>
      <c r="GY515" s="645"/>
      <c r="GZ515" s="645"/>
      <c r="HA515" s="645"/>
      <c r="HB515" s="645"/>
      <c r="HC515" s="645"/>
      <c r="HD515" s="645"/>
      <c r="HE515" s="645"/>
      <c r="IT515" s="645"/>
      <c r="IU515" s="645"/>
      <c r="IV515" s="645"/>
      <c r="IW515" s="645"/>
      <c r="IX515" s="645"/>
      <c r="IY515" s="645"/>
      <c r="IZ515" s="645"/>
      <c r="JA515" s="645"/>
      <c r="JB515" s="645"/>
      <c r="JC515" s="645"/>
      <c r="JD515" s="645"/>
      <c r="JE515" s="645"/>
      <c r="JF515" s="645"/>
      <c r="JG515" s="645"/>
      <c r="JH515" s="645"/>
      <c r="JI515" s="645"/>
      <c r="JJ515" s="645"/>
      <c r="JK515" s="645"/>
      <c r="JL515" s="645"/>
      <c r="JM515" s="645"/>
      <c r="JN515" s="645"/>
      <c r="JO515" s="645"/>
      <c r="JP515" s="645"/>
      <c r="JQ515" s="645"/>
      <c r="JR515" s="645"/>
      <c r="JS515" s="645"/>
      <c r="JT515" s="645"/>
      <c r="JU515" s="645"/>
      <c r="JW515" s="522"/>
      <c r="JX515" s="522"/>
      <c r="JY515" s="522"/>
      <c r="JZ515" s="522"/>
      <c r="KA515" s="522"/>
      <c r="KB515" s="522"/>
      <c r="KC515" s="522"/>
      <c r="KD515" s="522"/>
      <c r="KE515" s="522"/>
      <c r="KF515" s="522"/>
      <c r="KG515" s="522"/>
      <c r="KH515" s="522"/>
      <c r="KI515" s="522"/>
      <c r="KJ515" s="522"/>
      <c r="KK515" s="522"/>
      <c r="KL515" s="522"/>
    </row>
    <row r="516" spans="101:298">
      <c r="CW516" s="646"/>
      <c r="CX516" s="646"/>
      <c r="CY516" s="625"/>
      <c r="CZ516" s="625"/>
      <c r="DA516" s="625"/>
      <c r="DB516" s="625"/>
      <c r="DC516" s="645"/>
      <c r="DD516" s="645"/>
      <c r="DE516" s="645"/>
      <c r="DF516" s="645"/>
      <c r="DG516" s="645"/>
      <c r="DH516" s="645"/>
      <c r="DI516" s="645"/>
      <c r="DJ516" s="645"/>
      <c r="DK516" s="645"/>
      <c r="DL516" s="645"/>
      <c r="DM516" s="645"/>
      <c r="DN516" s="645"/>
      <c r="DO516" s="645"/>
      <c r="DP516" s="645"/>
      <c r="DQ516" s="645"/>
      <c r="DR516" s="645"/>
      <c r="DS516" s="645"/>
      <c r="DT516" s="645"/>
      <c r="DU516" s="645"/>
      <c r="DV516" s="645"/>
      <c r="DW516" s="645"/>
      <c r="DX516" s="645"/>
      <c r="DY516" s="645"/>
      <c r="DZ516" s="645"/>
      <c r="EA516" s="645"/>
      <c r="EB516" s="645"/>
      <c r="EC516" s="645"/>
      <c r="ED516" s="645"/>
      <c r="EE516" s="645"/>
      <c r="EF516" s="645"/>
      <c r="EG516" s="645"/>
      <c r="EH516" s="645"/>
      <c r="EI516" s="645"/>
      <c r="EJ516" s="645"/>
      <c r="EK516" s="645"/>
      <c r="EL516" s="645"/>
      <c r="EM516" s="645"/>
      <c r="EN516" s="645"/>
      <c r="EO516" s="645"/>
      <c r="EP516" s="645"/>
      <c r="EQ516" s="645"/>
      <c r="ER516" s="645"/>
      <c r="ES516" s="645"/>
      <c r="ET516" s="645"/>
      <c r="EU516" s="645"/>
      <c r="EV516" s="645"/>
      <c r="EW516" s="645"/>
      <c r="EX516" s="645"/>
      <c r="EY516" s="645"/>
      <c r="EZ516" s="645"/>
      <c r="FA516" s="645"/>
      <c r="FB516" s="645"/>
      <c r="FC516" s="645"/>
      <c r="FD516" s="645"/>
      <c r="FE516" s="645"/>
      <c r="FF516" s="645"/>
      <c r="FG516" s="645"/>
      <c r="FH516" s="645"/>
      <c r="FI516" s="645"/>
      <c r="FJ516" s="645"/>
      <c r="FK516" s="645"/>
      <c r="FL516" s="645"/>
      <c r="FM516" s="645"/>
      <c r="FN516" s="645"/>
      <c r="FO516" s="645"/>
      <c r="FP516" s="645"/>
      <c r="FQ516" s="645"/>
      <c r="FR516" s="645"/>
      <c r="FS516" s="645"/>
      <c r="FT516" s="645"/>
      <c r="FU516" s="645"/>
      <c r="FV516" s="645"/>
      <c r="FW516" s="645"/>
      <c r="FX516" s="645"/>
      <c r="FY516" s="645"/>
      <c r="FZ516" s="645"/>
      <c r="GA516" s="645"/>
      <c r="GB516" s="645"/>
      <c r="GC516" s="645"/>
      <c r="GD516" s="645"/>
      <c r="GE516" s="645"/>
      <c r="GF516" s="645"/>
      <c r="GG516" s="645"/>
      <c r="GH516" s="645"/>
      <c r="GI516" s="645"/>
      <c r="GJ516" s="645"/>
      <c r="GK516" s="645"/>
      <c r="GL516" s="645"/>
      <c r="GM516" s="645"/>
      <c r="GN516" s="645"/>
      <c r="GO516" s="645"/>
      <c r="GP516" s="645"/>
      <c r="GQ516" s="645"/>
      <c r="GR516" s="645"/>
      <c r="GS516" s="645"/>
      <c r="GT516" s="645"/>
      <c r="GU516" s="645"/>
      <c r="GV516" s="645"/>
      <c r="GW516" s="645"/>
      <c r="GX516" s="645"/>
      <c r="GY516" s="645"/>
      <c r="GZ516" s="645"/>
      <c r="HA516" s="645"/>
      <c r="HB516" s="645"/>
      <c r="HC516" s="645"/>
      <c r="HD516" s="645"/>
      <c r="HE516" s="645"/>
      <c r="IT516" s="645"/>
      <c r="IU516" s="645"/>
      <c r="IV516" s="645"/>
      <c r="IW516" s="645"/>
      <c r="IX516" s="645"/>
      <c r="IY516" s="645"/>
      <c r="IZ516" s="645"/>
      <c r="JA516" s="645"/>
      <c r="JB516" s="645"/>
      <c r="JC516" s="645"/>
      <c r="JD516" s="645"/>
      <c r="JE516" s="645"/>
      <c r="JF516" s="645"/>
      <c r="JG516" s="645"/>
      <c r="JH516" s="645"/>
      <c r="JI516" s="645"/>
      <c r="JJ516" s="645"/>
      <c r="JK516" s="645"/>
      <c r="JL516" s="645"/>
      <c r="JM516" s="645"/>
      <c r="JN516" s="645"/>
      <c r="JO516" s="645"/>
      <c r="JP516" s="645"/>
      <c r="JQ516" s="645"/>
      <c r="JR516" s="645"/>
      <c r="JS516" s="645"/>
      <c r="JT516" s="645"/>
      <c r="JU516" s="645"/>
      <c r="JW516" s="522"/>
      <c r="JX516" s="522"/>
      <c r="JY516" s="522"/>
      <c r="JZ516" s="522"/>
      <c r="KA516" s="522"/>
      <c r="KB516" s="522"/>
      <c r="KC516" s="522"/>
      <c r="KD516" s="522"/>
      <c r="KE516" s="522"/>
      <c r="KF516" s="522"/>
      <c r="KG516" s="522"/>
      <c r="KH516" s="522"/>
      <c r="KI516" s="522"/>
      <c r="KJ516" s="522"/>
      <c r="KK516" s="522"/>
      <c r="KL516" s="522"/>
    </row>
    <row r="517" spans="101:298">
      <c r="CW517" s="646"/>
      <c r="CX517" s="646"/>
      <c r="CY517" s="625"/>
      <c r="CZ517" s="625"/>
      <c r="DA517" s="625"/>
      <c r="DB517" s="625"/>
      <c r="DC517" s="645"/>
      <c r="DD517" s="645"/>
      <c r="DE517" s="645"/>
      <c r="DF517" s="645"/>
      <c r="DG517" s="645"/>
      <c r="DH517" s="645"/>
      <c r="DI517" s="645"/>
      <c r="DJ517" s="645"/>
      <c r="DK517" s="645"/>
      <c r="DL517" s="645"/>
      <c r="DM517" s="645"/>
      <c r="DN517" s="645"/>
      <c r="DO517" s="645"/>
      <c r="DP517" s="645"/>
      <c r="DQ517" s="645"/>
      <c r="DR517" s="645"/>
      <c r="DS517" s="645"/>
      <c r="DT517" s="645"/>
      <c r="DU517" s="645"/>
      <c r="DV517" s="645"/>
      <c r="DW517" s="645"/>
      <c r="DX517" s="645"/>
      <c r="DY517" s="645"/>
      <c r="DZ517" s="645"/>
      <c r="EA517" s="645"/>
      <c r="EB517" s="645"/>
      <c r="EC517" s="645"/>
      <c r="ED517" s="645"/>
      <c r="EE517" s="645"/>
      <c r="EF517" s="645"/>
      <c r="EG517" s="645"/>
      <c r="EH517" s="645"/>
      <c r="EI517" s="645"/>
      <c r="EJ517" s="645"/>
      <c r="EK517" s="645"/>
      <c r="EL517" s="645"/>
      <c r="EM517" s="645"/>
      <c r="EN517" s="645"/>
      <c r="EO517" s="645"/>
      <c r="EP517" s="645"/>
      <c r="EQ517" s="645"/>
      <c r="ER517" s="645"/>
      <c r="ES517" s="645"/>
      <c r="ET517" s="645"/>
      <c r="EU517" s="645"/>
      <c r="EV517" s="645"/>
      <c r="EW517" s="645"/>
      <c r="EX517" s="645"/>
      <c r="EY517" s="645"/>
      <c r="EZ517" s="645"/>
      <c r="FA517" s="645"/>
      <c r="FB517" s="645"/>
      <c r="FC517" s="645"/>
      <c r="FD517" s="645"/>
      <c r="FE517" s="645"/>
      <c r="FF517" s="645"/>
      <c r="FG517" s="645"/>
      <c r="FH517" s="645"/>
      <c r="FI517" s="645"/>
      <c r="FJ517" s="645"/>
      <c r="FK517" s="645"/>
      <c r="FL517" s="645"/>
      <c r="FM517" s="645"/>
      <c r="FN517" s="645"/>
      <c r="FO517" s="645"/>
      <c r="FP517" s="645"/>
      <c r="FQ517" s="645"/>
      <c r="FR517" s="645"/>
      <c r="FS517" s="645"/>
      <c r="FT517" s="645"/>
      <c r="FU517" s="645"/>
      <c r="FV517" s="645"/>
      <c r="FW517" s="645"/>
      <c r="FX517" s="645"/>
      <c r="FY517" s="645"/>
      <c r="FZ517" s="645"/>
      <c r="GA517" s="645"/>
      <c r="GB517" s="645"/>
      <c r="GC517" s="645"/>
      <c r="GD517" s="645"/>
      <c r="GE517" s="645"/>
      <c r="GF517" s="645"/>
      <c r="GG517" s="645"/>
      <c r="GH517" s="645"/>
      <c r="GI517" s="645"/>
      <c r="GJ517" s="645"/>
      <c r="GK517" s="645"/>
      <c r="GL517" s="645"/>
      <c r="GM517" s="645"/>
      <c r="GN517" s="645"/>
      <c r="GO517" s="645"/>
      <c r="GP517" s="645"/>
      <c r="GQ517" s="645"/>
      <c r="GR517" s="645"/>
      <c r="GS517" s="645"/>
      <c r="GT517" s="645"/>
      <c r="GU517" s="645"/>
      <c r="GV517" s="645"/>
      <c r="GW517" s="645"/>
      <c r="GX517" s="645"/>
      <c r="GY517" s="645"/>
      <c r="GZ517" s="645"/>
      <c r="HA517" s="645"/>
      <c r="HB517" s="645"/>
      <c r="HC517" s="645"/>
      <c r="HD517" s="645"/>
      <c r="HE517" s="645"/>
      <c r="IT517" s="645"/>
      <c r="IU517" s="645"/>
      <c r="IV517" s="645"/>
      <c r="IW517" s="645"/>
      <c r="IX517" s="645"/>
      <c r="IY517" s="645"/>
      <c r="IZ517" s="645"/>
      <c r="JA517" s="645"/>
      <c r="JB517" s="645"/>
      <c r="JC517" s="645"/>
      <c r="JD517" s="645"/>
      <c r="JE517" s="645"/>
      <c r="JF517" s="645"/>
      <c r="JG517" s="645"/>
      <c r="JH517" s="645"/>
      <c r="JI517" s="645"/>
      <c r="JJ517" s="645"/>
      <c r="JK517" s="645"/>
      <c r="JL517" s="645"/>
      <c r="JM517" s="645"/>
      <c r="JN517" s="645"/>
      <c r="JO517" s="645"/>
      <c r="JP517" s="645"/>
      <c r="JQ517" s="645"/>
      <c r="JR517" s="645"/>
      <c r="JS517" s="645"/>
      <c r="JT517" s="645"/>
      <c r="JU517" s="645"/>
      <c r="JW517" s="522"/>
      <c r="JX517" s="522"/>
      <c r="JY517" s="522"/>
      <c r="JZ517" s="522"/>
      <c r="KA517" s="522"/>
      <c r="KB517" s="522"/>
      <c r="KC517" s="522"/>
      <c r="KD517" s="522"/>
      <c r="KE517" s="522"/>
      <c r="KF517" s="522"/>
      <c r="KG517" s="522"/>
      <c r="KH517" s="522"/>
      <c r="KI517" s="522"/>
      <c r="KJ517" s="522"/>
      <c r="KK517" s="522"/>
      <c r="KL517" s="522"/>
    </row>
    <row r="518" spans="101:298">
      <c r="CW518" s="646"/>
      <c r="CX518" s="646"/>
      <c r="CY518" s="625"/>
      <c r="CZ518" s="625"/>
      <c r="DA518" s="625"/>
      <c r="DB518" s="625"/>
      <c r="DC518" s="645"/>
      <c r="DD518" s="645"/>
      <c r="DE518" s="645"/>
      <c r="DF518" s="645"/>
      <c r="DG518" s="645"/>
      <c r="DH518" s="645"/>
      <c r="DI518" s="645"/>
      <c r="DJ518" s="645"/>
      <c r="DK518" s="645"/>
      <c r="DL518" s="645"/>
      <c r="DM518" s="645"/>
      <c r="DN518" s="645"/>
      <c r="DO518" s="645"/>
      <c r="DP518" s="645"/>
      <c r="DQ518" s="645"/>
      <c r="DR518" s="645"/>
      <c r="DS518" s="645"/>
      <c r="DT518" s="645"/>
      <c r="DU518" s="645"/>
      <c r="DV518" s="645"/>
      <c r="DW518" s="645"/>
      <c r="DX518" s="645"/>
      <c r="DY518" s="645"/>
      <c r="DZ518" s="645"/>
      <c r="EA518" s="645"/>
      <c r="EB518" s="645"/>
      <c r="EC518" s="645"/>
      <c r="ED518" s="645"/>
      <c r="EE518" s="645"/>
      <c r="EF518" s="645"/>
      <c r="EG518" s="645"/>
      <c r="EH518" s="645"/>
      <c r="EI518" s="645"/>
      <c r="EJ518" s="645"/>
      <c r="EK518" s="645"/>
      <c r="EL518" s="645"/>
      <c r="EM518" s="645"/>
      <c r="EN518" s="645"/>
      <c r="EO518" s="645"/>
      <c r="EP518" s="645"/>
      <c r="EQ518" s="645"/>
      <c r="ER518" s="645"/>
      <c r="ES518" s="645"/>
      <c r="ET518" s="645"/>
      <c r="EU518" s="645"/>
      <c r="EV518" s="645"/>
      <c r="EW518" s="645"/>
      <c r="EX518" s="645"/>
      <c r="EY518" s="645"/>
      <c r="EZ518" s="645"/>
      <c r="FA518" s="645"/>
      <c r="FB518" s="645"/>
      <c r="FC518" s="645"/>
      <c r="FD518" s="645"/>
      <c r="FE518" s="645"/>
      <c r="FF518" s="645"/>
      <c r="FG518" s="645"/>
      <c r="FH518" s="645"/>
      <c r="FI518" s="645"/>
      <c r="FJ518" s="645"/>
      <c r="FK518" s="645"/>
      <c r="FL518" s="645"/>
      <c r="FM518" s="645"/>
      <c r="FN518" s="645"/>
      <c r="FO518" s="645"/>
      <c r="FP518" s="645"/>
      <c r="FQ518" s="645"/>
      <c r="FR518" s="645"/>
      <c r="FS518" s="645"/>
      <c r="FT518" s="645"/>
      <c r="FU518" s="645"/>
      <c r="FV518" s="645"/>
      <c r="FW518" s="645"/>
      <c r="FX518" s="645"/>
      <c r="FY518" s="645"/>
      <c r="FZ518" s="645"/>
      <c r="GA518" s="645"/>
      <c r="GB518" s="645"/>
      <c r="GC518" s="645"/>
      <c r="GD518" s="645"/>
      <c r="GE518" s="645"/>
      <c r="GF518" s="645"/>
      <c r="GG518" s="645"/>
      <c r="GH518" s="645"/>
      <c r="GI518" s="645"/>
      <c r="GJ518" s="645"/>
      <c r="GK518" s="645"/>
      <c r="GL518" s="645"/>
      <c r="GM518" s="645"/>
      <c r="GN518" s="645"/>
      <c r="GO518" s="645"/>
      <c r="GP518" s="645"/>
      <c r="GQ518" s="645"/>
      <c r="GR518" s="645"/>
      <c r="GS518" s="645"/>
      <c r="GT518" s="645"/>
      <c r="GU518" s="645"/>
      <c r="GV518" s="645"/>
      <c r="GW518" s="645"/>
      <c r="GX518" s="645"/>
      <c r="GY518" s="645"/>
      <c r="GZ518" s="645"/>
      <c r="HA518" s="645"/>
      <c r="HB518" s="645"/>
      <c r="HC518" s="645"/>
      <c r="HD518" s="645"/>
      <c r="HE518" s="645"/>
      <c r="IT518" s="645"/>
      <c r="IU518" s="645"/>
      <c r="IV518" s="645"/>
      <c r="IW518" s="645"/>
      <c r="IX518" s="645"/>
      <c r="IY518" s="645"/>
      <c r="IZ518" s="645"/>
      <c r="JA518" s="645"/>
      <c r="JB518" s="645"/>
      <c r="JC518" s="645"/>
      <c r="JD518" s="645"/>
      <c r="JE518" s="645"/>
      <c r="JF518" s="645"/>
      <c r="JG518" s="645"/>
      <c r="JH518" s="645"/>
      <c r="JI518" s="645"/>
      <c r="JJ518" s="645"/>
      <c r="JK518" s="645"/>
      <c r="JL518" s="645"/>
      <c r="JM518" s="645"/>
      <c r="JN518" s="645"/>
      <c r="JO518" s="645"/>
      <c r="JP518" s="645"/>
      <c r="JQ518" s="645"/>
      <c r="JR518" s="645"/>
      <c r="JS518" s="645"/>
      <c r="JT518" s="645"/>
      <c r="JU518" s="645"/>
      <c r="JW518" s="522"/>
      <c r="JX518" s="522"/>
      <c r="JY518" s="522"/>
      <c r="JZ518" s="522"/>
      <c r="KA518" s="522"/>
      <c r="KB518" s="522"/>
      <c r="KC518" s="522"/>
      <c r="KD518" s="522"/>
      <c r="KE518" s="522"/>
      <c r="KF518" s="522"/>
      <c r="KG518" s="522"/>
      <c r="KH518" s="522"/>
      <c r="KI518" s="522"/>
      <c r="KJ518" s="522"/>
      <c r="KK518" s="522"/>
      <c r="KL518" s="522"/>
    </row>
    <row r="519" spans="101:298">
      <c r="CW519" s="646"/>
      <c r="CX519" s="646"/>
      <c r="CY519" s="625"/>
      <c r="CZ519" s="625"/>
      <c r="DA519" s="625"/>
      <c r="DB519" s="625"/>
      <c r="DC519" s="645"/>
      <c r="DD519" s="645"/>
      <c r="DE519" s="645"/>
      <c r="DF519" s="645"/>
      <c r="DG519" s="645"/>
      <c r="DH519" s="645"/>
      <c r="DI519" s="645"/>
      <c r="DJ519" s="645"/>
      <c r="DK519" s="645"/>
      <c r="DL519" s="645"/>
      <c r="DM519" s="645"/>
      <c r="DN519" s="645"/>
      <c r="DO519" s="645"/>
      <c r="DP519" s="645"/>
      <c r="DQ519" s="645"/>
      <c r="DR519" s="645"/>
      <c r="DS519" s="645"/>
      <c r="DT519" s="645"/>
      <c r="DU519" s="645"/>
      <c r="DV519" s="645"/>
      <c r="DW519" s="645"/>
      <c r="DX519" s="645"/>
      <c r="DY519" s="645"/>
      <c r="DZ519" s="645"/>
      <c r="EA519" s="645"/>
      <c r="EB519" s="645"/>
      <c r="EC519" s="645"/>
      <c r="ED519" s="645"/>
      <c r="EE519" s="645"/>
      <c r="EF519" s="645"/>
      <c r="EG519" s="645"/>
      <c r="EH519" s="645"/>
      <c r="EI519" s="645"/>
      <c r="EJ519" s="645"/>
      <c r="EK519" s="645"/>
      <c r="EL519" s="645"/>
      <c r="EM519" s="645"/>
      <c r="EN519" s="645"/>
      <c r="EO519" s="645"/>
      <c r="EP519" s="645"/>
      <c r="EQ519" s="645"/>
      <c r="ER519" s="645"/>
      <c r="ES519" s="645"/>
      <c r="ET519" s="645"/>
      <c r="EU519" s="645"/>
      <c r="EV519" s="645"/>
      <c r="EW519" s="645"/>
      <c r="EX519" s="645"/>
      <c r="EY519" s="645"/>
      <c r="EZ519" s="645"/>
      <c r="FA519" s="645"/>
      <c r="FB519" s="645"/>
      <c r="FC519" s="645"/>
      <c r="FD519" s="645"/>
      <c r="FE519" s="645"/>
      <c r="FF519" s="645"/>
      <c r="FG519" s="645"/>
      <c r="FH519" s="645"/>
      <c r="FI519" s="645"/>
      <c r="FJ519" s="645"/>
      <c r="FK519" s="645"/>
      <c r="FL519" s="645"/>
      <c r="FM519" s="645"/>
      <c r="FN519" s="645"/>
      <c r="FO519" s="645"/>
      <c r="FP519" s="645"/>
      <c r="FQ519" s="645"/>
      <c r="FR519" s="645"/>
      <c r="FS519" s="645"/>
      <c r="FT519" s="645"/>
      <c r="FU519" s="645"/>
      <c r="FV519" s="645"/>
      <c r="FW519" s="645"/>
      <c r="FX519" s="645"/>
      <c r="FY519" s="645"/>
      <c r="FZ519" s="645"/>
      <c r="GA519" s="645"/>
      <c r="GB519" s="645"/>
      <c r="GC519" s="645"/>
      <c r="GD519" s="645"/>
      <c r="GE519" s="645"/>
      <c r="GF519" s="645"/>
      <c r="GG519" s="645"/>
      <c r="GH519" s="645"/>
      <c r="GI519" s="645"/>
      <c r="GJ519" s="645"/>
      <c r="GK519" s="645"/>
      <c r="GL519" s="645"/>
      <c r="GM519" s="645"/>
      <c r="GN519" s="645"/>
      <c r="GO519" s="645"/>
      <c r="GP519" s="645"/>
      <c r="GQ519" s="645"/>
      <c r="GR519" s="645"/>
      <c r="GS519" s="645"/>
      <c r="GT519" s="645"/>
      <c r="GU519" s="645"/>
      <c r="GV519" s="645"/>
      <c r="GW519" s="645"/>
      <c r="GX519" s="645"/>
      <c r="GY519" s="645"/>
      <c r="GZ519" s="645"/>
      <c r="HA519" s="645"/>
      <c r="HB519" s="645"/>
      <c r="HC519" s="645"/>
      <c r="HD519" s="645"/>
      <c r="HE519" s="645"/>
      <c r="IT519" s="645"/>
      <c r="IU519" s="645"/>
      <c r="IV519" s="645"/>
      <c r="IW519" s="645"/>
      <c r="IX519" s="645"/>
      <c r="IY519" s="645"/>
      <c r="IZ519" s="645"/>
      <c r="JA519" s="645"/>
      <c r="JB519" s="645"/>
      <c r="JC519" s="645"/>
      <c r="JD519" s="645"/>
      <c r="JE519" s="645"/>
      <c r="JF519" s="645"/>
      <c r="JG519" s="645"/>
      <c r="JH519" s="645"/>
      <c r="JI519" s="645"/>
      <c r="JJ519" s="645"/>
      <c r="JK519" s="645"/>
      <c r="JL519" s="645"/>
      <c r="JM519" s="645"/>
      <c r="JN519" s="645"/>
      <c r="JO519" s="645"/>
      <c r="JP519" s="645"/>
      <c r="JQ519" s="645"/>
      <c r="JR519" s="645"/>
      <c r="JS519" s="645"/>
      <c r="JT519" s="645"/>
      <c r="JU519" s="645"/>
      <c r="JW519" s="522"/>
      <c r="JX519" s="522"/>
      <c r="JY519" s="522"/>
      <c r="JZ519" s="522"/>
      <c r="KA519" s="522"/>
      <c r="KB519" s="522"/>
      <c r="KC519" s="522"/>
      <c r="KD519" s="522"/>
      <c r="KE519" s="522"/>
      <c r="KF519" s="522"/>
      <c r="KG519" s="522"/>
      <c r="KH519" s="522"/>
      <c r="KI519" s="522"/>
      <c r="KJ519" s="522"/>
      <c r="KK519" s="522"/>
      <c r="KL519" s="522"/>
    </row>
    <row r="520" spans="101:298">
      <c r="CW520" s="646"/>
      <c r="CX520" s="646"/>
      <c r="CY520" s="625"/>
      <c r="CZ520" s="625"/>
      <c r="DA520" s="625"/>
      <c r="DB520" s="625"/>
      <c r="DC520" s="645"/>
      <c r="DD520" s="645"/>
      <c r="DE520" s="645"/>
      <c r="DF520" s="645"/>
      <c r="DG520" s="645"/>
      <c r="DH520" s="645"/>
      <c r="DI520" s="645"/>
      <c r="DJ520" s="645"/>
      <c r="DK520" s="645"/>
      <c r="DL520" s="645"/>
      <c r="DM520" s="645"/>
      <c r="DN520" s="645"/>
      <c r="DO520" s="645"/>
      <c r="DP520" s="645"/>
      <c r="DQ520" s="645"/>
      <c r="DR520" s="645"/>
      <c r="DS520" s="645"/>
      <c r="DT520" s="645"/>
      <c r="DU520" s="645"/>
      <c r="DV520" s="645"/>
      <c r="DW520" s="645"/>
      <c r="DX520" s="645"/>
      <c r="DY520" s="645"/>
      <c r="DZ520" s="645"/>
      <c r="EA520" s="645"/>
      <c r="EB520" s="645"/>
      <c r="EC520" s="645"/>
      <c r="ED520" s="645"/>
      <c r="EE520" s="645"/>
      <c r="EF520" s="645"/>
      <c r="EG520" s="645"/>
      <c r="EH520" s="645"/>
      <c r="EI520" s="645"/>
      <c r="EJ520" s="645"/>
      <c r="EK520" s="645"/>
      <c r="EL520" s="645"/>
      <c r="EM520" s="645"/>
      <c r="EN520" s="645"/>
      <c r="EO520" s="645"/>
      <c r="EP520" s="645"/>
      <c r="EQ520" s="645"/>
      <c r="ER520" s="645"/>
      <c r="ES520" s="645"/>
      <c r="ET520" s="645"/>
      <c r="EU520" s="645"/>
      <c r="EV520" s="645"/>
      <c r="EW520" s="645"/>
      <c r="EX520" s="645"/>
      <c r="EY520" s="645"/>
      <c r="EZ520" s="645"/>
      <c r="FA520" s="645"/>
      <c r="FB520" s="645"/>
      <c r="FC520" s="645"/>
      <c r="FD520" s="645"/>
      <c r="FE520" s="645"/>
      <c r="FF520" s="645"/>
      <c r="FG520" s="645"/>
      <c r="FH520" s="645"/>
      <c r="FI520" s="645"/>
      <c r="FJ520" s="645"/>
      <c r="FK520" s="645"/>
      <c r="FL520" s="645"/>
      <c r="FM520" s="645"/>
      <c r="FN520" s="645"/>
      <c r="FO520" s="645"/>
      <c r="FP520" s="645"/>
      <c r="FQ520" s="645"/>
      <c r="FR520" s="645"/>
      <c r="FS520" s="645"/>
      <c r="FT520" s="645"/>
      <c r="FU520" s="645"/>
      <c r="FV520" s="645"/>
      <c r="FW520" s="645"/>
      <c r="FX520" s="645"/>
      <c r="FY520" s="645"/>
      <c r="FZ520" s="645"/>
      <c r="GA520" s="645"/>
      <c r="GB520" s="645"/>
      <c r="GC520" s="645"/>
      <c r="GD520" s="645"/>
      <c r="GE520" s="645"/>
      <c r="GF520" s="645"/>
      <c r="GG520" s="645"/>
      <c r="GH520" s="645"/>
      <c r="GI520" s="645"/>
      <c r="GJ520" s="645"/>
      <c r="GK520" s="645"/>
      <c r="GL520" s="645"/>
      <c r="GM520" s="645"/>
      <c r="GN520" s="645"/>
      <c r="GO520" s="645"/>
      <c r="GP520" s="645"/>
      <c r="GQ520" s="645"/>
      <c r="GR520" s="645"/>
      <c r="GS520" s="645"/>
      <c r="GT520" s="645"/>
      <c r="GU520" s="645"/>
      <c r="GV520" s="645"/>
      <c r="GW520" s="645"/>
      <c r="GX520" s="645"/>
      <c r="GY520" s="645"/>
      <c r="GZ520" s="645"/>
      <c r="HA520" s="645"/>
      <c r="HB520" s="645"/>
      <c r="HC520" s="645"/>
      <c r="HD520" s="645"/>
      <c r="HE520" s="645"/>
      <c r="IT520" s="645"/>
      <c r="IU520" s="645"/>
      <c r="IV520" s="645"/>
      <c r="IW520" s="645"/>
      <c r="IX520" s="645"/>
      <c r="IY520" s="645"/>
      <c r="IZ520" s="645"/>
      <c r="JA520" s="645"/>
      <c r="JB520" s="645"/>
      <c r="JC520" s="645"/>
      <c r="JD520" s="645"/>
      <c r="JE520" s="645"/>
      <c r="JF520" s="645"/>
      <c r="JG520" s="645"/>
      <c r="JH520" s="645"/>
      <c r="JI520" s="645"/>
      <c r="JJ520" s="645"/>
      <c r="JK520" s="645"/>
      <c r="JL520" s="645"/>
      <c r="JM520" s="645"/>
      <c r="JN520" s="645"/>
      <c r="JO520" s="645"/>
      <c r="JP520" s="645"/>
      <c r="JQ520" s="645"/>
      <c r="JR520" s="645"/>
      <c r="JS520" s="645"/>
      <c r="JT520" s="645"/>
      <c r="JU520" s="645"/>
      <c r="JW520" s="522"/>
      <c r="JX520" s="522"/>
      <c r="JY520" s="522"/>
      <c r="JZ520" s="522"/>
      <c r="KA520" s="522"/>
      <c r="KB520" s="522"/>
      <c r="KC520" s="522"/>
      <c r="KD520" s="522"/>
      <c r="KE520" s="522"/>
      <c r="KF520" s="522"/>
      <c r="KG520" s="522"/>
      <c r="KH520" s="522"/>
      <c r="KI520" s="522"/>
      <c r="KJ520" s="522"/>
      <c r="KK520" s="522"/>
      <c r="KL520" s="522"/>
    </row>
    <row r="521" spans="101:298">
      <c r="CW521" s="646"/>
      <c r="CX521" s="646"/>
      <c r="CY521" s="625"/>
      <c r="CZ521" s="625"/>
      <c r="DA521" s="625"/>
      <c r="DB521" s="625"/>
      <c r="DC521" s="645"/>
      <c r="DD521" s="645"/>
      <c r="DE521" s="645"/>
      <c r="DF521" s="645"/>
      <c r="DG521" s="645"/>
      <c r="DH521" s="645"/>
      <c r="DI521" s="645"/>
      <c r="DJ521" s="645"/>
      <c r="DK521" s="645"/>
      <c r="DL521" s="645"/>
      <c r="DM521" s="645"/>
      <c r="DN521" s="645"/>
      <c r="DO521" s="645"/>
      <c r="DP521" s="645"/>
      <c r="DQ521" s="645"/>
      <c r="DR521" s="645"/>
      <c r="DS521" s="645"/>
      <c r="DT521" s="645"/>
      <c r="DU521" s="645"/>
      <c r="DV521" s="645"/>
      <c r="DW521" s="645"/>
      <c r="DX521" s="645"/>
      <c r="DY521" s="645"/>
      <c r="DZ521" s="645"/>
      <c r="EA521" s="645"/>
      <c r="EB521" s="645"/>
      <c r="EC521" s="645"/>
      <c r="ED521" s="645"/>
      <c r="EE521" s="645"/>
      <c r="EF521" s="645"/>
      <c r="EG521" s="645"/>
      <c r="EH521" s="645"/>
      <c r="EI521" s="645"/>
      <c r="EJ521" s="645"/>
      <c r="EK521" s="645"/>
      <c r="EL521" s="645"/>
      <c r="EM521" s="645"/>
      <c r="EN521" s="645"/>
      <c r="EO521" s="645"/>
      <c r="EP521" s="645"/>
      <c r="EQ521" s="645"/>
      <c r="ER521" s="645"/>
      <c r="ES521" s="645"/>
      <c r="ET521" s="645"/>
      <c r="EU521" s="645"/>
      <c r="EV521" s="645"/>
      <c r="EW521" s="645"/>
      <c r="EX521" s="645"/>
      <c r="EY521" s="645"/>
      <c r="EZ521" s="645"/>
      <c r="FA521" s="645"/>
      <c r="FB521" s="645"/>
      <c r="FC521" s="645"/>
      <c r="FD521" s="645"/>
      <c r="FE521" s="645"/>
      <c r="FF521" s="645"/>
      <c r="FG521" s="645"/>
      <c r="FH521" s="645"/>
      <c r="FI521" s="645"/>
      <c r="FJ521" s="645"/>
      <c r="FK521" s="645"/>
      <c r="FL521" s="645"/>
      <c r="FM521" s="645"/>
      <c r="FN521" s="645"/>
      <c r="FO521" s="645"/>
      <c r="FP521" s="645"/>
      <c r="FQ521" s="645"/>
      <c r="FR521" s="645"/>
      <c r="FS521" s="645"/>
      <c r="FT521" s="645"/>
      <c r="FU521" s="645"/>
      <c r="FV521" s="645"/>
      <c r="FW521" s="645"/>
      <c r="FX521" s="645"/>
      <c r="FY521" s="645"/>
      <c r="FZ521" s="645"/>
      <c r="GA521" s="645"/>
      <c r="GB521" s="645"/>
      <c r="GC521" s="645"/>
      <c r="GD521" s="645"/>
      <c r="GE521" s="645"/>
      <c r="GF521" s="645"/>
      <c r="GG521" s="645"/>
      <c r="GH521" s="645"/>
      <c r="GI521" s="645"/>
      <c r="GJ521" s="645"/>
      <c r="GK521" s="645"/>
      <c r="GL521" s="645"/>
      <c r="GM521" s="645"/>
      <c r="GN521" s="645"/>
      <c r="GO521" s="645"/>
      <c r="GP521" s="645"/>
      <c r="GQ521" s="645"/>
      <c r="GR521" s="645"/>
      <c r="GS521" s="645"/>
      <c r="GT521" s="645"/>
      <c r="GU521" s="645"/>
      <c r="GV521" s="645"/>
      <c r="GW521" s="645"/>
      <c r="GX521" s="645"/>
      <c r="GY521" s="645"/>
      <c r="GZ521" s="645"/>
      <c r="HA521" s="645"/>
      <c r="HB521" s="645"/>
      <c r="HC521" s="645"/>
      <c r="HD521" s="645"/>
      <c r="HE521" s="645"/>
      <c r="IT521" s="645"/>
      <c r="IU521" s="645"/>
      <c r="IV521" s="645"/>
      <c r="IW521" s="645"/>
      <c r="IX521" s="645"/>
      <c r="IY521" s="645"/>
      <c r="IZ521" s="645"/>
      <c r="JA521" s="645"/>
      <c r="JB521" s="645"/>
      <c r="JC521" s="645"/>
      <c r="JD521" s="645"/>
      <c r="JE521" s="645"/>
      <c r="JF521" s="645"/>
      <c r="JG521" s="645"/>
      <c r="JH521" s="645"/>
      <c r="JI521" s="645"/>
      <c r="JJ521" s="645"/>
      <c r="JK521" s="645"/>
      <c r="JL521" s="645"/>
      <c r="JM521" s="645"/>
      <c r="JN521" s="645"/>
      <c r="JO521" s="645"/>
      <c r="JP521" s="645"/>
      <c r="JQ521" s="645"/>
      <c r="JR521" s="645"/>
      <c r="JS521" s="645"/>
      <c r="JT521" s="645"/>
      <c r="JU521" s="645"/>
      <c r="JW521" s="522"/>
      <c r="JX521" s="522"/>
      <c r="JY521" s="522"/>
      <c r="JZ521" s="522"/>
      <c r="KA521" s="522"/>
      <c r="KB521" s="522"/>
      <c r="KC521" s="522"/>
      <c r="KD521" s="522"/>
      <c r="KE521" s="522"/>
      <c r="KF521" s="522"/>
      <c r="KG521" s="522"/>
      <c r="KH521" s="522"/>
      <c r="KI521" s="522"/>
      <c r="KJ521" s="522"/>
      <c r="KK521" s="522"/>
      <c r="KL521" s="522"/>
    </row>
    <row r="522" spans="101:298">
      <c r="CW522" s="646"/>
      <c r="CX522" s="646"/>
      <c r="CY522" s="625"/>
      <c r="CZ522" s="625"/>
      <c r="DA522" s="625"/>
      <c r="DB522" s="625"/>
      <c r="DC522" s="645"/>
      <c r="DD522" s="645"/>
      <c r="DE522" s="645"/>
      <c r="DF522" s="645"/>
      <c r="DG522" s="645"/>
      <c r="DH522" s="645"/>
      <c r="DI522" s="645"/>
      <c r="DJ522" s="645"/>
      <c r="DK522" s="645"/>
      <c r="DL522" s="645"/>
      <c r="DM522" s="645"/>
      <c r="DN522" s="645"/>
      <c r="DO522" s="645"/>
      <c r="DP522" s="645"/>
      <c r="DQ522" s="645"/>
      <c r="DR522" s="645"/>
      <c r="DS522" s="645"/>
      <c r="DT522" s="645"/>
      <c r="DU522" s="645"/>
      <c r="DV522" s="645"/>
      <c r="DW522" s="645"/>
      <c r="DX522" s="645"/>
      <c r="DY522" s="645"/>
      <c r="DZ522" s="645"/>
      <c r="EA522" s="645"/>
      <c r="EB522" s="645"/>
      <c r="EC522" s="645"/>
      <c r="ED522" s="645"/>
      <c r="EE522" s="645"/>
      <c r="EF522" s="645"/>
      <c r="EG522" s="645"/>
      <c r="EH522" s="645"/>
      <c r="EI522" s="645"/>
      <c r="EJ522" s="645"/>
      <c r="EK522" s="645"/>
      <c r="EL522" s="645"/>
      <c r="EM522" s="645"/>
      <c r="EN522" s="645"/>
      <c r="EO522" s="645"/>
      <c r="EP522" s="645"/>
      <c r="EQ522" s="645"/>
      <c r="ER522" s="645"/>
      <c r="ES522" s="645"/>
      <c r="ET522" s="645"/>
      <c r="EU522" s="645"/>
      <c r="EV522" s="645"/>
      <c r="EW522" s="645"/>
      <c r="EX522" s="645"/>
      <c r="EY522" s="645"/>
      <c r="EZ522" s="645"/>
      <c r="FA522" s="645"/>
      <c r="FB522" s="645"/>
      <c r="FC522" s="645"/>
      <c r="FD522" s="645"/>
      <c r="FE522" s="645"/>
      <c r="FF522" s="645"/>
      <c r="FG522" s="645"/>
      <c r="FH522" s="645"/>
      <c r="FI522" s="645"/>
      <c r="FJ522" s="645"/>
      <c r="FK522" s="645"/>
      <c r="FL522" s="645"/>
      <c r="FM522" s="645"/>
      <c r="FN522" s="645"/>
      <c r="FO522" s="645"/>
      <c r="FP522" s="645"/>
      <c r="FQ522" s="645"/>
      <c r="FR522" s="645"/>
      <c r="FS522" s="645"/>
      <c r="FT522" s="645"/>
      <c r="FU522" s="645"/>
      <c r="FV522" s="645"/>
      <c r="FW522" s="645"/>
      <c r="FX522" s="645"/>
      <c r="FY522" s="645"/>
      <c r="FZ522" s="645"/>
      <c r="GA522" s="645"/>
      <c r="GB522" s="645"/>
      <c r="GC522" s="645"/>
      <c r="GD522" s="645"/>
      <c r="GE522" s="645"/>
      <c r="GF522" s="645"/>
      <c r="GG522" s="645"/>
      <c r="GH522" s="645"/>
      <c r="GI522" s="645"/>
      <c r="GJ522" s="645"/>
      <c r="GK522" s="645"/>
      <c r="GL522" s="645"/>
      <c r="GM522" s="645"/>
      <c r="GN522" s="645"/>
      <c r="GO522" s="645"/>
      <c r="GP522" s="645"/>
      <c r="GQ522" s="645"/>
      <c r="GR522" s="645"/>
      <c r="GS522" s="645"/>
      <c r="GT522" s="645"/>
      <c r="GU522" s="645"/>
      <c r="GV522" s="645"/>
      <c r="GW522" s="645"/>
      <c r="GX522" s="645"/>
      <c r="GY522" s="645"/>
      <c r="GZ522" s="645"/>
      <c r="HA522" s="645"/>
      <c r="HB522" s="645"/>
      <c r="HC522" s="645"/>
      <c r="HD522" s="645"/>
      <c r="HE522" s="645"/>
      <c r="IT522" s="645"/>
      <c r="IU522" s="645"/>
      <c r="IV522" s="645"/>
      <c r="IW522" s="645"/>
      <c r="IX522" s="645"/>
      <c r="IY522" s="645"/>
      <c r="IZ522" s="645"/>
      <c r="JA522" s="645"/>
      <c r="JB522" s="645"/>
      <c r="JC522" s="645"/>
      <c r="JD522" s="645"/>
      <c r="JE522" s="645"/>
      <c r="JF522" s="645"/>
      <c r="JG522" s="645"/>
      <c r="JH522" s="645"/>
      <c r="JI522" s="645"/>
      <c r="JJ522" s="645"/>
      <c r="JK522" s="645"/>
      <c r="JL522" s="645"/>
      <c r="JM522" s="645"/>
      <c r="JN522" s="645"/>
      <c r="JO522" s="645"/>
      <c r="JP522" s="645"/>
      <c r="JQ522" s="645"/>
      <c r="JR522" s="645"/>
      <c r="JS522" s="645"/>
      <c r="JT522" s="645"/>
      <c r="JU522" s="645"/>
      <c r="JW522" s="522"/>
      <c r="JX522" s="522"/>
      <c r="JY522" s="522"/>
      <c r="JZ522" s="522"/>
      <c r="KA522" s="522"/>
      <c r="KB522" s="522"/>
      <c r="KC522" s="522"/>
      <c r="KD522" s="522"/>
      <c r="KE522" s="522"/>
      <c r="KF522" s="522"/>
      <c r="KG522" s="522"/>
      <c r="KH522" s="522"/>
      <c r="KI522" s="522"/>
      <c r="KJ522" s="522"/>
      <c r="KK522" s="522"/>
      <c r="KL522" s="522"/>
    </row>
    <row r="523" spans="101:298">
      <c r="CW523" s="646"/>
      <c r="CX523" s="646"/>
      <c r="CY523" s="625"/>
      <c r="CZ523" s="625"/>
      <c r="DA523" s="625"/>
      <c r="DB523" s="625"/>
      <c r="DC523" s="645"/>
      <c r="DD523" s="645"/>
      <c r="DE523" s="645"/>
      <c r="DF523" s="645"/>
      <c r="DG523" s="645"/>
      <c r="DH523" s="645"/>
      <c r="DI523" s="645"/>
      <c r="DJ523" s="645"/>
      <c r="DK523" s="645"/>
      <c r="DL523" s="645"/>
      <c r="DM523" s="645"/>
      <c r="DN523" s="645"/>
      <c r="DO523" s="645"/>
      <c r="DP523" s="645"/>
      <c r="DQ523" s="645"/>
      <c r="DR523" s="645"/>
      <c r="DS523" s="645"/>
      <c r="DT523" s="645"/>
      <c r="DU523" s="645"/>
      <c r="DV523" s="645"/>
      <c r="DW523" s="645"/>
      <c r="DX523" s="645"/>
      <c r="DY523" s="645"/>
      <c r="DZ523" s="645"/>
      <c r="EA523" s="645"/>
      <c r="EB523" s="645"/>
      <c r="EC523" s="645"/>
      <c r="ED523" s="645"/>
      <c r="EE523" s="645"/>
      <c r="EF523" s="645"/>
      <c r="EG523" s="645"/>
      <c r="EH523" s="645"/>
      <c r="EI523" s="645"/>
      <c r="EJ523" s="645"/>
      <c r="EK523" s="645"/>
      <c r="EL523" s="645"/>
      <c r="EM523" s="645"/>
      <c r="EN523" s="645"/>
      <c r="EO523" s="645"/>
      <c r="EP523" s="645"/>
      <c r="EQ523" s="645"/>
      <c r="ER523" s="645"/>
      <c r="ES523" s="645"/>
      <c r="ET523" s="645"/>
      <c r="EU523" s="645"/>
      <c r="EV523" s="645"/>
      <c r="EW523" s="645"/>
      <c r="EX523" s="645"/>
      <c r="EY523" s="645"/>
      <c r="EZ523" s="645"/>
      <c r="FA523" s="645"/>
      <c r="FB523" s="645"/>
      <c r="FC523" s="645"/>
      <c r="FD523" s="645"/>
      <c r="FE523" s="645"/>
      <c r="FF523" s="645"/>
      <c r="FG523" s="645"/>
      <c r="FH523" s="645"/>
      <c r="FI523" s="645"/>
      <c r="FJ523" s="645"/>
      <c r="FK523" s="645"/>
      <c r="FL523" s="645"/>
      <c r="FM523" s="645"/>
      <c r="FN523" s="645"/>
      <c r="FO523" s="645"/>
      <c r="FP523" s="645"/>
      <c r="FQ523" s="645"/>
      <c r="FR523" s="645"/>
      <c r="FS523" s="645"/>
      <c r="FT523" s="645"/>
      <c r="FU523" s="645"/>
      <c r="FV523" s="645"/>
      <c r="FW523" s="645"/>
      <c r="FX523" s="645"/>
      <c r="FY523" s="645"/>
      <c r="FZ523" s="645"/>
      <c r="GA523" s="645"/>
      <c r="GB523" s="645"/>
      <c r="GC523" s="645"/>
      <c r="GD523" s="645"/>
      <c r="GE523" s="645"/>
      <c r="GF523" s="645"/>
      <c r="GG523" s="645"/>
      <c r="GH523" s="645"/>
      <c r="GI523" s="645"/>
      <c r="GJ523" s="645"/>
      <c r="GK523" s="645"/>
      <c r="GL523" s="645"/>
      <c r="GM523" s="645"/>
      <c r="GN523" s="645"/>
      <c r="GO523" s="645"/>
      <c r="GP523" s="645"/>
      <c r="GQ523" s="645"/>
      <c r="GR523" s="645"/>
      <c r="GS523" s="645"/>
      <c r="GT523" s="645"/>
      <c r="GU523" s="645"/>
      <c r="GV523" s="645"/>
      <c r="GW523" s="645"/>
      <c r="GX523" s="645"/>
      <c r="GY523" s="645"/>
      <c r="GZ523" s="645"/>
      <c r="HA523" s="645"/>
      <c r="HB523" s="645"/>
      <c r="HC523" s="645"/>
      <c r="HD523" s="645"/>
      <c r="HE523" s="645"/>
      <c r="IT523" s="645"/>
      <c r="IU523" s="645"/>
      <c r="IV523" s="645"/>
      <c r="IW523" s="645"/>
      <c r="IX523" s="645"/>
      <c r="IY523" s="645"/>
      <c r="IZ523" s="645"/>
      <c r="JA523" s="645"/>
      <c r="JB523" s="645"/>
      <c r="JC523" s="645"/>
      <c r="JD523" s="645"/>
      <c r="JE523" s="645"/>
      <c r="JF523" s="645"/>
      <c r="JG523" s="645"/>
      <c r="JH523" s="645"/>
      <c r="JI523" s="645"/>
      <c r="JJ523" s="645"/>
      <c r="JK523" s="645"/>
      <c r="JL523" s="645"/>
      <c r="JM523" s="645"/>
      <c r="JN523" s="645"/>
      <c r="JO523" s="645"/>
      <c r="JP523" s="645"/>
      <c r="JQ523" s="645"/>
      <c r="JR523" s="645"/>
      <c r="JS523" s="645"/>
      <c r="JT523" s="645"/>
      <c r="JU523" s="645"/>
      <c r="JW523" s="522"/>
      <c r="JX523" s="522"/>
      <c r="JY523" s="522"/>
      <c r="JZ523" s="522"/>
      <c r="KA523" s="522"/>
      <c r="KB523" s="522"/>
      <c r="KC523" s="522"/>
      <c r="KD523" s="522"/>
      <c r="KE523" s="522"/>
      <c r="KF523" s="522"/>
      <c r="KG523" s="522"/>
      <c r="KH523" s="522"/>
      <c r="KI523" s="522"/>
      <c r="KJ523" s="522"/>
      <c r="KK523" s="522"/>
      <c r="KL523" s="522"/>
    </row>
    <row r="524" spans="101:298">
      <c r="CW524" s="646"/>
      <c r="CX524" s="646"/>
      <c r="CY524" s="625"/>
      <c r="CZ524" s="625"/>
      <c r="DA524" s="625"/>
      <c r="DB524" s="625"/>
      <c r="DC524" s="645"/>
      <c r="DD524" s="645"/>
      <c r="DE524" s="645"/>
      <c r="DF524" s="645"/>
      <c r="DG524" s="645"/>
      <c r="DH524" s="645"/>
      <c r="DI524" s="645"/>
      <c r="DJ524" s="645"/>
      <c r="DK524" s="645"/>
      <c r="DL524" s="645"/>
      <c r="DM524" s="645"/>
      <c r="DN524" s="645"/>
      <c r="DO524" s="645"/>
      <c r="DP524" s="645"/>
      <c r="DQ524" s="645"/>
      <c r="DR524" s="645"/>
      <c r="DS524" s="645"/>
      <c r="DT524" s="645"/>
      <c r="DU524" s="645"/>
      <c r="DV524" s="645"/>
      <c r="DW524" s="645"/>
      <c r="DX524" s="645"/>
      <c r="DY524" s="645"/>
      <c r="DZ524" s="645"/>
      <c r="EA524" s="645"/>
      <c r="EB524" s="645"/>
      <c r="EC524" s="645"/>
      <c r="ED524" s="645"/>
      <c r="EE524" s="645"/>
      <c r="EF524" s="645"/>
      <c r="EG524" s="645"/>
      <c r="EH524" s="645"/>
      <c r="EI524" s="645"/>
      <c r="EJ524" s="645"/>
      <c r="EK524" s="645"/>
      <c r="EL524" s="645"/>
      <c r="EM524" s="645"/>
      <c r="EN524" s="645"/>
      <c r="EO524" s="645"/>
      <c r="EP524" s="645"/>
      <c r="EQ524" s="645"/>
      <c r="ER524" s="645"/>
      <c r="ES524" s="645"/>
      <c r="ET524" s="645"/>
      <c r="EU524" s="645"/>
      <c r="EV524" s="645"/>
      <c r="EW524" s="645"/>
      <c r="EX524" s="645"/>
      <c r="EY524" s="645"/>
      <c r="EZ524" s="645"/>
      <c r="FA524" s="645"/>
      <c r="FB524" s="645"/>
      <c r="FC524" s="645"/>
      <c r="FD524" s="645"/>
      <c r="FE524" s="645"/>
      <c r="FF524" s="645"/>
      <c r="FG524" s="645"/>
      <c r="FH524" s="645"/>
      <c r="FI524" s="645"/>
      <c r="FJ524" s="645"/>
      <c r="FK524" s="645"/>
      <c r="FL524" s="645"/>
      <c r="FM524" s="645"/>
      <c r="FN524" s="645"/>
      <c r="FO524" s="645"/>
      <c r="FP524" s="645"/>
      <c r="FQ524" s="645"/>
      <c r="FR524" s="645"/>
      <c r="FS524" s="645"/>
      <c r="FT524" s="645"/>
      <c r="FU524" s="645"/>
      <c r="FV524" s="645"/>
      <c r="FW524" s="645"/>
      <c r="FX524" s="645"/>
      <c r="FY524" s="645"/>
      <c r="FZ524" s="645"/>
      <c r="GA524" s="645"/>
      <c r="GB524" s="645"/>
      <c r="GC524" s="645"/>
      <c r="GD524" s="645"/>
      <c r="GE524" s="645"/>
      <c r="GF524" s="645"/>
      <c r="GG524" s="645"/>
      <c r="GH524" s="645"/>
      <c r="GI524" s="645"/>
      <c r="GJ524" s="645"/>
      <c r="GK524" s="645"/>
      <c r="GL524" s="645"/>
      <c r="GM524" s="645"/>
      <c r="GN524" s="645"/>
      <c r="GO524" s="645"/>
      <c r="GP524" s="645"/>
      <c r="GQ524" s="645"/>
      <c r="GR524" s="645"/>
      <c r="GS524" s="645"/>
      <c r="GT524" s="645"/>
      <c r="GU524" s="645"/>
      <c r="GV524" s="645"/>
      <c r="GW524" s="645"/>
      <c r="GX524" s="645"/>
      <c r="GY524" s="645"/>
      <c r="GZ524" s="645"/>
      <c r="HA524" s="645"/>
      <c r="HB524" s="645"/>
      <c r="HC524" s="645"/>
      <c r="HD524" s="645"/>
      <c r="HE524" s="645"/>
      <c r="IT524" s="645"/>
      <c r="IU524" s="645"/>
      <c r="IV524" s="645"/>
      <c r="IW524" s="645"/>
      <c r="IX524" s="645"/>
      <c r="IY524" s="645"/>
      <c r="IZ524" s="645"/>
      <c r="JA524" s="645"/>
      <c r="JB524" s="645"/>
      <c r="JC524" s="645"/>
      <c r="JD524" s="645"/>
      <c r="JE524" s="645"/>
      <c r="JF524" s="645"/>
      <c r="JG524" s="645"/>
      <c r="JH524" s="645"/>
      <c r="JI524" s="645"/>
      <c r="JJ524" s="645"/>
      <c r="JK524" s="645"/>
      <c r="JL524" s="645"/>
      <c r="JM524" s="645"/>
      <c r="JN524" s="645"/>
      <c r="JO524" s="645"/>
      <c r="JP524" s="645"/>
      <c r="JQ524" s="645"/>
      <c r="JR524" s="645"/>
      <c r="JS524" s="645"/>
      <c r="JT524" s="645"/>
      <c r="JU524" s="645"/>
      <c r="JW524" s="522"/>
      <c r="JX524" s="522"/>
      <c r="JY524" s="522"/>
      <c r="JZ524" s="522"/>
      <c r="KA524" s="522"/>
      <c r="KB524" s="522"/>
      <c r="KC524" s="522"/>
      <c r="KD524" s="522"/>
      <c r="KE524" s="522"/>
      <c r="KF524" s="522"/>
      <c r="KG524" s="522"/>
      <c r="KH524" s="522"/>
      <c r="KI524" s="522"/>
      <c r="KJ524" s="522"/>
      <c r="KK524" s="522"/>
      <c r="KL524" s="522"/>
    </row>
    <row r="525" spans="101:298">
      <c r="CW525" s="646"/>
      <c r="CX525" s="646"/>
      <c r="CY525" s="625"/>
      <c r="CZ525" s="625"/>
      <c r="DA525" s="625"/>
      <c r="DB525" s="625"/>
      <c r="DC525" s="645"/>
      <c r="DD525" s="645"/>
      <c r="DE525" s="645"/>
      <c r="DF525" s="645"/>
      <c r="DG525" s="645"/>
      <c r="DH525" s="645"/>
      <c r="DI525" s="645"/>
      <c r="DJ525" s="645"/>
      <c r="DK525" s="645"/>
      <c r="DL525" s="645"/>
      <c r="DM525" s="645"/>
      <c r="DN525" s="645"/>
      <c r="DO525" s="645"/>
      <c r="DP525" s="645"/>
      <c r="DQ525" s="645"/>
      <c r="DR525" s="645"/>
      <c r="DS525" s="645"/>
      <c r="DT525" s="645"/>
      <c r="DU525" s="645"/>
      <c r="DV525" s="645"/>
      <c r="DW525" s="645"/>
      <c r="DX525" s="645"/>
      <c r="DY525" s="645"/>
      <c r="DZ525" s="645"/>
      <c r="EA525" s="645"/>
      <c r="EB525" s="645"/>
      <c r="EC525" s="645"/>
      <c r="ED525" s="645"/>
      <c r="EE525" s="645"/>
      <c r="EF525" s="645"/>
      <c r="EG525" s="645"/>
      <c r="EH525" s="645"/>
      <c r="EI525" s="645"/>
      <c r="EJ525" s="645"/>
      <c r="EK525" s="645"/>
      <c r="EL525" s="645"/>
      <c r="EM525" s="645"/>
      <c r="EN525" s="645"/>
      <c r="EO525" s="645"/>
      <c r="EP525" s="645"/>
      <c r="EQ525" s="645"/>
      <c r="ER525" s="645"/>
      <c r="ES525" s="645"/>
      <c r="ET525" s="645"/>
      <c r="EU525" s="645"/>
      <c r="EV525" s="645"/>
      <c r="EW525" s="645"/>
      <c r="EX525" s="645"/>
      <c r="EY525" s="645"/>
      <c r="EZ525" s="645"/>
      <c r="FA525" s="645"/>
      <c r="FB525" s="645"/>
      <c r="FC525" s="645"/>
      <c r="FD525" s="645"/>
      <c r="FE525" s="645"/>
      <c r="FF525" s="645"/>
      <c r="FG525" s="645"/>
      <c r="FH525" s="645"/>
      <c r="FI525" s="645"/>
      <c r="FJ525" s="645"/>
      <c r="FK525" s="645"/>
      <c r="FL525" s="645"/>
      <c r="FM525" s="645"/>
      <c r="FN525" s="645"/>
      <c r="FO525" s="645"/>
      <c r="FP525" s="645"/>
      <c r="FQ525" s="645"/>
      <c r="FR525" s="645"/>
      <c r="FS525" s="645"/>
      <c r="FT525" s="645"/>
      <c r="FU525" s="645"/>
      <c r="FV525" s="645"/>
      <c r="FW525" s="645"/>
      <c r="FX525" s="645"/>
      <c r="FY525" s="645"/>
      <c r="FZ525" s="645"/>
      <c r="GA525" s="645"/>
      <c r="GB525" s="645"/>
      <c r="GC525" s="645"/>
      <c r="GD525" s="645"/>
      <c r="GE525" s="645"/>
      <c r="GF525" s="645"/>
      <c r="GG525" s="645"/>
      <c r="GH525" s="645"/>
      <c r="GI525" s="645"/>
      <c r="GJ525" s="645"/>
      <c r="GK525" s="645"/>
      <c r="GL525" s="645"/>
      <c r="GM525" s="645"/>
      <c r="GN525" s="645"/>
      <c r="GO525" s="645"/>
      <c r="GP525" s="645"/>
      <c r="GQ525" s="645"/>
      <c r="GR525" s="645"/>
      <c r="GS525" s="645"/>
      <c r="GT525" s="645"/>
      <c r="GU525" s="645"/>
      <c r="GV525" s="645"/>
      <c r="GW525" s="645"/>
      <c r="GX525" s="645"/>
      <c r="GY525" s="645"/>
      <c r="GZ525" s="645"/>
      <c r="HA525" s="645"/>
      <c r="HB525" s="645"/>
      <c r="HC525" s="645"/>
      <c r="HD525" s="645"/>
      <c r="HE525" s="645"/>
      <c r="IT525" s="645"/>
      <c r="IU525" s="645"/>
      <c r="IV525" s="645"/>
      <c r="IW525" s="645"/>
      <c r="IX525" s="645"/>
      <c r="IY525" s="645"/>
      <c r="IZ525" s="645"/>
      <c r="JA525" s="645"/>
      <c r="JB525" s="645"/>
      <c r="JC525" s="645"/>
      <c r="JD525" s="645"/>
      <c r="JE525" s="645"/>
      <c r="JF525" s="645"/>
      <c r="JG525" s="645"/>
      <c r="JH525" s="645"/>
      <c r="JI525" s="645"/>
      <c r="JJ525" s="645"/>
      <c r="JK525" s="645"/>
      <c r="JL525" s="645"/>
      <c r="JM525" s="645"/>
      <c r="JN525" s="645"/>
      <c r="JO525" s="645"/>
      <c r="JP525" s="645"/>
      <c r="JQ525" s="645"/>
      <c r="JR525" s="645"/>
      <c r="JS525" s="645"/>
      <c r="JT525" s="645"/>
      <c r="JU525" s="645"/>
      <c r="JW525" s="522"/>
      <c r="JX525" s="522"/>
      <c r="JY525" s="522"/>
      <c r="JZ525" s="522"/>
      <c r="KA525" s="522"/>
      <c r="KB525" s="522"/>
      <c r="KC525" s="522"/>
      <c r="KD525" s="522"/>
      <c r="KE525" s="522"/>
      <c r="KF525" s="522"/>
      <c r="KG525" s="522"/>
      <c r="KH525" s="522"/>
      <c r="KI525" s="522"/>
      <c r="KJ525" s="522"/>
      <c r="KK525" s="522"/>
      <c r="KL525" s="522"/>
    </row>
    <row r="526" spans="101:298">
      <c r="CW526" s="646"/>
      <c r="CX526" s="646"/>
      <c r="CY526" s="625"/>
      <c r="CZ526" s="625"/>
      <c r="DA526" s="625"/>
      <c r="DB526" s="625"/>
      <c r="DC526" s="645"/>
      <c r="DD526" s="645"/>
      <c r="DE526" s="645"/>
      <c r="DF526" s="645"/>
      <c r="DG526" s="645"/>
      <c r="DH526" s="645"/>
      <c r="DI526" s="645"/>
      <c r="DJ526" s="645"/>
      <c r="DK526" s="645"/>
      <c r="DL526" s="645"/>
      <c r="DM526" s="645"/>
      <c r="DN526" s="645"/>
      <c r="DO526" s="645"/>
      <c r="DP526" s="645"/>
      <c r="DQ526" s="645"/>
      <c r="DR526" s="645"/>
      <c r="DS526" s="645"/>
      <c r="DT526" s="645"/>
      <c r="DU526" s="645"/>
      <c r="DV526" s="645"/>
      <c r="DW526" s="645"/>
      <c r="DX526" s="645"/>
      <c r="DY526" s="645"/>
      <c r="DZ526" s="645"/>
      <c r="EA526" s="645"/>
      <c r="EB526" s="645"/>
      <c r="EC526" s="645"/>
      <c r="ED526" s="645"/>
      <c r="EE526" s="645"/>
      <c r="EF526" s="645"/>
      <c r="EG526" s="645"/>
      <c r="EH526" s="645"/>
      <c r="EI526" s="645"/>
      <c r="EJ526" s="645"/>
      <c r="EK526" s="645"/>
      <c r="EL526" s="645"/>
      <c r="EM526" s="645"/>
      <c r="EN526" s="645"/>
      <c r="EO526" s="645"/>
      <c r="EP526" s="645"/>
      <c r="EQ526" s="645"/>
      <c r="ER526" s="645"/>
      <c r="ES526" s="645"/>
      <c r="ET526" s="645"/>
      <c r="EU526" s="645"/>
      <c r="EV526" s="645"/>
      <c r="EW526" s="645"/>
      <c r="EX526" s="645"/>
      <c r="EY526" s="645"/>
      <c r="EZ526" s="645"/>
      <c r="FA526" s="645"/>
      <c r="FB526" s="645"/>
      <c r="FC526" s="645"/>
      <c r="FD526" s="645"/>
      <c r="FE526" s="645"/>
      <c r="FF526" s="645"/>
      <c r="FG526" s="645"/>
      <c r="FH526" s="645"/>
      <c r="FI526" s="645"/>
      <c r="FJ526" s="645"/>
      <c r="FK526" s="645"/>
      <c r="FL526" s="645"/>
      <c r="FM526" s="645"/>
      <c r="FN526" s="645"/>
      <c r="FO526" s="645"/>
      <c r="FP526" s="645"/>
      <c r="FQ526" s="645"/>
      <c r="FR526" s="645"/>
      <c r="FS526" s="645"/>
      <c r="FT526" s="645"/>
      <c r="FU526" s="645"/>
      <c r="FV526" s="645"/>
      <c r="FW526" s="645"/>
      <c r="FX526" s="645"/>
      <c r="FY526" s="645"/>
      <c r="FZ526" s="645"/>
      <c r="GA526" s="645"/>
      <c r="GB526" s="645"/>
      <c r="GC526" s="645"/>
      <c r="GD526" s="645"/>
      <c r="GE526" s="645"/>
      <c r="GF526" s="645"/>
      <c r="GG526" s="645"/>
      <c r="GH526" s="645"/>
      <c r="GI526" s="645"/>
      <c r="GJ526" s="645"/>
      <c r="GK526" s="645"/>
      <c r="GL526" s="645"/>
      <c r="GM526" s="645"/>
      <c r="GN526" s="645"/>
      <c r="GO526" s="645"/>
      <c r="GP526" s="645"/>
      <c r="GQ526" s="645"/>
      <c r="GR526" s="645"/>
      <c r="GS526" s="645"/>
      <c r="GT526" s="645"/>
      <c r="GU526" s="645"/>
      <c r="GV526" s="645"/>
      <c r="GW526" s="645"/>
      <c r="GX526" s="645"/>
      <c r="GY526" s="645"/>
      <c r="GZ526" s="645"/>
      <c r="HA526" s="645"/>
      <c r="HB526" s="645"/>
      <c r="HC526" s="645"/>
      <c r="HD526" s="645"/>
      <c r="HE526" s="645"/>
      <c r="IT526" s="645"/>
      <c r="IU526" s="645"/>
      <c r="IV526" s="645"/>
      <c r="IW526" s="645"/>
      <c r="IX526" s="645"/>
      <c r="IY526" s="645"/>
      <c r="IZ526" s="645"/>
      <c r="JA526" s="645"/>
      <c r="JB526" s="645"/>
      <c r="JC526" s="645"/>
      <c r="JD526" s="645"/>
      <c r="JE526" s="645"/>
      <c r="JF526" s="645"/>
      <c r="JG526" s="645"/>
      <c r="JH526" s="645"/>
      <c r="JI526" s="645"/>
      <c r="JJ526" s="645"/>
      <c r="JK526" s="645"/>
      <c r="JL526" s="645"/>
      <c r="JM526" s="645"/>
      <c r="JN526" s="645"/>
      <c r="JO526" s="645"/>
      <c r="JP526" s="645"/>
      <c r="JQ526" s="645"/>
      <c r="JR526" s="645"/>
      <c r="JS526" s="645"/>
      <c r="JT526" s="645"/>
      <c r="JU526" s="645"/>
      <c r="JW526" s="522"/>
      <c r="JX526" s="522"/>
      <c r="JY526" s="522"/>
      <c r="JZ526" s="522"/>
      <c r="KA526" s="522"/>
      <c r="KB526" s="522"/>
      <c r="KC526" s="522"/>
      <c r="KD526" s="522"/>
      <c r="KE526" s="522"/>
      <c r="KF526" s="522"/>
      <c r="KG526" s="522"/>
      <c r="KH526" s="522"/>
      <c r="KI526" s="522"/>
      <c r="KJ526" s="522"/>
      <c r="KK526" s="522"/>
      <c r="KL526" s="522"/>
    </row>
    <row r="527" spans="101:298">
      <c r="CW527" s="646"/>
      <c r="CX527" s="646"/>
      <c r="CY527" s="625"/>
      <c r="CZ527" s="625"/>
      <c r="DA527" s="625"/>
      <c r="DB527" s="625"/>
      <c r="DC527" s="645"/>
      <c r="DD527" s="645"/>
      <c r="DE527" s="645"/>
      <c r="DF527" s="645"/>
      <c r="DG527" s="645"/>
      <c r="DH527" s="645"/>
      <c r="DI527" s="645"/>
      <c r="DJ527" s="645"/>
      <c r="DK527" s="645"/>
      <c r="DL527" s="645"/>
      <c r="DM527" s="645"/>
      <c r="DN527" s="645"/>
      <c r="DO527" s="645"/>
      <c r="DP527" s="645"/>
      <c r="DQ527" s="645"/>
      <c r="DR527" s="645"/>
      <c r="DS527" s="645"/>
      <c r="DT527" s="645"/>
      <c r="DU527" s="645"/>
      <c r="DV527" s="645"/>
      <c r="DW527" s="645"/>
      <c r="DX527" s="645"/>
      <c r="DY527" s="645"/>
      <c r="DZ527" s="645"/>
      <c r="EA527" s="645"/>
      <c r="EB527" s="645"/>
      <c r="EC527" s="645"/>
      <c r="ED527" s="645"/>
      <c r="EE527" s="645"/>
      <c r="EF527" s="645"/>
      <c r="EG527" s="645"/>
      <c r="EH527" s="645"/>
      <c r="EI527" s="645"/>
      <c r="EJ527" s="645"/>
      <c r="EK527" s="645"/>
      <c r="EL527" s="645"/>
      <c r="EM527" s="645"/>
      <c r="EN527" s="645"/>
      <c r="EO527" s="645"/>
      <c r="EP527" s="645"/>
      <c r="EQ527" s="645"/>
      <c r="ER527" s="645"/>
      <c r="ES527" s="645"/>
      <c r="ET527" s="645"/>
      <c r="EU527" s="645"/>
      <c r="EV527" s="645"/>
      <c r="EW527" s="645"/>
      <c r="EX527" s="645"/>
      <c r="EY527" s="645"/>
      <c r="EZ527" s="645"/>
      <c r="FA527" s="645"/>
      <c r="FB527" s="645"/>
      <c r="FC527" s="645"/>
      <c r="FD527" s="645"/>
      <c r="FE527" s="645"/>
      <c r="FF527" s="645"/>
      <c r="FG527" s="645"/>
      <c r="FH527" s="645"/>
      <c r="FI527" s="645"/>
      <c r="FJ527" s="645"/>
      <c r="FK527" s="645"/>
      <c r="FL527" s="645"/>
      <c r="FM527" s="645"/>
      <c r="FN527" s="645"/>
      <c r="FO527" s="645"/>
      <c r="FP527" s="645"/>
      <c r="FQ527" s="645"/>
      <c r="FR527" s="645"/>
      <c r="FS527" s="645"/>
      <c r="FT527" s="645"/>
      <c r="FU527" s="645"/>
      <c r="FV527" s="645"/>
      <c r="FW527" s="645"/>
      <c r="FX527" s="645"/>
      <c r="FY527" s="645"/>
      <c r="FZ527" s="645"/>
      <c r="GA527" s="645"/>
      <c r="GB527" s="645"/>
      <c r="GC527" s="645"/>
      <c r="GD527" s="645"/>
      <c r="GE527" s="645"/>
      <c r="GF527" s="645"/>
      <c r="GG527" s="645"/>
      <c r="GH527" s="645"/>
      <c r="GI527" s="645"/>
      <c r="GJ527" s="645"/>
      <c r="GK527" s="645"/>
      <c r="GL527" s="645"/>
      <c r="GM527" s="645"/>
      <c r="GN527" s="645"/>
      <c r="GO527" s="645"/>
      <c r="GP527" s="645"/>
      <c r="GQ527" s="645"/>
      <c r="GR527" s="645"/>
      <c r="GS527" s="645"/>
      <c r="GT527" s="645"/>
      <c r="GU527" s="645"/>
      <c r="GV527" s="645"/>
      <c r="GW527" s="645"/>
      <c r="GX527" s="645"/>
      <c r="GY527" s="645"/>
      <c r="GZ527" s="645"/>
      <c r="HA527" s="645"/>
      <c r="HB527" s="645"/>
      <c r="HC527" s="645"/>
      <c r="HD527" s="645"/>
      <c r="HE527" s="645"/>
      <c r="IT527" s="645"/>
      <c r="IU527" s="645"/>
      <c r="IV527" s="645"/>
      <c r="IW527" s="645"/>
      <c r="IX527" s="645"/>
      <c r="IY527" s="645"/>
      <c r="IZ527" s="645"/>
      <c r="JA527" s="645"/>
      <c r="JB527" s="645"/>
      <c r="JC527" s="645"/>
      <c r="JD527" s="645"/>
      <c r="JE527" s="645"/>
      <c r="JF527" s="645"/>
      <c r="JG527" s="645"/>
      <c r="JH527" s="645"/>
      <c r="JI527" s="645"/>
      <c r="JJ527" s="645"/>
      <c r="JK527" s="645"/>
      <c r="JL527" s="645"/>
      <c r="JM527" s="645"/>
      <c r="JN527" s="645"/>
      <c r="JO527" s="645"/>
      <c r="JP527" s="645"/>
      <c r="JQ527" s="645"/>
      <c r="JR527" s="645"/>
      <c r="JS527" s="645"/>
      <c r="JT527" s="645"/>
      <c r="JU527" s="645"/>
      <c r="JW527" s="522"/>
      <c r="JX527" s="522"/>
      <c r="JY527" s="522"/>
      <c r="JZ527" s="522"/>
      <c r="KA527" s="522"/>
      <c r="KB527" s="522"/>
      <c r="KC527" s="522"/>
      <c r="KD527" s="522"/>
      <c r="KE527" s="522"/>
      <c r="KF527" s="522"/>
      <c r="KG527" s="522"/>
      <c r="KH527" s="522"/>
      <c r="KI527" s="522"/>
      <c r="KJ527" s="522"/>
      <c r="KK527" s="522"/>
      <c r="KL527" s="522"/>
    </row>
    <row r="528" spans="101:298">
      <c r="CW528" s="646"/>
      <c r="CX528" s="646"/>
      <c r="CY528" s="625"/>
      <c r="CZ528" s="625"/>
      <c r="DA528" s="625"/>
      <c r="DB528" s="625"/>
      <c r="DC528" s="645"/>
      <c r="DD528" s="645"/>
      <c r="DE528" s="645"/>
      <c r="DF528" s="645"/>
      <c r="DG528" s="645"/>
      <c r="DH528" s="645"/>
      <c r="DI528" s="645"/>
      <c r="DJ528" s="645"/>
      <c r="DK528" s="645"/>
      <c r="DL528" s="645"/>
      <c r="DM528" s="645"/>
      <c r="DN528" s="645"/>
      <c r="DO528" s="645"/>
      <c r="DP528" s="645"/>
      <c r="DQ528" s="645"/>
      <c r="DR528" s="645"/>
      <c r="DS528" s="645"/>
      <c r="DT528" s="645"/>
      <c r="DU528" s="645"/>
      <c r="DV528" s="645"/>
      <c r="DW528" s="645"/>
      <c r="DX528" s="645"/>
      <c r="DY528" s="645"/>
      <c r="DZ528" s="645"/>
      <c r="EA528" s="645"/>
      <c r="EB528" s="645"/>
      <c r="EC528" s="645"/>
      <c r="ED528" s="645"/>
      <c r="EE528" s="645"/>
      <c r="EF528" s="645"/>
      <c r="EG528" s="645"/>
      <c r="EH528" s="645"/>
      <c r="EI528" s="645"/>
      <c r="EJ528" s="645"/>
      <c r="EK528" s="645"/>
      <c r="EL528" s="645"/>
      <c r="EM528" s="645"/>
      <c r="EN528" s="645"/>
      <c r="EO528" s="645"/>
      <c r="EP528" s="645"/>
      <c r="EQ528" s="645"/>
      <c r="ER528" s="645"/>
      <c r="ES528" s="645"/>
      <c r="ET528" s="645"/>
      <c r="EU528" s="645"/>
      <c r="EV528" s="645"/>
      <c r="EW528" s="645"/>
      <c r="EX528" s="645"/>
      <c r="EY528" s="645"/>
      <c r="EZ528" s="645"/>
      <c r="FA528" s="645"/>
      <c r="FB528" s="645"/>
      <c r="FC528" s="645"/>
      <c r="FD528" s="645"/>
      <c r="FE528" s="645"/>
      <c r="FF528" s="645"/>
      <c r="FG528" s="645"/>
      <c r="FH528" s="645"/>
      <c r="FI528" s="645"/>
      <c r="FJ528" s="645"/>
      <c r="FK528" s="645"/>
      <c r="FL528" s="645"/>
      <c r="FM528" s="645"/>
      <c r="FN528" s="645"/>
      <c r="FO528" s="645"/>
      <c r="FP528" s="645"/>
      <c r="FQ528" s="645"/>
      <c r="FR528" s="645"/>
      <c r="FS528" s="645"/>
      <c r="FT528" s="645"/>
      <c r="FU528" s="645"/>
      <c r="FV528" s="645"/>
      <c r="FW528" s="645"/>
      <c r="FX528" s="645"/>
      <c r="FY528" s="645"/>
      <c r="FZ528" s="645"/>
      <c r="GA528" s="645"/>
      <c r="GB528" s="645"/>
      <c r="GC528" s="645"/>
      <c r="GD528" s="645"/>
      <c r="GE528" s="645"/>
      <c r="GF528" s="645"/>
      <c r="GG528" s="645"/>
      <c r="GH528" s="645"/>
      <c r="GI528" s="645"/>
      <c r="GJ528" s="645"/>
      <c r="GK528" s="645"/>
      <c r="GL528" s="645"/>
      <c r="GM528" s="645"/>
      <c r="GN528" s="645"/>
      <c r="GO528" s="645"/>
      <c r="GP528" s="645"/>
      <c r="GQ528" s="645"/>
      <c r="GR528" s="645"/>
      <c r="GS528" s="645"/>
      <c r="GT528" s="645"/>
      <c r="GU528" s="645"/>
      <c r="GV528" s="645"/>
      <c r="GW528" s="645"/>
      <c r="GX528" s="645"/>
      <c r="GY528" s="645"/>
      <c r="GZ528" s="645"/>
      <c r="HA528" s="645"/>
      <c r="HB528" s="645"/>
      <c r="HC528" s="645"/>
      <c r="HD528" s="645"/>
      <c r="HE528" s="645"/>
      <c r="IT528" s="645"/>
      <c r="IU528" s="645"/>
      <c r="IV528" s="645"/>
      <c r="IW528" s="645"/>
      <c r="IX528" s="645"/>
      <c r="IY528" s="645"/>
      <c r="IZ528" s="645"/>
      <c r="JA528" s="645"/>
      <c r="JB528" s="645"/>
      <c r="JC528" s="645"/>
      <c r="JD528" s="645"/>
      <c r="JE528" s="645"/>
      <c r="JF528" s="645"/>
      <c r="JG528" s="645"/>
      <c r="JH528" s="645"/>
      <c r="JI528" s="645"/>
      <c r="JJ528" s="645"/>
      <c r="JK528" s="645"/>
      <c r="JL528" s="645"/>
      <c r="JM528" s="645"/>
      <c r="JN528" s="645"/>
      <c r="JO528" s="645"/>
      <c r="JP528" s="645"/>
      <c r="JQ528" s="645"/>
      <c r="JR528" s="645"/>
      <c r="JS528" s="645"/>
      <c r="JT528" s="645"/>
      <c r="JU528" s="645"/>
      <c r="JW528" s="522"/>
      <c r="JX528" s="522"/>
      <c r="JY528" s="522"/>
      <c r="JZ528" s="522"/>
      <c r="KA528" s="522"/>
      <c r="KB528" s="522"/>
      <c r="KC528" s="522"/>
      <c r="KD528" s="522"/>
      <c r="KE528" s="522"/>
      <c r="KF528" s="522"/>
      <c r="KG528" s="522"/>
      <c r="KH528" s="522"/>
      <c r="KI528" s="522"/>
      <c r="KJ528" s="522"/>
      <c r="KK528" s="522"/>
      <c r="KL528" s="522"/>
    </row>
    <row r="529" spans="101:298">
      <c r="CW529" s="646"/>
      <c r="CX529" s="646"/>
      <c r="CY529" s="625"/>
      <c r="CZ529" s="625"/>
      <c r="DA529" s="625"/>
      <c r="DB529" s="625"/>
      <c r="DC529" s="645"/>
      <c r="DD529" s="645"/>
      <c r="DE529" s="645"/>
      <c r="DF529" s="645"/>
      <c r="DG529" s="645"/>
      <c r="DH529" s="645"/>
      <c r="DI529" s="645"/>
      <c r="DJ529" s="645"/>
      <c r="DK529" s="645"/>
      <c r="DL529" s="645"/>
      <c r="DM529" s="645"/>
      <c r="DN529" s="645"/>
      <c r="DO529" s="645"/>
      <c r="DP529" s="645"/>
      <c r="DQ529" s="645"/>
      <c r="DR529" s="645"/>
      <c r="DS529" s="645"/>
      <c r="DT529" s="645"/>
      <c r="DU529" s="645"/>
      <c r="DV529" s="645"/>
      <c r="DW529" s="645"/>
      <c r="DX529" s="645"/>
      <c r="DY529" s="645"/>
      <c r="DZ529" s="645"/>
      <c r="EA529" s="645"/>
      <c r="EB529" s="645"/>
      <c r="EC529" s="645"/>
      <c r="ED529" s="645"/>
      <c r="EE529" s="645"/>
      <c r="EF529" s="645"/>
      <c r="EG529" s="645"/>
      <c r="EH529" s="645"/>
      <c r="EI529" s="645"/>
      <c r="EJ529" s="645"/>
      <c r="EK529" s="645"/>
      <c r="EL529" s="645"/>
      <c r="EM529" s="645"/>
      <c r="EN529" s="645"/>
      <c r="EO529" s="645"/>
      <c r="EP529" s="645"/>
      <c r="EQ529" s="645"/>
      <c r="ER529" s="645"/>
      <c r="ES529" s="645"/>
      <c r="ET529" s="645"/>
      <c r="EU529" s="645"/>
      <c r="EV529" s="645"/>
      <c r="EW529" s="645"/>
      <c r="EX529" s="645"/>
      <c r="EY529" s="645"/>
      <c r="EZ529" s="645"/>
      <c r="FA529" s="645"/>
      <c r="FB529" s="645"/>
      <c r="FC529" s="645"/>
      <c r="FD529" s="645"/>
      <c r="FE529" s="645"/>
      <c r="FF529" s="645"/>
      <c r="FG529" s="645"/>
      <c r="FH529" s="645"/>
      <c r="FI529" s="645"/>
      <c r="FJ529" s="645"/>
      <c r="FK529" s="645"/>
      <c r="FL529" s="645"/>
      <c r="FM529" s="645"/>
      <c r="FN529" s="645"/>
      <c r="FO529" s="645"/>
      <c r="FP529" s="645"/>
      <c r="FQ529" s="645"/>
      <c r="FR529" s="645"/>
      <c r="FS529" s="645"/>
      <c r="FT529" s="645"/>
      <c r="FU529" s="645"/>
      <c r="FV529" s="645"/>
      <c r="FW529" s="645"/>
      <c r="FX529" s="645"/>
      <c r="FY529" s="645"/>
      <c r="FZ529" s="645"/>
      <c r="GA529" s="645"/>
      <c r="GB529" s="645"/>
      <c r="GC529" s="645"/>
      <c r="GD529" s="645"/>
      <c r="GE529" s="645"/>
      <c r="GF529" s="645"/>
      <c r="GG529" s="645"/>
      <c r="GH529" s="645"/>
      <c r="GI529" s="645"/>
      <c r="GJ529" s="645"/>
      <c r="GK529" s="645"/>
      <c r="GL529" s="645"/>
      <c r="GM529" s="645"/>
      <c r="GN529" s="645"/>
      <c r="GO529" s="645"/>
      <c r="GP529" s="645"/>
      <c r="GQ529" s="645"/>
      <c r="GR529" s="645"/>
      <c r="GS529" s="645"/>
      <c r="GT529" s="645"/>
      <c r="GU529" s="645"/>
      <c r="GV529" s="645"/>
      <c r="GW529" s="645"/>
      <c r="GX529" s="645"/>
      <c r="GY529" s="645"/>
      <c r="GZ529" s="645"/>
      <c r="HA529" s="645"/>
      <c r="HB529" s="645"/>
      <c r="HC529" s="645"/>
      <c r="HD529" s="645"/>
      <c r="HE529" s="645"/>
      <c r="IT529" s="645"/>
      <c r="IU529" s="645"/>
      <c r="IV529" s="645"/>
      <c r="IW529" s="645"/>
      <c r="IX529" s="645"/>
      <c r="IY529" s="645"/>
      <c r="IZ529" s="645"/>
      <c r="JA529" s="645"/>
      <c r="JB529" s="645"/>
      <c r="JC529" s="645"/>
      <c r="JD529" s="645"/>
      <c r="JE529" s="645"/>
      <c r="JF529" s="645"/>
      <c r="JG529" s="645"/>
      <c r="JH529" s="645"/>
      <c r="JI529" s="645"/>
      <c r="JJ529" s="645"/>
      <c r="JK529" s="645"/>
      <c r="JL529" s="645"/>
      <c r="JM529" s="645"/>
      <c r="JN529" s="645"/>
      <c r="JO529" s="645"/>
      <c r="JP529" s="645"/>
      <c r="JQ529" s="645"/>
      <c r="JR529" s="645"/>
      <c r="JS529" s="645"/>
      <c r="JT529" s="645"/>
      <c r="JU529" s="645"/>
      <c r="JW529" s="522"/>
      <c r="JX529" s="522"/>
      <c r="JY529" s="522"/>
      <c r="JZ529" s="522"/>
      <c r="KA529" s="522"/>
      <c r="KB529" s="522"/>
      <c r="KC529" s="522"/>
      <c r="KD529" s="522"/>
      <c r="KE529" s="522"/>
      <c r="KF529" s="522"/>
      <c r="KG529" s="522"/>
      <c r="KH529" s="522"/>
      <c r="KI529" s="522"/>
      <c r="KJ529" s="522"/>
      <c r="KK529" s="522"/>
      <c r="KL529" s="522"/>
    </row>
    <row r="530" spans="101:298">
      <c r="CW530" s="646"/>
      <c r="CX530" s="646"/>
      <c r="CY530" s="625"/>
      <c r="CZ530" s="625"/>
      <c r="DA530" s="625"/>
      <c r="DB530" s="625"/>
      <c r="DC530" s="645"/>
      <c r="DD530" s="645"/>
      <c r="DE530" s="645"/>
      <c r="DF530" s="645"/>
      <c r="DG530" s="645"/>
      <c r="DH530" s="645"/>
      <c r="DI530" s="645"/>
      <c r="DJ530" s="645"/>
      <c r="DK530" s="645"/>
      <c r="DL530" s="645"/>
      <c r="DM530" s="645"/>
      <c r="DN530" s="645"/>
      <c r="DO530" s="645"/>
      <c r="DP530" s="645"/>
      <c r="DQ530" s="645"/>
      <c r="DR530" s="645"/>
      <c r="DS530" s="645"/>
      <c r="DT530" s="645"/>
      <c r="DU530" s="645"/>
      <c r="DV530" s="645"/>
      <c r="DW530" s="645"/>
      <c r="DX530" s="645"/>
      <c r="DY530" s="645"/>
      <c r="DZ530" s="645"/>
      <c r="EA530" s="645"/>
      <c r="EB530" s="645"/>
      <c r="EC530" s="645"/>
      <c r="ED530" s="645"/>
      <c r="EE530" s="645"/>
      <c r="EF530" s="645"/>
      <c r="EG530" s="645"/>
      <c r="EH530" s="645"/>
      <c r="EI530" s="645"/>
      <c r="EJ530" s="645"/>
      <c r="EK530" s="645"/>
      <c r="EL530" s="645"/>
      <c r="EM530" s="645"/>
      <c r="EN530" s="645"/>
      <c r="EO530" s="645"/>
      <c r="EP530" s="645"/>
      <c r="EQ530" s="645"/>
      <c r="ER530" s="645"/>
      <c r="ES530" s="645"/>
      <c r="ET530" s="645"/>
      <c r="EU530" s="645"/>
      <c r="EV530" s="645"/>
      <c r="EW530" s="645"/>
      <c r="EX530" s="645"/>
      <c r="EY530" s="645"/>
      <c r="EZ530" s="645"/>
      <c r="FA530" s="645"/>
      <c r="FB530" s="645"/>
      <c r="FC530" s="645"/>
      <c r="FD530" s="645"/>
      <c r="FE530" s="645"/>
      <c r="FF530" s="645"/>
      <c r="FG530" s="645"/>
      <c r="FH530" s="645"/>
      <c r="FI530" s="645"/>
      <c r="FJ530" s="645"/>
      <c r="FK530" s="645"/>
      <c r="FL530" s="645"/>
      <c r="FM530" s="645"/>
      <c r="FN530" s="645"/>
      <c r="FO530" s="645"/>
      <c r="FP530" s="645"/>
      <c r="FQ530" s="645"/>
      <c r="FR530" s="645"/>
      <c r="FS530" s="645"/>
      <c r="FT530" s="645"/>
      <c r="FU530" s="645"/>
      <c r="FV530" s="645"/>
      <c r="FW530" s="645"/>
      <c r="FX530" s="645"/>
      <c r="FY530" s="645"/>
      <c r="FZ530" s="645"/>
      <c r="GA530" s="645"/>
      <c r="GB530" s="645"/>
      <c r="GC530" s="645"/>
      <c r="GD530" s="645"/>
      <c r="GE530" s="645"/>
      <c r="GF530" s="645"/>
      <c r="GG530" s="645"/>
      <c r="GH530" s="645"/>
      <c r="GI530" s="645"/>
      <c r="GJ530" s="645"/>
      <c r="GK530" s="645"/>
      <c r="GL530" s="645"/>
      <c r="GM530" s="645"/>
      <c r="GN530" s="645"/>
      <c r="GO530" s="645"/>
      <c r="GP530" s="645"/>
      <c r="GQ530" s="645"/>
      <c r="GR530" s="645"/>
      <c r="GS530" s="645"/>
      <c r="GT530" s="645"/>
      <c r="GU530" s="645"/>
      <c r="GV530" s="645"/>
      <c r="GW530" s="645"/>
      <c r="GX530" s="645"/>
      <c r="GY530" s="645"/>
      <c r="GZ530" s="645"/>
      <c r="HA530" s="645"/>
      <c r="HB530" s="645"/>
      <c r="HC530" s="645"/>
      <c r="HD530" s="645"/>
      <c r="HE530" s="645"/>
      <c r="IT530" s="645"/>
      <c r="IU530" s="645"/>
      <c r="IV530" s="645"/>
      <c r="IW530" s="645"/>
      <c r="IX530" s="645"/>
      <c r="IY530" s="645"/>
      <c r="IZ530" s="645"/>
      <c r="JA530" s="645"/>
      <c r="JB530" s="645"/>
      <c r="JC530" s="645"/>
      <c r="JD530" s="645"/>
      <c r="JE530" s="645"/>
      <c r="JF530" s="645"/>
      <c r="JG530" s="645"/>
      <c r="JH530" s="645"/>
      <c r="JI530" s="645"/>
      <c r="JJ530" s="645"/>
      <c r="JK530" s="645"/>
      <c r="JL530" s="645"/>
      <c r="JM530" s="645"/>
      <c r="JN530" s="645"/>
      <c r="JO530" s="645"/>
      <c r="JP530" s="645"/>
      <c r="JQ530" s="645"/>
      <c r="JR530" s="645"/>
      <c r="JS530" s="645"/>
      <c r="JT530" s="645"/>
      <c r="JU530" s="645"/>
      <c r="JW530" s="522"/>
      <c r="JX530" s="522"/>
      <c r="JY530" s="522"/>
      <c r="JZ530" s="522"/>
      <c r="KA530" s="522"/>
      <c r="KB530" s="522"/>
      <c r="KC530" s="522"/>
      <c r="KD530" s="522"/>
      <c r="KE530" s="522"/>
      <c r="KF530" s="522"/>
      <c r="KG530" s="522"/>
      <c r="KH530" s="522"/>
      <c r="KI530" s="522"/>
      <c r="KJ530" s="522"/>
      <c r="KK530" s="522"/>
      <c r="KL530" s="522"/>
    </row>
    <row r="531" spans="101:298">
      <c r="CW531" s="646"/>
      <c r="CX531" s="646"/>
      <c r="CY531" s="625"/>
      <c r="CZ531" s="625"/>
      <c r="DA531" s="625"/>
      <c r="DB531" s="625"/>
      <c r="DC531" s="645"/>
      <c r="DD531" s="645"/>
      <c r="DE531" s="645"/>
      <c r="DF531" s="645"/>
      <c r="DG531" s="645"/>
      <c r="DH531" s="645"/>
      <c r="DI531" s="645"/>
      <c r="DJ531" s="645"/>
      <c r="DK531" s="645"/>
      <c r="DL531" s="645"/>
      <c r="DM531" s="645"/>
      <c r="DN531" s="645"/>
      <c r="DO531" s="645"/>
      <c r="DP531" s="645"/>
      <c r="DQ531" s="645"/>
      <c r="DR531" s="645"/>
      <c r="DS531" s="645"/>
      <c r="DT531" s="645"/>
      <c r="DU531" s="645"/>
      <c r="DV531" s="645"/>
      <c r="DW531" s="645"/>
      <c r="DX531" s="645"/>
      <c r="DY531" s="645"/>
      <c r="DZ531" s="645"/>
      <c r="EA531" s="645"/>
      <c r="EB531" s="645"/>
      <c r="EC531" s="645"/>
      <c r="ED531" s="645"/>
      <c r="EE531" s="645"/>
      <c r="EF531" s="645"/>
      <c r="EG531" s="645"/>
      <c r="EH531" s="645"/>
      <c r="EI531" s="645"/>
      <c r="EJ531" s="645"/>
      <c r="EK531" s="645"/>
      <c r="EL531" s="645"/>
      <c r="EM531" s="645"/>
      <c r="EN531" s="645"/>
      <c r="EO531" s="645"/>
      <c r="EP531" s="645"/>
      <c r="EQ531" s="645"/>
      <c r="ER531" s="645"/>
      <c r="ES531" s="645"/>
      <c r="ET531" s="645"/>
      <c r="EU531" s="645"/>
      <c r="EV531" s="645"/>
      <c r="EW531" s="645"/>
      <c r="EX531" s="645"/>
      <c r="EY531" s="645"/>
      <c r="EZ531" s="645"/>
      <c r="FA531" s="645"/>
      <c r="FB531" s="645"/>
      <c r="FC531" s="645"/>
      <c r="FD531" s="645"/>
      <c r="FE531" s="645"/>
      <c r="FF531" s="645"/>
      <c r="FG531" s="645"/>
      <c r="FH531" s="645"/>
      <c r="FI531" s="645"/>
      <c r="FJ531" s="645"/>
      <c r="FK531" s="645"/>
      <c r="FL531" s="645"/>
      <c r="FM531" s="645"/>
      <c r="FN531" s="645"/>
      <c r="FO531" s="645"/>
      <c r="FP531" s="645"/>
      <c r="FQ531" s="645"/>
      <c r="FR531" s="645"/>
      <c r="FS531" s="645"/>
      <c r="FT531" s="645"/>
      <c r="FU531" s="645"/>
      <c r="FV531" s="645"/>
      <c r="FW531" s="645"/>
      <c r="FX531" s="645"/>
      <c r="FY531" s="645"/>
      <c r="FZ531" s="645"/>
      <c r="GA531" s="645"/>
      <c r="GB531" s="645"/>
      <c r="GC531" s="645"/>
      <c r="GD531" s="645"/>
      <c r="GE531" s="645"/>
      <c r="GF531" s="645"/>
      <c r="GG531" s="645"/>
      <c r="GH531" s="645"/>
      <c r="GI531" s="645"/>
      <c r="GJ531" s="645"/>
      <c r="GK531" s="645"/>
      <c r="GL531" s="645"/>
      <c r="GM531" s="645"/>
      <c r="GN531" s="645"/>
      <c r="GO531" s="645"/>
      <c r="GP531" s="645"/>
      <c r="GQ531" s="645"/>
      <c r="GR531" s="645"/>
      <c r="GS531" s="645"/>
      <c r="GT531" s="645"/>
      <c r="GU531" s="645"/>
      <c r="GV531" s="645"/>
      <c r="GW531" s="645"/>
      <c r="GX531" s="645"/>
      <c r="GY531" s="645"/>
      <c r="GZ531" s="645"/>
      <c r="HA531" s="645"/>
      <c r="HB531" s="645"/>
      <c r="HC531" s="645"/>
      <c r="HD531" s="645"/>
      <c r="HE531" s="645"/>
      <c r="IT531" s="645"/>
      <c r="IU531" s="645"/>
      <c r="IV531" s="645"/>
      <c r="IW531" s="645"/>
      <c r="IX531" s="645"/>
      <c r="IY531" s="645"/>
      <c r="IZ531" s="645"/>
      <c r="JA531" s="645"/>
      <c r="JB531" s="645"/>
      <c r="JC531" s="645"/>
      <c r="JD531" s="645"/>
      <c r="JE531" s="645"/>
      <c r="JF531" s="645"/>
      <c r="JG531" s="645"/>
      <c r="JH531" s="645"/>
      <c r="JI531" s="645"/>
      <c r="JJ531" s="645"/>
      <c r="JK531" s="645"/>
      <c r="JL531" s="645"/>
      <c r="JM531" s="645"/>
      <c r="JN531" s="645"/>
      <c r="JO531" s="645"/>
      <c r="JP531" s="645"/>
      <c r="JQ531" s="645"/>
      <c r="JR531" s="645"/>
      <c r="JS531" s="645"/>
      <c r="JT531" s="645"/>
      <c r="JU531" s="645"/>
      <c r="JW531" s="522"/>
      <c r="JX531" s="522"/>
      <c r="JY531" s="522"/>
      <c r="JZ531" s="522"/>
      <c r="KA531" s="522"/>
      <c r="KB531" s="522"/>
      <c r="KC531" s="522"/>
      <c r="KD531" s="522"/>
      <c r="KE531" s="522"/>
      <c r="KF531" s="522"/>
      <c r="KG531" s="522"/>
      <c r="KH531" s="522"/>
      <c r="KI531" s="522"/>
      <c r="KJ531" s="522"/>
      <c r="KK531" s="522"/>
      <c r="KL531" s="522"/>
    </row>
    <row r="532" spans="101:298">
      <c r="CW532" s="646"/>
      <c r="CX532" s="646"/>
      <c r="CY532" s="625"/>
      <c r="CZ532" s="625"/>
      <c r="DA532" s="625"/>
      <c r="DB532" s="625"/>
      <c r="DC532" s="645"/>
      <c r="DD532" s="645"/>
      <c r="DE532" s="645"/>
      <c r="DF532" s="645"/>
      <c r="DG532" s="645"/>
      <c r="DH532" s="645"/>
      <c r="DI532" s="645"/>
      <c r="DJ532" s="645"/>
      <c r="DK532" s="645"/>
      <c r="DL532" s="645"/>
      <c r="DM532" s="645"/>
      <c r="DN532" s="645"/>
      <c r="DO532" s="645"/>
      <c r="DP532" s="645"/>
      <c r="DQ532" s="645"/>
      <c r="DR532" s="645"/>
      <c r="DS532" s="645"/>
      <c r="DT532" s="645"/>
      <c r="DU532" s="645"/>
      <c r="DV532" s="645"/>
      <c r="DW532" s="645"/>
      <c r="DX532" s="645"/>
      <c r="DY532" s="645"/>
      <c r="DZ532" s="645"/>
      <c r="EA532" s="645"/>
      <c r="EB532" s="645"/>
      <c r="EC532" s="645"/>
      <c r="ED532" s="645"/>
      <c r="EE532" s="645"/>
      <c r="EF532" s="645"/>
      <c r="EG532" s="645"/>
      <c r="EH532" s="645"/>
      <c r="EI532" s="645"/>
      <c r="EJ532" s="645"/>
      <c r="EK532" s="645"/>
      <c r="EL532" s="645"/>
      <c r="EM532" s="645"/>
      <c r="EN532" s="645"/>
      <c r="EO532" s="645"/>
      <c r="EP532" s="645"/>
      <c r="EQ532" s="645"/>
      <c r="ER532" s="645"/>
      <c r="ES532" s="645"/>
      <c r="ET532" s="645"/>
      <c r="EU532" s="645"/>
      <c r="EV532" s="645"/>
      <c r="EW532" s="645"/>
      <c r="EX532" s="645"/>
      <c r="EY532" s="645"/>
      <c r="EZ532" s="645"/>
      <c r="FA532" s="645"/>
      <c r="FB532" s="645"/>
      <c r="FC532" s="645"/>
      <c r="FD532" s="645"/>
      <c r="FE532" s="645"/>
      <c r="FF532" s="645"/>
      <c r="FG532" s="645"/>
      <c r="FH532" s="645"/>
      <c r="FI532" s="645"/>
      <c r="FJ532" s="645"/>
      <c r="FK532" s="645"/>
      <c r="FL532" s="645"/>
      <c r="FM532" s="645"/>
      <c r="FN532" s="645"/>
      <c r="FO532" s="645"/>
      <c r="FP532" s="645"/>
      <c r="FQ532" s="645"/>
      <c r="FR532" s="645"/>
      <c r="FS532" s="645"/>
      <c r="FT532" s="645"/>
      <c r="FU532" s="645"/>
      <c r="FV532" s="645"/>
      <c r="FW532" s="645"/>
      <c r="FX532" s="645"/>
      <c r="FY532" s="645"/>
      <c r="FZ532" s="645"/>
      <c r="GA532" s="645"/>
      <c r="GB532" s="645"/>
      <c r="GC532" s="645"/>
      <c r="GD532" s="645"/>
      <c r="GE532" s="645"/>
      <c r="GF532" s="645"/>
      <c r="GG532" s="645"/>
      <c r="GH532" s="645"/>
      <c r="GI532" s="645"/>
      <c r="GJ532" s="645"/>
      <c r="GK532" s="645"/>
      <c r="GL532" s="645"/>
      <c r="GM532" s="645"/>
      <c r="GN532" s="645"/>
      <c r="GO532" s="645"/>
      <c r="GP532" s="645"/>
      <c r="GQ532" s="645"/>
      <c r="GR532" s="645"/>
      <c r="GS532" s="645"/>
      <c r="GT532" s="645"/>
      <c r="GU532" s="645"/>
      <c r="GV532" s="645"/>
      <c r="GW532" s="645"/>
      <c r="GX532" s="645"/>
      <c r="GY532" s="645"/>
      <c r="GZ532" s="645"/>
      <c r="HA532" s="645"/>
      <c r="HB532" s="645"/>
      <c r="HC532" s="645"/>
      <c r="HD532" s="645"/>
      <c r="HE532" s="645"/>
      <c r="IT532" s="645"/>
      <c r="IU532" s="645"/>
      <c r="IV532" s="645"/>
      <c r="IW532" s="645"/>
      <c r="IX532" s="645"/>
      <c r="IY532" s="645"/>
      <c r="IZ532" s="645"/>
      <c r="JA532" s="645"/>
      <c r="JB532" s="645"/>
      <c r="JC532" s="645"/>
      <c r="JD532" s="645"/>
      <c r="JE532" s="645"/>
      <c r="JF532" s="645"/>
      <c r="JG532" s="645"/>
      <c r="JH532" s="645"/>
      <c r="JI532" s="645"/>
      <c r="JJ532" s="645"/>
      <c r="JK532" s="645"/>
      <c r="JL532" s="645"/>
      <c r="JM532" s="645"/>
      <c r="JN532" s="645"/>
      <c r="JO532" s="645"/>
      <c r="JP532" s="645"/>
      <c r="JQ532" s="645"/>
      <c r="JR532" s="645"/>
      <c r="JS532" s="645"/>
      <c r="JT532" s="645"/>
      <c r="JU532" s="645"/>
      <c r="JW532" s="522"/>
      <c r="JX532" s="522"/>
      <c r="JY532" s="522"/>
      <c r="JZ532" s="522"/>
      <c r="KA532" s="522"/>
      <c r="KB532" s="522"/>
      <c r="KC532" s="522"/>
      <c r="KD532" s="522"/>
      <c r="KE532" s="522"/>
      <c r="KF532" s="522"/>
      <c r="KG532" s="522"/>
      <c r="KH532" s="522"/>
      <c r="KI532" s="522"/>
      <c r="KJ532" s="522"/>
      <c r="KK532" s="522"/>
      <c r="KL532" s="522"/>
    </row>
    <row r="533" spans="101:298">
      <c r="CW533" s="646"/>
      <c r="CX533" s="646"/>
      <c r="CY533" s="625"/>
      <c r="CZ533" s="625"/>
      <c r="DA533" s="625"/>
      <c r="DB533" s="625"/>
      <c r="DC533" s="645"/>
      <c r="DD533" s="645"/>
      <c r="DE533" s="645"/>
      <c r="DF533" s="645"/>
      <c r="DG533" s="645"/>
      <c r="DH533" s="645"/>
      <c r="DI533" s="645"/>
      <c r="DJ533" s="645"/>
      <c r="DK533" s="645"/>
      <c r="DL533" s="645"/>
      <c r="DM533" s="645"/>
      <c r="DN533" s="645"/>
      <c r="DO533" s="645"/>
      <c r="DP533" s="645"/>
      <c r="DQ533" s="645"/>
      <c r="DR533" s="645"/>
      <c r="DS533" s="645"/>
      <c r="DT533" s="645"/>
      <c r="DU533" s="645"/>
      <c r="DV533" s="645"/>
      <c r="DW533" s="645"/>
      <c r="DX533" s="645"/>
      <c r="DY533" s="645"/>
      <c r="DZ533" s="645"/>
      <c r="EA533" s="645"/>
      <c r="EB533" s="645"/>
      <c r="EC533" s="645"/>
      <c r="ED533" s="645"/>
      <c r="EE533" s="645"/>
      <c r="EF533" s="645"/>
      <c r="EG533" s="645"/>
      <c r="EH533" s="645"/>
      <c r="EI533" s="645"/>
      <c r="EJ533" s="645"/>
      <c r="EK533" s="645"/>
      <c r="EL533" s="645"/>
      <c r="EM533" s="645"/>
      <c r="EN533" s="645"/>
      <c r="EO533" s="645"/>
      <c r="EP533" s="645"/>
      <c r="EQ533" s="645"/>
      <c r="ER533" s="645"/>
      <c r="ES533" s="645"/>
      <c r="ET533" s="645"/>
      <c r="EU533" s="645"/>
      <c r="EV533" s="645"/>
      <c r="EW533" s="645"/>
      <c r="EX533" s="645"/>
      <c r="EY533" s="645"/>
      <c r="EZ533" s="645"/>
      <c r="FA533" s="645"/>
      <c r="FB533" s="645"/>
      <c r="FC533" s="645"/>
      <c r="FD533" s="645"/>
      <c r="FE533" s="645"/>
      <c r="FF533" s="645"/>
      <c r="FG533" s="645"/>
      <c r="FH533" s="645"/>
      <c r="FI533" s="645"/>
      <c r="FJ533" s="645"/>
      <c r="FK533" s="645"/>
      <c r="FL533" s="645"/>
      <c r="FM533" s="645"/>
      <c r="FN533" s="645"/>
      <c r="FO533" s="645"/>
      <c r="FP533" s="645"/>
      <c r="FQ533" s="645"/>
      <c r="FR533" s="645"/>
      <c r="FS533" s="645"/>
      <c r="FT533" s="645"/>
      <c r="FU533" s="645"/>
      <c r="FV533" s="645"/>
      <c r="FW533" s="645"/>
      <c r="FX533" s="645"/>
      <c r="FY533" s="645"/>
      <c r="FZ533" s="645"/>
      <c r="GA533" s="645"/>
      <c r="GB533" s="645"/>
      <c r="GC533" s="645"/>
      <c r="GD533" s="645"/>
      <c r="GE533" s="645"/>
      <c r="GF533" s="645"/>
      <c r="GG533" s="645"/>
      <c r="GH533" s="645"/>
      <c r="GI533" s="645"/>
      <c r="GJ533" s="645"/>
      <c r="GK533" s="645"/>
      <c r="GL533" s="645"/>
      <c r="GM533" s="645"/>
      <c r="GN533" s="645"/>
      <c r="GO533" s="645"/>
      <c r="GP533" s="645"/>
      <c r="GQ533" s="645"/>
      <c r="GR533" s="645"/>
      <c r="GS533" s="645"/>
      <c r="GT533" s="645"/>
      <c r="GU533" s="645"/>
      <c r="GV533" s="645"/>
      <c r="GW533" s="645"/>
      <c r="GX533" s="645"/>
      <c r="GY533" s="645"/>
      <c r="GZ533" s="645"/>
      <c r="HA533" s="645"/>
      <c r="HB533" s="645"/>
      <c r="HC533" s="645"/>
      <c r="HD533" s="645"/>
      <c r="HE533" s="645"/>
      <c r="IT533" s="645"/>
      <c r="IU533" s="645"/>
      <c r="IV533" s="645"/>
      <c r="IW533" s="645"/>
      <c r="IX533" s="645"/>
      <c r="IY533" s="645"/>
      <c r="IZ533" s="645"/>
      <c r="JA533" s="645"/>
      <c r="JB533" s="645"/>
      <c r="JC533" s="645"/>
      <c r="JD533" s="645"/>
      <c r="JE533" s="645"/>
      <c r="JF533" s="645"/>
      <c r="JG533" s="645"/>
      <c r="JH533" s="645"/>
      <c r="JI533" s="645"/>
      <c r="JJ533" s="645"/>
      <c r="JK533" s="645"/>
      <c r="JL533" s="645"/>
      <c r="JM533" s="645"/>
      <c r="JN533" s="645"/>
      <c r="JO533" s="645"/>
      <c r="JP533" s="645"/>
      <c r="JQ533" s="645"/>
      <c r="JR533" s="645"/>
      <c r="JS533" s="645"/>
      <c r="JT533" s="645"/>
      <c r="JU533" s="645"/>
      <c r="JW533" s="522"/>
      <c r="JX533" s="522"/>
      <c r="JY533" s="522"/>
      <c r="JZ533" s="522"/>
      <c r="KA533" s="522"/>
      <c r="KB533" s="522"/>
      <c r="KC533" s="522"/>
      <c r="KD533" s="522"/>
      <c r="KE533" s="522"/>
      <c r="KF533" s="522"/>
      <c r="KG533" s="522"/>
      <c r="KH533" s="522"/>
      <c r="KI533" s="522"/>
      <c r="KJ533" s="522"/>
      <c r="KK533" s="522"/>
      <c r="KL533" s="522"/>
    </row>
    <row r="534" spans="101:298">
      <c r="CW534" s="646"/>
      <c r="CX534" s="646"/>
      <c r="CY534" s="625"/>
      <c r="CZ534" s="625"/>
      <c r="DA534" s="625"/>
      <c r="DB534" s="625"/>
      <c r="DC534" s="645"/>
      <c r="DD534" s="645"/>
      <c r="DE534" s="645"/>
      <c r="DF534" s="645"/>
      <c r="DG534" s="645"/>
      <c r="DH534" s="645"/>
      <c r="DI534" s="645"/>
      <c r="DJ534" s="645"/>
      <c r="DK534" s="645"/>
      <c r="DL534" s="645"/>
      <c r="DM534" s="645"/>
      <c r="DN534" s="645"/>
      <c r="DO534" s="645"/>
      <c r="DP534" s="645"/>
      <c r="DQ534" s="645"/>
      <c r="DR534" s="645"/>
      <c r="DS534" s="645"/>
      <c r="DT534" s="645"/>
      <c r="DU534" s="645"/>
      <c r="DV534" s="645"/>
      <c r="DW534" s="645"/>
      <c r="DX534" s="645"/>
      <c r="DY534" s="645"/>
      <c r="DZ534" s="645"/>
      <c r="EA534" s="645"/>
      <c r="EB534" s="645"/>
      <c r="EC534" s="645"/>
      <c r="ED534" s="645"/>
      <c r="EE534" s="645"/>
      <c r="EF534" s="645"/>
      <c r="EG534" s="645"/>
      <c r="EH534" s="645"/>
      <c r="EI534" s="645"/>
      <c r="EJ534" s="645"/>
      <c r="EK534" s="645"/>
      <c r="EL534" s="645"/>
      <c r="EM534" s="645"/>
      <c r="EN534" s="645"/>
      <c r="EO534" s="645"/>
      <c r="EP534" s="645"/>
      <c r="EQ534" s="645"/>
      <c r="ER534" s="645"/>
      <c r="ES534" s="645"/>
      <c r="ET534" s="645"/>
      <c r="EU534" s="645"/>
      <c r="EV534" s="645"/>
      <c r="EW534" s="645"/>
      <c r="EX534" s="645"/>
      <c r="EY534" s="645"/>
      <c r="EZ534" s="645"/>
      <c r="FA534" s="645"/>
      <c r="FB534" s="645"/>
      <c r="FC534" s="645"/>
      <c r="FD534" s="645"/>
      <c r="FE534" s="645"/>
      <c r="FF534" s="645"/>
      <c r="FG534" s="645"/>
      <c r="FH534" s="645"/>
      <c r="FI534" s="645"/>
      <c r="FJ534" s="645"/>
      <c r="FK534" s="645"/>
      <c r="FL534" s="645"/>
      <c r="FM534" s="645"/>
      <c r="FN534" s="645"/>
      <c r="FO534" s="645"/>
      <c r="FP534" s="645"/>
      <c r="FQ534" s="645"/>
      <c r="FR534" s="645"/>
      <c r="FS534" s="645"/>
      <c r="FT534" s="645"/>
      <c r="FU534" s="645"/>
      <c r="FV534" s="645"/>
      <c r="FW534" s="645"/>
      <c r="FX534" s="645"/>
      <c r="FY534" s="645"/>
      <c r="FZ534" s="645"/>
      <c r="GA534" s="645"/>
      <c r="GB534" s="645"/>
      <c r="GC534" s="645"/>
      <c r="GD534" s="645"/>
      <c r="GE534" s="645"/>
      <c r="GF534" s="645"/>
      <c r="GG534" s="645"/>
      <c r="GH534" s="645"/>
      <c r="GI534" s="645"/>
      <c r="GJ534" s="645"/>
      <c r="GK534" s="645"/>
      <c r="GL534" s="645"/>
      <c r="GM534" s="645"/>
      <c r="GN534" s="645"/>
      <c r="GO534" s="645"/>
      <c r="GP534" s="645"/>
      <c r="GQ534" s="645"/>
      <c r="GR534" s="645"/>
      <c r="GS534" s="645"/>
      <c r="GT534" s="645"/>
      <c r="GU534" s="645"/>
      <c r="GV534" s="645"/>
      <c r="GW534" s="645"/>
      <c r="GX534" s="645"/>
      <c r="GY534" s="645"/>
      <c r="GZ534" s="645"/>
      <c r="HA534" s="645"/>
      <c r="HB534" s="645"/>
      <c r="HC534" s="645"/>
      <c r="HD534" s="645"/>
      <c r="HE534" s="645"/>
      <c r="IT534" s="645"/>
      <c r="IU534" s="645"/>
      <c r="IV534" s="645"/>
      <c r="IW534" s="645"/>
      <c r="IX534" s="645"/>
      <c r="IY534" s="645"/>
      <c r="IZ534" s="645"/>
      <c r="JA534" s="645"/>
      <c r="JB534" s="645"/>
      <c r="JC534" s="645"/>
      <c r="JD534" s="645"/>
      <c r="JE534" s="645"/>
      <c r="JF534" s="645"/>
      <c r="JG534" s="645"/>
      <c r="JH534" s="645"/>
      <c r="JI534" s="645"/>
      <c r="JJ534" s="645"/>
      <c r="JK534" s="645"/>
      <c r="JL534" s="645"/>
      <c r="JM534" s="645"/>
      <c r="JN534" s="645"/>
      <c r="JO534" s="645"/>
      <c r="JP534" s="645"/>
      <c r="JQ534" s="645"/>
      <c r="JR534" s="645"/>
      <c r="JS534" s="645"/>
      <c r="JT534" s="645"/>
      <c r="JU534" s="645"/>
      <c r="JW534" s="522"/>
      <c r="JX534" s="522"/>
      <c r="JY534" s="522"/>
      <c r="JZ534" s="522"/>
      <c r="KA534" s="522"/>
      <c r="KB534" s="522"/>
      <c r="KC534" s="522"/>
      <c r="KD534" s="522"/>
      <c r="KE534" s="522"/>
      <c r="KF534" s="522"/>
      <c r="KG534" s="522"/>
      <c r="KH534" s="522"/>
      <c r="KI534" s="522"/>
      <c r="KJ534" s="522"/>
      <c r="KK534" s="522"/>
      <c r="KL534" s="522"/>
    </row>
    <row r="535" spans="101:298">
      <c r="CW535" s="646"/>
      <c r="CX535" s="646"/>
      <c r="CY535" s="625"/>
      <c r="CZ535" s="625"/>
      <c r="DA535" s="625"/>
      <c r="DB535" s="625"/>
      <c r="DC535" s="645"/>
      <c r="DD535" s="645"/>
      <c r="DE535" s="645"/>
      <c r="DF535" s="645"/>
      <c r="DG535" s="645"/>
      <c r="DH535" s="645"/>
      <c r="DI535" s="645"/>
      <c r="DJ535" s="645"/>
      <c r="DK535" s="645"/>
      <c r="DL535" s="645"/>
      <c r="DM535" s="645"/>
      <c r="DN535" s="645"/>
      <c r="DO535" s="645"/>
      <c r="DP535" s="645"/>
      <c r="DQ535" s="645"/>
      <c r="DR535" s="645"/>
      <c r="DS535" s="645"/>
      <c r="DT535" s="645"/>
      <c r="DU535" s="645"/>
      <c r="DV535" s="645"/>
      <c r="DW535" s="645"/>
      <c r="DX535" s="645"/>
      <c r="DY535" s="645"/>
      <c r="DZ535" s="645"/>
      <c r="EA535" s="645"/>
      <c r="EB535" s="645"/>
      <c r="EC535" s="645"/>
      <c r="ED535" s="645"/>
      <c r="EE535" s="645"/>
      <c r="EF535" s="645"/>
      <c r="EG535" s="645"/>
      <c r="EH535" s="645"/>
      <c r="EI535" s="645"/>
      <c r="EJ535" s="645"/>
      <c r="EK535" s="645"/>
      <c r="EL535" s="645"/>
      <c r="EM535" s="645"/>
      <c r="EN535" s="645"/>
      <c r="EO535" s="645"/>
      <c r="EP535" s="645"/>
      <c r="EQ535" s="645"/>
      <c r="ER535" s="645"/>
      <c r="ES535" s="645"/>
      <c r="ET535" s="645"/>
      <c r="EU535" s="645"/>
      <c r="EV535" s="645"/>
      <c r="EW535" s="645"/>
      <c r="EX535" s="645"/>
      <c r="EY535" s="645"/>
      <c r="EZ535" s="645"/>
      <c r="FA535" s="645"/>
      <c r="FB535" s="645"/>
      <c r="FC535" s="645"/>
      <c r="FD535" s="645"/>
      <c r="FE535" s="645"/>
      <c r="FF535" s="645"/>
      <c r="FG535" s="645"/>
      <c r="FH535" s="645"/>
      <c r="FI535" s="645"/>
      <c r="FJ535" s="645"/>
      <c r="FK535" s="645"/>
      <c r="FL535" s="645"/>
      <c r="FM535" s="645"/>
      <c r="FN535" s="645"/>
      <c r="FO535" s="645"/>
      <c r="FP535" s="645"/>
      <c r="FQ535" s="645"/>
      <c r="FR535" s="645"/>
      <c r="FS535" s="645"/>
      <c r="FT535" s="645"/>
      <c r="FU535" s="645"/>
      <c r="FV535" s="645"/>
      <c r="FW535" s="645"/>
      <c r="FX535" s="645"/>
      <c r="FY535" s="645"/>
      <c r="FZ535" s="645"/>
      <c r="GA535" s="645"/>
      <c r="GB535" s="645"/>
      <c r="GC535" s="645"/>
      <c r="GD535" s="645"/>
      <c r="GE535" s="645"/>
      <c r="GF535" s="645"/>
      <c r="GG535" s="645"/>
      <c r="GH535" s="645"/>
      <c r="GI535" s="645"/>
      <c r="GJ535" s="645"/>
      <c r="GK535" s="645"/>
      <c r="GL535" s="645"/>
      <c r="GM535" s="645"/>
      <c r="GN535" s="645"/>
      <c r="GO535" s="645"/>
      <c r="GP535" s="645"/>
      <c r="GQ535" s="645"/>
      <c r="GR535" s="645"/>
      <c r="GS535" s="645"/>
      <c r="GT535" s="645"/>
      <c r="GU535" s="645"/>
      <c r="GV535" s="645"/>
      <c r="GW535" s="645"/>
      <c r="GX535" s="645"/>
      <c r="GY535" s="645"/>
      <c r="GZ535" s="645"/>
      <c r="HA535" s="645"/>
      <c r="HB535" s="645"/>
      <c r="HC535" s="645"/>
      <c r="HD535" s="645"/>
      <c r="HE535" s="645"/>
      <c r="IT535" s="645"/>
      <c r="IU535" s="645"/>
      <c r="IV535" s="645"/>
      <c r="IW535" s="645"/>
      <c r="IX535" s="645"/>
      <c r="IY535" s="645"/>
      <c r="IZ535" s="645"/>
      <c r="JA535" s="645"/>
      <c r="JB535" s="645"/>
      <c r="JC535" s="645"/>
      <c r="JD535" s="645"/>
      <c r="JE535" s="645"/>
      <c r="JF535" s="645"/>
      <c r="JG535" s="645"/>
      <c r="JH535" s="645"/>
      <c r="JI535" s="645"/>
      <c r="JJ535" s="645"/>
      <c r="JK535" s="645"/>
      <c r="JL535" s="645"/>
      <c r="JM535" s="645"/>
      <c r="JN535" s="645"/>
      <c r="JO535" s="645"/>
      <c r="JP535" s="645"/>
      <c r="JQ535" s="645"/>
      <c r="JR535" s="645"/>
      <c r="JS535" s="645"/>
      <c r="JT535" s="645"/>
      <c r="JU535" s="645"/>
      <c r="JW535" s="522"/>
      <c r="JX535" s="522"/>
      <c r="JY535" s="522"/>
      <c r="JZ535" s="522"/>
      <c r="KA535" s="522"/>
      <c r="KB535" s="522"/>
      <c r="KC535" s="522"/>
      <c r="KD535" s="522"/>
      <c r="KE535" s="522"/>
      <c r="KF535" s="522"/>
      <c r="KG535" s="522"/>
      <c r="KH535" s="522"/>
      <c r="KI535" s="522"/>
      <c r="KJ535" s="522"/>
      <c r="KK535" s="522"/>
      <c r="KL535" s="522"/>
    </row>
    <row r="536" spans="101:298">
      <c r="CW536" s="646"/>
      <c r="CX536" s="646"/>
      <c r="CY536" s="625"/>
      <c r="CZ536" s="625"/>
      <c r="DA536" s="625"/>
      <c r="DB536" s="625"/>
      <c r="DC536" s="645"/>
      <c r="DD536" s="645"/>
      <c r="DE536" s="645"/>
      <c r="DF536" s="645"/>
      <c r="DG536" s="645"/>
      <c r="DH536" s="645"/>
      <c r="DI536" s="645"/>
      <c r="DJ536" s="645"/>
      <c r="DK536" s="645"/>
      <c r="DL536" s="645"/>
      <c r="DM536" s="645"/>
      <c r="DN536" s="645"/>
      <c r="DO536" s="645"/>
      <c r="DP536" s="645"/>
      <c r="DQ536" s="645"/>
      <c r="DR536" s="645"/>
      <c r="DS536" s="645"/>
      <c r="DT536" s="645"/>
      <c r="DU536" s="645"/>
      <c r="DV536" s="645"/>
      <c r="DW536" s="645"/>
      <c r="DX536" s="645"/>
      <c r="DY536" s="645"/>
      <c r="DZ536" s="645"/>
      <c r="EA536" s="645"/>
      <c r="EB536" s="645"/>
      <c r="EC536" s="645"/>
      <c r="ED536" s="645"/>
      <c r="EE536" s="645"/>
      <c r="EF536" s="645"/>
      <c r="EG536" s="645"/>
      <c r="EH536" s="645"/>
      <c r="EI536" s="645"/>
      <c r="EJ536" s="645"/>
      <c r="EK536" s="645"/>
      <c r="EL536" s="645"/>
      <c r="EM536" s="645"/>
      <c r="EN536" s="645"/>
      <c r="EO536" s="645"/>
      <c r="EP536" s="645"/>
      <c r="EQ536" s="645"/>
      <c r="ER536" s="645"/>
      <c r="ES536" s="645"/>
      <c r="ET536" s="645"/>
      <c r="EU536" s="645"/>
      <c r="EV536" s="645"/>
      <c r="EW536" s="645"/>
      <c r="EX536" s="645"/>
      <c r="EY536" s="645"/>
      <c r="EZ536" s="645"/>
      <c r="FA536" s="645"/>
      <c r="FB536" s="645"/>
      <c r="FC536" s="645"/>
      <c r="FD536" s="645"/>
      <c r="FE536" s="645"/>
      <c r="FF536" s="645"/>
      <c r="FG536" s="645"/>
      <c r="FH536" s="645"/>
      <c r="FI536" s="645"/>
      <c r="FJ536" s="645"/>
      <c r="FK536" s="645"/>
      <c r="FL536" s="645"/>
      <c r="FM536" s="645"/>
      <c r="FN536" s="645"/>
      <c r="FO536" s="645"/>
      <c r="FP536" s="645"/>
      <c r="FQ536" s="645"/>
      <c r="FR536" s="645"/>
      <c r="FS536" s="645"/>
      <c r="FT536" s="645"/>
      <c r="FU536" s="645"/>
      <c r="FV536" s="645"/>
      <c r="FW536" s="645"/>
      <c r="FX536" s="645"/>
      <c r="FY536" s="645"/>
      <c r="FZ536" s="645"/>
      <c r="GA536" s="645"/>
      <c r="GB536" s="645"/>
      <c r="GC536" s="645"/>
      <c r="GD536" s="645"/>
      <c r="GE536" s="645"/>
      <c r="GF536" s="645"/>
      <c r="GG536" s="645"/>
      <c r="GH536" s="645"/>
      <c r="GI536" s="645"/>
      <c r="GJ536" s="645"/>
      <c r="GK536" s="645"/>
      <c r="GL536" s="645"/>
      <c r="GM536" s="645"/>
      <c r="GN536" s="645"/>
      <c r="GO536" s="645"/>
      <c r="GP536" s="645"/>
      <c r="GQ536" s="645"/>
      <c r="GR536" s="645"/>
      <c r="GS536" s="645"/>
      <c r="GT536" s="645"/>
      <c r="GU536" s="645"/>
      <c r="GV536" s="645"/>
      <c r="GW536" s="645"/>
      <c r="GX536" s="645"/>
      <c r="GY536" s="645"/>
      <c r="GZ536" s="645"/>
      <c r="HA536" s="645"/>
      <c r="HB536" s="645"/>
      <c r="HC536" s="645"/>
      <c r="HD536" s="645"/>
      <c r="HE536" s="645"/>
      <c r="IT536" s="645"/>
      <c r="IU536" s="645"/>
      <c r="IV536" s="645"/>
      <c r="IW536" s="645"/>
      <c r="IX536" s="645"/>
      <c r="IY536" s="645"/>
      <c r="IZ536" s="645"/>
      <c r="JA536" s="645"/>
      <c r="JB536" s="645"/>
      <c r="JC536" s="645"/>
      <c r="JD536" s="645"/>
      <c r="JE536" s="645"/>
      <c r="JF536" s="645"/>
      <c r="JG536" s="645"/>
      <c r="JH536" s="645"/>
      <c r="JI536" s="645"/>
      <c r="JJ536" s="645"/>
      <c r="JK536" s="645"/>
      <c r="JL536" s="645"/>
      <c r="JM536" s="645"/>
      <c r="JN536" s="645"/>
      <c r="JO536" s="645"/>
      <c r="JP536" s="645"/>
      <c r="JQ536" s="645"/>
      <c r="JR536" s="645"/>
      <c r="JS536" s="645"/>
      <c r="JT536" s="645"/>
      <c r="JU536" s="645"/>
      <c r="JW536" s="522"/>
      <c r="JX536" s="522"/>
      <c r="JY536" s="522"/>
      <c r="JZ536" s="522"/>
      <c r="KA536" s="522"/>
      <c r="KB536" s="522"/>
      <c r="KC536" s="522"/>
      <c r="KD536" s="522"/>
      <c r="KE536" s="522"/>
      <c r="KF536" s="522"/>
      <c r="KG536" s="522"/>
      <c r="KH536" s="522"/>
      <c r="KI536" s="522"/>
      <c r="KJ536" s="522"/>
      <c r="KK536" s="522"/>
      <c r="KL536" s="522"/>
    </row>
    <row r="537" spans="101:298">
      <c r="CW537" s="646"/>
      <c r="CX537" s="646"/>
      <c r="CY537" s="625"/>
      <c r="CZ537" s="625"/>
      <c r="DA537" s="625"/>
      <c r="DB537" s="625"/>
      <c r="DC537" s="645"/>
      <c r="DD537" s="645"/>
      <c r="DE537" s="645"/>
      <c r="DF537" s="645"/>
      <c r="DG537" s="645"/>
      <c r="DH537" s="645"/>
      <c r="DI537" s="645"/>
      <c r="DJ537" s="645"/>
      <c r="DK537" s="645"/>
      <c r="DL537" s="645"/>
      <c r="DM537" s="645"/>
      <c r="DN537" s="645"/>
      <c r="DO537" s="645"/>
      <c r="DP537" s="645"/>
      <c r="DQ537" s="645"/>
      <c r="DR537" s="645"/>
      <c r="DS537" s="645"/>
      <c r="DT537" s="645"/>
      <c r="DU537" s="645"/>
      <c r="DV537" s="645"/>
      <c r="DW537" s="645"/>
      <c r="DX537" s="645"/>
      <c r="DY537" s="645"/>
      <c r="DZ537" s="645"/>
      <c r="EA537" s="645"/>
      <c r="EB537" s="645"/>
      <c r="EC537" s="645"/>
      <c r="ED537" s="645"/>
      <c r="EE537" s="645"/>
      <c r="EF537" s="645"/>
      <c r="EG537" s="645"/>
      <c r="EH537" s="645"/>
      <c r="EI537" s="645"/>
      <c r="EJ537" s="645"/>
      <c r="EK537" s="645"/>
      <c r="EL537" s="645"/>
      <c r="EM537" s="645"/>
      <c r="EN537" s="645"/>
      <c r="EO537" s="645"/>
      <c r="EP537" s="645"/>
      <c r="EQ537" s="645"/>
      <c r="ER537" s="645"/>
      <c r="ES537" s="645"/>
      <c r="ET537" s="645"/>
      <c r="EU537" s="645"/>
      <c r="EV537" s="645"/>
      <c r="EW537" s="645"/>
      <c r="EX537" s="645"/>
      <c r="EY537" s="645"/>
      <c r="EZ537" s="645"/>
      <c r="FA537" s="645"/>
      <c r="FB537" s="645"/>
      <c r="FC537" s="645"/>
      <c r="FD537" s="645"/>
      <c r="FE537" s="645"/>
      <c r="FF537" s="645"/>
      <c r="FG537" s="645"/>
      <c r="FH537" s="645"/>
      <c r="FI537" s="645"/>
      <c r="FJ537" s="645"/>
      <c r="FK537" s="645"/>
      <c r="FL537" s="645"/>
      <c r="FM537" s="645"/>
      <c r="FN537" s="645"/>
      <c r="FO537" s="645"/>
      <c r="FP537" s="645"/>
      <c r="FQ537" s="645"/>
      <c r="FR537" s="645"/>
      <c r="FS537" s="645"/>
      <c r="FT537" s="645"/>
      <c r="FU537" s="645"/>
      <c r="FV537" s="645"/>
      <c r="FW537" s="645"/>
      <c r="FX537" s="645"/>
      <c r="FY537" s="645"/>
      <c r="FZ537" s="645"/>
      <c r="GA537" s="645"/>
      <c r="GB537" s="645"/>
      <c r="GC537" s="645"/>
      <c r="GD537" s="645"/>
      <c r="GE537" s="645"/>
      <c r="GF537" s="645"/>
      <c r="GG537" s="645"/>
      <c r="GH537" s="645"/>
      <c r="GI537" s="645"/>
      <c r="GJ537" s="645"/>
      <c r="GK537" s="645"/>
      <c r="GL537" s="645"/>
      <c r="GM537" s="645"/>
      <c r="GN537" s="645"/>
      <c r="GO537" s="645"/>
      <c r="GP537" s="645"/>
      <c r="GQ537" s="645"/>
      <c r="GR537" s="645"/>
      <c r="GS537" s="645"/>
      <c r="GT537" s="645"/>
      <c r="GU537" s="645"/>
      <c r="GV537" s="645"/>
      <c r="GW537" s="645"/>
      <c r="GX537" s="645"/>
      <c r="GY537" s="645"/>
      <c r="GZ537" s="645"/>
      <c r="HA537" s="645"/>
      <c r="HB537" s="645"/>
      <c r="HC537" s="645"/>
      <c r="HD537" s="645"/>
      <c r="HE537" s="645"/>
      <c r="IT537" s="645"/>
      <c r="IU537" s="645"/>
      <c r="IV537" s="645"/>
      <c r="IW537" s="645"/>
      <c r="IX537" s="645"/>
      <c r="IY537" s="645"/>
      <c r="IZ537" s="645"/>
      <c r="JA537" s="645"/>
      <c r="JB537" s="645"/>
      <c r="JC537" s="645"/>
      <c r="JD537" s="645"/>
      <c r="JE537" s="645"/>
      <c r="JF537" s="645"/>
      <c r="JG537" s="645"/>
      <c r="JH537" s="645"/>
      <c r="JI537" s="645"/>
      <c r="JJ537" s="645"/>
      <c r="JK537" s="645"/>
      <c r="JL537" s="645"/>
      <c r="JM537" s="645"/>
      <c r="JN537" s="645"/>
      <c r="JO537" s="645"/>
      <c r="JP537" s="645"/>
      <c r="JQ537" s="645"/>
      <c r="JR537" s="645"/>
      <c r="JS537" s="645"/>
      <c r="JT537" s="645"/>
      <c r="JU537" s="645"/>
      <c r="JW537" s="522"/>
      <c r="JX537" s="522"/>
      <c r="JY537" s="522"/>
      <c r="JZ537" s="522"/>
      <c r="KA537" s="522"/>
      <c r="KB537" s="522"/>
      <c r="KC537" s="522"/>
      <c r="KD537" s="522"/>
      <c r="KE537" s="522"/>
      <c r="KF537" s="522"/>
      <c r="KG537" s="522"/>
      <c r="KH537" s="522"/>
      <c r="KI537" s="522"/>
      <c r="KJ537" s="522"/>
      <c r="KK537" s="522"/>
      <c r="KL537" s="522"/>
    </row>
    <row r="538" spans="101:298">
      <c r="CW538" s="646"/>
      <c r="CX538" s="646"/>
      <c r="CY538" s="625"/>
      <c r="CZ538" s="625"/>
      <c r="DA538" s="625"/>
      <c r="DB538" s="625"/>
      <c r="DC538" s="645"/>
      <c r="DD538" s="645"/>
      <c r="DE538" s="645"/>
      <c r="DF538" s="645"/>
      <c r="DG538" s="645"/>
      <c r="DH538" s="645"/>
      <c r="DI538" s="645"/>
      <c r="DJ538" s="645"/>
      <c r="DK538" s="645"/>
      <c r="DL538" s="645"/>
      <c r="DM538" s="645"/>
      <c r="DN538" s="645"/>
      <c r="DO538" s="645"/>
      <c r="DP538" s="645"/>
      <c r="DQ538" s="645"/>
      <c r="DR538" s="645"/>
      <c r="DS538" s="645"/>
      <c r="DT538" s="645"/>
      <c r="DU538" s="645"/>
      <c r="DV538" s="645"/>
      <c r="DW538" s="645"/>
      <c r="DX538" s="645"/>
      <c r="DY538" s="645"/>
      <c r="DZ538" s="645"/>
      <c r="EA538" s="645"/>
      <c r="EB538" s="645"/>
      <c r="EC538" s="645"/>
      <c r="ED538" s="645"/>
      <c r="EE538" s="645"/>
      <c r="EF538" s="645"/>
      <c r="EG538" s="645"/>
      <c r="EH538" s="645"/>
      <c r="EI538" s="645"/>
      <c r="EJ538" s="645"/>
      <c r="EK538" s="645"/>
      <c r="EL538" s="645"/>
      <c r="EM538" s="645"/>
      <c r="EN538" s="645"/>
      <c r="EO538" s="645"/>
      <c r="EP538" s="645"/>
      <c r="EQ538" s="645"/>
      <c r="ER538" s="645"/>
      <c r="ES538" s="645"/>
      <c r="ET538" s="645"/>
      <c r="EU538" s="645"/>
      <c r="EV538" s="645"/>
      <c r="EW538" s="645"/>
      <c r="EX538" s="645"/>
      <c r="EY538" s="645"/>
      <c r="EZ538" s="645"/>
      <c r="FA538" s="645"/>
      <c r="FB538" s="645"/>
      <c r="FC538" s="645"/>
      <c r="FD538" s="645"/>
      <c r="FE538" s="645"/>
      <c r="FF538" s="645"/>
      <c r="FG538" s="645"/>
      <c r="FH538" s="645"/>
      <c r="FI538" s="645"/>
      <c r="FJ538" s="645"/>
      <c r="FK538" s="645"/>
      <c r="FL538" s="645"/>
      <c r="FM538" s="645"/>
      <c r="FN538" s="645"/>
      <c r="FO538" s="645"/>
      <c r="FP538" s="645"/>
      <c r="FQ538" s="645"/>
      <c r="FR538" s="645"/>
      <c r="FS538" s="645"/>
      <c r="FT538" s="645"/>
      <c r="FU538" s="645"/>
      <c r="FV538" s="645"/>
      <c r="FW538" s="645"/>
      <c r="FX538" s="645"/>
      <c r="FY538" s="645"/>
      <c r="FZ538" s="645"/>
      <c r="GA538" s="645"/>
      <c r="GB538" s="645"/>
      <c r="GC538" s="645"/>
      <c r="GD538" s="645"/>
      <c r="GE538" s="645"/>
      <c r="GF538" s="645"/>
      <c r="GG538" s="645"/>
      <c r="GH538" s="645"/>
      <c r="GI538" s="645"/>
      <c r="GJ538" s="645"/>
      <c r="GK538" s="645"/>
      <c r="GL538" s="645"/>
      <c r="GM538" s="645"/>
      <c r="GN538" s="645"/>
      <c r="GO538" s="645"/>
      <c r="GP538" s="645"/>
      <c r="GQ538" s="645"/>
      <c r="GR538" s="645"/>
      <c r="GS538" s="645"/>
      <c r="GT538" s="645"/>
      <c r="GU538" s="645"/>
      <c r="GV538" s="645"/>
      <c r="GW538" s="645"/>
      <c r="GX538" s="645"/>
      <c r="GY538" s="645"/>
      <c r="GZ538" s="645"/>
      <c r="HA538" s="645"/>
      <c r="HB538" s="645"/>
      <c r="HC538" s="645"/>
      <c r="HD538" s="645"/>
      <c r="HE538" s="645"/>
      <c r="IT538" s="645"/>
      <c r="IU538" s="645"/>
      <c r="IV538" s="645"/>
      <c r="IW538" s="645"/>
      <c r="IX538" s="645"/>
      <c r="IY538" s="645"/>
      <c r="IZ538" s="645"/>
      <c r="JA538" s="645"/>
      <c r="JB538" s="645"/>
      <c r="JC538" s="645"/>
      <c r="JD538" s="645"/>
      <c r="JE538" s="645"/>
      <c r="JF538" s="645"/>
      <c r="JG538" s="645"/>
      <c r="JH538" s="645"/>
      <c r="JI538" s="645"/>
      <c r="JJ538" s="645"/>
      <c r="JK538" s="645"/>
      <c r="JL538" s="645"/>
      <c r="JM538" s="645"/>
      <c r="JN538" s="645"/>
      <c r="JO538" s="645"/>
      <c r="JP538" s="645"/>
      <c r="JQ538" s="645"/>
      <c r="JR538" s="645"/>
      <c r="JS538" s="645"/>
      <c r="JT538" s="645"/>
      <c r="JU538" s="645"/>
      <c r="JW538" s="522"/>
      <c r="JX538" s="522"/>
      <c r="JY538" s="522"/>
      <c r="JZ538" s="522"/>
      <c r="KA538" s="522"/>
      <c r="KB538" s="522"/>
      <c r="KC538" s="522"/>
      <c r="KD538" s="522"/>
      <c r="KE538" s="522"/>
      <c r="KF538" s="522"/>
      <c r="KG538" s="522"/>
      <c r="KH538" s="522"/>
      <c r="KI538" s="522"/>
      <c r="KJ538" s="522"/>
      <c r="KK538" s="522"/>
      <c r="KL538" s="522"/>
    </row>
    <row r="539" spans="101:298">
      <c r="CW539" s="646"/>
      <c r="CX539" s="646"/>
      <c r="CY539" s="625"/>
      <c r="CZ539" s="625"/>
      <c r="DA539" s="625"/>
      <c r="DB539" s="625"/>
      <c r="DC539" s="645"/>
      <c r="DD539" s="645"/>
      <c r="DE539" s="645"/>
      <c r="DF539" s="645"/>
      <c r="DG539" s="645"/>
      <c r="DH539" s="645"/>
      <c r="DI539" s="645"/>
      <c r="DJ539" s="645"/>
      <c r="DK539" s="645"/>
      <c r="DL539" s="645"/>
      <c r="DM539" s="645"/>
      <c r="DN539" s="645"/>
      <c r="DO539" s="645"/>
      <c r="DP539" s="645"/>
      <c r="DQ539" s="645"/>
      <c r="DR539" s="645"/>
      <c r="DS539" s="645"/>
      <c r="DT539" s="645"/>
      <c r="DU539" s="645"/>
      <c r="DV539" s="645"/>
      <c r="DW539" s="645"/>
      <c r="DX539" s="645"/>
      <c r="DY539" s="645"/>
      <c r="DZ539" s="645"/>
      <c r="EA539" s="645"/>
      <c r="EB539" s="645"/>
      <c r="EC539" s="645"/>
      <c r="ED539" s="645"/>
      <c r="EE539" s="645"/>
      <c r="EF539" s="645"/>
      <c r="EG539" s="645"/>
      <c r="EH539" s="645"/>
      <c r="EI539" s="645"/>
      <c r="EJ539" s="645"/>
      <c r="EK539" s="645"/>
      <c r="EL539" s="645"/>
      <c r="EM539" s="645"/>
      <c r="EN539" s="645"/>
      <c r="EO539" s="645"/>
      <c r="EP539" s="645"/>
      <c r="EQ539" s="645"/>
      <c r="ER539" s="645"/>
      <c r="ES539" s="645"/>
      <c r="ET539" s="645"/>
      <c r="EU539" s="645"/>
      <c r="EV539" s="645"/>
      <c r="EW539" s="645"/>
      <c r="EX539" s="645"/>
      <c r="EY539" s="645"/>
      <c r="EZ539" s="645"/>
      <c r="FA539" s="645"/>
      <c r="FB539" s="645"/>
      <c r="FC539" s="645"/>
      <c r="FD539" s="645"/>
      <c r="FE539" s="645"/>
      <c r="FF539" s="645"/>
      <c r="FG539" s="645"/>
      <c r="FH539" s="645"/>
      <c r="FI539" s="645"/>
      <c r="FJ539" s="645"/>
      <c r="FK539" s="645"/>
      <c r="FL539" s="645"/>
      <c r="FM539" s="645"/>
      <c r="FN539" s="645"/>
      <c r="FO539" s="645"/>
      <c r="FP539" s="645"/>
      <c r="FQ539" s="645"/>
      <c r="FR539" s="645"/>
      <c r="FS539" s="645"/>
      <c r="FT539" s="645"/>
      <c r="FU539" s="645"/>
      <c r="FV539" s="645"/>
      <c r="FW539" s="645"/>
      <c r="FX539" s="645"/>
      <c r="FY539" s="645"/>
      <c r="FZ539" s="645"/>
      <c r="GA539" s="645"/>
      <c r="GB539" s="645"/>
      <c r="GC539" s="645"/>
      <c r="GD539" s="645"/>
      <c r="GE539" s="645"/>
      <c r="GF539" s="645"/>
      <c r="GG539" s="645"/>
      <c r="GH539" s="645"/>
      <c r="GI539" s="645"/>
      <c r="GJ539" s="645"/>
      <c r="GK539" s="645"/>
      <c r="GL539" s="645"/>
      <c r="GM539" s="645"/>
      <c r="GN539" s="645"/>
      <c r="GO539" s="645"/>
      <c r="GP539" s="645"/>
      <c r="GQ539" s="645"/>
      <c r="GR539" s="645"/>
      <c r="GS539" s="645"/>
      <c r="GT539" s="645"/>
      <c r="GU539" s="645"/>
      <c r="GV539" s="645"/>
      <c r="GW539" s="645"/>
      <c r="GX539" s="645"/>
      <c r="GY539" s="645"/>
      <c r="GZ539" s="645"/>
      <c r="HA539" s="645"/>
      <c r="HB539" s="645"/>
      <c r="HC539" s="645"/>
      <c r="HD539" s="645"/>
      <c r="HE539" s="645"/>
      <c r="IT539" s="645"/>
      <c r="IU539" s="645"/>
      <c r="IV539" s="645"/>
      <c r="IW539" s="645"/>
      <c r="IX539" s="645"/>
      <c r="IY539" s="645"/>
      <c r="IZ539" s="645"/>
      <c r="JA539" s="645"/>
      <c r="JB539" s="645"/>
      <c r="JC539" s="645"/>
      <c r="JD539" s="645"/>
      <c r="JE539" s="645"/>
      <c r="JF539" s="645"/>
      <c r="JG539" s="645"/>
      <c r="JH539" s="645"/>
      <c r="JI539" s="645"/>
      <c r="JJ539" s="645"/>
      <c r="JK539" s="645"/>
      <c r="JL539" s="645"/>
      <c r="JM539" s="645"/>
      <c r="JN539" s="645"/>
      <c r="JO539" s="645"/>
      <c r="JP539" s="645"/>
      <c r="JQ539" s="645"/>
      <c r="JR539" s="645"/>
      <c r="JS539" s="645"/>
      <c r="JT539" s="645"/>
      <c r="JU539" s="645"/>
      <c r="JW539" s="522"/>
      <c r="JX539" s="522"/>
      <c r="JY539" s="522"/>
      <c r="JZ539" s="522"/>
      <c r="KA539" s="522"/>
      <c r="KB539" s="522"/>
      <c r="KC539" s="522"/>
      <c r="KD539" s="522"/>
      <c r="KE539" s="522"/>
      <c r="KF539" s="522"/>
      <c r="KG539" s="522"/>
      <c r="KH539" s="522"/>
      <c r="KI539" s="522"/>
      <c r="KJ539" s="522"/>
      <c r="KK539" s="522"/>
      <c r="KL539" s="522"/>
    </row>
    <row r="540" spans="101:298">
      <c r="CW540" s="646"/>
      <c r="CX540" s="646"/>
      <c r="CY540" s="625"/>
      <c r="CZ540" s="625"/>
      <c r="DA540" s="625"/>
      <c r="DB540" s="625"/>
      <c r="DC540" s="645"/>
      <c r="DD540" s="645"/>
      <c r="DE540" s="645"/>
      <c r="DF540" s="645"/>
      <c r="DG540" s="645"/>
      <c r="DH540" s="645"/>
      <c r="DI540" s="645"/>
      <c r="DJ540" s="645"/>
      <c r="DK540" s="645"/>
      <c r="DL540" s="645"/>
      <c r="DM540" s="645"/>
      <c r="DN540" s="645"/>
      <c r="DO540" s="645"/>
      <c r="DP540" s="645"/>
      <c r="DQ540" s="645"/>
      <c r="DR540" s="645"/>
      <c r="DS540" s="645"/>
      <c r="DT540" s="645"/>
      <c r="DU540" s="645"/>
      <c r="DV540" s="645"/>
      <c r="DW540" s="645"/>
      <c r="DX540" s="645"/>
      <c r="DY540" s="645"/>
      <c r="DZ540" s="645"/>
      <c r="EA540" s="645"/>
      <c r="EB540" s="645"/>
      <c r="EC540" s="645"/>
      <c r="ED540" s="645"/>
      <c r="EE540" s="645"/>
      <c r="EF540" s="645"/>
      <c r="EG540" s="645"/>
      <c r="EH540" s="645"/>
      <c r="EI540" s="645"/>
      <c r="EJ540" s="645"/>
      <c r="EK540" s="645"/>
      <c r="EL540" s="645"/>
      <c r="EM540" s="645"/>
      <c r="EN540" s="645"/>
      <c r="EO540" s="645"/>
      <c r="EP540" s="645"/>
      <c r="EQ540" s="645"/>
      <c r="ER540" s="645"/>
      <c r="ES540" s="645"/>
      <c r="ET540" s="645"/>
      <c r="EU540" s="645"/>
      <c r="EV540" s="645"/>
      <c r="EW540" s="645"/>
      <c r="EX540" s="645"/>
      <c r="EY540" s="645"/>
      <c r="EZ540" s="645"/>
      <c r="FA540" s="645"/>
      <c r="FB540" s="645"/>
      <c r="FC540" s="645"/>
      <c r="FD540" s="645"/>
      <c r="FE540" s="645"/>
      <c r="FF540" s="645"/>
      <c r="FG540" s="645"/>
      <c r="FH540" s="645"/>
      <c r="FI540" s="645"/>
      <c r="FJ540" s="645"/>
      <c r="FK540" s="645"/>
      <c r="FL540" s="645"/>
      <c r="FM540" s="645"/>
      <c r="FN540" s="645"/>
      <c r="FO540" s="645"/>
      <c r="FP540" s="645"/>
      <c r="FQ540" s="645"/>
      <c r="FR540" s="645"/>
      <c r="FS540" s="645"/>
      <c r="FT540" s="645"/>
      <c r="FU540" s="645"/>
      <c r="FV540" s="645"/>
      <c r="FW540" s="645"/>
      <c r="FX540" s="645"/>
      <c r="FY540" s="645"/>
      <c r="FZ540" s="645"/>
      <c r="GA540" s="645"/>
      <c r="GB540" s="645"/>
      <c r="GC540" s="645"/>
      <c r="GD540" s="645"/>
      <c r="GE540" s="645"/>
      <c r="GF540" s="645"/>
      <c r="GG540" s="645"/>
      <c r="GH540" s="645"/>
      <c r="GI540" s="645"/>
      <c r="GJ540" s="645"/>
      <c r="GK540" s="645"/>
      <c r="GL540" s="645"/>
      <c r="GM540" s="645"/>
      <c r="GN540" s="645"/>
      <c r="GO540" s="645"/>
      <c r="GP540" s="645"/>
      <c r="GQ540" s="645"/>
      <c r="GR540" s="645"/>
      <c r="GS540" s="645"/>
      <c r="GT540" s="645"/>
      <c r="GU540" s="645"/>
      <c r="GV540" s="645"/>
      <c r="GW540" s="645"/>
      <c r="GX540" s="645"/>
      <c r="GY540" s="645"/>
      <c r="GZ540" s="645"/>
      <c r="HA540" s="645"/>
      <c r="HB540" s="645"/>
      <c r="HC540" s="645"/>
      <c r="HD540" s="645"/>
      <c r="HE540" s="645"/>
      <c r="IT540" s="645"/>
      <c r="IU540" s="645"/>
      <c r="IV540" s="645"/>
      <c r="IW540" s="645"/>
      <c r="IX540" s="645"/>
      <c r="IY540" s="645"/>
      <c r="IZ540" s="645"/>
      <c r="JA540" s="645"/>
      <c r="JB540" s="645"/>
      <c r="JC540" s="645"/>
      <c r="JD540" s="645"/>
      <c r="JE540" s="645"/>
      <c r="JF540" s="645"/>
      <c r="JG540" s="645"/>
      <c r="JH540" s="645"/>
      <c r="JI540" s="645"/>
      <c r="JJ540" s="645"/>
      <c r="JK540" s="645"/>
      <c r="JL540" s="645"/>
      <c r="JM540" s="645"/>
      <c r="JN540" s="645"/>
      <c r="JO540" s="645"/>
      <c r="JP540" s="645"/>
      <c r="JQ540" s="645"/>
      <c r="JR540" s="645"/>
      <c r="JS540" s="645"/>
      <c r="JT540" s="645"/>
      <c r="JU540" s="645"/>
      <c r="JW540" s="522"/>
      <c r="JX540" s="522"/>
      <c r="JY540" s="522"/>
      <c r="JZ540" s="522"/>
      <c r="KA540" s="522"/>
      <c r="KB540" s="522"/>
      <c r="KC540" s="522"/>
      <c r="KD540" s="522"/>
      <c r="KE540" s="522"/>
      <c r="KF540" s="522"/>
      <c r="KG540" s="522"/>
      <c r="KH540" s="522"/>
      <c r="KI540" s="522"/>
      <c r="KJ540" s="522"/>
      <c r="KK540" s="522"/>
      <c r="KL540" s="522"/>
    </row>
    <row r="541" spans="101:298">
      <c r="CW541" s="646"/>
      <c r="CX541" s="646"/>
      <c r="CY541" s="625"/>
      <c r="CZ541" s="625"/>
      <c r="DA541" s="625"/>
      <c r="DB541" s="625"/>
      <c r="DC541" s="645"/>
      <c r="DD541" s="645"/>
      <c r="DE541" s="645"/>
      <c r="DF541" s="645"/>
      <c r="DG541" s="645"/>
      <c r="DH541" s="645"/>
      <c r="DI541" s="645"/>
      <c r="DJ541" s="645"/>
      <c r="DK541" s="645"/>
      <c r="DL541" s="645"/>
      <c r="DM541" s="645"/>
      <c r="DN541" s="645"/>
      <c r="DO541" s="645"/>
      <c r="DP541" s="645"/>
      <c r="DQ541" s="645"/>
      <c r="DR541" s="645"/>
      <c r="DS541" s="645"/>
      <c r="DT541" s="645"/>
      <c r="DU541" s="645"/>
      <c r="DV541" s="645"/>
      <c r="DW541" s="645"/>
      <c r="DX541" s="645"/>
      <c r="DY541" s="645"/>
      <c r="DZ541" s="645"/>
      <c r="EA541" s="645"/>
      <c r="EB541" s="645"/>
      <c r="EC541" s="645"/>
      <c r="ED541" s="645"/>
      <c r="EE541" s="645"/>
      <c r="EF541" s="645"/>
      <c r="EG541" s="645"/>
      <c r="EH541" s="645"/>
      <c r="EI541" s="645"/>
      <c r="EJ541" s="645"/>
      <c r="EK541" s="645"/>
      <c r="EL541" s="645"/>
      <c r="EM541" s="645"/>
      <c r="EN541" s="645"/>
      <c r="EO541" s="645"/>
      <c r="EP541" s="645"/>
      <c r="EQ541" s="645"/>
      <c r="ER541" s="645"/>
      <c r="ES541" s="645"/>
      <c r="ET541" s="645"/>
      <c r="EU541" s="645"/>
      <c r="EV541" s="645"/>
      <c r="EW541" s="645"/>
      <c r="EX541" s="645"/>
      <c r="EY541" s="645"/>
      <c r="EZ541" s="645"/>
      <c r="FA541" s="645"/>
      <c r="FB541" s="645"/>
      <c r="FC541" s="645"/>
      <c r="FD541" s="645"/>
      <c r="FE541" s="645"/>
      <c r="FF541" s="645"/>
      <c r="FG541" s="645"/>
      <c r="FH541" s="645"/>
      <c r="FI541" s="645"/>
      <c r="FJ541" s="645"/>
      <c r="FK541" s="645"/>
      <c r="FL541" s="645"/>
      <c r="FM541" s="645"/>
      <c r="FN541" s="645"/>
      <c r="FO541" s="645"/>
      <c r="FP541" s="645"/>
      <c r="FQ541" s="645"/>
      <c r="FR541" s="645"/>
      <c r="FS541" s="645"/>
      <c r="FT541" s="645"/>
      <c r="FU541" s="645"/>
      <c r="FV541" s="645"/>
      <c r="FW541" s="645"/>
      <c r="FX541" s="645"/>
      <c r="FY541" s="645"/>
      <c r="FZ541" s="645"/>
      <c r="GA541" s="645"/>
      <c r="GB541" s="645"/>
      <c r="GC541" s="645"/>
      <c r="GD541" s="645"/>
      <c r="GE541" s="645"/>
      <c r="GF541" s="645"/>
      <c r="GG541" s="645"/>
      <c r="GH541" s="645"/>
      <c r="GI541" s="645"/>
      <c r="GJ541" s="645"/>
      <c r="GK541" s="645"/>
      <c r="GL541" s="645"/>
      <c r="GM541" s="645"/>
      <c r="GN541" s="645"/>
      <c r="GO541" s="645"/>
      <c r="GP541" s="645"/>
      <c r="GQ541" s="645"/>
      <c r="GR541" s="645"/>
      <c r="GS541" s="645"/>
      <c r="GT541" s="645"/>
      <c r="GU541" s="645"/>
      <c r="GV541" s="645"/>
      <c r="GW541" s="645"/>
      <c r="GX541" s="645"/>
      <c r="GY541" s="645"/>
      <c r="GZ541" s="645"/>
      <c r="HA541" s="645"/>
      <c r="HB541" s="645"/>
      <c r="HC541" s="645"/>
      <c r="HD541" s="645"/>
      <c r="HE541" s="645"/>
      <c r="IT541" s="645"/>
      <c r="IU541" s="645"/>
      <c r="IV541" s="645"/>
      <c r="IW541" s="645"/>
      <c r="IX541" s="645"/>
      <c r="IY541" s="645"/>
      <c r="IZ541" s="645"/>
      <c r="JA541" s="645"/>
      <c r="JB541" s="645"/>
      <c r="JC541" s="645"/>
      <c r="JD541" s="645"/>
      <c r="JE541" s="645"/>
      <c r="JF541" s="645"/>
      <c r="JG541" s="645"/>
      <c r="JH541" s="645"/>
      <c r="JI541" s="645"/>
      <c r="JJ541" s="645"/>
      <c r="JK541" s="645"/>
      <c r="JL541" s="645"/>
      <c r="JM541" s="645"/>
      <c r="JN541" s="645"/>
      <c r="JO541" s="645"/>
      <c r="JP541" s="645"/>
      <c r="JQ541" s="645"/>
      <c r="JR541" s="645"/>
      <c r="JS541" s="645"/>
      <c r="JT541" s="645"/>
      <c r="JU541" s="645"/>
      <c r="JW541" s="522"/>
      <c r="JX541" s="522"/>
      <c r="JY541" s="522"/>
      <c r="JZ541" s="522"/>
      <c r="KA541" s="522"/>
      <c r="KB541" s="522"/>
      <c r="KC541" s="522"/>
      <c r="KD541" s="522"/>
      <c r="KE541" s="522"/>
      <c r="KF541" s="522"/>
      <c r="KG541" s="522"/>
      <c r="KH541" s="522"/>
      <c r="KI541" s="522"/>
      <c r="KJ541" s="522"/>
      <c r="KK541" s="522"/>
      <c r="KL541" s="522"/>
    </row>
    <row r="542" spans="101:298">
      <c r="CW542" s="646"/>
      <c r="CX542" s="646"/>
      <c r="CY542" s="625"/>
      <c r="CZ542" s="625"/>
      <c r="DA542" s="625"/>
      <c r="DB542" s="625"/>
      <c r="DC542" s="645"/>
      <c r="DD542" s="645"/>
      <c r="DE542" s="645"/>
      <c r="DF542" s="645"/>
      <c r="DG542" s="645"/>
      <c r="DH542" s="645"/>
      <c r="DI542" s="645"/>
      <c r="DJ542" s="645"/>
      <c r="DK542" s="645"/>
      <c r="DL542" s="645"/>
      <c r="DM542" s="645"/>
      <c r="DN542" s="645"/>
      <c r="DO542" s="645"/>
      <c r="DP542" s="645"/>
      <c r="DQ542" s="645"/>
      <c r="DR542" s="645"/>
      <c r="DS542" s="645"/>
      <c r="DT542" s="645"/>
      <c r="DU542" s="645"/>
      <c r="DV542" s="645"/>
      <c r="DW542" s="645"/>
      <c r="DX542" s="645"/>
      <c r="DY542" s="645"/>
      <c r="DZ542" s="645"/>
      <c r="EA542" s="645"/>
      <c r="EB542" s="645"/>
      <c r="EC542" s="645"/>
      <c r="ED542" s="645"/>
      <c r="EE542" s="645"/>
      <c r="EF542" s="645"/>
      <c r="EG542" s="645"/>
      <c r="EH542" s="645"/>
      <c r="EI542" s="645"/>
      <c r="EJ542" s="645"/>
      <c r="EK542" s="645"/>
      <c r="EL542" s="645"/>
      <c r="EM542" s="645"/>
      <c r="EN542" s="645"/>
      <c r="EO542" s="645"/>
      <c r="EP542" s="645"/>
      <c r="EQ542" s="645"/>
      <c r="ER542" s="645"/>
      <c r="ES542" s="645"/>
      <c r="ET542" s="645"/>
      <c r="EU542" s="645"/>
      <c r="EV542" s="645"/>
      <c r="EW542" s="645"/>
      <c r="EX542" s="645"/>
      <c r="EY542" s="645"/>
      <c r="EZ542" s="645"/>
      <c r="FA542" s="645"/>
      <c r="FB542" s="645"/>
      <c r="FC542" s="645"/>
      <c r="FD542" s="645"/>
      <c r="FE542" s="645"/>
      <c r="FF542" s="645"/>
      <c r="FG542" s="645"/>
      <c r="FH542" s="645"/>
      <c r="FI542" s="645"/>
      <c r="FJ542" s="645"/>
      <c r="FK542" s="645"/>
      <c r="FL542" s="645"/>
      <c r="FM542" s="645"/>
      <c r="FN542" s="645"/>
      <c r="FO542" s="645"/>
      <c r="FP542" s="645"/>
      <c r="FQ542" s="645"/>
      <c r="FR542" s="645"/>
      <c r="FS542" s="645"/>
      <c r="FT542" s="645"/>
      <c r="FU542" s="645"/>
      <c r="FV542" s="645"/>
      <c r="FW542" s="645"/>
      <c r="FX542" s="645"/>
      <c r="FY542" s="645"/>
      <c r="FZ542" s="645"/>
      <c r="GA542" s="645"/>
      <c r="GB542" s="645"/>
      <c r="GC542" s="645"/>
      <c r="GD542" s="645"/>
      <c r="GE542" s="645"/>
      <c r="GF542" s="645"/>
      <c r="GG542" s="645"/>
      <c r="GH542" s="645"/>
      <c r="GI542" s="645"/>
      <c r="GJ542" s="645"/>
      <c r="GK542" s="645"/>
      <c r="GL542" s="645"/>
      <c r="GM542" s="645"/>
      <c r="GN542" s="645"/>
      <c r="GO542" s="645"/>
      <c r="GP542" s="645"/>
      <c r="GQ542" s="645"/>
      <c r="GR542" s="645"/>
      <c r="GS542" s="645"/>
      <c r="GT542" s="645"/>
      <c r="GU542" s="645"/>
      <c r="GV542" s="645"/>
      <c r="GW542" s="645"/>
      <c r="GX542" s="645"/>
      <c r="GY542" s="645"/>
      <c r="GZ542" s="645"/>
      <c r="HA542" s="645"/>
      <c r="HB542" s="645"/>
      <c r="HC542" s="645"/>
      <c r="HD542" s="645"/>
      <c r="HE542" s="645"/>
      <c r="IT542" s="645"/>
      <c r="IU542" s="645"/>
      <c r="IV542" s="645"/>
      <c r="IW542" s="645"/>
      <c r="IX542" s="645"/>
      <c r="IY542" s="645"/>
      <c r="IZ542" s="645"/>
      <c r="JA542" s="645"/>
      <c r="JB542" s="645"/>
      <c r="JC542" s="645"/>
      <c r="JD542" s="645"/>
      <c r="JE542" s="645"/>
      <c r="JF542" s="645"/>
      <c r="JG542" s="645"/>
      <c r="JH542" s="645"/>
      <c r="JI542" s="645"/>
      <c r="JJ542" s="645"/>
      <c r="JK542" s="645"/>
      <c r="JL542" s="645"/>
      <c r="JM542" s="645"/>
      <c r="JN542" s="645"/>
      <c r="JO542" s="645"/>
      <c r="JP542" s="645"/>
      <c r="JQ542" s="645"/>
      <c r="JR542" s="645"/>
      <c r="JS542" s="645"/>
      <c r="JT542" s="645"/>
      <c r="JU542" s="645"/>
      <c r="JW542" s="522"/>
      <c r="JX542" s="522"/>
      <c r="JY542" s="522"/>
      <c r="JZ542" s="522"/>
      <c r="KA542" s="522"/>
      <c r="KB542" s="522"/>
      <c r="KC542" s="522"/>
      <c r="KD542" s="522"/>
      <c r="KE542" s="522"/>
      <c r="KF542" s="522"/>
      <c r="KG542" s="522"/>
      <c r="KH542" s="522"/>
      <c r="KI542" s="522"/>
      <c r="KJ542" s="522"/>
      <c r="KK542" s="522"/>
      <c r="KL542" s="522"/>
    </row>
    <row r="543" spans="101:298">
      <c r="CW543" s="646"/>
      <c r="CX543" s="646"/>
      <c r="CY543" s="625"/>
      <c r="CZ543" s="625"/>
      <c r="DA543" s="625"/>
      <c r="DB543" s="625"/>
      <c r="DC543" s="645"/>
      <c r="DD543" s="645"/>
      <c r="DE543" s="645"/>
      <c r="DF543" s="645"/>
      <c r="DG543" s="645"/>
      <c r="DH543" s="645"/>
      <c r="DI543" s="645"/>
      <c r="DJ543" s="645"/>
      <c r="DK543" s="645"/>
      <c r="DL543" s="645"/>
      <c r="DM543" s="645"/>
      <c r="DN543" s="645"/>
      <c r="DO543" s="645"/>
      <c r="DP543" s="645"/>
      <c r="DQ543" s="645"/>
      <c r="DR543" s="645"/>
      <c r="DS543" s="645"/>
      <c r="DT543" s="645"/>
      <c r="DU543" s="645"/>
      <c r="DV543" s="645"/>
      <c r="DW543" s="645"/>
      <c r="DX543" s="645"/>
      <c r="DY543" s="645"/>
      <c r="DZ543" s="645"/>
      <c r="EA543" s="645"/>
      <c r="EB543" s="645"/>
      <c r="EC543" s="645"/>
      <c r="ED543" s="645"/>
      <c r="EE543" s="645"/>
      <c r="EF543" s="645"/>
      <c r="EG543" s="645"/>
      <c r="EH543" s="645"/>
      <c r="EI543" s="645"/>
      <c r="EJ543" s="645"/>
      <c r="EK543" s="645"/>
      <c r="EL543" s="645"/>
      <c r="EM543" s="645"/>
      <c r="EN543" s="645"/>
      <c r="EO543" s="645"/>
      <c r="EP543" s="645"/>
      <c r="EQ543" s="645"/>
      <c r="ER543" s="645"/>
      <c r="ES543" s="645"/>
      <c r="ET543" s="645"/>
      <c r="EU543" s="645"/>
      <c r="EV543" s="645"/>
      <c r="EW543" s="645"/>
      <c r="EX543" s="645"/>
      <c r="EY543" s="645"/>
      <c r="EZ543" s="645"/>
      <c r="FA543" s="645"/>
      <c r="FB543" s="645"/>
      <c r="FC543" s="645"/>
      <c r="FD543" s="645"/>
      <c r="FE543" s="645"/>
      <c r="FF543" s="645"/>
      <c r="FG543" s="645"/>
      <c r="FH543" s="645"/>
      <c r="FI543" s="645"/>
      <c r="FJ543" s="645"/>
      <c r="FK543" s="645"/>
      <c r="FL543" s="645"/>
      <c r="FM543" s="645"/>
      <c r="FN543" s="645"/>
      <c r="FO543" s="645"/>
      <c r="FP543" s="645"/>
      <c r="FQ543" s="645"/>
      <c r="FR543" s="645"/>
      <c r="FS543" s="645"/>
      <c r="FT543" s="645"/>
      <c r="FU543" s="645"/>
      <c r="FV543" s="645"/>
      <c r="FW543" s="645"/>
      <c r="FX543" s="645"/>
      <c r="FY543" s="645"/>
      <c r="FZ543" s="645"/>
      <c r="GA543" s="645"/>
      <c r="GB543" s="645"/>
      <c r="GC543" s="645"/>
      <c r="GD543" s="645"/>
      <c r="GE543" s="645"/>
      <c r="GF543" s="645"/>
      <c r="GG543" s="645"/>
      <c r="GH543" s="645"/>
      <c r="GI543" s="645"/>
      <c r="GJ543" s="645"/>
      <c r="GK543" s="645"/>
      <c r="GL543" s="645"/>
      <c r="GM543" s="645"/>
      <c r="GN543" s="645"/>
      <c r="GO543" s="645"/>
      <c r="GP543" s="645"/>
      <c r="GQ543" s="645"/>
      <c r="GR543" s="645"/>
      <c r="GS543" s="645"/>
      <c r="GT543" s="645"/>
      <c r="GU543" s="645"/>
      <c r="GV543" s="645"/>
      <c r="GW543" s="645"/>
      <c r="GX543" s="645"/>
      <c r="GY543" s="645"/>
      <c r="GZ543" s="645"/>
      <c r="HA543" s="645"/>
      <c r="HB543" s="645"/>
      <c r="HC543" s="645"/>
      <c r="HD543" s="645"/>
      <c r="HE543" s="645"/>
      <c r="IT543" s="645"/>
      <c r="IU543" s="645"/>
      <c r="IV543" s="645"/>
      <c r="IW543" s="645"/>
      <c r="IX543" s="645"/>
      <c r="IY543" s="645"/>
      <c r="IZ543" s="645"/>
      <c r="JA543" s="645"/>
      <c r="JB543" s="645"/>
      <c r="JC543" s="645"/>
      <c r="JD543" s="645"/>
      <c r="JE543" s="645"/>
      <c r="JF543" s="645"/>
      <c r="JG543" s="645"/>
      <c r="JH543" s="645"/>
      <c r="JI543" s="645"/>
      <c r="JJ543" s="645"/>
      <c r="JK543" s="645"/>
      <c r="JL543" s="645"/>
      <c r="JM543" s="645"/>
      <c r="JN543" s="645"/>
      <c r="JO543" s="645"/>
      <c r="JP543" s="645"/>
      <c r="JQ543" s="645"/>
      <c r="JR543" s="645"/>
      <c r="JS543" s="645"/>
      <c r="JT543" s="645"/>
      <c r="JU543" s="645"/>
      <c r="JW543" s="522"/>
      <c r="JX543" s="522"/>
      <c r="JY543" s="522"/>
      <c r="JZ543" s="522"/>
      <c r="KA543" s="522"/>
      <c r="KB543" s="522"/>
      <c r="KC543" s="522"/>
      <c r="KD543" s="522"/>
      <c r="KE543" s="522"/>
      <c r="KF543" s="522"/>
      <c r="KG543" s="522"/>
      <c r="KH543" s="522"/>
      <c r="KI543" s="522"/>
      <c r="KJ543" s="522"/>
      <c r="KK543" s="522"/>
      <c r="KL543" s="522"/>
    </row>
    <row r="544" spans="101:298">
      <c r="CW544" s="646"/>
      <c r="CX544" s="646"/>
      <c r="CY544" s="625"/>
      <c r="CZ544" s="625"/>
      <c r="DA544" s="625"/>
      <c r="DB544" s="625"/>
      <c r="DC544" s="645"/>
      <c r="DD544" s="645"/>
      <c r="DE544" s="645"/>
      <c r="DF544" s="645"/>
      <c r="DG544" s="645"/>
      <c r="DH544" s="645"/>
      <c r="DI544" s="645"/>
      <c r="DJ544" s="645"/>
      <c r="DK544" s="645"/>
      <c r="DL544" s="645"/>
      <c r="DM544" s="645"/>
      <c r="DN544" s="645"/>
      <c r="DO544" s="645"/>
      <c r="DP544" s="645"/>
      <c r="DQ544" s="645"/>
      <c r="DR544" s="645"/>
      <c r="DS544" s="645"/>
      <c r="DT544" s="645"/>
      <c r="DU544" s="645"/>
      <c r="DV544" s="645"/>
      <c r="DW544" s="645"/>
      <c r="DX544" s="645"/>
      <c r="DY544" s="645"/>
      <c r="DZ544" s="645"/>
      <c r="EA544" s="645"/>
      <c r="EB544" s="645"/>
      <c r="EC544" s="645"/>
      <c r="ED544" s="645"/>
      <c r="EE544" s="645"/>
      <c r="EF544" s="645"/>
      <c r="EG544" s="645"/>
      <c r="EH544" s="645"/>
      <c r="EI544" s="645"/>
      <c r="EJ544" s="645"/>
      <c r="EK544" s="645"/>
      <c r="EL544" s="645"/>
      <c r="EM544" s="645"/>
      <c r="EN544" s="645"/>
      <c r="EO544" s="645"/>
      <c r="EP544" s="645"/>
      <c r="EQ544" s="645"/>
      <c r="ER544" s="645"/>
      <c r="ES544" s="645"/>
      <c r="ET544" s="645"/>
      <c r="EU544" s="645"/>
      <c r="EV544" s="645"/>
      <c r="EW544" s="645"/>
      <c r="EX544" s="645"/>
      <c r="EY544" s="645"/>
      <c r="EZ544" s="645"/>
      <c r="FA544" s="645"/>
      <c r="FB544" s="645"/>
      <c r="FC544" s="645"/>
      <c r="FD544" s="645"/>
      <c r="FE544" s="645"/>
      <c r="FF544" s="645"/>
      <c r="FG544" s="645"/>
      <c r="FH544" s="645"/>
      <c r="FI544" s="645"/>
      <c r="FJ544" s="645"/>
      <c r="FK544" s="645"/>
      <c r="FL544" s="645"/>
      <c r="FM544" s="645"/>
      <c r="FN544" s="645"/>
      <c r="FO544" s="645"/>
      <c r="FP544" s="645"/>
      <c r="FQ544" s="645"/>
      <c r="FR544" s="645"/>
      <c r="FS544" s="645"/>
      <c r="FT544" s="645"/>
      <c r="FU544" s="645"/>
      <c r="FV544" s="645"/>
      <c r="FW544" s="645"/>
      <c r="FX544" s="645"/>
      <c r="FY544" s="645"/>
      <c r="FZ544" s="645"/>
      <c r="GA544" s="645"/>
      <c r="GB544" s="645"/>
      <c r="GC544" s="645"/>
      <c r="GD544" s="645"/>
      <c r="GE544" s="645"/>
      <c r="GF544" s="645"/>
      <c r="GG544" s="645"/>
      <c r="GH544" s="645"/>
      <c r="GI544" s="645"/>
      <c r="GJ544" s="645"/>
      <c r="GK544" s="645"/>
      <c r="GL544" s="645"/>
      <c r="GM544" s="645"/>
      <c r="GN544" s="645"/>
      <c r="GO544" s="645"/>
      <c r="GP544" s="645"/>
      <c r="GQ544" s="645"/>
      <c r="GR544" s="645"/>
      <c r="GS544" s="645"/>
      <c r="GT544" s="645"/>
      <c r="GU544" s="645"/>
      <c r="GV544" s="645"/>
      <c r="GW544" s="645"/>
      <c r="GX544" s="645"/>
      <c r="GY544" s="645"/>
      <c r="GZ544" s="645"/>
      <c r="HA544" s="645"/>
      <c r="HB544" s="645"/>
      <c r="HC544" s="645"/>
      <c r="HD544" s="645"/>
      <c r="HE544" s="645"/>
      <c r="IT544" s="645"/>
      <c r="IU544" s="645"/>
      <c r="IV544" s="645"/>
      <c r="IW544" s="645"/>
      <c r="IX544" s="645"/>
      <c r="IY544" s="645"/>
      <c r="IZ544" s="645"/>
      <c r="JA544" s="645"/>
      <c r="JB544" s="645"/>
      <c r="JC544" s="645"/>
      <c r="JD544" s="645"/>
      <c r="JE544" s="645"/>
      <c r="JF544" s="645"/>
      <c r="JG544" s="645"/>
      <c r="JH544" s="645"/>
      <c r="JI544" s="645"/>
      <c r="JJ544" s="645"/>
      <c r="JK544" s="645"/>
      <c r="JL544" s="645"/>
      <c r="JM544" s="645"/>
      <c r="JN544" s="645"/>
      <c r="JO544" s="645"/>
      <c r="JP544" s="645"/>
      <c r="JQ544" s="645"/>
      <c r="JR544" s="645"/>
      <c r="JS544" s="645"/>
      <c r="JT544" s="645"/>
      <c r="JU544" s="645"/>
      <c r="JW544" s="522"/>
      <c r="JX544" s="522"/>
      <c r="JY544" s="522"/>
      <c r="JZ544" s="522"/>
      <c r="KA544" s="522"/>
      <c r="KB544" s="522"/>
      <c r="KC544" s="522"/>
      <c r="KD544" s="522"/>
      <c r="KE544" s="522"/>
      <c r="KF544" s="522"/>
      <c r="KG544" s="522"/>
      <c r="KH544" s="522"/>
      <c r="KI544" s="522"/>
      <c r="KJ544" s="522"/>
      <c r="KK544" s="522"/>
      <c r="KL544" s="522"/>
    </row>
    <row r="545" spans="101:298">
      <c r="CW545" s="646"/>
      <c r="CX545" s="646"/>
      <c r="CY545" s="625"/>
      <c r="CZ545" s="625"/>
      <c r="DA545" s="625"/>
      <c r="DB545" s="625"/>
      <c r="DC545" s="645"/>
      <c r="DD545" s="645"/>
      <c r="DE545" s="645"/>
      <c r="DF545" s="645"/>
      <c r="DG545" s="645"/>
      <c r="DH545" s="645"/>
      <c r="DI545" s="645"/>
      <c r="DJ545" s="645"/>
      <c r="DK545" s="645"/>
      <c r="DL545" s="645"/>
      <c r="DM545" s="645"/>
      <c r="DN545" s="645"/>
      <c r="DO545" s="645"/>
      <c r="DP545" s="645"/>
      <c r="DQ545" s="645"/>
      <c r="DR545" s="645"/>
      <c r="DS545" s="645"/>
      <c r="DT545" s="645"/>
      <c r="DU545" s="645"/>
      <c r="DV545" s="645"/>
      <c r="DW545" s="645"/>
      <c r="DX545" s="645"/>
      <c r="DY545" s="645"/>
      <c r="DZ545" s="645"/>
      <c r="EA545" s="645"/>
      <c r="EB545" s="645"/>
      <c r="EC545" s="645"/>
      <c r="ED545" s="645"/>
      <c r="EE545" s="645"/>
      <c r="EF545" s="645"/>
      <c r="EG545" s="645"/>
      <c r="EH545" s="645"/>
      <c r="EI545" s="645"/>
      <c r="EJ545" s="645"/>
      <c r="EK545" s="645"/>
      <c r="EL545" s="645"/>
      <c r="EM545" s="645"/>
      <c r="EN545" s="645"/>
      <c r="EO545" s="645"/>
      <c r="EP545" s="645"/>
      <c r="EQ545" s="645"/>
      <c r="ER545" s="645"/>
      <c r="ES545" s="645"/>
      <c r="ET545" s="645"/>
      <c r="EU545" s="645"/>
      <c r="EV545" s="645"/>
      <c r="EW545" s="645"/>
      <c r="EX545" s="645"/>
      <c r="EY545" s="645"/>
      <c r="EZ545" s="645"/>
      <c r="FA545" s="645"/>
      <c r="FB545" s="645"/>
      <c r="FC545" s="645"/>
      <c r="FD545" s="645"/>
      <c r="FE545" s="645"/>
      <c r="FF545" s="645"/>
      <c r="FG545" s="645"/>
      <c r="FH545" s="645"/>
      <c r="FI545" s="645"/>
      <c r="FJ545" s="645"/>
      <c r="FK545" s="645"/>
      <c r="FL545" s="645"/>
      <c r="FM545" s="645"/>
      <c r="FN545" s="645"/>
      <c r="FO545" s="645"/>
      <c r="FP545" s="645"/>
      <c r="FQ545" s="645"/>
      <c r="FR545" s="645"/>
      <c r="FS545" s="645"/>
      <c r="FT545" s="645"/>
      <c r="FU545" s="645"/>
      <c r="FV545" s="645"/>
      <c r="FW545" s="645"/>
      <c r="FX545" s="645"/>
      <c r="FY545" s="645"/>
      <c r="FZ545" s="645"/>
      <c r="GA545" s="645"/>
      <c r="GB545" s="645"/>
      <c r="GC545" s="645"/>
      <c r="GD545" s="645"/>
      <c r="GE545" s="645"/>
      <c r="GF545" s="645"/>
      <c r="GG545" s="645"/>
      <c r="GH545" s="645"/>
      <c r="GI545" s="645"/>
      <c r="GJ545" s="645"/>
      <c r="GK545" s="645"/>
      <c r="GL545" s="645"/>
      <c r="GM545" s="645"/>
      <c r="GN545" s="645"/>
      <c r="GO545" s="645"/>
      <c r="GP545" s="645"/>
      <c r="GQ545" s="645"/>
      <c r="GR545" s="645"/>
      <c r="GS545" s="645"/>
      <c r="GT545" s="645"/>
      <c r="GU545" s="645"/>
      <c r="GV545" s="645"/>
      <c r="GW545" s="645"/>
      <c r="GX545" s="645"/>
      <c r="GY545" s="645"/>
      <c r="GZ545" s="645"/>
      <c r="HA545" s="645"/>
      <c r="HB545" s="645"/>
      <c r="HC545" s="645"/>
      <c r="HD545" s="645"/>
      <c r="HE545" s="645"/>
      <c r="IT545" s="645"/>
      <c r="IU545" s="645"/>
      <c r="IV545" s="645"/>
      <c r="IW545" s="645"/>
      <c r="IX545" s="645"/>
      <c r="IY545" s="645"/>
      <c r="IZ545" s="645"/>
      <c r="JA545" s="645"/>
      <c r="JB545" s="645"/>
      <c r="JC545" s="645"/>
      <c r="JD545" s="645"/>
      <c r="JE545" s="645"/>
      <c r="JF545" s="645"/>
      <c r="JG545" s="645"/>
      <c r="JH545" s="645"/>
      <c r="JI545" s="645"/>
      <c r="JJ545" s="645"/>
      <c r="JK545" s="645"/>
      <c r="JL545" s="645"/>
      <c r="JM545" s="645"/>
      <c r="JN545" s="645"/>
      <c r="JO545" s="645"/>
      <c r="JP545" s="645"/>
      <c r="JQ545" s="645"/>
      <c r="JR545" s="645"/>
      <c r="JS545" s="645"/>
      <c r="JT545" s="645"/>
      <c r="JU545" s="645"/>
      <c r="JW545" s="522"/>
      <c r="JX545" s="522"/>
      <c r="JY545" s="522"/>
      <c r="JZ545" s="522"/>
      <c r="KA545" s="522"/>
      <c r="KB545" s="522"/>
      <c r="KC545" s="522"/>
      <c r="KD545" s="522"/>
      <c r="KE545" s="522"/>
      <c r="KF545" s="522"/>
      <c r="KG545" s="522"/>
      <c r="KH545" s="522"/>
      <c r="KI545" s="522"/>
      <c r="KJ545" s="522"/>
      <c r="KK545" s="522"/>
      <c r="KL545" s="522"/>
    </row>
    <row r="546" spans="101:298">
      <c r="CW546" s="646"/>
      <c r="CX546" s="646"/>
      <c r="CY546" s="625"/>
      <c r="CZ546" s="625"/>
      <c r="DA546" s="625"/>
      <c r="DB546" s="625"/>
      <c r="DC546" s="645"/>
      <c r="DD546" s="645"/>
      <c r="DE546" s="645"/>
      <c r="DF546" s="645"/>
      <c r="DG546" s="645"/>
      <c r="DH546" s="645"/>
      <c r="DI546" s="645"/>
      <c r="DJ546" s="645"/>
      <c r="DK546" s="645"/>
      <c r="DL546" s="645"/>
      <c r="DM546" s="645"/>
      <c r="DN546" s="645"/>
      <c r="DO546" s="645"/>
      <c r="DP546" s="645"/>
      <c r="DQ546" s="645"/>
      <c r="DR546" s="645"/>
      <c r="DS546" s="645"/>
      <c r="DT546" s="645"/>
      <c r="DU546" s="645"/>
      <c r="DV546" s="645"/>
      <c r="DW546" s="645"/>
      <c r="DX546" s="645"/>
      <c r="DY546" s="645"/>
      <c r="DZ546" s="645"/>
      <c r="EA546" s="645"/>
      <c r="EB546" s="645"/>
      <c r="EC546" s="645"/>
      <c r="ED546" s="645"/>
      <c r="EE546" s="645"/>
      <c r="EF546" s="645"/>
      <c r="EG546" s="645"/>
      <c r="EH546" s="645"/>
      <c r="EI546" s="645"/>
      <c r="EJ546" s="645"/>
      <c r="EK546" s="645"/>
      <c r="EL546" s="645"/>
      <c r="EM546" s="645"/>
      <c r="EN546" s="645"/>
      <c r="EO546" s="645"/>
      <c r="EP546" s="645"/>
      <c r="EQ546" s="645"/>
      <c r="ER546" s="645"/>
      <c r="ES546" s="645"/>
      <c r="ET546" s="645"/>
      <c r="EU546" s="645"/>
      <c r="EV546" s="645"/>
      <c r="EW546" s="645"/>
      <c r="EX546" s="645"/>
      <c r="EY546" s="645"/>
      <c r="EZ546" s="645"/>
      <c r="FA546" s="645"/>
      <c r="FB546" s="645"/>
      <c r="FC546" s="645"/>
      <c r="FD546" s="645"/>
      <c r="FE546" s="645"/>
      <c r="FF546" s="645"/>
      <c r="FG546" s="645"/>
      <c r="FH546" s="645"/>
      <c r="FI546" s="645"/>
      <c r="FJ546" s="645"/>
      <c r="FK546" s="645"/>
      <c r="FL546" s="645"/>
      <c r="FM546" s="645"/>
      <c r="FN546" s="645"/>
      <c r="FO546" s="645"/>
      <c r="FP546" s="645"/>
      <c r="FQ546" s="645"/>
      <c r="FR546" s="645"/>
      <c r="FS546" s="645"/>
      <c r="FT546" s="645"/>
      <c r="FU546" s="645"/>
      <c r="FV546" s="645"/>
      <c r="FW546" s="645"/>
      <c r="FX546" s="645"/>
      <c r="FY546" s="645"/>
      <c r="FZ546" s="645"/>
      <c r="GA546" s="645"/>
      <c r="GB546" s="645"/>
      <c r="GC546" s="645"/>
      <c r="GD546" s="645"/>
      <c r="GE546" s="645"/>
      <c r="GF546" s="645"/>
      <c r="GG546" s="645"/>
      <c r="GH546" s="645"/>
      <c r="GI546" s="645"/>
      <c r="GJ546" s="645"/>
      <c r="GK546" s="645"/>
      <c r="GL546" s="645"/>
      <c r="GM546" s="645"/>
      <c r="GN546" s="645"/>
      <c r="GO546" s="645"/>
      <c r="GP546" s="645"/>
      <c r="GQ546" s="645"/>
      <c r="GR546" s="645"/>
      <c r="GS546" s="645"/>
      <c r="GT546" s="645"/>
      <c r="GU546" s="645"/>
      <c r="GV546" s="645"/>
      <c r="GW546" s="645"/>
      <c r="GX546" s="645"/>
      <c r="GY546" s="645"/>
      <c r="GZ546" s="645"/>
      <c r="HA546" s="645"/>
      <c r="HB546" s="645"/>
      <c r="HC546" s="645"/>
      <c r="HD546" s="645"/>
      <c r="HE546" s="645"/>
      <c r="IT546" s="645"/>
      <c r="IU546" s="645"/>
      <c r="IV546" s="645"/>
      <c r="IW546" s="645"/>
      <c r="IX546" s="645"/>
      <c r="IY546" s="645"/>
      <c r="IZ546" s="645"/>
      <c r="JA546" s="645"/>
      <c r="JB546" s="645"/>
      <c r="JC546" s="645"/>
      <c r="JD546" s="645"/>
      <c r="JE546" s="645"/>
      <c r="JF546" s="645"/>
      <c r="JG546" s="645"/>
      <c r="JH546" s="645"/>
      <c r="JI546" s="645"/>
      <c r="JJ546" s="645"/>
      <c r="JK546" s="645"/>
      <c r="JL546" s="645"/>
      <c r="JM546" s="645"/>
      <c r="JN546" s="645"/>
      <c r="JO546" s="645"/>
      <c r="JP546" s="645"/>
      <c r="JQ546" s="645"/>
      <c r="JR546" s="645"/>
      <c r="JS546" s="645"/>
      <c r="JT546" s="645"/>
      <c r="JU546" s="645"/>
      <c r="JW546" s="522"/>
      <c r="JX546" s="522"/>
      <c r="JY546" s="522"/>
      <c r="JZ546" s="522"/>
      <c r="KA546" s="522"/>
      <c r="KB546" s="522"/>
      <c r="KC546" s="522"/>
      <c r="KD546" s="522"/>
      <c r="KE546" s="522"/>
      <c r="KF546" s="522"/>
      <c r="KG546" s="522"/>
      <c r="KH546" s="522"/>
      <c r="KI546" s="522"/>
      <c r="KJ546" s="522"/>
      <c r="KK546" s="522"/>
      <c r="KL546" s="522"/>
    </row>
    <row r="547" spans="101:298">
      <c r="CW547" s="646"/>
      <c r="CX547" s="646"/>
      <c r="CY547" s="625"/>
      <c r="CZ547" s="625"/>
      <c r="DA547" s="625"/>
      <c r="DB547" s="625"/>
      <c r="DC547" s="645"/>
      <c r="DD547" s="645"/>
      <c r="DE547" s="645"/>
      <c r="DF547" s="645"/>
      <c r="DG547" s="645"/>
      <c r="DH547" s="645"/>
      <c r="DI547" s="645"/>
      <c r="DJ547" s="645"/>
      <c r="DK547" s="645"/>
      <c r="DL547" s="645"/>
      <c r="DM547" s="645"/>
      <c r="DN547" s="645"/>
      <c r="DO547" s="645"/>
      <c r="DP547" s="645"/>
      <c r="DQ547" s="645"/>
      <c r="DR547" s="645"/>
      <c r="DS547" s="645"/>
      <c r="DT547" s="645"/>
      <c r="DU547" s="645"/>
      <c r="DV547" s="645"/>
      <c r="DW547" s="645"/>
      <c r="DX547" s="645"/>
      <c r="DY547" s="645"/>
      <c r="DZ547" s="645"/>
      <c r="EA547" s="645"/>
      <c r="EB547" s="645"/>
      <c r="EC547" s="645"/>
      <c r="ED547" s="645"/>
      <c r="EE547" s="645"/>
      <c r="EF547" s="645"/>
      <c r="EG547" s="645"/>
      <c r="EH547" s="645"/>
      <c r="EI547" s="645"/>
      <c r="EJ547" s="645"/>
      <c r="EK547" s="645"/>
      <c r="EL547" s="645"/>
      <c r="EM547" s="645"/>
      <c r="EN547" s="645"/>
      <c r="EO547" s="645"/>
      <c r="EP547" s="645"/>
      <c r="EQ547" s="645"/>
      <c r="ER547" s="645"/>
      <c r="ES547" s="645"/>
      <c r="ET547" s="645"/>
      <c r="EU547" s="645"/>
      <c r="EV547" s="645"/>
      <c r="EW547" s="645"/>
      <c r="EX547" s="645"/>
      <c r="EY547" s="645"/>
      <c r="EZ547" s="645"/>
      <c r="FA547" s="645"/>
      <c r="FB547" s="645"/>
      <c r="FC547" s="645"/>
      <c r="FD547" s="645"/>
      <c r="FE547" s="645"/>
      <c r="FF547" s="645"/>
      <c r="FG547" s="645"/>
      <c r="FH547" s="645"/>
      <c r="FI547" s="645"/>
      <c r="FJ547" s="645"/>
      <c r="FK547" s="645"/>
      <c r="FL547" s="645"/>
      <c r="FM547" s="645"/>
      <c r="FN547" s="645"/>
      <c r="FO547" s="645"/>
      <c r="FP547" s="645"/>
      <c r="FQ547" s="645"/>
      <c r="FR547" s="645"/>
      <c r="FS547" s="645"/>
      <c r="FT547" s="645"/>
      <c r="FU547" s="645"/>
      <c r="FV547" s="645"/>
      <c r="FW547" s="645"/>
      <c r="FX547" s="645"/>
      <c r="FY547" s="645"/>
      <c r="FZ547" s="645"/>
      <c r="GA547" s="645"/>
      <c r="GB547" s="645"/>
      <c r="GC547" s="645"/>
      <c r="GD547" s="645"/>
      <c r="GE547" s="645"/>
      <c r="GF547" s="645"/>
      <c r="GG547" s="645"/>
      <c r="GH547" s="645"/>
      <c r="GI547" s="645"/>
      <c r="GJ547" s="645"/>
      <c r="GK547" s="645"/>
      <c r="GL547" s="645"/>
      <c r="GM547" s="645"/>
      <c r="GN547" s="645"/>
      <c r="GO547" s="645"/>
      <c r="GP547" s="645"/>
      <c r="GQ547" s="645"/>
      <c r="GR547" s="645"/>
      <c r="GS547" s="645"/>
      <c r="GT547" s="645"/>
      <c r="GU547" s="645"/>
      <c r="GV547" s="645"/>
      <c r="GW547" s="645"/>
      <c r="GX547" s="645"/>
      <c r="GY547" s="645"/>
      <c r="GZ547" s="645"/>
      <c r="HA547" s="645"/>
      <c r="HB547" s="645"/>
      <c r="HC547" s="645"/>
      <c r="HD547" s="645"/>
      <c r="HE547" s="645"/>
      <c r="IT547" s="645"/>
      <c r="IU547" s="645"/>
      <c r="IV547" s="645"/>
      <c r="IW547" s="645"/>
      <c r="IX547" s="645"/>
      <c r="IY547" s="645"/>
      <c r="IZ547" s="645"/>
      <c r="JA547" s="645"/>
      <c r="JB547" s="645"/>
      <c r="JC547" s="645"/>
      <c r="JD547" s="645"/>
      <c r="JE547" s="645"/>
      <c r="JF547" s="645"/>
      <c r="JG547" s="645"/>
      <c r="JH547" s="645"/>
      <c r="JI547" s="645"/>
      <c r="JJ547" s="645"/>
      <c r="JK547" s="645"/>
      <c r="JL547" s="645"/>
      <c r="JM547" s="645"/>
      <c r="JN547" s="645"/>
      <c r="JO547" s="645"/>
      <c r="JP547" s="645"/>
      <c r="JQ547" s="645"/>
      <c r="JR547" s="645"/>
      <c r="JS547" s="645"/>
      <c r="JT547" s="645"/>
      <c r="JU547" s="645"/>
      <c r="JW547" s="522"/>
      <c r="JX547" s="522"/>
      <c r="JY547" s="522"/>
      <c r="JZ547" s="522"/>
      <c r="KA547" s="522"/>
      <c r="KB547" s="522"/>
      <c r="KC547" s="522"/>
      <c r="KD547" s="522"/>
      <c r="KE547" s="522"/>
      <c r="KF547" s="522"/>
      <c r="KG547" s="522"/>
      <c r="KH547" s="522"/>
      <c r="KI547" s="522"/>
      <c r="KJ547" s="522"/>
      <c r="KK547" s="522"/>
      <c r="KL547" s="522"/>
    </row>
    <row r="548" spans="101:298">
      <c r="CW548" s="646"/>
      <c r="CX548" s="646"/>
      <c r="CY548" s="625"/>
      <c r="CZ548" s="625"/>
      <c r="DA548" s="625"/>
      <c r="DB548" s="625"/>
      <c r="DC548" s="645"/>
      <c r="DD548" s="645"/>
      <c r="DE548" s="645"/>
      <c r="DF548" s="645"/>
      <c r="DG548" s="645"/>
      <c r="DH548" s="645"/>
      <c r="DI548" s="645"/>
      <c r="DJ548" s="645"/>
      <c r="DK548" s="645"/>
      <c r="DL548" s="645"/>
      <c r="DM548" s="645"/>
      <c r="DN548" s="645"/>
      <c r="DO548" s="645"/>
      <c r="DP548" s="645"/>
      <c r="DQ548" s="645"/>
      <c r="DR548" s="645"/>
      <c r="DS548" s="645"/>
      <c r="DT548" s="645"/>
      <c r="DU548" s="645"/>
      <c r="DV548" s="645"/>
      <c r="DW548" s="645"/>
      <c r="DX548" s="645"/>
      <c r="DY548" s="645"/>
      <c r="DZ548" s="645"/>
      <c r="EA548" s="645"/>
      <c r="EB548" s="645"/>
      <c r="EC548" s="645"/>
      <c r="ED548" s="645"/>
      <c r="EE548" s="645"/>
      <c r="EF548" s="645"/>
      <c r="EG548" s="645"/>
      <c r="EH548" s="645"/>
      <c r="EI548" s="645"/>
      <c r="EJ548" s="645"/>
      <c r="EK548" s="645"/>
      <c r="EL548" s="645"/>
      <c r="EM548" s="645"/>
      <c r="EN548" s="645"/>
      <c r="EO548" s="645"/>
      <c r="EP548" s="645"/>
      <c r="EQ548" s="645"/>
      <c r="ER548" s="645"/>
      <c r="ES548" s="645"/>
      <c r="ET548" s="645"/>
      <c r="EU548" s="645"/>
      <c r="EV548" s="645"/>
      <c r="EW548" s="645"/>
      <c r="EX548" s="645"/>
      <c r="EY548" s="645"/>
      <c r="EZ548" s="645"/>
      <c r="FA548" s="645"/>
      <c r="FB548" s="645"/>
      <c r="FC548" s="645"/>
      <c r="FD548" s="645"/>
      <c r="FE548" s="645"/>
      <c r="FF548" s="645"/>
      <c r="FG548" s="645"/>
      <c r="FH548" s="645"/>
      <c r="FI548" s="645"/>
      <c r="FJ548" s="645"/>
      <c r="FK548" s="645"/>
      <c r="FL548" s="645"/>
      <c r="FM548" s="645"/>
      <c r="FN548" s="645"/>
      <c r="FO548" s="645"/>
      <c r="FP548" s="645"/>
      <c r="FQ548" s="645"/>
      <c r="FR548" s="645"/>
      <c r="FS548" s="645"/>
      <c r="FT548" s="645"/>
      <c r="FU548" s="645"/>
      <c r="FV548" s="645"/>
      <c r="FW548" s="645"/>
      <c r="FX548" s="645"/>
      <c r="FY548" s="645"/>
      <c r="FZ548" s="645"/>
      <c r="GA548" s="645"/>
      <c r="GB548" s="645"/>
      <c r="GC548" s="645"/>
      <c r="GD548" s="645"/>
      <c r="GE548" s="645"/>
      <c r="GF548" s="645"/>
      <c r="GG548" s="645"/>
      <c r="GH548" s="645"/>
      <c r="GI548" s="645"/>
      <c r="GJ548" s="645"/>
      <c r="GK548" s="645"/>
      <c r="GL548" s="645"/>
      <c r="GM548" s="645"/>
      <c r="GN548" s="645"/>
      <c r="GO548" s="645"/>
      <c r="GP548" s="645"/>
      <c r="GQ548" s="645"/>
      <c r="GR548" s="645"/>
      <c r="GS548" s="645"/>
      <c r="GT548" s="645"/>
      <c r="GU548" s="645"/>
      <c r="GV548" s="645"/>
      <c r="GW548" s="645"/>
      <c r="GX548" s="645"/>
      <c r="GY548" s="645"/>
      <c r="GZ548" s="645"/>
      <c r="HA548" s="645"/>
      <c r="HB548" s="645"/>
      <c r="HC548" s="645"/>
      <c r="HD548" s="645"/>
      <c r="HE548" s="645"/>
      <c r="IT548" s="645"/>
      <c r="IU548" s="645"/>
      <c r="IV548" s="645"/>
      <c r="IW548" s="645"/>
      <c r="IX548" s="645"/>
      <c r="IY548" s="645"/>
      <c r="IZ548" s="645"/>
      <c r="JA548" s="645"/>
      <c r="JB548" s="645"/>
      <c r="JC548" s="645"/>
      <c r="JD548" s="645"/>
      <c r="JE548" s="645"/>
      <c r="JF548" s="645"/>
      <c r="JG548" s="645"/>
      <c r="JH548" s="645"/>
      <c r="JI548" s="645"/>
      <c r="JJ548" s="645"/>
      <c r="JK548" s="645"/>
      <c r="JL548" s="645"/>
      <c r="JM548" s="645"/>
      <c r="JN548" s="645"/>
      <c r="JO548" s="645"/>
      <c r="JP548" s="645"/>
      <c r="JQ548" s="645"/>
      <c r="JR548" s="645"/>
      <c r="JS548" s="645"/>
      <c r="JT548" s="645"/>
      <c r="JU548" s="645"/>
      <c r="JW548" s="522"/>
      <c r="JX548" s="522"/>
      <c r="JY548" s="522"/>
      <c r="JZ548" s="522"/>
      <c r="KA548" s="522"/>
      <c r="KB548" s="522"/>
      <c r="KC548" s="522"/>
      <c r="KD548" s="522"/>
      <c r="KE548" s="522"/>
      <c r="KF548" s="522"/>
      <c r="KG548" s="522"/>
      <c r="KH548" s="522"/>
      <c r="KI548" s="522"/>
      <c r="KJ548" s="522"/>
      <c r="KK548" s="522"/>
      <c r="KL548" s="522"/>
    </row>
    <row r="549" spans="101:298">
      <c r="CW549" s="646"/>
      <c r="CX549" s="646"/>
      <c r="CY549" s="625"/>
      <c r="CZ549" s="625"/>
      <c r="DA549" s="625"/>
      <c r="DB549" s="625"/>
      <c r="DC549" s="645"/>
      <c r="DD549" s="645"/>
      <c r="DE549" s="645"/>
      <c r="DF549" s="645"/>
      <c r="DG549" s="645"/>
      <c r="DH549" s="645"/>
      <c r="DI549" s="645"/>
      <c r="DJ549" s="645"/>
      <c r="DK549" s="645"/>
      <c r="DL549" s="645"/>
      <c r="DM549" s="645"/>
      <c r="DN549" s="645"/>
      <c r="DO549" s="645"/>
      <c r="DP549" s="645"/>
      <c r="DQ549" s="645"/>
      <c r="DR549" s="645"/>
      <c r="DS549" s="645"/>
      <c r="DT549" s="645"/>
      <c r="DU549" s="645"/>
      <c r="DV549" s="645"/>
      <c r="DW549" s="645"/>
      <c r="DX549" s="645"/>
      <c r="DY549" s="645"/>
      <c r="DZ549" s="645"/>
      <c r="EA549" s="645"/>
      <c r="EB549" s="645"/>
      <c r="EC549" s="645"/>
      <c r="ED549" s="645"/>
      <c r="EE549" s="645"/>
      <c r="EF549" s="645"/>
      <c r="EG549" s="645"/>
      <c r="EH549" s="645"/>
      <c r="EI549" s="645"/>
      <c r="EJ549" s="645"/>
      <c r="EK549" s="645"/>
      <c r="EL549" s="645"/>
      <c r="EM549" s="645"/>
      <c r="EN549" s="645"/>
      <c r="EO549" s="645"/>
      <c r="EP549" s="645"/>
      <c r="EQ549" s="645"/>
      <c r="ER549" s="645"/>
      <c r="ES549" s="645"/>
      <c r="ET549" s="645"/>
      <c r="EU549" s="645"/>
      <c r="EV549" s="645"/>
      <c r="EW549" s="645"/>
      <c r="EX549" s="645"/>
      <c r="EY549" s="645"/>
      <c r="EZ549" s="645"/>
      <c r="FA549" s="645"/>
      <c r="FB549" s="645"/>
      <c r="FC549" s="645"/>
      <c r="FD549" s="645"/>
      <c r="FE549" s="645"/>
      <c r="FF549" s="645"/>
      <c r="FG549" s="645"/>
      <c r="FH549" s="645"/>
      <c r="FI549" s="645"/>
      <c r="FJ549" s="645"/>
      <c r="FK549" s="645"/>
      <c r="FL549" s="645"/>
      <c r="FM549" s="645"/>
      <c r="FN549" s="645"/>
      <c r="FO549" s="645"/>
      <c r="FP549" s="645"/>
      <c r="FQ549" s="645"/>
      <c r="FR549" s="645"/>
      <c r="FS549" s="645"/>
      <c r="FT549" s="645"/>
      <c r="FU549" s="645"/>
      <c r="FV549" s="645"/>
      <c r="FW549" s="645"/>
      <c r="FX549" s="645"/>
      <c r="FY549" s="645"/>
      <c r="FZ549" s="645"/>
      <c r="GA549" s="645"/>
      <c r="GB549" s="645"/>
      <c r="GC549" s="645"/>
      <c r="GD549" s="645"/>
      <c r="GE549" s="645"/>
      <c r="GF549" s="645"/>
      <c r="GG549" s="645"/>
      <c r="GH549" s="645"/>
      <c r="GI549" s="645"/>
      <c r="GJ549" s="645"/>
      <c r="GK549" s="645"/>
      <c r="GL549" s="645"/>
      <c r="GM549" s="645"/>
      <c r="GN549" s="645"/>
      <c r="GO549" s="645"/>
      <c r="GP549" s="645"/>
      <c r="GQ549" s="645"/>
      <c r="GR549" s="645"/>
      <c r="GS549" s="645"/>
      <c r="GT549" s="645"/>
      <c r="GU549" s="645"/>
      <c r="GV549" s="645"/>
      <c r="GW549" s="645"/>
      <c r="GX549" s="645"/>
      <c r="GY549" s="645"/>
      <c r="GZ549" s="645"/>
      <c r="HA549" s="645"/>
      <c r="HB549" s="645"/>
      <c r="HC549" s="645"/>
      <c r="HD549" s="645"/>
      <c r="HE549" s="645"/>
      <c r="IT549" s="645"/>
      <c r="IU549" s="645"/>
      <c r="IV549" s="645"/>
      <c r="IW549" s="645"/>
      <c r="IX549" s="645"/>
      <c r="IY549" s="645"/>
      <c r="IZ549" s="645"/>
      <c r="JA549" s="645"/>
      <c r="JB549" s="645"/>
      <c r="JC549" s="645"/>
      <c r="JD549" s="645"/>
      <c r="JE549" s="645"/>
      <c r="JF549" s="645"/>
      <c r="JG549" s="645"/>
      <c r="JH549" s="645"/>
      <c r="JI549" s="645"/>
      <c r="JJ549" s="645"/>
      <c r="JK549" s="645"/>
      <c r="JL549" s="645"/>
      <c r="JM549" s="645"/>
      <c r="JN549" s="645"/>
      <c r="JO549" s="645"/>
      <c r="JP549" s="645"/>
      <c r="JQ549" s="645"/>
      <c r="JR549" s="645"/>
      <c r="JS549" s="645"/>
      <c r="JT549" s="645"/>
      <c r="JU549" s="645"/>
      <c r="JW549" s="522"/>
      <c r="JX549" s="522"/>
      <c r="JY549" s="522"/>
      <c r="JZ549" s="522"/>
      <c r="KA549" s="522"/>
      <c r="KB549" s="522"/>
      <c r="KC549" s="522"/>
      <c r="KD549" s="522"/>
      <c r="KE549" s="522"/>
      <c r="KF549" s="522"/>
      <c r="KG549" s="522"/>
      <c r="KH549" s="522"/>
      <c r="KI549" s="522"/>
      <c r="KJ549" s="522"/>
      <c r="KK549" s="522"/>
      <c r="KL549" s="522"/>
    </row>
    <row r="550" spans="101:298">
      <c r="CW550" s="646"/>
      <c r="CX550" s="646"/>
      <c r="CY550" s="625"/>
      <c r="CZ550" s="625"/>
      <c r="DA550" s="625"/>
      <c r="DB550" s="625"/>
      <c r="DC550" s="645"/>
      <c r="DD550" s="645"/>
      <c r="DE550" s="645"/>
      <c r="DF550" s="645"/>
      <c r="DG550" s="645"/>
      <c r="DH550" s="645"/>
      <c r="DI550" s="645"/>
      <c r="DJ550" s="645"/>
      <c r="DK550" s="645"/>
      <c r="DL550" s="645"/>
      <c r="DM550" s="645"/>
      <c r="DN550" s="645"/>
      <c r="DO550" s="645"/>
      <c r="DP550" s="645"/>
      <c r="DQ550" s="645"/>
      <c r="DR550" s="645"/>
      <c r="DS550" s="645"/>
      <c r="DT550" s="645"/>
      <c r="DU550" s="645"/>
      <c r="DV550" s="645"/>
      <c r="DW550" s="645"/>
      <c r="DX550" s="645"/>
      <c r="DY550" s="645"/>
      <c r="DZ550" s="645"/>
      <c r="EA550" s="645"/>
      <c r="EB550" s="645"/>
      <c r="EC550" s="645"/>
      <c r="ED550" s="645"/>
      <c r="EE550" s="645"/>
      <c r="EF550" s="645"/>
      <c r="EG550" s="645"/>
      <c r="EH550" s="645"/>
      <c r="EI550" s="645"/>
      <c r="EJ550" s="645"/>
      <c r="EK550" s="645"/>
      <c r="EL550" s="645"/>
      <c r="EM550" s="645"/>
      <c r="EN550" s="645"/>
      <c r="EO550" s="645"/>
      <c r="EP550" s="645"/>
      <c r="EQ550" s="645"/>
      <c r="ER550" s="645"/>
      <c r="ES550" s="645"/>
      <c r="ET550" s="645"/>
      <c r="EU550" s="645"/>
      <c r="EV550" s="645"/>
      <c r="EW550" s="645"/>
      <c r="EX550" s="645"/>
      <c r="EY550" s="645"/>
      <c r="EZ550" s="645"/>
      <c r="FA550" s="645"/>
      <c r="FB550" s="645"/>
      <c r="FC550" s="645"/>
      <c r="FD550" s="645"/>
      <c r="FE550" s="645"/>
      <c r="FF550" s="645"/>
      <c r="FG550" s="645"/>
      <c r="FH550" s="645"/>
      <c r="FI550" s="645"/>
      <c r="FJ550" s="645"/>
      <c r="FK550" s="645"/>
      <c r="FL550" s="645"/>
      <c r="FM550" s="645"/>
      <c r="FN550" s="645"/>
      <c r="FO550" s="645"/>
      <c r="FP550" s="645"/>
      <c r="FQ550" s="645"/>
      <c r="FR550" s="645"/>
      <c r="FS550" s="645"/>
      <c r="FT550" s="645"/>
      <c r="FU550" s="645"/>
      <c r="FV550" s="645"/>
      <c r="FW550" s="645"/>
      <c r="FX550" s="645"/>
      <c r="FY550" s="645"/>
      <c r="FZ550" s="645"/>
      <c r="GA550" s="645"/>
      <c r="GB550" s="645"/>
      <c r="GC550" s="645"/>
      <c r="GD550" s="645"/>
      <c r="GE550" s="645"/>
      <c r="GF550" s="645"/>
      <c r="GG550" s="645"/>
      <c r="GH550" s="645"/>
      <c r="GI550" s="645"/>
      <c r="GJ550" s="645"/>
      <c r="GK550" s="645"/>
      <c r="GL550" s="645"/>
      <c r="GM550" s="645"/>
      <c r="GN550" s="645"/>
      <c r="GO550" s="645"/>
      <c r="GP550" s="645"/>
      <c r="GQ550" s="645"/>
      <c r="GR550" s="645"/>
      <c r="GS550" s="645"/>
      <c r="GT550" s="645"/>
      <c r="GU550" s="645"/>
      <c r="GV550" s="645"/>
      <c r="GW550" s="645"/>
      <c r="GX550" s="645"/>
      <c r="GY550" s="645"/>
      <c r="GZ550" s="645"/>
      <c r="HA550" s="645"/>
      <c r="HB550" s="645"/>
      <c r="HC550" s="645"/>
      <c r="HD550" s="645"/>
      <c r="HE550" s="645"/>
      <c r="IT550" s="645"/>
      <c r="IU550" s="645"/>
      <c r="IV550" s="645"/>
      <c r="IW550" s="645"/>
      <c r="IX550" s="645"/>
      <c r="IY550" s="645"/>
      <c r="IZ550" s="645"/>
      <c r="JA550" s="645"/>
      <c r="JB550" s="645"/>
      <c r="JC550" s="645"/>
      <c r="JD550" s="645"/>
      <c r="JE550" s="645"/>
      <c r="JF550" s="645"/>
      <c r="JG550" s="645"/>
      <c r="JH550" s="645"/>
      <c r="JI550" s="645"/>
      <c r="JJ550" s="645"/>
      <c r="JK550" s="645"/>
      <c r="JL550" s="645"/>
      <c r="JM550" s="645"/>
      <c r="JN550" s="645"/>
      <c r="JO550" s="645"/>
      <c r="JP550" s="645"/>
      <c r="JQ550" s="645"/>
      <c r="JR550" s="645"/>
      <c r="JS550" s="645"/>
      <c r="JT550" s="645"/>
      <c r="JU550" s="645"/>
      <c r="JW550" s="522"/>
      <c r="JX550" s="522"/>
      <c r="JY550" s="522"/>
      <c r="JZ550" s="522"/>
      <c r="KA550" s="522"/>
      <c r="KB550" s="522"/>
      <c r="KC550" s="522"/>
      <c r="KD550" s="522"/>
      <c r="KE550" s="522"/>
      <c r="KF550" s="522"/>
      <c r="KG550" s="522"/>
      <c r="KH550" s="522"/>
      <c r="KI550" s="522"/>
      <c r="KJ550" s="522"/>
      <c r="KK550" s="522"/>
      <c r="KL550" s="522"/>
    </row>
    <row r="551" spans="101:298">
      <c r="CW551" s="646"/>
      <c r="CX551" s="646"/>
      <c r="CY551" s="625"/>
      <c r="CZ551" s="625"/>
      <c r="DA551" s="625"/>
      <c r="DB551" s="625"/>
      <c r="DC551" s="645"/>
      <c r="DD551" s="645"/>
      <c r="DE551" s="645"/>
      <c r="DF551" s="645"/>
      <c r="DG551" s="645"/>
      <c r="DH551" s="645"/>
      <c r="DI551" s="645"/>
      <c r="DJ551" s="645"/>
      <c r="DK551" s="645"/>
      <c r="DL551" s="645"/>
      <c r="DM551" s="645"/>
      <c r="DN551" s="645"/>
      <c r="DO551" s="645"/>
      <c r="DP551" s="645"/>
      <c r="DQ551" s="645"/>
      <c r="DR551" s="645"/>
      <c r="DS551" s="645"/>
      <c r="DT551" s="645"/>
      <c r="DU551" s="645"/>
      <c r="DV551" s="645"/>
      <c r="DW551" s="645"/>
      <c r="DX551" s="645"/>
      <c r="DY551" s="645"/>
      <c r="DZ551" s="645"/>
      <c r="EA551" s="645"/>
      <c r="EB551" s="645"/>
      <c r="EC551" s="645"/>
      <c r="ED551" s="645"/>
      <c r="EE551" s="645"/>
      <c r="EF551" s="645"/>
      <c r="EG551" s="645"/>
      <c r="EH551" s="645"/>
      <c r="EI551" s="645"/>
      <c r="EJ551" s="645"/>
      <c r="EK551" s="645"/>
      <c r="EL551" s="645"/>
      <c r="EM551" s="645"/>
      <c r="EN551" s="645"/>
      <c r="EO551" s="645"/>
      <c r="EP551" s="645"/>
      <c r="EQ551" s="645"/>
      <c r="ER551" s="645"/>
      <c r="ES551" s="645"/>
      <c r="ET551" s="645"/>
      <c r="EU551" s="645"/>
      <c r="EV551" s="645"/>
      <c r="EW551" s="645"/>
      <c r="EX551" s="645"/>
      <c r="EY551" s="645"/>
      <c r="EZ551" s="645"/>
      <c r="FA551" s="645"/>
      <c r="FB551" s="645"/>
      <c r="FC551" s="645"/>
      <c r="FD551" s="645"/>
      <c r="FE551" s="645"/>
      <c r="FF551" s="645"/>
      <c r="FG551" s="645"/>
      <c r="FH551" s="645"/>
      <c r="FI551" s="645"/>
      <c r="FJ551" s="645"/>
      <c r="FK551" s="645"/>
      <c r="FL551" s="645"/>
      <c r="FM551" s="645"/>
      <c r="FN551" s="645"/>
      <c r="FO551" s="645"/>
      <c r="FP551" s="645"/>
      <c r="FQ551" s="645"/>
      <c r="FR551" s="645"/>
      <c r="FS551" s="645"/>
      <c r="FT551" s="645"/>
      <c r="FU551" s="645"/>
      <c r="FV551" s="645"/>
      <c r="FW551" s="645"/>
      <c r="FX551" s="645"/>
      <c r="FY551" s="645"/>
      <c r="FZ551" s="645"/>
      <c r="GA551" s="645"/>
      <c r="GB551" s="645"/>
      <c r="GC551" s="645"/>
      <c r="GD551" s="645"/>
      <c r="GE551" s="645"/>
      <c r="GF551" s="645"/>
      <c r="GG551" s="645"/>
      <c r="GH551" s="645"/>
      <c r="GI551" s="645"/>
      <c r="GJ551" s="645"/>
      <c r="GK551" s="645"/>
      <c r="GL551" s="645"/>
      <c r="GM551" s="645"/>
      <c r="GN551" s="645"/>
      <c r="GO551" s="645"/>
      <c r="GP551" s="645"/>
      <c r="GQ551" s="645"/>
      <c r="GR551" s="645"/>
      <c r="GS551" s="645"/>
      <c r="GT551" s="645"/>
      <c r="GU551" s="645"/>
      <c r="GV551" s="645"/>
      <c r="GW551" s="645"/>
      <c r="GX551" s="645"/>
      <c r="GY551" s="645"/>
      <c r="GZ551" s="645"/>
      <c r="HA551" s="645"/>
      <c r="HB551" s="645"/>
      <c r="HC551" s="645"/>
      <c r="HD551" s="645"/>
      <c r="HE551" s="645"/>
      <c r="IT551" s="645"/>
      <c r="IU551" s="645"/>
      <c r="IV551" s="645"/>
      <c r="IW551" s="645"/>
      <c r="IX551" s="645"/>
      <c r="IY551" s="645"/>
      <c r="IZ551" s="645"/>
      <c r="JA551" s="645"/>
      <c r="JB551" s="645"/>
      <c r="JC551" s="645"/>
      <c r="JD551" s="645"/>
      <c r="JE551" s="645"/>
      <c r="JF551" s="645"/>
      <c r="JG551" s="645"/>
      <c r="JH551" s="645"/>
      <c r="JI551" s="645"/>
      <c r="JJ551" s="645"/>
      <c r="JK551" s="645"/>
      <c r="JL551" s="645"/>
      <c r="JM551" s="645"/>
      <c r="JN551" s="645"/>
      <c r="JO551" s="645"/>
      <c r="JP551" s="645"/>
      <c r="JQ551" s="645"/>
      <c r="JR551" s="645"/>
      <c r="JS551" s="645"/>
      <c r="JT551" s="645"/>
      <c r="JU551" s="645"/>
      <c r="JW551" s="522"/>
      <c r="JX551" s="522"/>
      <c r="JY551" s="522"/>
      <c r="JZ551" s="522"/>
      <c r="KA551" s="522"/>
      <c r="KB551" s="522"/>
      <c r="KC551" s="522"/>
      <c r="KD551" s="522"/>
      <c r="KE551" s="522"/>
      <c r="KF551" s="522"/>
      <c r="KG551" s="522"/>
      <c r="KH551" s="522"/>
      <c r="KI551" s="522"/>
      <c r="KJ551" s="522"/>
      <c r="KK551" s="522"/>
      <c r="KL551" s="522"/>
    </row>
    <row r="552" spans="101:298">
      <c r="CW552" s="646"/>
      <c r="CX552" s="646"/>
      <c r="CY552" s="625"/>
      <c r="CZ552" s="625"/>
      <c r="DA552" s="625"/>
      <c r="DB552" s="625"/>
      <c r="DC552" s="645"/>
      <c r="DD552" s="645"/>
      <c r="DE552" s="645"/>
      <c r="DF552" s="645"/>
      <c r="DG552" s="645"/>
      <c r="DH552" s="645"/>
      <c r="DI552" s="645"/>
      <c r="DJ552" s="645"/>
      <c r="DK552" s="645"/>
      <c r="DL552" s="645"/>
      <c r="DM552" s="645"/>
      <c r="DN552" s="645"/>
      <c r="DO552" s="645"/>
      <c r="DP552" s="645"/>
      <c r="DQ552" s="645"/>
      <c r="DR552" s="645"/>
      <c r="DS552" s="645"/>
      <c r="DT552" s="645"/>
      <c r="DU552" s="645"/>
      <c r="DV552" s="645"/>
      <c r="DW552" s="645"/>
      <c r="DX552" s="645"/>
      <c r="DY552" s="645"/>
      <c r="DZ552" s="645"/>
      <c r="EA552" s="645"/>
      <c r="EB552" s="645"/>
      <c r="EC552" s="645"/>
      <c r="ED552" s="645"/>
      <c r="EE552" s="645"/>
      <c r="EF552" s="645"/>
      <c r="EG552" s="645"/>
      <c r="EH552" s="645"/>
      <c r="EI552" s="645"/>
      <c r="EJ552" s="645"/>
      <c r="EK552" s="645"/>
      <c r="EL552" s="645"/>
      <c r="EM552" s="645"/>
      <c r="EN552" s="645"/>
      <c r="EO552" s="645"/>
      <c r="EP552" s="645"/>
      <c r="EQ552" s="645"/>
      <c r="ER552" s="645"/>
      <c r="ES552" s="645"/>
      <c r="ET552" s="645"/>
      <c r="EU552" s="645"/>
      <c r="EV552" s="645"/>
      <c r="EW552" s="645"/>
      <c r="EX552" s="645"/>
      <c r="EY552" s="645"/>
      <c r="EZ552" s="645"/>
      <c r="FA552" s="645"/>
      <c r="FB552" s="645"/>
      <c r="FC552" s="645"/>
      <c r="FD552" s="645"/>
      <c r="FE552" s="645"/>
      <c r="FF552" s="645"/>
      <c r="FG552" s="645"/>
      <c r="FH552" s="645"/>
      <c r="FI552" s="645"/>
      <c r="FJ552" s="645"/>
      <c r="FK552" s="645"/>
      <c r="FL552" s="645"/>
      <c r="FM552" s="645"/>
      <c r="FN552" s="645"/>
      <c r="FO552" s="645"/>
      <c r="FP552" s="645"/>
      <c r="FQ552" s="645"/>
      <c r="FR552" s="645"/>
      <c r="FS552" s="645"/>
      <c r="FT552" s="645"/>
      <c r="FU552" s="645"/>
      <c r="FV552" s="645"/>
      <c r="FW552" s="645"/>
      <c r="FX552" s="645"/>
      <c r="FY552" s="645"/>
      <c r="FZ552" s="645"/>
      <c r="GA552" s="645"/>
      <c r="GB552" s="645"/>
      <c r="GC552" s="645"/>
      <c r="GD552" s="645"/>
      <c r="GE552" s="645"/>
      <c r="GF552" s="645"/>
      <c r="GG552" s="645"/>
      <c r="GH552" s="645"/>
      <c r="GI552" s="645"/>
      <c r="GJ552" s="645"/>
      <c r="GK552" s="645"/>
      <c r="GL552" s="645"/>
      <c r="GM552" s="645"/>
      <c r="GN552" s="645"/>
      <c r="GO552" s="645"/>
      <c r="GP552" s="645"/>
      <c r="GQ552" s="645"/>
      <c r="GR552" s="645"/>
      <c r="GS552" s="645"/>
      <c r="GT552" s="645"/>
      <c r="GU552" s="645"/>
      <c r="GV552" s="645"/>
      <c r="GW552" s="645"/>
      <c r="GX552" s="645"/>
      <c r="GY552" s="645"/>
      <c r="GZ552" s="645"/>
      <c r="HA552" s="645"/>
      <c r="HB552" s="645"/>
      <c r="HC552" s="645"/>
      <c r="HD552" s="645"/>
      <c r="HE552" s="645"/>
      <c r="IT552" s="645"/>
      <c r="IU552" s="645"/>
      <c r="IV552" s="645"/>
      <c r="IW552" s="645"/>
      <c r="IX552" s="645"/>
      <c r="IY552" s="645"/>
      <c r="IZ552" s="645"/>
      <c r="JA552" s="645"/>
      <c r="JB552" s="645"/>
      <c r="JC552" s="645"/>
      <c r="JD552" s="645"/>
      <c r="JE552" s="645"/>
      <c r="JF552" s="645"/>
      <c r="JG552" s="645"/>
      <c r="JH552" s="645"/>
      <c r="JI552" s="645"/>
      <c r="JJ552" s="645"/>
      <c r="JK552" s="645"/>
      <c r="JL552" s="645"/>
      <c r="JM552" s="645"/>
      <c r="JN552" s="645"/>
      <c r="JO552" s="645"/>
      <c r="JP552" s="645"/>
      <c r="JQ552" s="645"/>
      <c r="JR552" s="645"/>
      <c r="JS552" s="645"/>
      <c r="JT552" s="645"/>
      <c r="JU552" s="645"/>
      <c r="JW552" s="522"/>
      <c r="JX552" s="522"/>
      <c r="JY552" s="522"/>
      <c r="JZ552" s="522"/>
      <c r="KA552" s="522"/>
      <c r="KB552" s="522"/>
      <c r="KC552" s="522"/>
      <c r="KD552" s="522"/>
      <c r="KE552" s="522"/>
      <c r="KF552" s="522"/>
      <c r="KG552" s="522"/>
      <c r="KH552" s="522"/>
      <c r="KI552" s="522"/>
      <c r="KJ552" s="522"/>
      <c r="KK552" s="522"/>
      <c r="KL552" s="522"/>
    </row>
    <row r="553" spans="101:298">
      <c r="CW553" s="646"/>
      <c r="CX553" s="646"/>
      <c r="CY553" s="625"/>
      <c r="CZ553" s="625"/>
      <c r="DA553" s="625"/>
      <c r="DB553" s="625"/>
      <c r="DC553" s="645"/>
      <c r="DD553" s="645"/>
      <c r="DE553" s="645"/>
      <c r="DF553" s="645"/>
      <c r="DG553" s="645"/>
      <c r="DH553" s="645"/>
      <c r="DI553" s="645"/>
      <c r="DJ553" s="645"/>
      <c r="DK553" s="645"/>
      <c r="DL553" s="645"/>
      <c r="DM553" s="645"/>
      <c r="DN553" s="645"/>
      <c r="DO553" s="645"/>
      <c r="DP553" s="645"/>
      <c r="DQ553" s="645"/>
      <c r="DR553" s="645"/>
      <c r="DS553" s="645"/>
      <c r="DT553" s="645"/>
      <c r="DU553" s="645"/>
      <c r="DV553" s="645"/>
      <c r="DW553" s="645"/>
      <c r="DX553" s="645"/>
      <c r="DY553" s="645"/>
      <c r="DZ553" s="645"/>
      <c r="EA553" s="645"/>
      <c r="EB553" s="645"/>
      <c r="EC553" s="645"/>
      <c r="ED553" s="645"/>
      <c r="EE553" s="645"/>
      <c r="EF553" s="645"/>
      <c r="EG553" s="645"/>
      <c r="EH553" s="645"/>
      <c r="EI553" s="645"/>
      <c r="EJ553" s="645"/>
      <c r="EK553" s="645"/>
      <c r="EL553" s="645"/>
      <c r="EM553" s="645"/>
      <c r="EN553" s="645"/>
      <c r="EO553" s="645"/>
      <c r="EP553" s="645"/>
      <c r="EQ553" s="645"/>
      <c r="ER553" s="645"/>
      <c r="ES553" s="645"/>
      <c r="ET553" s="645"/>
      <c r="EU553" s="645"/>
      <c r="EV553" s="645"/>
      <c r="EW553" s="645"/>
      <c r="EX553" s="645"/>
      <c r="EY553" s="645"/>
      <c r="EZ553" s="645"/>
      <c r="FA553" s="645"/>
      <c r="FB553" s="645"/>
      <c r="FC553" s="645"/>
      <c r="FD553" s="645"/>
      <c r="FE553" s="645"/>
      <c r="FF553" s="645"/>
      <c r="FG553" s="645"/>
      <c r="FH553" s="645"/>
      <c r="FI553" s="645"/>
      <c r="FJ553" s="645"/>
      <c r="FK553" s="645"/>
      <c r="FL553" s="645"/>
      <c r="FM553" s="645"/>
      <c r="FN553" s="645"/>
      <c r="FO553" s="645"/>
      <c r="FP553" s="645"/>
      <c r="FQ553" s="645"/>
      <c r="FR553" s="645"/>
      <c r="FS553" s="645"/>
      <c r="FT553" s="645"/>
      <c r="FU553" s="645"/>
      <c r="FV553" s="645"/>
      <c r="FW553" s="645"/>
      <c r="FX553" s="645"/>
      <c r="FY553" s="645"/>
      <c r="FZ553" s="645"/>
      <c r="GA553" s="645"/>
      <c r="GB553" s="645"/>
      <c r="GC553" s="645"/>
      <c r="GD553" s="645"/>
      <c r="GE553" s="645"/>
      <c r="GF553" s="645"/>
      <c r="GG553" s="645"/>
      <c r="GH553" s="645"/>
      <c r="GI553" s="645"/>
      <c r="GJ553" s="645"/>
      <c r="GK553" s="645"/>
      <c r="GL553" s="645"/>
      <c r="GM553" s="645"/>
      <c r="GN553" s="645"/>
      <c r="GO553" s="645"/>
      <c r="GP553" s="645"/>
      <c r="GQ553" s="645"/>
      <c r="GR553" s="645"/>
      <c r="GS553" s="645"/>
      <c r="GT553" s="645"/>
      <c r="GU553" s="645"/>
      <c r="GV553" s="645"/>
      <c r="GW553" s="645"/>
      <c r="GX553" s="645"/>
      <c r="GY553" s="645"/>
      <c r="GZ553" s="645"/>
      <c r="HA553" s="645"/>
      <c r="HB553" s="645"/>
      <c r="HC553" s="645"/>
      <c r="HD553" s="645"/>
      <c r="HE553" s="645"/>
      <c r="IT553" s="645"/>
      <c r="IU553" s="645"/>
      <c r="IV553" s="645"/>
      <c r="IW553" s="645"/>
      <c r="IX553" s="645"/>
      <c r="IY553" s="645"/>
      <c r="IZ553" s="645"/>
      <c r="JA553" s="645"/>
      <c r="JB553" s="645"/>
      <c r="JC553" s="645"/>
      <c r="JD553" s="645"/>
      <c r="JE553" s="645"/>
      <c r="JF553" s="645"/>
      <c r="JG553" s="645"/>
      <c r="JH553" s="645"/>
      <c r="JI553" s="645"/>
      <c r="JJ553" s="645"/>
      <c r="JK553" s="645"/>
      <c r="JL553" s="645"/>
      <c r="JM553" s="645"/>
      <c r="JN553" s="645"/>
      <c r="JO553" s="645"/>
      <c r="JP553" s="645"/>
      <c r="JQ553" s="645"/>
      <c r="JR553" s="645"/>
      <c r="JS553" s="645"/>
      <c r="JT553" s="645"/>
      <c r="JU553" s="645"/>
      <c r="JW553" s="522"/>
      <c r="JX553" s="522"/>
      <c r="JY553" s="522"/>
      <c r="JZ553" s="522"/>
      <c r="KA553" s="522"/>
      <c r="KB553" s="522"/>
      <c r="KC553" s="522"/>
      <c r="KD553" s="522"/>
      <c r="KE553" s="522"/>
      <c r="KF553" s="522"/>
      <c r="KG553" s="522"/>
      <c r="KH553" s="522"/>
      <c r="KI553" s="522"/>
      <c r="KJ553" s="522"/>
      <c r="KK553" s="522"/>
      <c r="KL553" s="522"/>
    </row>
    <row r="554" spans="101:298">
      <c r="CW554" s="646"/>
      <c r="CX554" s="646"/>
      <c r="CY554" s="625"/>
      <c r="CZ554" s="625"/>
      <c r="DA554" s="625"/>
      <c r="DB554" s="625"/>
      <c r="DC554" s="645"/>
      <c r="DD554" s="645"/>
      <c r="DE554" s="645"/>
      <c r="DF554" s="645"/>
      <c r="DG554" s="645"/>
      <c r="DH554" s="645"/>
      <c r="DI554" s="645"/>
      <c r="DJ554" s="645"/>
      <c r="DK554" s="645"/>
      <c r="DL554" s="645"/>
      <c r="DM554" s="645"/>
      <c r="DN554" s="645"/>
      <c r="DO554" s="645"/>
      <c r="DP554" s="645"/>
      <c r="DQ554" s="645"/>
      <c r="DR554" s="645"/>
      <c r="DS554" s="645"/>
      <c r="DT554" s="645"/>
      <c r="DU554" s="645"/>
      <c r="DV554" s="645"/>
      <c r="DW554" s="645"/>
      <c r="DX554" s="645"/>
      <c r="DY554" s="645"/>
      <c r="DZ554" s="645"/>
      <c r="EA554" s="645"/>
      <c r="EB554" s="645"/>
      <c r="EC554" s="645"/>
      <c r="ED554" s="645"/>
      <c r="EE554" s="645"/>
      <c r="EF554" s="645"/>
      <c r="EG554" s="645"/>
      <c r="EH554" s="645"/>
      <c r="EI554" s="645"/>
      <c r="EJ554" s="645"/>
      <c r="EK554" s="645"/>
      <c r="EL554" s="645"/>
      <c r="EM554" s="645"/>
      <c r="EN554" s="645"/>
      <c r="EO554" s="645"/>
      <c r="EP554" s="645"/>
      <c r="EQ554" s="645"/>
      <c r="ER554" s="645"/>
      <c r="ES554" s="645"/>
      <c r="ET554" s="645"/>
      <c r="EU554" s="645"/>
      <c r="EV554" s="645"/>
      <c r="EW554" s="645"/>
      <c r="EX554" s="645"/>
      <c r="EY554" s="645"/>
      <c r="EZ554" s="645"/>
      <c r="FA554" s="645"/>
      <c r="FB554" s="645"/>
      <c r="FC554" s="645"/>
      <c r="FD554" s="645"/>
      <c r="FE554" s="645"/>
      <c r="FF554" s="645"/>
      <c r="FG554" s="645"/>
      <c r="FH554" s="645"/>
      <c r="FI554" s="645"/>
      <c r="FJ554" s="645"/>
      <c r="FK554" s="645"/>
      <c r="FL554" s="645"/>
      <c r="FM554" s="645"/>
      <c r="FN554" s="645"/>
      <c r="FO554" s="645"/>
      <c r="FP554" s="645"/>
      <c r="FQ554" s="645"/>
      <c r="FR554" s="645"/>
      <c r="FS554" s="645"/>
      <c r="FT554" s="645"/>
      <c r="FU554" s="645"/>
      <c r="FV554" s="645"/>
      <c r="FW554" s="645"/>
      <c r="FX554" s="645"/>
      <c r="FY554" s="645"/>
      <c r="FZ554" s="645"/>
      <c r="GA554" s="645"/>
      <c r="GB554" s="645"/>
      <c r="GC554" s="645"/>
      <c r="GD554" s="645"/>
      <c r="GE554" s="645"/>
      <c r="GF554" s="645"/>
      <c r="GG554" s="645"/>
      <c r="GH554" s="645"/>
      <c r="GI554" s="645"/>
      <c r="GJ554" s="645"/>
      <c r="GK554" s="645"/>
      <c r="GL554" s="645"/>
      <c r="GM554" s="645"/>
      <c r="GN554" s="645"/>
      <c r="GO554" s="645"/>
      <c r="GP554" s="645"/>
      <c r="GQ554" s="645"/>
      <c r="GR554" s="645"/>
      <c r="GS554" s="645"/>
      <c r="GT554" s="645"/>
      <c r="GU554" s="645"/>
      <c r="GV554" s="645"/>
      <c r="GW554" s="645"/>
      <c r="GX554" s="645"/>
      <c r="GY554" s="645"/>
      <c r="GZ554" s="645"/>
      <c r="HA554" s="645"/>
      <c r="HB554" s="645"/>
      <c r="HC554" s="645"/>
      <c r="HD554" s="645"/>
      <c r="HE554" s="645"/>
      <c r="IT554" s="645"/>
      <c r="IU554" s="645"/>
      <c r="IV554" s="645"/>
      <c r="IW554" s="645"/>
      <c r="IX554" s="645"/>
      <c r="IY554" s="645"/>
      <c r="IZ554" s="645"/>
      <c r="JA554" s="645"/>
      <c r="JB554" s="645"/>
      <c r="JC554" s="645"/>
      <c r="JD554" s="645"/>
      <c r="JE554" s="645"/>
      <c r="JF554" s="645"/>
      <c r="JG554" s="645"/>
      <c r="JH554" s="645"/>
      <c r="JI554" s="645"/>
      <c r="JJ554" s="645"/>
      <c r="JK554" s="645"/>
      <c r="JL554" s="645"/>
      <c r="JM554" s="645"/>
      <c r="JN554" s="645"/>
      <c r="JO554" s="645"/>
      <c r="JP554" s="645"/>
      <c r="JQ554" s="645"/>
      <c r="JR554" s="645"/>
      <c r="JS554" s="645"/>
      <c r="JT554" s="645"/>
      <c r="JU554" s="645"/>
      <c r="JW554" s="522"/>
      <c r="JX554" s="522"/>
      <c r="JY554" s="522"/>
      <c r="JZ554" s="522"/>
      <c r="KA554" s="522"/>
      <c r="KB554" s="522"/>
      <c r="KC554" s="522"/>
      <c r="KD554" s="522"/>
      <c r="KE554" s="522"/>
      <c r="KF554" s="522"/>
      <c r="KG554" s="522"/>
      <c r="KH554" s="522"/>
      <c r="KI554" s="522"/>
      <c r="KJ554" s="522"/>
      <c r="KK554" s="522"/>
      <c r="KL554" s="522"/>
    </row>
    <row r="555" spans="101:298">
      <c r="CW555" s="646"/>
      <c r="CX555" s="646"/>
      <c r="CY555" s="625"/>
      <c r="CZ555" s="625"/>
      <c r="DA555" s="625"/>
      <c r="DB555" s="625"/>
      <c r="DC555" s="645"/>
      <c r="DD555" s="645"/>
      <c r="DE555" s="645"/>
      <c r="DF555" s="645"/>
      <c r="DG555" s="645"/>
      <c r="DH555" s="645"/>
      <c r="DI555" s="645"/>
      <c r="DJ555" s="645"/>
      <c r="DK555" s="645"/>
      <c r="DL555" s="645"/>
      <c r="DM555" s="645"/>
      <c r="DN555" s="645"/>
      <c r="DO555" s="645"/>
      <c r="DP555" s="645"/>
      <c r="DQ555" s="645"/>
      <c r="DR555" s="645"/>
      <c r="DS555" s="645"/>
      <c r="DT555" s="645"/>
      <c r="DU555" s="645"/>
      <c r="DV555" s="645"/>
      <c r="DW555" s="645"/>
      <c r="DX555" s="645"/>
      <c r="DY555" s="645"/>
      <c r="DZ555" s="645"/>
      <c r="EA555" s="645"/>
      <c r="EB555" s="645"/>
      <c r="EC555" s="645"/>
      <c r="ED555" s="645"/>
      <c r="EE555" s="645"/>
      <c r="EF555" s="645"/>
      <c r="EG555" s="645"/>
      <c r="EH555" s="645"/>
      <c r="EI555" s="645"/>
      <c r="EJ555" s="645"/>
      <c r="EK555" s="645"/>
      <c r="EL555" s="645"/>
      <c r="EM555" s="645"/>
      <c r="EN555" s="645"/>
      <c r="EO555" s="645"/>
      <c r="EP555" s="645"/>
      <c r="EQ555" s="645"/>
      <c r="ER555" s="645"/>
      <c r="ES555" s="645"/>
      <c r="ET555" s="645"/>
      <c r="EU555" s="645"/>
      <c r="EV555" s="645"/>
      <c r="EW555" s="645"/>
      <c r="EX555" s="645"/>
      <c r="EY555" s="645"/>
      <c r="EZ555" s="645"/>
      <c r="FA555" s="645"/>
      <c r="FB555" s="645"/>
      <c r="FC555" s="645"/>
      <c r="FD555" s="645"/>
      <c r="FE555" s="645"/>
      <c r="FF555" s="645"/>
      <c r="FG555" s="645"/>
      <c r="FH555" s="645"/>
      <c r="FI555" s="645"/>
      <c r="FJ555" s="645"/>
      <c r="FK555" s="645"/>
      <c r="FL555" s="645"/>
      <c r="FM555" s="645"/>
      <c r="FN555" s="645"/>
      <c r="FO555" s="645"/>
      <c r="FP555" s="645"/>
      <c r="FQ555" s="645"/>
      <c r="FR555" s="645"/>
      <c r="FS555" s="645"/>
      <c r="FT555" s="645"/>
      <c r="FU555" s="645"/>
      <c r="FV555" s="645"/>
      <c r="FW555" s="645"/>
      <c r="FX555" s="645"/>
      <c r="FY555" s="645"/>
      <c r="FZ555" s="645"/>
      <c r="GA555" s="645"/>
      <c r="GB555" s="645"/>
      <c r="GC555" s="645"/>
      <c r="GD555" s="645"/>
      <c r="GE555" s="645"/>
      <c r="GF555" s="645"/>
      <c r="GG555" s="645"/>
      <c r="GH555" s="645"/>
      <c r="GI555" s="645"/>
      <c r="GJ555" s="645"/>
      <c r="GK555" s="645"/>
      <c r="GL555" s="645"/>
      <c r="GM555" s="645"/>
      <c r="GN555" s="645"/>
      <c r="GO555" s="645"/>
      <c r="GP555" s="645"/>
      <c r="GQ555" s="645"/>
      <c r="GR555" s="645"/>
      <c r="GS555" s="645"/>
      <c r="GT555" s="645"/>
      <c r="GU555" s="645"/>
      <c r="GV555" s="645"/>
      <c r="GW555" s="645"/>
      <c r="GX555" s="645"/>
      <c r="GY555" s="645"/>
      <c r="GZ555" s="645"/>
      <c r="HA555" s="645"/>
      <c r="HB555" s="645"/>
      <c r="HC555" s="645"/>
      <c r="HD555" s="645"/>
      <c r="HE555" s="645"/>
      <c r="IT555" s="645"/>
      <c r="IU555" s="645"/>
      <c r="IV555" s="645"/>
      <c r="IW555" s="645"/>
      <c r="IX555" s="645"/>
      <c r="IY555" s="645"/>
      <c r="IZ555" s="645"/>
      <c r="JA555" s="645"/>
      <c r="JB555" s="645"/>
      <c r="JC555" s="645"/>
      <c r="JD555" s="645"/>
      <c r="JE555" s="645"/>
      <c r="JF555" s="645"/>
      <c r="JG555" s="645"/>
      <c r="JH555" s="645"/>
      <c r="JI555" s="645"/>
      <c r="JJ555" s="645"/>
      <c r="JK555" s="645"/>
      <c r="JL555" s="645"/>
      <c r="JM555" s="645"/>
      <c r="JN555" s="645"/>
      <c r="JO555" s="645"/>
      <c r="JP555" s="645"/>
      <c r="JQ555" s="645"/>
      <c r="JR555" s="645"/>
      <c r="JS555" s="645"/>
      <c r="JT555" s="645"/>
      <c r="JU555" s="645"/>
      <c r="JW555" s="522"/>
      <c r="JX555" s="522"/>
      <c r="JY555" s="522"/>
      <c r="JZ555" s="522"/>
      <c r="KA555" s="522"/>
      <c r="KB555" s="522"/>
      <c r="KC555" s="522"/>
      <c r="KD555" s="522"/>
      <c r="KE555" s="522"/>
      <c r="KF555" s="522"/>
      <c r="KG555" s="522"/>
      <c r="KH555" s="522"/>
      <c r="KI555" s="522"/>
      <c r="KJ555" s="522"/>
      <c r="KK555" s="522"/>
      <c r="KL555" s="522"/>
    </row>
    <row r="556" spans="101:298">
      <c r="CW556" s="646"/>
      <c r="CX556" s="646"/>
      <c r="CY556" s="625"/>
      <c r="CZ556" s="625"/>
      <c r="DA556" s="625"/>
      <c r="DB556" s="625"/>
      <c r="DC556" s="645"/>
      <c r="DD556" s="645"/>
      <c r="DE556" s="645"/>
      <c r="DF556" s="645"/>
      <c r="DG556" s="645"/>
      <c r="DH556" s="645"/>
      <c r="DI556" s="645"/>
      <c r="DJ556" s="645"/>
      <c r="DK556" s="645"/>
      <c r="DL556" s="645"/>
      <c r="DM556" s="645"/>
      <c r="DN556" s="645"/>
      <c r="DO556" s="645"/>
      <c r="DP556" s="645"/>
      <c r="DQ556" s="645"/>
      <c r="DR556" s="645"/>
      <c r="DS556" s="645"/>
      <c r="DT556" s="645"/>
      <c r="DU556" s="645"/>
      <c r="DV556" s="645"/>
      <c r="DW556" s="645"/>
      <c r="DX556" s="645"/>
      <c r="DY556" s="645"/>
      <c r="DZ556" s="645"/>
      <c r="EA556" s="645"/>
      <c r="EB556" s="645"/>
      <c r="EC556" s="645"/>
      <c r="ED556" s="645"/>
      <c r="EE556" s="645"/>
      <c r="EF556" s="645"/>
      <c r="EG556" s="645"/>
      <c r="EH556" s="645"/>
      <c r="EI556" s="645"/>
      <c r="EJ556" s="645"/>
      <c r="EK556" s="645"/>
      <c r="EL556" s="645"/>
      <c r="EM556" s="645"/>
      <c r="EN556" s="645"/>
      <c r="EO556" s="645"/>
      <c r="EP556" s="645"/>
      <c r="EQ556" s="645"/>
      <c r="ER556" s="645"/>
      <c r="ES556" s="645"/>
      <c r="ET556" s="645"/>
      <c r="EU556" s="645"/>
      <c r="EV556" s="645"/>
      <c r="EW556" s="645"/>
      <c r="EX556" s="645"/>
      <c r="EY556" s="645"/>
      <c r="EZ556" s="645"/>
      <c r="FA556" s="645"/>
      <c r="FB556" s="645"/>
      <c r="FC556" s="645"/>
      <c r="FD556" s="645"/>
      <c r="FE556" s="645"/>
      <c r="FF556" s="645"/>
      <c r="FG556" s="645"/>
      <c r="FH556" s="645"/>
      <c r="FI556" s="645"/>
      <c r="FJ556" s="645"/>
      <c r="FK556" s="645"/>
      <c r="FL556" s="645"/>
      <c r="FM556" s="645"/>
      <c r="FN556" s="645"/>
      <c r="FO556" s="645"/>
      <c r="FP556" s="645"/>
      <c r="FQ556" s="645"/>
      <c r="FR556" s="645"/>
      <c r="FS556" s="645"/>
      <c r="FT556" s="645"/>
      <c r="FU556" s="645"/>
      <c r="FV556" s="645"/>
      <c r="FW556" s="645"/>
      <c r="FX556" s="645"/>
      <c r="FY556" s="645"/>
      <c r="FZ556" s="645"/>
      <c r="GA556" s="645"/>
      <c r="GB556" s="645"/>
      <c r="GC556" s="645"/>
      <c r="GD556" s="645"/>
      <c r="GE556" s="645"/>
      <c r="GF556" s="645"/>
      <c r="GG556" s="645"/>
      <c r="GH556" s="645"/>
      <c r="GI556" s="645"/>
      <c r="GJ556" s="645"/>
      <c r="GK556" s="645"/>
      <c r="GL556" s="645"/>
      <c r="GM556" s="645"/>
      <c r="GN556" s="645"/>
      <c r="GO556" s="645"/>
      <c r="GP556" s="645"/>
      <c r="GQ556" s="645"/>
      <c r="GR556" s="645"/>
      <c r="GS556" s="645"/>
      <c r="GT556" s="645"/>
      <c r="GU556" s="645"/>
      <c r="GV556" s="645"/>
      <c r="GW556" s="645"/>
      <c r="GX556" s="645"/>
      <c r="GY556" s="645"/>
      <c r="GZ556" s="645"/>
      <c r="HA556" s="645"/>
      <c r="HB556" s="645"/>
      <c r="HC556" s="645"/>
      <c r="HD556" s="645"/>
      <c r="HE556" s="645"/>
      <c r="IT556" s="645"/>
      <c r="IU556" s="645"/>
      <c r="IV556" s="645"/>
      <c r="IW556" s="645"/>
      <c r="IX556" s="645"/>
      <c r="IY556" s="645"/>
      <c r="IZ556" s="645"/>
      <c r="JA556" s="645"/>
      <c r="JB556" s="645"/>
      <c r="JC556" s="645"/>
      <c r="JD556" s="645"/>
      <c r="JE556" s="645"/>
      <c r="JF556" s="645"/>
      <c r="JG556" s="645"/>
      <c r="JH556" s="645"/>
      <c r="JI556" s="645"/>
      <c r="JJ556" s="645"/>
      <c r="JK556" s="645"/>
      <c r="JL556" s="645"/>
      <c r="JM556" s="645"/>
      <c r="JN556" s="645"/>
      <c r="JO556" s="645"/>
      <c r="JP556" s="645"/>
      <c r="JQ556" s="645"/>
      <c r="JR556" s="645"/>
      <c r="JS556" s="645"/>
      <c r="JT556" s="645"/>
      <c r="JU556" s="645"/>
      <c r="JW556" s="522"/>
      <c r="JX556" s="522"/>
      <c r="JY556" s="522"/>
      <c r="JZ556" s="522"/>
      <c r="KA556" s="522"/>
      <c r="KB556" s="522"/>
      <c r="KC556" s="522"/>
      <c r="KD556" s="522"/>
      <c r="KE556" s="522"/>
      <c r="KF556" s="522"/>
      <c r="KG556" s="522"/>
      <c r="KH556" s="522"/>
      <c r="KI556" s="522"/>
      <c r="KJ556" s="522"/>
      <c r="KK556" s="522"/>
      <c r="KL556" s="522"/>
    </row>
    <row r="557" spans="101:298">
      <c r="CW557" s="646"/>
      <c r="CX557" s="646"/>
      <c r="CY557" s="625"/>
      <c r="CZ557" s="625"/>
      <c r="DA557" s="625"/>
      <c r="DB557" s="625"/>
      <c r="DC557" s="645"/>
      <c r="DD557" s="645"/>
      <c r="DE557" s="645"/>
      <c r="DF557" s="645"/>
      <c r="DG557" s="645"/>
      <c r="DH557" s="645"/>
      <c r="DI557" s="645"/>
      <c r="DJ557" s="645"/>
      <c r="DK557" s="645"/>
      <c r="DL557" s="645"/>
      <c r="DM557" s="645"/>
      <c r="DN557" s="645"/>
      <c r="DO557" s="645"/>
      <c r="DP557" s="645"/>
      <c r="DQ557" s="645"/>
      <c r="DR557" s="645"/>
      <c r="DS557" s="645"/>
      <c r="DT557" s="645"/>
      <c r="DU557" s="645"/>
      <c r="DV557" s="645"/>
      <c r="DW557" s="645"/>
      <c r="DX557" s="645"/>
      <c r="DY557" s="645"/>
      <c r="DZ557" s="645"/>
      <c r="EA557" s="645"/>
      <c r="EB557" s="645"/>
      <c r="EC557" s="645"/>
      <c r="ED557" s="645"/>
      <c r="EE557" s="645"/>
      <c r="EF557" s="645"/>
      <c r="EG557" s="645"/>
      <c r="EH557" s="645"/>
      <c r="EI557" s="645"/>
      <c r="EJ557" s="645"/>
      <c r="EK557" s="645"/>
      <c r="EL557" s="645"/>
      <c r="EM557" s="645"/>
      <c r="EN557" s="645"/>
      <c r="EO557" s="645"/>
      <c r="EP557" s="645"/>
      <c r="EQ557" s="645"/>
      <c r="ER557" s="645"/>
      <c r="ES557" s="645"/>
      <c r="ET557" s="645"/>
      <c r="EU557" s="645"/>
      <c r="EV557" s="645"/>
      <c r="EW557" s="645"/>
      <c r="EX557" s="645"/>
      <c r="EY557" s="645"/>
      <c r="EZ557" s="645"/>
      <c r="FA557" s="645"/>
      <c r="FB557" s="645"/>
      <c r="FC557" s="645"/>
      <c r="FD557" s="645"/>
      <c r="FE557" s="645"/>
      <c r="FF557" s="645"/>
      <c r="FG557" s="645"/>
      <c r="FH557" s="645"/>
      <c r="FI557" s="645"/>
      <c r="FJ557" s="645"/>
      <c r="FK557" s="645"/>
      <c r="FL557" s="645"/>
      <c r="FM557" s="645"/>
      <c r="FN557" s="645"/>
      <c r="FO557" s="645"/>
      <c r="FP557" s="645"/>
      <c r="FQ557" s="645"/>
      <c r="FR557" s="645"/>
      <c r="FS557" s="645"/>
      <c r="FT557" s="645"/>
      <c r="FU557" s="645"/>
      <c r="FV557" s="645"/>
      <c r="FW557" s="645"/>
      <c r="FX557" s="645"/>
      <c r="FY557" s="645"/>
      <c r="FZ557" s="645"/>
      <c r="GA557" s="645"/>
      <c r="GB557" s="645"/>
      <c r="GC557" s="645"/>
      <c r="GD557" s="645"/>
      <c r="GE557" s="645"/>
      <c r="GF557" s="645"/>
      <c r="GG557" s="645"/>
      <c r="GH557" s="645"/>
      <c r="GI557" s="645"/>
      <c r="GJ557" s="645"/>
      <c r="GK557" s="645"/>
      <c r="GL557" s="645"/>
      <c r="GM557" s="645"/>
      <c r="GN557" s="645"/>
      <c r="GO557" s="645"/>
      <c r="GP557" s="645"/>
      <c r="GQ557" s="645"/>
      <c r="GR557" s="645"/>
      <c r="GS557" s="645"/>
      <c r="GT557" s="645"/>
      <c r="GU557" s="645"/>
      <c r="GV557" s="645"/>
      <c r="GW557" s="645"/>
      <c r="GX557" s="645"/>
      <c r="GY557" s="645"/>
      <c r="GZ557" s="645"/>
      <c r="HA557" s="645"/>
      <c r="HB557" s="645"/>
      <c r="HC557" s="645"/>
      <c r="HD557" s="645"/>
      <c r="HE557" s="645"/>
      <c r="IT557" s="645"/>
      <c r="IU557" s="645"/>
      <c r="IV557" s="645"/>
      <c r="IW557" s="645"/>
      <c r="IX557" s="645"/>
      <c r="IY557" s="645"/>
      <c r="IZ557" s="645"/>
      <c r="JA557" s="645"/>
      <c r="JB557" s="645"/>
      <c r="JC557" s="645"/>
      <c r="JD557" s="645"/>
      <c r="JE557" s="645"/>
      <c r="JF557" s="645"/>
      <c r="JG557" s="645"/>
      <c r="JH557" s="645"/>
      <c r="JI557" s="645"/>
      <c r="JJ557" s="645"/>
      <c r="JK557" s="645"/>
      <c r="JL557" s="645"/>
      <c r="JM557" s="645"/>
      <c r="JN557" s="645"/>
      <c r="JO557" s="645"/>
      <c r="JP557" s="645"/>
      <c r="JQ557" s="645"/>
      <c r="JR557" s="645"/>
      <c r="JS557" s="645"/>
      <c r="JT557" s="645"/>
      <c r="JU557" s="645"/>
      <c r="JW557" s="522"/>
      <c r="JX557" s="522"/>
      <c r="JY557" s="522"/>
      <c r="JZ557" s="522"/>
      <c r="KA557" s="522"/>
      <c r="KB557" s="522"/>
      <c r="KC557" s="522"/>
      <c r="KD557" s="522"/>
      <c r="KE557" s="522"/>
      <c r="KF557" s="522"/>
      <c r="KG557" s="522"/>
      <c r="KH557" s="522"/>
      <c r="KI557" s="522"/>
      <c r="KJ557" s="522"/>
      <c r="KK557" s="522"/>
      <c r="KL557" s="522"/>
    </row>
    <row r="558" spans="101:298">
      <c r="CW558" s="646"/>
      <c r="CX558" s="646"/>
      <c r="CY558" s="625"/>
      <c r="CZ558" s="625"/>
      <c r="DA558" s="625"/>
      <c r="DB558" s="625"/>
      <c r="DC558" s="645"/>
      <c r="DD558" s="645"/>
      <c r="DE558" s="645"/>
      <c r="DF558" s="645"/>
      <c r="DG558" s="645"/>
      <c r="DH558" s="645"/>
      <c r="DI558" s="645"/>
      <c r="DJ558" s="645"/>
      <c r="DK558" s="645"/>
      <c r="DL558" s="645"/>
      <c r="DM558" s="645"/>
      <c r="DN558" s="645"/>
      <c r="DO558" s="645"/>
      <c r="DP558" s="645"/>
      <c r="DQ558" s="645"/>
      <c r="DR558" s="645"/>
      <c r="DS558" s="645"/>
      <c r="DT558" s="645"/>
      <c r="DU558" s="645"/>
      <c r="DV558" s="645"/>
      <c r="DW558" s="645"/>
      <c r="DX558" s="645"/>
      <c r="DY558" s="645"/>
      <c r="DZ558" s="645"/>
      <c r="EA558" s="645"/>
      <c r="EB558" s="645"/>
      <c r="EC558" s="645"/>
      <c r="ED558" s="645"/>
      <c r="EE558" s="645"/>
      <c r="EF558" s="645"/>
      <c r="EG558" s="645"/>
      <c r="EH558" s="645"/>
      <c r="EI558" s="645"/>
      <c r="EJ558" s="645"/>
      <c r="EK558" s="645"/>
      <c r="EL558" s="645"/>
      <c r="EM558" s="645"/>
      <c r="EN558" s="645"/>
      <c r="EO558" s="645"/>
      <c r="EP558" s="645"/>
      <c r="EQ558" s="645"/>
      <c r="ER558" s="645"/>
      <c r="ES558" s="645"/>
      <c r="ET558" s="645"/>
      <c r="EU558" s="645"/>
      <c r="EV558" s="645"/>
      <c r="EW558" s="645"/>
      <c r="EX558" s="645"/>
      <c r="EY558" s="645"/>
      <c r="EZ558" s="645"/>
      <c r="FA558" s="645"/>
      <c r="FB558" s="645"/>
      <c r="FC558" s="645"/>
      <c r="FD558" s="645"/>
      <c r="FE558" s="645"/>
      <c r="FF558" s="645"/>
      <c r="FG558" s="645"/>
      <c r="FH558" s="645"/>
      <c r="FI558" s="645"/>
      <c r="FJ558" s="645"/>
      <c r="FK558" s="645"/>
      <c r="FL558" s="645"/>
      <c r="FM558" s="645"/>
      <c r="FN558" s="645"/>
      <c r="FO558" s="645"/>
      <c r="FP558" s="645"/>
      <c r="FQ558" s="645"/>
      <c r="FR558" s="645"/>
      <c r="FS558" s="645"/>
      <c r="FT558" s="645"/>
      <c r="FU558" s="645"/>
      <c r="FV558" s="645"/>
      <c r="FW558" s="645"/>
      <c r="FX558" s="645"/>
      <c r="FY558" s="645"/>
      <c r="FZ558" s="645"/>
      <c r="GA558" s="645"/>
      <c r="GB558" s="645"/>
      <c r="GC558" s="645"/>
      <c r="GD558" s="645"/>
      <c r="GE558" s="645"/>
      <c r="GF558" s="645"/>
      <c r="GG558" s="645"/>
      <c r="GH558" s="645"/>
      <c r="GI558" s="645"/>
      <c r="GJ558" s="645"/>
      <c r="GK558" s="645"/>
      <c r="GL558" s="645"/>
      <c r="GM558" s="645"/>
      <c r="GN558" s="645"/>
      <c r="GO558" s="645"/>
      <c r="GP558" s="645"/>
      <c r="GQ558" s="645"/>
      <c r="GR558" s="645"/>
      <c r="GS558" s="645"/>
      <c r="GT558" s="645"/>
      <c r="GU558" s="645"/>
      <c r="GV558" s="645"/>
      <c r="GW558" s="645"/>
      <c r="GX558" s="645"/>
      <c r="GY558" s="645"/>
      <c r="GZ558" s="645"/>
      <c r="HA558" s="645"/>
      <c r="HB558" s="645"/>
      <c r="HC558" s="645"/>
      <c r="HD558" s="645"/>
      <c r="HE558" s="645"/>
      <c r="IT558" s="645"/>
      <c r="IU558" s="645"/>
      <c r="IV558" s="645"/>
      <c r="IW558" s="645"/>
      <c r="IX558" s="645"/>
      <c r="IY558" s="645"/>
      <c r="IZ558" s="645"/>
      <c r="JA558" s="645"/>
      <c r="JB558" s="645"/>
      <c r="JC558" s="645"/>
      <c r="JD558" s="645"/>
      <c r="JE558" s="645"/>
      <c r="JF558" s="645"/>
      <c r="JG558" s="645"/>
      <c r="JH558" s="645"/>
      <c r="JI558" s="645"/>
      <c r="JJ558" s="645"/>
      <c r="JK558" s="645"/>
      <c r="JL558" s="645"/>
      <c r="JM558" s="645"/>
      <c r="JN558" s="645"/>
      <c r="JO558" s="645"/>
      <c r="JP558" s="645"/>
      <c r="JQ558" s="645"/>
      <c r="JR558" s="645"/>
      <c r="JS558" s="645"/>
      <c r="JT558" s="645"/>
      <c r="JU558" s="645"/>
      <c r="JW558" s="522"/>
      <c r="JX558" s="522"/>
      <c r="JY558" s="522"/>
      <c r="JZ558" s="522"/>
      <c r="KA558" s="522"/>
      <c r="KB558" s="522"/>
      <c r="KC558" s="522"/>
      <c r="KD558" s="522"/>
      <c r="KE558" s="522"/>
      <c r="KF558" s="522"/>
      <c r="KG558" s="522"/>
      <c r="KH558" s="522"/>
      <c r="KI558" s="522"/>
      <c r="KJ558" s="522"/>
      <c r="KK558" s="522"/>
      <c r="KL558" s="522"/>
    </row>
    <row r="559" spans="101:298">
      <c r="CW559" s="646"/>
      <c r="CX559" s="646"/>
      <c r="CY559" s="625"/>
      <c r="CZ559" s="625"/>
      <c r="DA559" s="625"/>
      <c r="DB559" s="625"/>
      <c r="DC559" s="645"/>
      <c r="DD559" s="645"/>
      <c r="DE559" s="645"/>
      <c r="DF559" s="645"/>
      <c r="DG559" s="645"/>
      <c r="DH559" s="645"/>
      <c r="DI559" s="645"/>
      <c r="DJ559" s="645"/>
      <c r="DK559" s="645"/>
      <c r="DL559" s="645"/>
      <c r="DM559" s="645"/>
      <c r="DN559" s="645"/>
      <c r="DO559" s="645"/>
      <c r="DP559" s="645"/>
      <c r="DQ559" s="645"/>
      <c r="DR559" s="645"/>
      <c r="DS559" s="645"/>
      <c r="DT559" s="645"/>
      <c r="DU559" s="645"/>
      <c r="DV559" s="645"/>
      <c r="DW559" s="645"/>
      <c r="DX559" s="645"/>
      <c r="DY559" s="645"/>
      <c r="DZ559" s="645"/>
      <c r="EA559" s="645"/>
      <c r="EB559" s="645"/>
      <c r="EC559" s="645"/>
      <c r="ED559" s="645"/>
      <c r="EE559" s="645"/>
      <c r="EF559" s="645"/>
      <c r="EG559" s="645"/>
      <c r="EH559" s="645"/>
      <c r="EI559" s="645"/>
      <c r="EJ559" s="645"/>
      <c r="EK559" s="645"/>
      <c r="EL559" s="645"/>
      <c r="EM559" s="645"/>
      <c r="EN559" s="645"/>
      <c r="EO559" s="645"/>
      <c r="EP559" s="645"/>
      <c r="EQ559" s="645"/>
      <c r="ER559" s="645"/>
      <c r="ES559" s="645"/>
      <c r="ET559" s="645"/>
      <c r="EU559" s="645"/>
      <c r="EV559" s="645"/>
      <c r="EW559" s="645"/>
      <c r="EX559" s="645"/>
      <c r="EY559" s="645"/>
      <c r="EZ559" s="645"/>
      <c r="FA559" s="645"/>
      <c r="FB559" s="645"/>
      <c r="FC559" s="645"/>
      <c r="FD559" s="645"/>
      <c r="FE559" s="645"/>
      <c r="FF559" s="645"/>
      <c r="FG559" s="645"/>
      <c r="FH559" s="645"/>
      <c r="FI559" s="645"/>
      <c r="FJ559" s="645"/>
      <c r="FK559" s="645"/>
      <c r="FL559" s="645"/>
      <c r="FM559" s="645"/>
      <c r="FN559" s="645"/>
      <c r="FO559" s="645"/>
      <c r="FP559" s="645"/>
      <c r="FQ559" s="645"/>
      <c r="FR559" s="645"/>
      <c r="FS559" s="645"/>
      <c r="FT559" s="645"/>
      <c r="FU559" s="645"/>
      <c r="FV559" s="645"/>
      <c r="FW559" s="645"/>
      <c r="FX559" s="645"/>
      <c r="FY559" s="645"/>
      <c r="FZ559" s="645"/>
      <c r="GA559" s="645"/>
      <c r="GB559" s="645"/>
      <c r="GC559" s="645"/>
      <c r="GD559" s="645"/>
      <c r="GE559" s="645"/>
      <c r="GF559" s="645"/>
      <c r="GG559" s="645"/>
      <c r="GH559" s="645"/>
      <c r="GI559" s="645"/>
      <c r="GJ559" s="645"/>
      <c r="GK559" s="645"/>
      <c r="GL559" s="645"/>
      <c r="GM559" s="645"/>
      <c r="GN559" s="645"/>
      <c r="GO559" s="645"/>
      <c r="GP559" s="645"/>
      <c r="GQ559" s="645"/>
      <c r="GR559" s="645"/>
      <c r="GS559" s="645"/>
      <c r="GT559" s="645"/>
      <c r="GU559" s="645"/>
      <c r="GV559" s="645"/>
      <c r="GW559" s="645"/>
      <c r="GX559" s="645"/>
      <c r="GY559" s="645"/>
      <c r="GZ559" s="645"/>
      <c r="HA559" s="645"/>
      <c r="HB559" s="645"/>
      <c r="HC559" s="645"/>
      <c r="HD559" s="645"/>
      <c r="HE559" s="645"/>
      <c r="IT559" s="645"/>
      <c r="IU559" s="645"/>
      <c r="IV559" s="645"/>
      <c r="IW559" s="645"/>
      <c r="IX559" s="645"/>
      <c r="IY559" s="645"/>
      <c r="IZ559" s="645"/>
      <c r="JA559" s="645"/>
      <c r="JB559" s="645"/>
      <c r="JC559" s="645"/>
      <c r="JD559" s="645"/>
      <c r="JE559" s="645"/>
      <c r="JF559" s="645"/>
      <c r="JG559" s="645"/>
      <c r="JH559" s="645"/>
      <c r="JI559" s="645"/>
      <c r="JJ559" s="645"/>
      <c r="JK559" s="645"/>
      <c r="JL559" s="645"/>
      <c r="JM559" s="645"/>
      <c r="JN559" s="645"/>
      <c r="JO559" s="645"/>
      <c r="JP559" s="645"/>
      <c r="JQ559" s="645"/>
      <c r="JR559" s="645"/>
      <c r="JS559" s="645"/>
      <c r="JT559" s="645"/>
      <c r="JU559" s="645"/>
      <c r="JW559" s="522"/>
      <c r="JX559" s="522"/>
      <c r="JY559" s="522"/>
      <c r="JZ559" s="522"/>
      <c r="KA559" s="522"/>
      <c r="KB559" s="522"/>
      <c r="KC559" s="522"/>
      <c r="KD559" s="522"/>
      <c r="KE559" s="522"/>
      <c r="KF559" s="522"/>
      <c r="KG559" s="522"/>
      <c r="KH559" s="522"/>
      <c r="KI559" s="522"/>
      <c r="KJ559" s="522"/>
      <c r="KK559" s="522"/>
      <c r="KL559" s="522"/>
    </row>
    <row r="560" spans="101:298">
      <c r="CW560" s="646"/>
      <c r="CX560" s="646"/>
      <c r="CY560" s="625"/>
      <c r="CZ560" s="625"/>
      <c r="DA560" s="625"/>
      <c r="DB560" s="625"/>
      <c r="DC560" s="645"/>
      <c r="DD560" s="645"/>
      <c r="DE560" s="645"/>
      <c r="DF560" s="645"/>
      <c r="DG560" s="645"/>
      <c r="DH560" s="645"/>
      <c r="DI560" s="645"/>
      <c r="DJ560" s="645"/>
      <c r="DK560" s="645"/>
      <c r="DL560" s="645"/>
      <c r="DM560" s="645"/>
      <c r="DN560" s="645"/>
      <c r="DO560" s="645"/>
      <c r="DP560" s="645"/>
      <c r="DQ560" s="645"/>
      <c r="DR560" s="645"/>
      <c r="DS560" s="645"/>
      <c r="DT560" s="645"/>
      <c r="DU560" s="645"/>
      <c r="DV560" s="645"/>
      <c r="DW560" s="645"/>
      <c r="DX560" s="645"/>
      <c r="DY560" s="645"/>
      <c r="DZ560" s="645"/>
      <c r="EA560" s="645"/>
      <c r="EB560" s="645"/>
      <c r="EC560" s="645"/>
      <c r="ED560" s="645"/>
      <c r="EE560" s="645"/>
      <c r="EF560" s="645"/>
      <c r="EG560" s="645"/>
      <c r="EH560" s="645"/>
      <c r="EI560" s="645"/>
      <c r="EJ560" s="645"/>
      <c r="EK560" s="645"/>
      <c r="EL560" s="645"/>
      <c r="EM560" s="645"/>
      <c r="EN560" s="645"/>
      <c r="EO560" s="645"/>
      <c r="EP560" s="645"/>
      <c r="EQ560" s="645"/>
      <c r="ER560" s="645"/>
      <c r="ES560" s="645"/>
      <c r="ET560" s="645"/>
      <c r="EU560" s="645"/>
      <c r="EV560" s="645"/>
      <c r="EW560" s="645"/>
      <c r="EX560" s="645"/>
      <c r="EY560" s="645"/>
      <c r="EZ560" s="645"/>
      <c r="FA560" s="645"/>
      <c r="FB560" s="645"/>
      <c r="FC560" s="645"/>
      <c r="FD560" s="645"/>
      <c r="FE560" s="645"/>
      <c r="FF560" s="645"/>
      <c r="FG560" s="645"/>
      <c r="FH560" s="645"/>
      <c r="FI560" s="645"/>
      <c r="FJ560" s="645"/>
      <c r="FK560" s="645"/>
      <c r="FL560" s="645"/>
      <c r="FM560" s="645"/>
      <c r="FN560" s="645"/>
      <c r="FO560" s="645"/>
      <c r="FP560" s="645"/>
      <c r="FQ560" s="645"/>
      <c r="FR560" s="645"/>
      <c r="FS560" s="645"/>
      <c r="FT560" s="645"/>
      <c r="FU560" s="645"/>
      <c r="FV560" s="645"/>
      <c r="FW560" s="645"/>
      <c r="FX560" s="645"/>
      <c r="FY560" s="645"/>
      <c r="FZ560" s="645"/>
      <c r="GA560" s="645"/>
      <c r="GB560" s="645"/>
      <c r="GC560" s="645"/>
      <c r="GD560" s="645"/>
      <c r="GE560" s="645"/>
      <c r="GF560" s="645"/>
      <c r="GG560" s="645"/>
      <c r="GH560" s="645"/>
      <c r="GI560" s="645"/>
      <c r="GJ560" s="645"/>
      <c r="GK560" s="645"/>
      <c r="GL560" s="645"/>
      <c r="GM560" s="645"/>
      <c r="GN560" s="645"/>
      <c r="GO560" s="645"/>
      <c r="GP560" s="645"/>
      <c r="GQ560" s="645"/>
      <c r="GR560" s="645"/>
      <c r="GS560" s="645"/>
      <c r="GT560" s="645"/>
      <c r="GU560" s="645"/>
      <c r="GV560" s="645"/>
      <c r="GW560" s="645"/>
      <c r="GX560" s="645"/>
      <c r="GY560" s="645"/>
      <c r="GZ560" s="645"/>
      <c r="HA560" s="645"/>
      <c r="HB560" s="645"/>
      <c r="HC560" s="645"/>
      <c r="HD560" s="645"/>
      <c r="HE560" s="645"/>
      <c r="IT560" s="645"/>
      <c r="IU560" s="645"/>
      <c r="IV560" s="645"/>
      <c r="IW560" s="645"/>
      <c r="IX560" s="645"/>
      <c r="IY560" s="645"/>
      <c r="IZ560" s="645"/>
      <c r="JA560" s="645"/>
      <c r="JB560" s="645"/>
      <c r="JC560" s="645"/>
      <c r="JD560" s="645"/>
      <c r="JE560" s="645"/>
      <c r="JF560" s="645"/>
      <c r="JG560" s="645"/>
      <c r="JH560" s="645"/>
      <c r="JI560" s="645"/>
      <c r="JJ560" s="645"/>
      <c r="JK560" s="645"/>
      <c r="JL560" s="645"/>
      <c r="JM560" s="645"/>
      <c r="JN560" s="645"/>
      <c r="JO560" s="645"/>
      <c r="JP560" s="645"/>
      <c r="JQ560" s="645"/>
      <c r="JR560" s="645"/>
      <c r="JS560" s="645"/>
      <c r="JT560" s="645"/>
      <c r="JU560" s="645"/>
      <c r="JW560" s="522"/>
      <c r="JX560" s="522"/>
      <c r="JY560" s="522"/>
      <c r="JZ560" s="522"/>
      <c r="KA560" s="522"/>
      <c r="KB560" s="522"/>
      <c r="KC560" s="522"/>
      <c r="KD560" s="522"/>
      <c r="KE560" s="522"/>
      <c r="KF560" s="522"/>
      <c r="KG560" s="522"/>
      <c r="KH560" s="522"/>
      <c r="KI560" s="522"/>
      <c r="KJ560" s="522"/>
      <c r="KK560" s="522"/>
      <c r="KL560" s="522"/>
    </row>
    <row r="561" spans="101:298">
      <c r="CW561" s="646"/>
      <c r="CX561" s="646"/>
      <c r="CY561" s="625"/>
      <c r="CZ561" s="625"/>
      <c r="DA561" s="625"/>
      <c r="DB561" s="625"/>
      <c r="DC561" s="645"/>
      <c r="DD561" s="645"/>
      <c r="DE561" s="645"/>
      <c r="DF561" s="645"/>
      <c r="DG561" s="645"/>
      <c r="DH561" s="645"/>
      <c r="DI561" s="645"/>
      <c r="DJ561" s="645"/>
      <c r="DK561" s="645"/>
      <c r="DL561" s="645"/>
      <c r="DM561" s="645"/>
      <c r="DN561" s="645"/>
      <c r="DO561" s="645"/>
      <c r="DP561" s="645"/>
      <c r="DQ561" s="645"/>
      <c r="DR561" s="645"/>
      <c r="DS561" s="645"/>
      <c r="DT561" s="645"/>
      <c r="DU561" s="645"/>
      <c r="DV561" s="645"/>
      <c r="DW561" s="645"/>
      <c r="DX561" s="645"/>
      <c r="DY561" s="645"/>
      <c r="DZ561" s="645"/>
      <c r="EA561" s="645"/>
      <c r="EB561" s="645"/>
      <c r="EC561" s="645"/>
      <c r="ED561" s="645"/>
      <c r="EE561" s="645"/>
      <c r="EF561" s="645"/>
      <c r="EG561" s="645"/>
      <c r="EH561" s="645"/>
      <c r="EI561" s="645"/>
      <c r="EJ561" s="645"/>
      <c r="EK561" s="645"/>
      <c r="EL561" s="645"/>
      <c r="EM561" s="645"/>
      <c r="EN561" s="645"/>
      <c r="EO561" s="645"/>
      <c r="EP561" s="645"/>
      <c r="EQ561" s="645"/>
      <c r="ER561" s="645"/>
      <c r="ES561" s="645"/>
      <c r="ET561" s="645"/>
      <c r="EU561" s="645"/>
      <c r="EV561" s="645"/>
      <c r="EW561" s="645"/>
      <c r="EX561" s="645"/>
      <c r="EY561" s="645"/>
      <c r="EZ561" s="645"/>
      <c r="FA561" s="645"/>
      <c r="FB561" s="645"/>
      <c r="FC561" s="645"/>
      <c r="FD561" s="645"/>
      <c r="FE561" s="645"/>
      <c r="FF561" s="645"/>
      <c r="FG561" s="645"/>
      <c r="FH561" s="645"/>
      <c r="FI561" s="645"/>
      <c r="FJ561" s="645"/>
      <c r="FK561" s="645"/>
      <c r="FL561" s="645"/>
      <c r="FM561" s="645"/>
      <c r="FN561" s="645"/>
      <c r="FO561" s="645"/>
      <c r="FP561" s="645"/>
      <c r="FQ561" s="645"/>
      <c r="FR561" s="645"/>
      <c r="FS561" s="645"/>
      <c r="FT561" s="645"/>
      <c r="FU561" s="645"/>
      <c r="FV561" s="645"/>
      <c r="FW561" s="645"/>
      <c r="FX561" s="645"/>
      <c r="FY561" s="645"/>
      <c r="FZ561" s="645"/>
      <c r="GA561" s="645"/>
      <c r="GB561" s="645"/>
      <c r="GC561" s="645"/>
      <c r="GD561" s="645"/>
      <c r="GE561" s="645"/>
      <c r="GF561" s="645"/>
      <c r="GG561" s="645"/>
      <c r="GH561" s="645"/>
      <c r="GI561" s="645"/>
      <c r="GJ561" s="645"/>
      <c r="GK561" s="645"/>
      <c r="GL561" s="645"/>
      <c r="GM561" s="645"/>
      <c r="GN561" s="645"/>
      <c r="GO561" s="645"/>
      <c r="GP561" s="645"/>
      <c r="GQ561" s="645"/>
      <c r="GR561" s="645"/>
      <c r="GS561" s="645"/>
      <c r="GT561" s="645"/>
      <c r="GU561" s="645"/>
      <c r="GV561" s="645"/>
      <c r="GW561" s="645"/>
      <c r="GX561" s="645"/>
      <c r="GY561" s="645"/>
      <c r="GZ561" s="645"/>
      <c r="HA561" s="645"/>
      <c r="HB561" s="645"/>
      <c r="HC561" s="645"/>
      <c r="HD561" s="645"/>
      <c r="HE561" s="645"/>
      <c r="IT561" s="645"/>
      <c r="IU561" s="645"/>
      <c r="IV561" s="645"/>
      <c r="IW561" s="645"/>
      <c r="IX561" s="645"/>
      <c r="IY561" s="645"/>
      <c r="IZ561" s="645"/>
      <c r="JA561" s="645"/>
      <c r="JB561" s="645"/>
      <c r="JC561" s="645"/>
      <c r="JD561" s="645"/>
      <c r="JE561" s="645"/>
      <c r="JF561" s="645"/>
      <c r="JG561" s="645"/>
      <c r="JH561" s="645"/>
      <c r="JI561" s="645"/>
      <c r="JJ561" s="645"/>
      <c r="JK561" s="645"/>
      <c r="JL561" s="645"/>
      <c r="JM561" s="645"/>
      <c r="JN561" s="645"/>
      <c r="JO561" s="645"/>
      <c r="JP561" s="645"/>
      <c r="JQ561" s="645"/>
      <c r="JR561" s="645"/>
      <c r="JS561" s="645"/>
      <c r="JT561" s="645"/>
      <c r="JU561" s="645"/>
      <c r="JW561" s="522"/>
      <c r="JX561" s="522"/>
      <c r="JY561" s="522"/>
      <c r="JZ561" s="522"/>
      <c r="KA561" s="522"/>
      <c r="KB561" s="522"/>
      <c r="KC561" s="522"/>
      <c r="KD561" s="522"/>
      <c r="KE561" s="522"/>
      <c r="KF561" s="522"/>
      <c r="KG561" s="522"/>
      <c r="KH561" s="522"/>
      <c r="KI561" s="522"/>
      <c r="KJ561" s="522"/>
      <c r="KK561" s="522"/>
      <c r="KL561" s="522"/>
    </row>
    <row r="562" spans="101:298">
      <c r="CW562" s="646"/>
      <c r="CX562" s="646"/>
      <c r="CY562" s="625"/>
      <c r="CZ562" s="625"/>
      <c r="DA562" s="625"/>
      <c r="DB562" s="625"/>
      <c r="DC562" s="645"/>
      <c r="DD562" s="645"/>
      <c r="DE562" s="645"/>
      <c r="DF562" s="645"/>
      <c r="DG562" s="645"/>
      <c r="DH562" s="645"/>
      <c r="DI562" s="645"/>
      <c r="DJ562" s="645"/>
      <c r="DK562" s="645"/>
      <c r="DL562" s="645"/>
      <c r="DM562" s="645"/>
      <c r="DN562" s="645"/>
      <c r="DO562" s="645"/>
      <c r="DP562" s="645"/>
      <c r="DQ562" s="645"/>
      <c r="DR562" s="645"/>
      <c r="DS562" s="645"/>
      <c r="DT562" s="645"/>
      <c r="DU562" s="645"/>
      <c r="DV562" s="645"/>
      <c r="DW562" s="645"/>
      <c r="DX562" s="645"/>
      <c r="DY562" s="645"/>
      <c r="DZ562" s="645"/>
      <c r="EA562" s="645"/>
      <c r="EB562" s="645"/>
      <c r="EC562" s="645"/>
      <c r="ED562" s="645"/>
      <c r="EE562" s="645"/>
      <c r="EF562" s="645"/>
      <c r="EG562" s="645"/>
      <c r="EH562" s="645"/>
      <c r="EI562" s="645"/>
      <c r="EJ562" s="645"/>
      <c r="EK562" s="645"/>
      <c r="EL562" s="645"/>
      <c r="EM562" s="645"/>
      <c r="EN562" s="645"/>
      <c r="EO562" s="645"/>
      <c r="EP562" s="645"/>
      <c r="EQ562" s="645"/>
      <c r="ER562" s="645"/>
      <c r="ES562" s="645"/>
      <c r="ET562" s="645"/>
      <c r="EU562" s="645"/>
      <c r="EV562" s="645"/>
      <c r="EW562" s="645"/>
      <c r="EX562" s="645"/>
      <c r="EY562" s="645"/>
      <c r="EZ562" s="645"/>
      <c r="FA562" s="645"/>
      <c r="FB562" s="645"/>
      <c r="FC562" s="645"/>
      <c r="FD562" s="645"/>
      <c r="FE562" s="645"/>
      <c r="FF562" s="645"/>
      <c r="FG562" s="645"/>
      <c r="FH562" s="645"/>
      <c r="FI562" s="645"/>
      <c r="FJ562" s="645"/>
      <c r="FK562" s="645"/>
      <c r="FL562" s="645"/>
      <c r="FM562" s="645"/>
      <c r="FN562" s="645"/>
      <c r="FO562" s="645"/>
      <c r="FP562" s="645"/>
      <c r="FQ562" s="645"/>
      <c r="FR562" s="645"/>
      <c r="FS562" s="645"/>
      <c r="FT562" s="645"/>
      <c r="FU562" s="645"/>
      <c r="FV562" s="645"/>
      <c r="FW562" s="645"/>
      <c r="FX562" s="645"/>
      <c r="FY562" s="645"/>
      <c r="FZ562" s="645"/>
      <c r="GA562" s="645"/>
      <c r="GB562" s="645"/>
      <c r="GC562" s="645"/>
      <c r="GD562" s="645"/>
      <c r="GE562" s="645"/>
      <c r="GF562" s="645"/>
      <c r="GG562" s="645"/>
      <c r="GH562" s="645"/>
      <c r="GI562" s="645"/>
      <c r="GJ562" s="645"/>
      <c r="GK562" s="645"/>
      <c r="GL562" s="645"/>
      <c r="GM562" s="645"/>
      <c r="GN562" s="645"/>
      <c r="GO562" s="645"/>
      <c r="GP562" s="645"/>
      <c r="GQ562" s="645"/>
      <c r="GR562" s="645"/>
      <c r="GS562" s="645"/>
      <c r="GT562" s="645"/>
      <c r="GU562" s="645"/>
      <c r="GV562" s="645"/>
      <c r="GW562" s="645"/>
      <c r="GX562" s="645"/>
      <c r="GY562" s="645"/>
      <c r="GZ562" s="645"/>
      <c r="HA562" s="645"/>
      <c r="HB562" s="645"/>
      <c r="HC562" s="645"/>
      <c r="HD562" s="645"/>
      <c r="HE562" s="645"/>
      <c r="IT562" s="645"/>
      <c r="IU562" s="645"/>
      <c r="IV562" s="645"/>
      <c r="IW562" s="645"/>
      <c r="IX562" s="645"/>
      <c r="IY562" s="645"/>
      <c r="IZ562" s="645"/>
      <c r="JA562" s="645"/>
      <c r="JB562" s="645"/>
      <c r="JC562" s="645"/>
      <c r="JD562" s="645"/>
      <c r="JE562" s="645"/>
      <c r="JF562" s="645"/>
      <c r="JG562" s="645"/>
      <c r="JH562" s="645"/>
      <c r="JI562" s="645"/>
      <c r="JJ562" s="645"/>
      <c r="JK562" s="645"/>
      <c r="JL562" s="645"/>
      <c r="JM562" s="645"/>
      <c r="JN562" s="645"/>
      <c r="JO562" s="645"/>
      <c r="JP562" s="645"/>
      <c r="JQ562" s="645"/>
      <c r="JR562" s="645"/>
      <c r="JS562" s="645"/>
      <c r="JT562" s="645"/>
      <c r="JU562" s="645"/>
      <c r="JW562" s="522"/>
      <c r="JX562" s="522"/>
      <c r="JY562" s="522"/>
      <c r="JZ562" s="522"/>
      <c r="KA562" s="522"/>
      <c r="KB562" s="522"/>
      <c r="KC562" s="522"/>
      <c r="KD562" s="522"/>
      <c r="KE562" s="522"/>
      <c r="KF562" s="522"/>
      <c r="KG562" s="522"/>
      <c r="KH562" s="522"/>
      <c r="KI562" s="522"/>
      <c r="KJ562" s="522"/>
      <c r="KK562" s="522"/>
      <c r="KL562" s="522"/>
    </row>
    <row r="563" spans="101:298">
      <c r="CW563" s="646"/>
      <c r="CX563" s="646"/>
      <c r="CY563" s="625"/>
      <c r="CZ563" s="625"/>
      <c r="DA563" s="625"/>
      <c r="DB563" s="625"/>
      <c r="DC563" s="645"/>
      <c r="DD563" s="645"/>
      <c r="DE563" s="645"/>
      <c r="DF563" s="645"/>
      <c r="DG563" s="645"/>
      <c r="DH563" s="645"/>
      <c r="DI563" s="645"/>
      <c r="DJ563" s="645"/>
      <c r="DK563" s="645"/>
      <c r="DL563" s="645"/>
      <c r="DM563" s="645"/>
      <c r="DN563" s="645"/>
      <c r="DO563" s="645"/>
      <c r="DP563" s="645"/>
      <c r="DQ563" s="645"/>
      <c r="DR563" s="645"/>
      <c r="DS563" s="645"/>
      <c r="DT563" s="645"/>
      <c r="DU563" s="645"/>
      <c r="DV563" s="645"/>
      <c r="DW563" s="645"/>
      <c r="DX563" s="645"/>
      <c r="DY563" s="645"/>
      <c r="DZ563" s="645"/>
      <c r="EA563" s="645"/>
      <c r="EB563" s="645"/>
      <c r="EC563" s="645"/>
      <c r="ED563" s="645"/>
      <c r="EE563" s="645"/>
      <c r="EF563" s="645"/>
      <c r="EG563" s="645"/>
      <c r="EH563" s="645"/>
      <c r="EI563" s="645"/>
      <c r="EJ563" s="645"/>
      <c r="EK563" s="645"/>
      <c r="EL563" s="645"/>
      <c r="EM563" s="645"/>
      <c r="EN563" s="645"/>
      <c r="EO563" s="645"/>
      <c r="EP563" s="645"/>
      <c r="EQ563" s="645"/>
      <c r="ER563" s="645"/>
      <c r="ES563" s="645"/>
      <c r="ET563" s="645"/>
      <c r="EU563" s="645"/>
      <c r="EV563" s="645"/>
      <c r="EW563" s="645"/>
      <c r="EX563" s="645"/>
      <c r="EY563" s="645"/>
      <c r="EZ563" s="645"/>
      <c r="FA563" s="645"/>
      <c r="FB563" s="645"/>
      <c r="FC563" s="645"/>
      <c r="FD563" s="645"/>
      <c r="FE563" s="645"/>
      <c r="FF563" s="645"/>
      <c r="FG563" s="645"/>
      <c r="FH563" s="645"/>
      <c r="FI563" s="645"/>
      <c r="FJ563" s="645"/>
      <c r="FK563" s="645"/>
      <c r="FL563" s="645"/>
      <c r="FM563" s="645"/>
      <c r="FN563" s="645"/>
      <c r="FO563" s="645"/>
      <c r="FP563" s="645"/>
      <c r="FQ563" s="645"/>
      <c r="FR563" s="645"/>
      <c r="FS563" s="645"/>
      <c r="FT563" s="645"/>
      <c r="FU563" s="645"/>
      <c r="FV563" s="645"/>
      <c r="FW563" s="645"/>
      <c r="FX563" s="645"/>
      <c r="FY563" s="645"/>
      <c r="FZ563" s="645"/>
      <c r="GA563" s="645"/>
      <c r="GB563" s="645"/>
      <c r="GC563" s="645"/>
      <c r="GD563" s="645"/>
      <c r="GE563" s="645"/>
      <c r="GF563" s="645"/>
      <c r="GG563" s="645"/>
      <c r="GH563" s="645"/>
      <c r="GI563" s="645"/>
      <c r="GJ563" s="645"/>
      <c r="GK563" s="645"/>
      <c r="GL563" s="645"/>
      <c r="GM563" s="645"/>
      <c r="GN563" s="645"/>
      <c r="GO563" s="645"/>
      <c r="GP563" s="645"/>
      <c r="GQ563" s="645"/>
      <c r="GR563" s="645"/>
      <c r="GS563" s="645"/>
      <c r="GT563" s="645"/>
      <c r="GU563" s="645"/>
      <c r="GV563" s="645"/>
      <c r="GW563" s="645"/>
      <c r="GX563" s="645"/>
      <c r="GY563" s="645"/>
      <c r="GZ563" s="645"/>
      <c r="HA563" s="645"/>
      <c r="HB563" s="645"/>
      <c r="HC563" s="645"/>
      <c r="HD563" s="645"/>
      <c r="HE563" s="645"/>
      <c r="IT563" s="645"/>
      <c r="IU563" s="645"/>
      <c r="IV563" s="645"/>
      <c r="IW563" s="645"/>
      <c r="IX563" s="645"/>
      <c r="IY563" s="645"/>
      <c r="IZ563" s="645"/>
      <c r="JA563" s="645"/>
      <c r="JB563" s="645"/>
      <c r="JC563" s="645"/>
      <c r="JD563" s="645"/>
      <c r="JE563" s="645"/>
      <c r="JF563" s="645"/>
      <c r="JG563" s="645"/>
      <c r="JH563" s="645"/>
      <c r="JI563" s="645"/>
      <c r="JJ563" s="645"/>
      <c r="JK563" s="645"/>
      <c r="JL563" s="645"/>
      <c r="JM563" s="645"/>
      <c r="JN563" s="645"/>
      <c r="JO563" s="645"/>
      <c r="JP563" s="645"/>
      <c r="JQ563" s="645"/>
      <c r="JR563" s="645"/>
      <c r="JS563" s="645"/>
      <c r="JT563" s="645"/>
      <c r="JU563" s="645"/>
      <c r="JW563" s="522"/>
      <c r="JX563" s="522"/>
      <c r="JY563" s="522"/>
      <c r="JZ563" s="522"/>
      <c r="KA563" s="522"/>
      <c r="KB563" s="522"/>
      <c r="KC563" s="522"/>
      <c r="KD563" s="522"/>
      <c r="KE563" s="522"/>
      <c r="KF563" s="522"/>
      <c r="KG563" s="522"/>
      <c r="KH563" s="522"/>
      <c r="KI563" s="522"/>
      <c r="KJ563" s="522"/>
      <c r="KK563" s="522"/>
      <c r="KL563" s="522"/>
    </row>
    <row r="564" spans="101:298">
      <c r="CW564" s="646"/>
      <c r="CX564" s="646"/>
      <c r="CY564" s="625"/>
      <c r="CZ564" s="625"/>
      <c r="DA564" s="625"/>
      <c r="DB564" s="625"/>
      <c r="DC564" s="645"/>
      <c r="DD564" s="645"/>
      <c r="DE564" s="645"/>
      <c r="DF564" s="645"/>
      <c r="DG564" s="645"/>
      <c r="DH564" s="645"/>
      <c r="DI564" s="645"/>
      <c r="DJ564" s="645"/>
      <c r="DK564" s="645"/>
      <c r="DL564" s="645"/>
      <c r="DM564" s="645"/>
      <c r="DN564" s="645"/>
      <c r="DO564" s="645"/>
      <c r="DP564" s="645"/>
      <c r="DQ564" s="645"/>
      <c r="DR564" s="645"/>
      <c r="DS564" s="645"/>
      <c r="DT564" s="645"/>
      <c r="DU564" s="645"/>
      <c r="DV564" s="645"/>
      <c r="DW564" s="645"/>
      <c r="DX564" s="645"/>
      <c r="DY564" s="645"/>
      <c r="DZ564" s="645"/>
      <c r="EA564" s="645"/>
      <c r="EB564" s="645"/>
      <c r="EC564" s="645"/>
      <c r="ED564" s="645"/>
      <c r="EE564" s="645"/>
      <c r="EF564" s="645"/>
      <c r="EG564" s="645"/>
      <c r="EH564" s="645"/>
      <c r="EI564" s="645"/>
      <c r="EJ564" s="645"/>
      <c r="EK564" s="645"/>
      <c r="EL564" s="645"/>
      <c r="EM564" s="645"/>
      <c r="EN564" s="645"/>
      <c r="EO564" s="645"/>
      <c r="EP564" s="645"/>
      <c r="EQ564" s="645"/>
      <c r="ER564" s="645"/>
      <c r="ES564" s="645"/>
      <c r="ET564" s="645"/>
      <c r="EU564" s="645"/>
      <c r="EV564" s="645"/>
      <c r="EW564" s="645"/>
      <c r="EX564" s="645"/>
      <c r="EY564" s="645"/>
      <c r="EZ564" s="645"/>
      <c r="FA564" s="645"/>
      <c r="FB564" s="645"/>
      <c r="FC564" s="645"/>
      <c r="FD564" s="645"/>
      <c r="FE564" s="645"/>
      <c r="FF564" s="645"/>
      <c r="FG564" s="645"/>
      <c r="FH564" s="645"/>
      <c r="FI564" s="645"/>
      <c r="FJ564" s="645"/>
      <c r="FK564" s="645"/>
      <c r="FL564" s="645"/>
      <c r="FM564" s="645"/>
      <c r="FN564" s="645"/>
      <c r="FO564" s="645"/>
      <c r="FP564" s="645"/>
      <c r="FQ564" s="645"/>
      <c r="FR564" s="645"/>
      <c r="FS564" s="645"/>
      <c r="FT564" s="645"/>
      <c r="FU564" s="645"/>
      <c r="FV564" s="645"/>
      <c r="FW564" s="645"/>
      <c r="FX564" s="645"/>
      <c r="FY564" s="645"/>
      <c r="FZ564" s="645"/>
      <c r="GA564" s="645"/>
      <c r="GB564" s="645"/>
      <c r="GC564" s="645"/>
      <c r="GD564" s="645"/>
      <c r="GE564" s="645"/>
      <c r="GF564" s="645"/>
      <c r="GG564" s="645"/>
      <c r="GH564" s="645"/>
      <c r="GI564" s="645"/>
      <c r="GJ564" s="645"/>
      <c r="GK564" s="645"/>
      <c r="GL564" s="645"/>
      <c r="GM564" s="645"/>
      <c r="GN564" s="645"/>
      <c r="GO564" s="645"/>
      <c r="GP564" s="645"/>
      <c r="GQ564" s="645"/>
      <c r="GR564" s="645"/>
      <c r="GS564" s="645"/>
      <c r="GT564" s="645"/>
      <c r="GU564" s="645"/>
      <c r="GV564" s="645"/>
      <c r="GW564" s="645"/>
      <c r="GX564" s="645"/>
      <c r="GY564" s="645"/>
      <c r="GZ564" s="645"/>
      <c r="HA564" s="645"/>
      <c r="HB564" s="645"/>
      <c r="HC564" s="645"/>
      <c r="HD564" s="645"/>
      <c r="HE564" s="645"/>
      <c r="IT564" s="645"/>
      <c r="IU564" s="645"/>
      <c r="IV564" s="645"/>
      <c r="IW564" s="645"/>
      <c r="IX564" s="645"/>
      <c r="IY564" s="645"/>
      <c r="IZ564" s="645"/>
      <c r="JA564" s="645"/>
      <c r="JB564" s="645"/>
      <c r="JC564" s="645"/>
      <c r="JD564" s="645"/>
      <c r="JE564" s="645"/>
      <c r="JF564" s="645"/>
      <c r="JG564" s="645"/>
      <c r="JH564" s="645"/>
      <c r="JI564" s="645"/>
      <c r="JJ564" s="645"/>
      <c r="JK564" s="645"/>
      <c r="JL564" s="645"/>
      <c r="JM564" s="645"/>
      <c r="JN564" s="645"/>
      <c r="JO564" s="645"/>
      <c r="JP564" s="645"/>
      <c r="JQ564" s="645"/>
      <c r="JR564" s="645"/>
      <c r="JS564" s="645"/>
      <c r="JT564" s="645"/>
      <c r="JU564" s="645"/>
      <c r="JW564" s="522"/>
      <c r="JX564" s="522"/>
      <c r="JY564" s="522"/>
      <c r="JZ564" s="522"/>
      <c r="KA564" s="522"/>
      <c r="KB564" s="522"/>
      <c r="KC564" s="522"/>
      <c r="KD564" s="522"/>
      <c r="KE564" s="522"/>
      <c r="KF564" s="522"/>
      <c r="KG564" s="522"/>
      <c r="KH564" s="522"/>
      <c r="KI564" s="522"/>
      <c r="KJ564" s="522"/>
      <c r="KK564" s="522"/>
      <c r="KL564" s="522"/>
    </row>
    <row r="565" spans="101:298">
      <c r="CW565" s="646"/>
      <c r="CX565" s="646"/>
      <c r="CY565" s="625"/>
      <c r="CZ565" s="625"/>
      <c r="DA565" s="625"/>
      <c r="DB565" s="625"/>
      <c r="DC565" s="645"/>
      <c r="DD565" s="645"/>
      <c r="DE565" s="645"/>
      <c r="DF565" s="645"/>
      <c r="DG565" s="645"/>
      <c r="DH565" s="645"/>
      <c r="DI565" s="645"/>
      <c r="DJ565" s="645"/>
      <c r="DK565" s="645"/>
      <c r="DL565" s="645"/>
      <c r="DM565" s="645"/>
      <c r="DN565" s="645"/>
      <c r="DO565" s="645"/>
      <c r="DP565" s="645"/>
      <c r="DQ565" s="645"/>
      <c r="DR565" s="645"/>
      <c r="DS565" s="645"/>
      <c r="DT565" s="645"/>
      <c r="DU565" s="645"/>
      <c r="DV565" s="645"/>
      <c r="DW565" s="645"/>
      <c r="DX565" s="645"/>
      <c r="DY565" s="645"/>
      <c r="DZ565" s="645"/>
      <c r="EA565" s="645"/>
      <c r="EB565" s="645"/>
      <c r="EC565" s="645"/>
      <c r="ED565" s="645"/>
      <c r="EE565" s="645"/>
      <c r="EF565" s="645"/>
      <c r="EG565" s="645"/>
      <c r="EH565" s="645"/>
      <c r="EI565" s="645"/>
      <c r="EJ565" s="645"/>
      <c r="EK565" s="645"/>
      <c r="EL565" s="645"/>
      <c r="EM565" s="645"/>
      <c r="EN565" s="645"/>
      <c r="EO565" s="645"/>
      <c r="EP565" s="645"/>
      <c r="EQ565" s="645"/>
      <c r="ER565" s="645"/>
      <c r="ES565" s="645"/>
      <c r="ET565" s="645"/>
      <c r="EU565" s="645"/>
      <c r="EV565" s="645"/>
      <c r="EW565" s="645"/>
      <c r="EX565" s="645"/>
      <c r="EY565" s="645"/>
      <c r="EZ565" s="645"/>
      <c r="FA565" s="645"/>
      <c r="FB565" s="645"/>
      <c r="FC565" s="645"/>
      <c r="FD565" s="645"/>
      <c r="FE565" s="645"/>
      <c r="FF565" s="645"/>
      <c r="FG565" s="645"/>
      <c r="FH565" s="645"/>
      <c r="FI565" s="645"/>
      <c r="FJ565" s="645"/>
      <c r="FK565" s="645"/>
      <c r="FL565" s="645"/>
      <c r="FM565" s="645"/>
      <c r="FN565" s="645"/>
      <c r="FO565" s="645"/>
      <c r="FP565" s="645"/>
      <c r="FQ565" s="645"/>
      <c r="FR565" s="645"/>
      <c r="FS565" s="645"/>
      <c r="FT565" s="645"/>
      <c r="FU565" s="645"/>
      <c r="FV565" s="645"/>
      <c r="FW565" s="645"/>
      <c r="FX565" s="645"/>
      <c r="FY565" s="645"/>
      <c r="FZ565" s="645"/>
      <c r="GA565" s="645"/>
      <c r="GB565" s="645"/>
      <c r="GC565" s="645"/>
      <c r="GD565" s="645"/>
      <c r="GE565" s="645"/>
      <c r="GF565" s="645"/>
      <c r="GG565" s="645"/>
      <c r="GH565" s="645"/>
      <c r="GI565" s="645"/>
      <c r="GJ565" s="645"/>
      <c r="GK565" s="645"/>
      <c r="GL565" s="645"/>
      <c r="GM565" s="645"/>
      <c r="GN565" s="645"/>
      <c r="GO565" s="645"/>
      <c r="GP565" s="645"/>
      <c r="GQ565" s="645"/>
      <c r="GR565" s="645"/>
      <c r="GS565" s="645"/>
      <c r="GT565" s="645"/>
      <c r="GU565" s="645"/>
      <c r="GV565" s="645"/>
      <c r="GW565" s="645"/>
      <c r="GX565" s="645"/>
      <c r="GY565" s="645"/>
      <c r="GZ565" s="645"/>
      <c r="HA565" s="645"/>
      <c r="HB565" s="645"/>
      <c r="HC565" s="645"/>
      <c r="HD565" s="645"/>
      <c r="HE565" s="645"/>
      <c r="IT565" s="645"/>
      <c r="IU565" s="645"/>
      <c r="IV565" s="645"/>
      <c r="IW565" s="645"/>
      <c r="IX565" s="645"/>
      <c r="IY565" s="645"/>
      <c r="IZ565" s="645"/>
      <c r="JA565" s="645"/>
      <c r="JB565" s="645"/>
      <c r="JC565" s="645"/>
      <c r="JD565" s="645"/>
      <c r="JE565" s="645"/>
      <c r="JF565" s="645"/>
      <c r="JG565" s="645"/>
      <c r="JH565" s="645"/>
      <c r="JI565" s="645"/>
      <c r="JJ565" s="645"/>
      <c r="JK565" s="645"/>
      <c r="JL565" s="645"/>
      <c r="JM565" s="645"/>
      <c r="JN565" s="645"/>
      <c r="JO565" s="645"/>
      <c r="JP565" s="645"/>
      <c r="JQ565" s="645"/>
      <c r="JR565" s="645"/>
      <c r="JS565" s="645"/>
      <c r="JT565" s="645"/>
      <c r="JU565" s="645"/>
      <c r="JW565" s="522"/>
      <c r="JX565" s="522"/>
      <c r="JY565" s="522"/>
      <c r="JZ565" s="522"/>
      <c r="KA565" s="522"/>
      <c r="KB565" s="522"/>
      <c r="KC565" s="522"/>
      <c r="KD565" s="522"/>
      <c r="KE565" s="522"/>
      <c r="KF565" s="522"/>
      <c r="KG565" s="522"/>
      <c r="KH565" s="522"/>
      <c r="KI565" s="522"/>
      <c r="KJ565" s="522"/>
      <c r="KK565" s="522"/>
      <c r="KL565" s="522"/>
    </row>
    <row r="566" spans="101:298">
      <c r="CW566" s="646"/>
      <c r="CX566" s="646"/>
      <c r="CY566" s="625"/>
      <c r="CZ566" s="625"/>
      <c r="DA566" s="625"/>
      <c r="DB566" s="625"/>
      <c r="DC566" s="645"/>
      <c r="DD566" s="645"/>
      <c r="DE566" s="645"/>
      <c r="DF566" s="645"/>
      <c r="DG566" s="645"/>
      <c r="DH566" s="645"/>
      <c r="DI566" s="645"/>
      <c r="DJ566" s="645"/>
      <c r="DK566" s="645"/>
      <c r="DL566" s="645"/>
      <c r="DM566" s="645"/>
      <c r="DN566" s="645"/>
      <c r="DO566" s="645"/>
      <c r="DP566" s="645"/>
      <c r="DQ566" s="645"/>
      <c r="DR566" s="645"/>
      <c r="DS566" s="645"/>
      <c r="DT566" s="645"/>
      <c r="DU566" s="645"/>
      <c r="DV566" s="645"/>
      <c r="DW566" s="645"/>
      <c r="DX566" s="645"/>
      <c r="DY566" s="645"/>
      <c r="DZ566" s="645"/>
      <c r="EA566" s="645"/>
      <c r="EB566" s="645"/>
      <c r="EC566" s="645"/>
      <c r="ED566" s="645"/>
      <c r="EE566" s="645"/>
      <c r="EF566" s="645"/>
      <c r="EG566" s="645"/>
      <c r="EH566" s="645"/>
      <c r="EI566" s="645"/>
      <c r="EJ566" s="645"/>
      <c r="EK566" s="645"/>
      <c r="EL566" s="645"/>
      <c r="EM566" s="645"/>
      <c r="EN566" s="645"/>
      <c r="EO566" s="645"/>
      <c r="EP566" s="645"/>
      <c r="EQ566" s="645"/>
      <c r="ER566" s="645"/>
      <c r="ES566" s="645"/>
      <c r="ET566" s="645"/>
      <c r="EU566" s="645"/>
      <c r="EV566" s="645"/>
      <c r="EW566" s="645"/>
      <c r="EX566" s="645"/>
      <c r="EY566" s="645"/>
      <c r="EZ566" s="645"/>
      <c r="FA566" s="645"/>
      <c r="FB566" s="645"/>
      <c r="FC566" s="645"/>
      <c r="FD566" s="645"/>
      <c r="FE566" s="645"/>
      <c r="FF566" s="645"/>
      <c r="FG566" s="645"/>
      <c r="FH566" s="645"/>
      <c r="FI566" s="645"/>
      <c r="FJ566" s="645"/>
      <c r="FK566" s="645"/>
      <c r="FL566" s="645"/>
      <c r="FM566" s="645"/>
      <c r="FN566" s="645"/>
      <c r="FO566" s="645"/>
      <c r="FP566" s="645"/>
      <c r="FQ566" s="645"/>
      <c r="FR566" s="645"/>
      <c r="FS566" s="645"/>
      <c r="FT566" s="645"/>
      <c r="FU566" s="645"/>
      <c r="FV566" s="645"/>
      <c r="FW566" s="645"/>
      <c r="FX566" s="645"/>
      <c r="FY566" s="645"/>
      <c r="FZ566" s="645"/>
      <c r="GA566" s="645"/>
      <c r="GB566" s="645"/>
      <c r="GC566" s="645"/>
      <c r="GD566" s="645"/>
      <c r="GE566" s="645"/>
      <c r="GF566" s="645"/>
      <c r="GG566" s="645"/>
      <c r="GH566" s="645"/>
      <c r="GI566" s="645"/>
      <c r="GJ566" s="645"/>
      <c r="GK566" s="645"/>
      <c r="GL566" s="645"/>
      <c r="GM566" s="645"/>
      <c r="GN566" s="645"/>
      <c r="GO566" s="645"/>
      <c r="GP566" s="645"/>
      <c r="GQ566" s="645"/>
      <c r="GR566" s="645"/>
      <c r="GS566" s="645"/>
      <c r="GT566" s="645"/>
      <c r="GU566" s="645"/>
      <c r="GV566" s="645"/>
      <c r="GW566" s="645"/>
      <c r="GX566" s="645"/>
      <c r="GY566" s="645"/>
      <c r="GZ566" s="645"/>
      <c r="HA566" s="645"/>
      <c r="HB566" s="645"/>
      <c r="HC566" s="645"/>
      <c r="HD566" s="645"/>
      <c r="HE566" s="645"/>
      <c r="IT566" s="645"/>
      <c r="IU566" s="645"/>
      <c r="IV566" s="645"/>
      <c r="IW566" s="645"/>
      <c r="IX566" s="645"/>
      <c r="IY566" s="645"/>
      <c r="IZ566" s="645"/>
      <c r="JA566" s="645"/>
      <c r="JB566" s="645"/>
      <c r="JC566" s="645"/>
      <c r="JD566" s="645"/>
      <c r="JE566" s="645"/>
      <c r="JF566" s="645"/>
      <c r="JG566" s="645"/>
      <c r="JH566" s="645"/>
      <c r="JI566" s="645"/>
      <c r="JJ566" s="645"/>
      <c r="JK566" s="645"/>
      <c r="JL566" s="645"/>
      <c r="JM566" s="645"/>
      <c r="JN566" s="645"/>
      <c r="JO566" s="645"/>
      <c r="JP566" s="645"/>
      <c r="JQ566" s="645"/>
      <c r="JR566" s="645"/>
      <c r="JS566" s="645"/>
      <c r="JT566" s="645"/>
      <c r="JU566" s="645"/>
      <c r="JW566" s="522"/>
      <c r="JX566" s="522"/>
      <c r="JY566" s="522"/>
      <c r="JZ566" s="522"/>
      <c r="KA566" s="522"/>
      <c r="KB566" s="522"/>
      <c r="KC566" s="522"/>
      <c r="KD566" s="522"/>
      <c r="KE566" s="522"/>
      <c r="KF566" s="522"/>
      <c r="KG566" s="522"/>
      <c r="KH566" s="522"/>
      <c r="KI566" s="522"/>
      <c r="KJ566" s="522"/>
      <c r="KK566" s="522"/>
      <c r="KL566" s="522"/>
    </row>
    <row r="567" spans="101:298">
      <c r="CW567" s="646"/>
      <c r="CX567" s="646"/>
      <c r="CY567" s="625"/>
      <c r="CZ567" s="625"/>
      <c r="DA567" s="625"/>
      <c r="DB567" s="625"/>
      <c r="DC567" s="645"/>
      <c r="DD567" s="645"/>
      <c r="DE567" s="645"/>
      <c r="DF567" s="645"/>
      <c r="DG567" s="645"/>
      <c r="DH567" s="645"/>
      <c r="DI567" s="645"/>
      <c r="DJ567" s="645"/>
      <c r="DK567" s="645"/>
      <c r="DL567" s="645"/>
      <c r="DM567" s="645"/>
      <c r="DN567" s="645"/>
      <c r="DO567" s="645"/>
      <c r="DP567" s="645"/>
      <c r="DQ567" s="645"/>
      <c r="DR567" s="645"/>
      <c r="DS567" s="645"/>
      <c r="DT567" s="645"/>
      <c r="DU567" s="645"/>
      <c r="DV567" s="645"/>
      <c r="DW567" s="645"/>
      <c r="DX567" s="645"/>
      <c r="DY567" s="645"/>
      <c r="DZ567" s="645"/>
      <c r="EA567" s="645"/>
      <c r="EB567" s="645"/>
      <c r="EC567" s="645"/>
      <c r="ED567" s="645"/>
      <c r="EE567" s="645"/>
      <c r="EF567" s="645"/>
      <c r="EG567" s="645"/>
      <c r="EH567" s="645"/>
      <c r="EI567" s="645"/>
      <c r="EJ567" s="645"/>
      <c r="EK567" s="645"/>
      <c r="EL567" s="645"/>
      <c r="EM567" s="645"/>
      <c r="EN567" s="645"/>
      <c r="EO567" s="645"/>
      <c r="EP567" s="645"/>
      <c r="EQ567" s="645"/>
      <c r="ER567" s="645"/>
      <c r="ES567" s="645"/>
      <c r="ET567" s="645"/>
      <c r="EU567" s="645"/>
      <c r="EV567" s="645"/>
      <c r="EW567" s="645"/>
      <c r="EX567" s="645"/>
      <c r="EY567" s="645"/>
      <c r="EZ567" s="645"/>
      <c r="FA567" s="645"/>
      <c r="FB567" s="645"/>
      <c r="FC567" s="645"/>
      <c r="FD567" s="645"/>
      <c r="FE567" s="645"/>
      <c r="FF567" s="645"/>
      <c r="FG567" s="645"/>
      <c r="FH567" s="645"/>
      <c r="FI567" s="645"/>
      <c r="FJ567" s="645"/>
      <c r="FK567" s="645"/>
      <c r="FL567" s="645"/>
      <c r="FM567" s="645"/>
      <c r="FN567" s="645"/>
      <c r="FO567" s="645"/>
      <c r="FP567" s="645"/>
      <c r="FQ567" s="645"/>
      <c r="FR567" s="645"/>
      <c r="FS567" s="645"/>
      <c r="FT567" s="645"/>
      <c r="FU567" s="645"/>
      <c r="FV567" s="645"/>
      <c r="FW567" s="645"/>
      <c r="FX567" s="645"/>
      <c r="FY567" s="645"/>
      <c r="FZ567" s="645"/>
      <c r="GA567" s="645"/>
      <c r="GB567" s="645"/>
      <c r="GC567" s="645"/>
      <c r="GD567" s="645"/>
      <c r="GE567" s="645"/>
      <c r="GF567" s="645"/>
      <c r="GG567" s="645"/>
      <c r="GH567" s="645"/>
      <c r="GI567" s="645"/>
      <c r="GJ567" s="645"/>
      <c r="GK567" s="645"/>
      <c r="GL567" s="645"/>
      <c r="GM567" s="645"/>
      <c r="GN567" s="645"/>
      <c r="GO567" s="645"/>
      <c r="GP567" s="645"/>
      <c r="GQ567" s="645"/>
      <c r="GR567" s="645"/>
      <c r="GS567" s="645"/>
      <c r="GT567" s="645"/>
      <c r="GU567" s="645"/>
      <c r="GV567" s="645"/>
      <c r="GW567" s="645"/>
      <c r="GX567" s="645"/>
      <c r="GY567" s="645"/>
      <c r="GZ567" s="645"/>
      <c r="HA567" s="645"/>
      <c r="HB567" s="645"/>
      <c r="HC567" s="645"/>
      <c r="HD567" s="645"/>
      <c r="HE567" s="645"/>
      <c r="IT567" s="645"/>
      <c r="IU567" s="645"/>
      <c r="IV567" s="645"/>
      <c r="IW567" s="645"/>
      <c r="IX567" s="645"/>
      <c r="IY567" s="645"/>
      <c r="IZ567" s="645"/>
      <c r="JA567" s="645"/>
      <c r="JB567" s="645"/>
      <c r="JC567" s="645"/>
      <c r="JD567" s="645"/>
      <c r="JE567" s="645"/>
      <c r="JF567" s="645"/>
      <c r="JG567" s="645"/>
      <c r="JH567" s="645"/>
      <c r="JI567" s="645"/>
      <c r="JJ567" s="645"/>
      <c r="JK567" s="645"/>
      <c r="JL567" s="645"/>
      <c r="JM567" s="645"/>
      <c r="JN567" s="645"/>
      <c r="JO567" s="645"/>
      <c r="JP567" s="645"/>
      <c r="JQ567" s="645"/>
      <c r="JR567" s="645"/>
      <c r="JS567" s="645"/>
      <c r="JT567" s="645"/>
      <c r="JU567" s="645"/>
      <c r="JW567" s="522"/>
      <c r="JX567" s="522"/>
      <c r="JY567" s="522"/>
      <c r="JZ567" s="522"/>
      <c r="KA567" s="522"/>
      <c r="KB567" s="522"/>
      <c r="KC567" s="522"/>
      <c r="KD567" s="522"/>
      <c r="KE567" s="522"/>
      <c r="KF567" s="522"/>
      <c r="KG567" s="522"/>
      <c r="KH567" s="522"/>
      <c r="KI567" s="522"/>
      <c r="KJ567" s="522"/>
      <c r="KK567" s="522"/>
      <c r="KL567" s="522"/>
    </row>
    <row r="568" spans="101:298">
      <c r="CW568" s="646"/>
      <c r="CX568" s="646"/>
      <c r="CY568" s="625"/>
      <c r="CZ568" s="625"/>
      <c r="DA568" s="625"/>
      <c r="DB568" s="625"/>
      <c r="DC568" s="645"/>
      <c r="DD568" s="645"/>
      <c r="DE568" s="645"/>
      <c r="DF568" s="645"/>
      <c r="DG568" s="645"/>
      <c r="DH568" s="645"/>
      <c r="DI568" s="645"/>
      <c r="DJ568" s="645"/>
      <c r="DK568" s="645"/>
      <c r="DL568" s="645"/>
      <c r="DM568" s="645"/>
      <c r="DN568" s="645"/>
      <c r="DO568" s="645"/>
      <c r="DP568" s="645"/>
      <c r="DQ568" s="645"/>
      <c r="DR568" s="645"/>
      <c r="DS568" s="645"/>
      <c r="DT568" s="645"/>
      <c r="DU568" s="645"/>
      <c r="DV568" s="645"/>
      <c r="DW568" s="645"/>
      <c r="DX568" s="645"/>
      <c r="DY568" s="645"/>
      <c r="DZ568" s="645"/>
      <c r="EA568" s="645"/>
      <c r="EB568" s="645"/>
      <c r="EC568" s="645"/>
      <c r="ED568" s="645"/>
      <c r="EE568" s="645"/>
      <c r="EF568" s="645"/>
      <c r="EG568" s="645"/>
      <c r="EH568" s="645"/>
      <c r="EI568" s="645"/>
      <c r="EJ568" s="645"/>
      <c r="EK568" s="645"/>
      <c r="EL568" s="645"/>
      <c r="EM568" s="645"/>
      <c r="EN568" s="645"/>
      <c r="EO568" s="645"/>
      <c r="EP568" s="645"/>
      <c r="EQ568" s="645"/>
      <c r="ER568" s="645"/>
      <c r="ES568" s="645"/>
      <c r="ET568" s="645"/>
      <c r="EU568" s="645"/>
      <c r="EV568" s="645"/>
      <c r="EW568" s="645"/>
      <c r="EX568" s="645"/>
      <c r="EY568" s="645"/>
      <c r="EZ568" s="645"/>
      <c r="FA568" s="645"/>
      <c r="FB568" s="645"/>
      <c r="FC568" s="645"/>
      <c r="FD568" s="645"/>
      <c r="FE568" s="645"/>
      <c r="FF568" s="645"/>
      <c r="FG568" s="645"/>
      <c r="FH568" s="645"/>
      <c r="FI568" s="645"/>
      <c r="FJ568" s="645"/>
      <c r="FK568" s="645"/>
      <c r="FL568" s="645"/>
      <c r="FM568" s="645"/>
      <c r="FN568" s="645"/>
      <c r="FO568" s="645"/>
      <c r="FP568" s="645"/>
      <c r="FQ568" s="645"/>
      <c r="FR568" s="645"/>
      <c r="FS568" s="645"/>
      <c r="FT568" s="645"/>
      <c r="FU568" s="645"/>
      <c r="FV568" s="645"/>
      <c r="FW568" s="645"/>
      <c r="FX568" s="645"/>
      <c r="FY568" s="645"/>
      <c r="FZ568" s="645"/>
      <c r="GA568" s="645"/>
      <c r="GB568" s="645"/>
      <c r="GC568" s="645"/>
      <c r="GD568" s="645"/>
      <c r="GE568" s="645"/>
      <c r="GF568" s="645"/>
      <c r="GG568" s="645"/>
      <c r="GH568" s="645"/>
      <c r="GI568" s="645"/>
      <c r="GJ568" s="645"/>
      <c r="GK568" s="645"/>
      <c r="GL568" s="645"/>
      <c r="GM568" s="645"/>
      <c r="GN568" s="645"/>
      <c r="GO568" s="645"/>
      <c r="GP568" s="645"/>
      <c r="GQ568" s="645"/>
      <c r="GR568" s="645"/>
      <c r="GS568" s="645"/>
      <c r="GT568" s="645"/>
      <c r="GU568" s="645"/>
      <c r="GV568" s="645"/>
      <c r="GW568" s="645"/>
      <c r="GX568" s="645"/>
      <c r="GY568" s="645"/>
      <c r="GZ568" s="645"/>
      <c r="HA568" s="645"/>
      <c r="HB568" s="645"/>
      <c r="HC568" s="645"/>
      <c r="HD568" s="645"/>
      <c r="HE568" s="645"/>
      <c r="IT568" s="645"/>
      <c r="IU568" s="645"/>
      <c r="IV568" s="645"/>
      <c r="IW568" s="645"/>
      <c r="IX568" s="645"/>
      <c r="IY568" s="645"/>
      <c r="IZ568" s="645"/>
      <c r="JA568" s="645"/>
      <c r="JB568" s="645"/>
      <c r="JC568" s="645"/>
      <c r="JD568" s="645"/>
      <c r="JE568" s="645"/>
      <c r="JF568" s="645"/>
      <c r="JG568" s="645"/>
      <c r="JH568" s="645"/>
      <c r="JI568" s="645"/>
      <c r="JJ568" s="645"/>
      <c r="JK568" s="645"/>
      <c r="JL568" s="645"/>
      <c r="JM568" s="645"/>
      <c r="JN568" s="645"/>
      <c r="JO568" s="645"/>
      <c r="JP568" s="645"/>
      <c r="JQ568" s="645"/>
      <c r="JR568" s="645"/>
      <c r="JS568" s="645"/>
      <c r="JT568" s="645"/>
      <c r="JU568" s="645"/>
      <c r="JW568" s="522"/>
      <c r="JX568" s="522"/>
      <c r="JY568" s="522"/>
      <c r="JZ568" s="522"/>
      <c r="KA568" s="522"/>
      <c r="KB568" s="522"/>
      <c r="KC568" s="522"/>
      <c r="KD568" s="522"/>
      <c r="KE568" s="522"/>
      <c r="KF568" s="522"/>
      <c r="KG568" s="522"/>
      <c r="KH568" s="522"/>
      <c r="KI568" s="522"/>
      <c r="KJ568" s="522"/>
      <c r="KK568" s="522"/>
      <c r="KL568" s="522"/>
    </row>
    <row r="569" spans="101:298">
      <c r="CW569" s="646"/>
      <c r="CX569" s="646"/>
      <c r="CY569" s="625"/>
      <c r="CZ569" s="625"/>
      <c r="DA569" s="625"/>
      <c r="DB569" s="625"/>
      <c r="DC569" s="645"/>
      <c r="DD569" s="645"/>
      <c r="DE569" s="645"/>
      <c r="DF569" s="645"/>
      <c r="DG569" s="645"/>
      <c r="DH569" s="645"/>
      <c r="DI569" s="645"/>
      <c r="DJ569" s="645"/>
      <c r="DK569" s="645"/>
      <c r="DL569" s="645"/>
      <c r="DM569" s="645"/>
      <c r="DN569" s="645"/>
      <c r="DO569" s="645"/>
      <c r="DP569" s="645"/>
      <c r="DQ569" s="645"/>
      <c r="DR569" s="645"/>
      <c r="DS569" s="645"/>
      <c r="DT569" s="645"/>
      <c r="DU569" s="645"/>
      <c r="DV569" s="645"/>
      <c r="DW569" s="645"/>
      <c r="DX569" s="645"/>
      <c r="DY569" s="645"/>
      <c r="DZ569" s="645"/>
      <c r="EA569" s="645"/>
      <c r="EB569" s="645"/>
      <c r="EC569" s="645"/>
      <c r="ED569" s="645"/>
      <c r="EE569" s="645"/>
      <c r="EF569" s="645"/>
      <c r="EG569" s="645"/>
      <c r="EH569" s="645"/>
      <c r="EI569" s="645"/>
      <c r="EJ569" s="645"/>
      <c r="EK569" s="645"/>
      <c r="EL569" s="645"/>
      <c r="EM569" s="645"/>
      <c r="EN569" s="645"/>
      <c r="EO569" s="645"/>
      <c r="EP569" s="645"/>
      <c r="EQ569" s="645"/>
      <c r="ER569" s="645"/>
      <c r="ES569" s="645"/>
      <c r="ET569" s="645"/>
      <c r="EU569" s="645"/>
      <c r="EV569" s="645"/>
      <c r="EW569" s="645"/>
      <c r="EX569" s="645"/>
      <c r="EY569" s="645"/>
      <c r="EZ569" s="645"/>
      <c r="FA569" s="645"/>
      <c r="FB569" s="645"/>
      <c r="FC569" s="645"/>
      <c r="FD569" s="645"/>
      <c r="FE569" s="645"/>
      <c r="FF569" s="645"/>
      <c r="FG569" s="645"/>
      <c r="FH569" s="645"/>
      <c r="FI569" s="645"/>
      <c r="FJ569" s="645"/>
      <c r="FK569" s="645"/>
      <c r="FL569" s="645"/>
      <c r="FM569" s="645"/>
      <c r="FN569" s="645"/>
      <c r="FO569" s="645"/>
      <c r="FP569" s="645"/>
      <c r="FQ569" s="645"/>
      <c r="FR569" s="645"/>
      <c r="FS569" s="645"/>
      <c r="FT569" s="645"/>
      <c r="FU569" s="645"/>
      <c r="FV569" s="645"/>
      <c r="FW569" s="645"/>
      <c r="FX569" s="645"/>
      <c r="FY569" s="645"/>
      <c r="FZ569" s="645"/>
      <c r="GA569" s="645"/>
      <c r="GB569" s="645"/>
      <c r="GC569" s="645"/>
      <c r="GD569" s="645"/>
      <c r="GE569" s="645"/>
      <c r="GF569" s="645"/>
      <c r="GG569" s="645"/>
      <c r="GH569" s="645"/>
      <c r="GI569" s="645"/>
      <c r="GJ569" s="645"/>
      <c r="GK569" s="645"/>
      <c r="GL569" s="645"/>
      <c r="GM569" s="645"/>
      <c r="GN569" s="645"/>
      <c r="GO569" s="645"/>
      <c r="GP569" s="645"/>
      <c r="GQ569" s="645"/>
      <c r="GR569" s="645"/>
      <c r="GS569" s="645"/>
      <c r="GT569" s="645"/>
      <c r="GU569" s="645"/>
      <c r="GV569" s="645"/>
      <c r="GW569" s="645"/>
      <c r="GX569" s="645"/>
      <c r="GY569" s="645"/>
      <c r="GZ569" s="645"/>
      <c r="HA569" s="645"/>
      <c r="HB569" s="645"/>
      <c r="HC569" s="645"/>
      <c r="HD569" s="645"/>
      <c r="HE569" s="645"/>
      <c r="IT569" s="645"/>
      <c r="IU569" s="645"/>
      <c r="IV569" s="645"/>
      <c r="IW569" s="645"/>
      <c r="IX569" s="645"/>
      <c r="IY569" s="645"/>
      <c r="IZ569" s="645"/>
      <c r="JA569" s="645"/>
      <c r="JB569" s="645"/>
      <c r="JC569" s="645"/>
      <c r="JD569" s="645"/>
      <c r="JE569" s="645"/>
      <c r="JF569" s="645"/>
      <c r="JG569" s="645"/>
      <c r="JH569" s="645"/>
      <c r="JI569" s="645"/>
      <c r="JJ569" s="645"/>
      <c r="JK569" s="645"/>
      <c r="JL569" s="645"/>
      <c r="JM569" s="645"/>
      <c r="JN569" s="645"/>
      <c r="JO569" s="645"/>
      <c r="JP569" s="645"/>
      <c r="JQ569" s="645"/>
      <c r="JR569" s="645"/>
      <c r="JS569" s="645"/>
      <c r="JT569" s="645"/>
      <c r="JU569" s="645"/>
      <c r="JW569" s="522"/>
      <c r="JX569" s="522"/>
      <c r="JY569" s="522"/>
      <c r="JZ569" s="522"/>
      <c r="KA569" s="522"/>
      <c r="KB569" s="522"/>
      <c r="KC569" s="522"/>
      <c r="KD569" s="522"/>
      <c r="KE569" s="522"/>
      <c r="KF569" s="522"/>
      <c r="KG569" s="522"/>
      <c r="KH569" s="522"/>
      <c r="KI569" s="522"/>
      <c r="KJ569" s="522"/>
      <c r="KK569" s="522"/>
      <c r="KL569" s="522"/>
    </row>
    <row r="570" spans="101:298">
      <c r="CW570" s="646"/>
      <c r="CX570" s="646"/>
      <c r="CY570" s="625"/>
      <c r="CZ570" s="625"/>
      <c r="DA570" s="625"/>
      <c r="DB570" s="625"/>
      <c r="DC570" s="645"/>
      <c r="DD570" s="645"/>
      <c r="DE570" s="645"/>
      <c r="DF570" s="645"/>
      <c r="DG570" s="645"/>
      <c r="DH570" s="645"/>
      <c r="DI570" s="645"/>
      <c r="DJ570" s="645"/>
      <c r="DK570" s="645"/>
      <c r="DL570" s="645"/>
      <c r="DM570" s="645"/>
      <c r="DN570" s="645"/>
      <c r="DO570" s="645"/>
      <c r="DP570" s="645"/>
      <c r="DQ570" s="645"/>
      <c r="DR570" s="645"/>
      <c r="DS570" s="645"/>
      <c r="DT570" s="645"/>
      <c r="DU570" s="645"/>
      <c r="DV570" s="645"/>
      <c r="DW570" s="645"/>
      <c r="DX570" s="645"/>
      <c r="DY570" s="645"/>
      <c r="DZ570" s="645"/>
      <c r="EA570" s="645"/>
      <c r="EB570" s="645"/>
      <c r="EC570" s="645"/>
      <c r="ED570" s="645"/>
      <c r="EE570" s="645"/>
      <c r="EF570" s="645"/>
      <c r="EG570" s="645"/>
      <c r="EH570" s="645"/>
      <c r="EI570" s="645"/>
      <c r="EJ570" s="645"/>
      <c r="EK570" s="645"/>
      <c r="EL570" s="645"/>
      <c r="EM570" s="645"/>
      <c r="EN570" s="645"/>
      <c r="EO570" s="645"/>
      <c r="EP570" s="645"/>
      <c r="EQ570" s="645"/>
      <c r="ER570" s="645"/>
      <c r="ES570" s="645"/>
      <c r="ET570" s="645"/>
      <c r="EU570" s="645"/>
      <c r="EV570" s="645"/>
      <c r="EW570" s="645"/>
      <c r="EX570" s="645"/>
      <c r="EY570" s="645"/>
      <c r="EZ570" s="645"/>
      <c r="FA570" s="645"/>
      <c r="FB570" s="645"/>
      <c r="FC570" s="645"/>
      <c r="FD570" s="645"/>
      <c r="FE570" s="645"/>
      <c r="FF570" s="645"/>
      <c r="FG570" s="645"/>
      <c r="FH570" s="645"/>
      <c r="FI570" s="645"/>
      <c r="FJ570" s="645"/>
      <c r="FK570" s="645"/>
      <c r="FL570" s="645"/>
      <c r="FM570" s="645"/>
      <c r="FN570" s="645"/>
      <c r="FO570" s="645"/>
      <c r="FP570" s="645"/>
      <c r="FQ570" s="645"/>
      <c r="FR570" s="645"/>
      <c r="FS570" s="645"/>
      <c r="FT570" s="645"/>
      <c r="FU570" s="645"/>
      <c r="FV570" s="645"/>
      <c r="FW570" s="645"/>
      <c r="FX570" s="645"/>
      <c r="FY570" s="645"/>
      <c r="FZ570" s="645"/>
      <c r="GA570" s="645"/>
      <c r="GB570" s="645"/>
      <c r="GC570" s="645"/>
      <c r="GD570" s="645"/>
      <c r="GE570" s="645"/>
      <c r="GF570" s="645"/>
      <c r="GG570" s="645"/>
      <c r="GH570" s="645"/>
      <c r="GI570" s="645"/>
      <c r="GJ570" s="645"/>
      <c r="GK570" s="645"/>
      <c r="GL570" s="645"/>
      <c r="GM570" s="645"/>
      <c r="GN570" s="645"/>
      <c r="GO570" s="645"/>
      <c r="GP570" s="645"/>
      <c r="GQ570" s="645"/>
      <c r="GR570" s="645"/>
      <c r="GS570" s="645"/>
      <c r="GT570" s="645"/>
      <c r="GU570" s="645"/>
      <c r="GV570" s="645"/>
      <c r="GW570" s="645"/>
      <c r="GX570" s="645"/>
      <c r="GY570" s="645"/>
      <c r="GZ570" s="645"/>
      <c r="HA570" s="645"/>
      <c r="HB570" s="645"/>
      <c r="HC570" s="645"/>
      <c r="HD570" s="645"/>
      <c r="HE570" s="645"/>
      <c r="IT570" s="645"/>
      <c r="IU570" s="645"/>
      <c r="IV570" s="645"/>
      <c r="IW570" s="645"/>
      <c r="IX570" s="645"/>
      <c r="IY570" s="645"/>
      <c r="IZ570" s="645"/>
      <c r="JA570" s="645"/>
      <c r="JB570" s="645"/>
      <c r="JC570" s="645"/>
      <c r="JD570" s="645"/>
      <c r="JE570" s="645"/>
      <c r="JF570" s="645"/>
      <c r="JG570" s="645"/>
      <c r="JH570" s="645"/>
      <c r="JI570" s="645"/>
      <c r="JJ570" s="645"/>
      <c r="JK570" s="645"/>
      <c r="JL570" s="645"/>
      <c r="JM570" s="645"/>
      <c r="JN570" s="645"/>
      <c r="JO570" s="645"/>
      <c r="JP570" s="645"/>
      <c r="JQ570" s="645"/>
      <c r="JR570" s="645"/>
      <c r="JS570" s="645"/>
      <c r="JT570" s="645"/>
      <c r="JU570" s="645"/>
      <c r="JW570" s="522"/>
      <c r="JX570" s="522"/>
      <c r="JY570" s="522"/>
      <c r="JZ570" s="522"/>
      <c r="KA570" s="522"/>
      <c r="KB570" s="522"/>
      <c r="KC570" s="522"/>
      <c r="KD570" s="522"/>
      <c r="KE570" s="522"/>
      <c r="KF570" s="522"/>
      <c r="KG570" s="522"/>
      <c r="KH570" s="522"/>
      <c r="KI570" s="522"/>
      <c r="KJ570" s="522"/>
      <c r="KK570" s="522"/>
      <c r="KL570" s="522"/>
    </row>
    <row r="571" spans="101:298">
      <c r="CW571" s="646"/>
      <c r="CX571" s="646"/>
      <c r="CY571" s="625"/>
      <c r="CZ571" s="625"/>
      <c r="DA571" s="625"/>
      <c r="DB571" s="625"/>
      <c r="DC571" s="645"/>
      <c r="DD571" s="645"/>
      <c r="DE571" s="645"/>
      <c r="DF571" s="645"/>
      <c r="DG571" s="645"/>
      <c r="DH571" s="645"/>
      <c r="DI571" s="645"/>
      <c r="DJ571" s="645"/>
      <c r="DK571" s="645"/>
      <c r="DL571" s="645"/>
      <c r="DM571" s="645"/>
      <c r="DN571" s="645"/>
      <c r="DO571" s="645"/>
      <c r="DP571" s="645"/>
      <c r="DQ571" s="645"/>
      <c r="DR571" s="645"/>
      <c r="DS571" s="645"/>
      <c r="DT571" s="645"/>
      <c r="DU571" s="645"/>
      <c r="DV571" s="645"/>
      <c r="DW571" s="645"/>
      <c r="DX571" s="645"/>
      <c r="DY571" s="645"/>
      <c r="DZ571" s="645"/>
      <c r="EA571" s="645"/>
      <c r="EB571" s="645"/>
      <c r="EC571" s="645"/>
      <c r="ED571" s="645"/>
      <c r="EE571" s="645"/>
      <c r="EF571" s="645"/>
      <c r="EG571" s="645"/>
      <c r="EH571" s="645"/>
      <c r="EI571" s="645"/>
      <c r="EJ571" s="645"/>
      <c r="EK571" s="645"/>
      <c r="EL571" s="645"/>
      <c r="EM571" s="645"/>
      <c r="EN571" s="645"/>
      <c r="EO571" s="645"/>
      <c r="EP571" s="645"/>
      <c r="EQ571" s="645"/>
      <c r="ER571" s="645"/>
      <c r="ES571" s="645"/>
      <c r="ET571" s="645"/>
      <c r="EU571" s="645"/>
      <c r="EV571" s="645"/>
      <c r="EW571" s="645"/>
      <c r="EX571" s="645"/>
      <c r="EY571" s="645"/>
      <c r="EZ571" s="645"/>
      <c r="FA571" s="645"/>
      <c r="FB571" s="645"/>
      <c r="FC571" s="645"/>
      <c r="FD571" s="645"/>
      <c r="FE571" s="645"/>
      <c r="FF571" s="645"/>
      <c r="FG571" s="645"/>
      <c r="FH571" s="645"/>
      <c r="FI571" s="645"/>
      <c r="FJ571" s="645"/>
      <c r="FK571" s="645"/>
      <c r="FL571" s="645"/>
      <c r="FM571" s="645"/>
      <c r="FN571" s="645"/>
      <c r="FO571" s="645"/>
      <c r="FP571" s="645"/>
      <c r="FQ571" s="645"/>
      <c r="FR571" s="645"/>
      <c r="FS571" s="645"/>
      <c r="FT571" s="645"/>
      <c r="FU571" s="645"/>
      <c r="FV571" s="645"/>
      <c r="FW571" s="645"/>
      <c r="FX571" s="645"/>
      <c r="FY571" s="645"/>
      <c r="FZ571" s="645"/>
      <c r="GA571" s="645"/>
      <c r="GB571" s="645"/>
      <c r="GC571" s="645"/>
      <c r="GD571" s="645"/>
      <c r="GE571" s="645"/>
      <c r="GF571" s="645"/>
      <c r="GG571" s="645"/>
      <c r="GH571" s="645"/>
      <c r="GI571" s="645"/>
      <c r="GJ571" s="645"/>
      <c r="GK571" s="645"/>
      <c r="GL571" s="645"/>
      <c r="GM571" s="645"/>
      <c r="GN571" s="645"/>
      <c r="GO571" s="645"/>
      <c r="GP571" s="645"/>
      <c r="GQ571" s="645"/>
      <c r="GR571" s="645"/>
      <c r="GS571" s="645"/>
      <c r="GT571" s="645"/>
      <c r="GU571" s="645"/>
      <c r="GV571" s="645"/>
      <c r="GW571" s="645"/>
      <c r="GX571" s="645"/>
      <c r="GY571" s="645"/>
      <c r="GZ571" s="645"/>
      <c r="HA571" s="645"/>
      <c r="HB571" s="645"/>
      <c r="HC571" s="645"/>
      <c r="HD571" s="645"/>
      <c r="HE571" s="645"/>
      <c r="IT571" s="645"/>
      <c r="IU571" s="645"/>
      <c r="IV571" s="645"/>
      <c r="IW571" s="645"/>
      <c r="IX571" s="645"/>
      <c r="IY571" s="645"/>
      <c r="IZ571" s="645"/>
      <c r="JA571" s="645"/>
      <c r="JB571" s="645"/>
      <c r="JC571" s="645"/>
      <c r="JD571" s="645"/>
      <c r="JE571" s="645"/>
      <c r="JF571" s="645"/>
      <c r="JG571" s="645"/>
      <c r="JH571" s="645"/>
      <c r="JI571" s="645"/>
      <c r="JJ571" s="645"/>
      <c r="JK571" s="645"/>
      <c r="JL571" s="645"/>
      <c r="JM571" s="645"/>
      <c r="JN571" s="645"/>
      <c r="JO571" s="645"/>
      <c r="JP571" s="645"/>
      <c r="JQ571" s="645"/>
      <c r="JR571" s="645"/>
      <c r="JS571" s="645"/>
      <c r="JT571" s="645"/>
      <c r="JU571" s="645"/>
      <c r="JW571" s="522"/>
      <c r="JX571" s="522"/>
      <c r="JY571" s="522"/>
      <c r="JZ571" s="522"/>
      <c r="KA571" s="522"/>
      <c r="KB571" s="522"/>
      <c r="KC571" s="522"/>
      <c r="KD571" s="522"/>
      <c r="KE571" s="522"/>
      <c r="KF571" s="522"/>
      <c r="KG571" s="522"/>
      <c r="KH571" s="522"/>
      <c r="KI571" s="522"/>
      <c r="KJ571" s="522"/>
      <c r="KK571" s="522"/>
      <c r="KL571" s="522"/>
    </row>
    <row r="572" spans="101:298">
      <c r="CW572" s="646"/>
      <c r="CX572" s="646"/>
      <c r="CY572" s="625"/>
      <c r="CZ572" s="625"/>
      <c r="DA572" s="625"/>
      <c r="DB572" s="625"/>
      <c r="DC572" s="645"/>
      <c r="DD572" s="645"/>
      <c r="DE572" s="645"/>
      <c r="DF572" s="645"/>
      <c r="DG572" s="645"/>
      <c r="DH572" s="645"/>
      <c r="DI572" s="645"/>
      <c r="DJ572" s="645"/>
      <c r="DK572" s="645"/>
      <c r="DL572" s="645"/>
      <c r="DM572" s="645"/>
      <c r="DN572" s="645"/>
      <c r="DO572" s="645"/>
      <c r="DP572" s="645"/>
      <c r="DQ572" s="645"/>
      <c r="DR572" s="645"/>
      <c r="DS572" s="645"/>
      <c r="DT572" s="645"/>
      <c r="DU572" s="645"/>
      <c r="DV572" s="645"/>
      <c r="DW572" s="645"/>
      <c r="DX572" s="645"/>
      <c r="DY572" s="645"/>
      <c r="DZ572" s="645"/>
      <c r="EA572" s="645"/>
      <c r="EB572" s="645"/>
      <c r="EC572" s="645"/>
      <c r="ED572" s="645"/>
      <c r="EE572" s="645"/>
      <c r="EF572" s="645"/>
      <c r="EG572" s="645"/>
      <c r="EH572" s="645"/>
      <c r="EI572" s="645"/>
      <c r="EJ572" s="645"/>
      <c r="EK572" s="645"/>
      <c r="EL572" s="645"/>
      <c r="EM572" s="645"/>
      <c r="EN572" s="645"/>
      <c r="EO572" s="645"/>
      <c r="EP572" s="645"/>
      <c r="EQ572" s="645"/>
      <c r="ER572" s="645"/>
      <c r="ES572" s="645"/>
      <c r="ET572" s="645"/>
      <c r="EU572" s="645"/>
      <c r="EV572" s="645"/>
      <c r="EW572" s="645"/>
      <c r="EX572" s="645"/>
      <c r="EY572" s="645"/>
      <c r="EZ572" s="645"/>
      <c r="FA572" s="645"/>
      <c r="FB572" s="645"/>
      <c r="FC572" s="645"/>
      <c r="FD572" s="645"/>
      <c r="FE572" s="645"/>
      <c r="FF572" s="645"/>
      <c r="FG572" s="645"/>
      <c r="FH572" s="645"/>
      <c r="FI572" s="645"/>
      <c r="FJ572" s="645"/>
      <c r="FK572" s="645"/>
      <c r="FL572" s="645"/>
      <c r="FM572" s="645"/>
      <c r="FN572" s="645"/>
      <c r="FO572" s="645"/>
      <c r="FP572" s="645"/>
      <c r="FQ572" s="645"/>
      <c r="FR572" s="645"/>
      <c r="FS572" s="645"/>
      <c r="FT572" s="645"/>
      <c r="FU572" s="645"/>
      <c r="FV572" s="645"/>
      <c r="FW572" s="645"/>
      <c r="FX572" s="645"/>
      <c r="FY572" s="645"/>
      <c r="FZ572" s="645"/>
      <c r="GA572" s="645"/>
      <c r="GB572" s="645"/>
      <c r="GC572" s="645"/>
      <c r="GD572" s="645"/>
      <c r="GE572" s="645"/>
      <c r="GF572" s="645"/>
      <c r="GG572" s="645"/>
      <c r="GH572" s="645"/>
      <c r="GI572" s="645"/>
      <c r="GJ572" s="645"/>
      <c r="GK572" s="645"/>
      <c r="GL572" s="645"/>
      <c r="GM572" s="645"/>
      <c r="GN572" s="645"/>
      <c r="GO572" s="645"/>
      <c r="GP572" s="645"/>
      <c r="GQ572" s="645"/>
      <c r="GR572" s="645"/>
      <c r="GS572" s="645"/>
      <c r="GT572" s="645"/>
      <c r="GU572" s="645"/>
      <c r="GV572" s="645"/>
      <c r="GW572" s="645"/>
      <c r="GX572" s="645"/>
      <c r="GY572" s="645"/>
      <c r="GZ572" s="645"/>
      <c r="HA572" s="645"/>
      <c r="HB572" s="645"/>
      <c r="HC572" s="645"/>
      <c r="HD572" s="645"/>
      <c r="HE572" s="645"/>
      <c r="IT572" s="645"/>
      <c r="IU572" s="645"/>
      <c r="IV572" s="645"/>
      <c r="IW572" s="645"/>
      <c r="IX572" s="645"/>
      <c r="IY572" s="645"/>
      <c r="IZ572" s="645"/>
      <c r="JA572" s="645"/>
      <c r="JB572" s="645"/>
      <c r="JC572" s="645"/>
      <c r="JD572" s="645"/>
      <c r="JE572" s="645"/>
      <c r="JF572" s="645"/>
      <c r="JG572" s="645"/>
      <c r="JH572" s="645"/>
      <c r="JI572" s="645"/>
      <c r="JJ572" s="645"/>
      <c r="JK572" s="645"/>
      <c r="JL572" s="645"/>
      <c r="JM572" s="645"/>
      <c r="JN572" s="645"/>
      <c r="JO572" s="645"/>
      <c r="JP572" s="645"/>
      <c r="JQ572" s="645"/>
      <c r="JR572" s="645"/>
      <c r="JS572" s="645"/>
      <c r="JT572" s="645"/>
      <c r="JU572" s="645"/>
      <c r="JW572" s="522"/>
      <c r="JX572" s="522"/>
      <c r="JY572" s="522"/>
      <c r="JZ572" s="522"/>
      <c r="KA572" s="522"/>
      <c r="KB572" s="522"/>
      <c r="KC572" s="522"/>
      <c r="KD572" s="522"/>
      <c r="KE572" s="522"/>
      <c r="KF572" s="522"/>
      <c r="KG572" s="522"/>
      <c r="KH572" s="522"/>
      <c r="KI572" s="522"/>
      <c r="KJ572" s="522"/>
      <c r="KK572" s="522"/>
      <c r="KL572" s="522"/>
    </row>
    <row r="573" spans="101:298">
      <c r="CW573" s="646"/>
      <c r="CX573" s="646"/>
      <c r="CY573" s="625"/>
      <c r="CZ573" s="625"/>
      <c r="DA573" s="625"/>
      <c r="DB573" s="625"/>
      <c r="DC573" s="645"/>
      <c r="DD573" s="645"/>
      <c r="DE573" s="645"/>
      <c r="DF573" s="645"/>
      <c r="DG573" s="645"/>
      <c r="DH573" s="645"/>
      <c r="DI573" s="645"/>
      <c r="DJ573" s="645"/>
      <c r="DK573" s="645"/>
      <c r="DL573" s="645"/>
      <c r="DM573" s="645"/>
      <c r="DN573" s="645"/>
      <c r="DO573" s="645"/>
      <c r="DP573" s="645"/>
      <c r="DQ573" s="645"/>
      <c r="DR573" s="645"/>
      <c r="DS573" s="645"/>
      <c r="DT573" s="645"/>
      <c r="DU573" s="645"/>
      <c r="DV573" s="645"/>
      <c r="DW573" s="645"/>
      <c r="DX573" s="645"/>
      <c r="DY573" s="645"/>
      <c r="DZ573" s="645"/>
      <c r="EA573" s="645"/>
      <c r="EB573" s="645"/>
      <c r="EC573" s="645"/>
      <c r="ED573" s="645"/>
      <c r="EE573" s="645"/>
      <c r="EF573" s="645"/>
      <c r="EG573" s="645"/>
      <c r="EH573" s="645"/>
      <c r="EI573" s="645"/>
      <c r="EJ573" s="645"/>
      <c r="EK573" s="645"/>
      <c r="EL573" s="645"/>
      <c r="EM573" s="645"/>
      <c r="EN573" s="645"/>
      <c r="EO573" s="645"/>
      <c r="EP573" s="645"/>
      <c r="EQ573" s="645"/>
      <c r="ER573" s="645"/>
      <c r="ES573" s="645"/>
      <c r="ET573" s="645"/>
      <c r="EU573" s="645"/>
      <c r="EV573" s="645"/>
      <c r="EW573" s="645"/>
      <c r="EX573" s="645"/>
      <c r="EY573" s="645"/>
      <c r="EZ573" s="645"/>
      <c r="FA573" s="645"/>
      <c r="FB573" s="645"/>
      <c r="FC573" s="645"/>
      <c r="FD573" s="645"/>
      <c r="FE573" s="645"/>
      <c r="FF573" s="645"/>
      <c r="FG573" s="645"/>
      <c r="FH573" s="645"/>
      <c r="FI573" s="645"/>
      <c r="FJ573" s="645"/>
      <c r="FK573" s="645"/>
      <c r="FL573" s="645"/>
      <c r="FM573" s="645"/>
      <c r="FN573" s="645"/>
      <c r="FO573" s="645"/>
      <c r="FP573" s="645"/>
      <c r="FQ573" s="645"/>
      <c r="FR573" s="645"/>
      <c r="FS573" s="645"/>
      <c r="FT573" s="645"/>
      <c r="FU573" s="645"/>
      <c r="FV573" s="645"/>
      <c r="FW573" s="645"/>
      <c r="FX573" s="645"/>
      <c r="FY573" s="645"/>
      <c r="FZ573" s="645"/>
      <c r="GA573" s="645"/>
      <c r="GB573" s="645"/>
      <c r="GC573" s="645"/>
      <c r="GD573" s="645"/>
      <c r="GE573" s="645"/>
      <c r="GF573" s="645"/>
      <c r="GG573" s="645"/>
      <c r="GH573" s="645"/>
      <c r="GI573" s="645"/>
      <c r="GJ573" s="645"/>
      <c r="GK573" s="645"/>
      <c r="GL573" s="645"/>
      <c r="GM573" s="645"/>
      <c r="GN573" s="645"/>
      <c r="GO573" s="645"/>
      <c r="GP573" s="645"/>
      <c r="GQ573" s="645"/>
      <c r="GR573" s="645"/>
      <c r="GS573" s="645"/>
      <c r="GT573" s="645"/>
      <c r="GU573" s="645"/>
      <c r="GV573" s="645"/>
      <c r="GW573" s="645"/>
      <c r="GX573" s="645"/>
      <c r="GY573" s="645"/>
      <c r="GZ573" s="645"/>
      <c r="HA573" s="645"/>
      <c r="HB573" s="645"/>
      <c r="HC573" s="645"/>
      <c r="HD573" s="645"/>
      <c r="HE573" s="645"/>
      <c r="IT573" s="645"/>
      <c r="IU573" s="645"/>
      <c r="IV573" s="645"/>
      <c r="IW573" s="645"/>
      <c r="IX573" s="645"/>
      <c r="IY573" s="645"/>
      <c r="IZ573" s="645"/>
      <c r="JA573" s="645"/>
      <c r="JB573" s="645"/>
      <c r="JC573" s="645"/>
      <c r="JD573" s="645"/>
      <c r="JE573" s="645"/>
      <c r="JF573" s="645"/>
      <c r="JG573" s="645"/>
      <c r="JH573" s="645"/>
      <c r="JI573" s="645"/>
      <c r="JJ573" s="645"/>
      <c r="JK573" s="645"/>
      <c r="JL573" s="645"/>
      <c r="JM573" s="645"/>
      <c r="JN573" s="645"/>
      <c r="JO573" s="645"/>
      <c r="JP573" s="645"/>
      <c r="JQ573" s="645"/>
      <c r="JR573" s="645"/>
      <c r="JS573" s="645"/>
      <c r="JT573" s="645"/>
      <c r="JU573" s="645"/>
      <c r="JW573" s="522"/>
      <c r="JX573" s="522"/>
      <c r="JY573" s="522"/>
      <c r="JZ573" s="522"/>
      <c r="KA573" s="522"/>
      <c r="KB573" s="522"/>
      <c r="KC573" s="522"/>
      <c r="KD573" s="522"/>
      <c r="KE573" s="522"/>
      <c r="KF573" s="522"/>
      <c r="KG573" s="522"/>
      <c r="KH573" s="522"/>
      <c r="KI573" s="522"/>
      <c r="KJ573" s="522"/>
      <c r="KK573" s="522"/>
      <c r="KL573" s="522"/>
    </row>
    <row r="574" spans="101:298">
      <c r="CW574" s="646"/>
      <c r="CX574" s="646"/>
      <c r="CY574" s="625"/>
      <c r="CZ574" s="625"/>
      <c r="DA574" s="625"/>
      <c r="DB574" s="625"/>
      <c r="DC574" s="645"/>
      <c r="DD574" s="645"/>
      <c r="DE574" s="645"/>
      <c r="DF574" s="645"/>
      <c r="DG574" s="645"/>
      <c r="DH574" s="645"/>
      <c r="DI574" s="645"/>
      <c r="DJ574" s="645"/>
      <c r="DK574" s="645"/>
      <c r="DL574" s="645"/>
      <c r="DM574" s="645"/>
      <c r="DN574" s="645"/>
      <c r="DO574" s="645"/>
      <c r="DP574" s="645"/>
      <c r="DQ574" s="645"/>
      <c r="DR574" s="645"/>
      <c r="DS574" s="645"/>
      <c r="DT574" s="645"/>
      <c r="DU574" s="645"/>
      <c r="DV574" s="645"/>
      <c r="DW574" s="645"/>
      <c r="DX574" s="645"/>
      <c r="DY574" s="645"/>
      <c r="DZ574" s="645"/>
      <c r="EA574" s="645"/>
      <c r="EB574" s="645"/>
      <c r="EC574" s="645"/>
      <c r="ED574" s="645"/>
      <c r="EE574" s="645"/>
      <c r="EF574" s="645"/>
      <c r="EG574" s="645"/>
      <c r="EH574" s="645"/>
      <c r="EI574" s="645"/>
      <c r="EJ574" s="645"/>
      <c r="EK574" s="645"/>
      <c r="EL574" s="645"/>
      <c r="EM574" s="645"/>
      <c r="EN574" s="645"/>
      <c r="EO574" s="645"/>
      <c r="EP574" s="645"/>
      <c r="EQ574" s="645"/>
      <c r="ER574" s="645"/>
      <c r="ES574" s="645"/>
      <c r="ET574" s="645"/>
      <c r="EU574" s="645"/>
      <c r="EV574" s="645"/>
      <c r="EW574" s="645"/>
      <c r="EX574" s="645"/>
      <c r="EY574" s="645"/>
      <c r="EZ574" s="645"/>
      <c r="FA574" s="645"/>
      <c r="FB574" s="645"/>
      <c r="FC574" s="645"/>
      <c r="FD574" s="645"/>
      <c r="FE574" s="645"/>
      <c r="FF574" s="645"/>
      <c r="FG574" s="645"/>
      <c r="FH574" s="645"/>
      <c r="FI574" s="645"/>
      <c r="FJ574" s="645"/>
      <c r="FK574" s="645"/>
      <c r="FL574" s="645"/>
      <c r="FM574" s="645"/>
      <c r="FN574" s="645"/>
      <c r="FO574" s="645"/>
      <c r="FP574" s="645"/>
      <c r="FQ574" s="645"/>
      <c r="FR574" s="645"/>
      <c r="FS574" s="645"/>
      <c r="FT574" s="645"/>
      <c r="FU574" s="645"/>
      <c r="FV574" s="645"/>
      <c r="FW574" s="645"/>
      <c r="FX574" s="645"/>
      <c r="FY574" s="645"/>
      <c r="FZ574" s="645"/>
      <c r="GA574" s="645"/>
      <c r="GB574" s="645"/>
      <c r="GC574" s="645"/>
      <c r="GD574" s="645"/>
      <c r="GE574" s="645"/>
      <c r="GF574" s="645"/>
      <c r="GG574" s="645"/>
      <c r="GH574" s="645"/>
      <c r="GI574" s="645"/>
      <c r="GJ574" s="645"/>
      <c r="GK574" s="645"/>
      <c r="GL574" s="645"/>
      <c r="GM574" s="645"/>
      <c r="GN574" s="645"/>
      <c r="GO574" s="645"/>
      <c r="GP574" s="645"/>
      <c r="GQ574" s="645"/>
      <c r="GR574" s="645"/>
      <c r="GS574" s="645"/>
      <c r="GT574" s="645"/>
      <c r="GU574" s="645"/>
      <c r="GV574" s="645"/>
      <c r="GW574" s="645"/>
      <c r="GX574" s="645"/>
      <c r="GY574" s="645"/>
      <c r="GZ574" s="645"/>
      <c r="HA574" s="645"/>
      <c r="HB574" s="645"/>
      <c r="HC574" s="645"/>
      <c r="HD574" s="645"/>
      <c r="HE574" s="645"/>
      <c r="IT574" s="645"/>
      <c r="IU574" s="645"/>
      <c r="IV574" s="645"/>
      <c r="IW574" s="645"/>
      <c r="IX574" s="645"/>
      <c r="IY574" s="645"/>
      <c r="IZ574" s="645"/>
      <c r="JA574" s="645"/>
      <c r="JB574" s="645"/>
      <c r="JC574" s="645"/>
      <c r="JD574" s="645"/>
      <c r="JE574" s="645"/>
      <c r="JF574" s="645"/>
      <c r="JG574" s="645"/>
      <c r="JH574" s="645"/>
      <c r="JI574" s="645"/>
      <c r="JJ574" s="645"/>
      <c r="JK574" s="645"/>
      <c r="JL574" s="645"/>
      <c r="JM574" s="645"/>
      <c r="JN574" s="645"/>
      <c r="JO574" s="645"/>
      <c r="JP574" s="645"/>
      <c r="JQ574" s="645"/>
      <c r="JR574" s="645"/>
      <c r="JS574" s="645"/>
      <c r="JT574" s="645"/>
      <c r="JU574" s="645"/>
      <c r="JW574" s="522"/>
      <c r="JX574" s="522"/>
      <c r="JY574" s="522"/>
      <c r="JZ574" s="522"/>
      <c r="KA574" s="522"/>
      <c r="KB574" s="522"/>
      <c r="KC574" s="522"/>
      <c r="KD574" s="522"/>
      <c r="KE574" s="522"/>
      <c r="KF574" s="522"/>
      <c r="KG574" s="522"/>
      <c r="KH574" s="522"/>
      <c r="KI574" s="522"/>
      <c r="KJ574" s="522"/>
      <c r="KK574" s="522"/>
      <c r="KL574" s="522"/>
    </row>
    <row r="575" spans="101:298">
      <c r="CW575" s="648"/>
      <c r="CX575" s="648"/>
      <c r="CY575" s="625"/>
      <c r="CZ575" s="625"/>
      <c r="DA575" s="625"/>
      <c r="DB575" s="625"/>
      <c r="DC575" s="645"/>
      <c r="DD575" s="645"/>
      <c r="DE575" s="645"/>
      <c r="DF575" s="645"/>
      <c r="DG575" s="645"/>
      <c r="DH575" s="645"/>
      <c r="DI575" s="645"/>
      <c r="DJ575" s="645"/>
      <c r="DK575" s="645"/>
      <c r="DL575" s="645"/>
      <c r="DM575" s="645"/>
      <c r="DN575" s="645"/>
      <c r="DO575" s="645"/>
      <c r="DP575" s="645"/>
      <c r="DQ575" s="645"/>
      <c r="DR575" s="645"/>
      <c r="DS575" s="645"/>
      <c r="DT575" s="645"/>
      <c r="DU575" s="645"/>
      <c r="DV575" s="645"/>
      <c r="DW575" s="645"/>
      <c r="DX575" s="645"/>
      <c r="DY575" s="645"/>
      <c r="DZ575" s="645"/>
      <c r="EA575" s="645"/>
      <c r="EB575" s="645"/>
      <c r="EC575" s="645"/>
      <c r="ED575" s="645"/>
      <c r="EE575" s="645"/>
      <c r="EF575" s="645"/>
      <c r="EG575" s="645"/>
      <c r="EH575" s="645"/>
      <c r="EI575" s="645"/>
      <c r="EJ575" s="645"/>
      <c r="EK575" s="645"/>
      <c r="EL575" s="645"/>
      <c r="EM575" s="645"/>
      <c r="EN575" s="645"/>
      <c r="EO575" s="645"/>
      <c r="EP575" s="645"/>
      <c r="EQ575" s="645"/>
      <c r="ER575" s="645"/>
      <c r="ES575" s="645"/>
      <c r="ET575" s="645"/>
      <c r="EU575" s="645"/>
      <c r="EV575" s="645"/>
      <c r="EW575" s="645"/>
      <c r="EX575" s="645"/>
      <c r="EY575" s="645"/>
      <c r="EZ575" s="645"/>
      <c r="FA575" s="645"/>
      <c r="FB575" s="645"/>
      <c r="FC575" s="645"/>
      <c r="FD575" s="645"/>
      <c r="FE575" s="645"/>
      <c r="FF575" s="645"/>
      <c r="FG575" s="645"/>
      <c r="FH575" s="645"/>
      <c r="FI575" s="645"/>
      <c r="FJ575" s="645"/>
      <c r="FK575" s="645"/>
      <c r="FL575" s="645"/>
      <c r="FM575" s="645"/>
      <c r="FN575" s="645"/>
      <c r="FO575" s="645"/>
      <c r="FP575" s="645"/>
      <c r="FQ575" s="645"/>
      <c r="FR575" s="645"/>
      <c r="FS575" s="645"/>
      <c r="FT575" s="645"/>
      <c r="FU575" s="645"/>
      <c r="FV575" s="645"/>
      <c r="FW575" s="645"/>
      <c r="FX575" s="645"/>
      <c r="FY575" s="645"/>
      <c r="FZ575" s="645"/>
      <c r="GA575" s="645"/>
      <c r="GB575" s="645"/>
      <c r="GC575" s="645"/>
      <c r="GD575" s="645"/>
      <c r="GE575" s="645"/>
      <c r="GF575" s="645"/>
      <c r="GG575" s="645"/>
      <c r="GH575" s="645"/>
      <c r="GI575" s="645"/>
      <c r="GJ575" s="645"/>
      <c r="GK575" s="645"/>
      <c r="GL575" s="645"/>
      <c r="GM575" s="645"/>
      <c r="GN575" s="645"/>
      <c r="GO575" s="645"/>
      <c r="GP575" s="645"/>
      <c r="GQ575" s="645"/>
      <c r="GR575" s="645"/>
      <c r="GS575" s="645"/>
      <c r="GT575" s="645"/>
      <c r="GU575" s="645"/>
      <c r="GV575" s="645"/>
      <c r="GW575" s="645"/>
      <c r="GX575" s="645"/>
      <c r="GY575" s="645"/>
      <c r="GZ575" s="645"/>
      <c r="HA575" s="645"/>
      <c r="HB575" s="645"/>
      <c r="HC575" s="645"/>
      <c r="HD575" s="645"/>
      <c r="HE575" s="645"/>
      <c r="IT575" s="645"/>
      <c r="IU575" s="645"/>
      <c r="IV575" s="645"/>
      <c r="IW575" s="645"/>
      <c r="IX575" s="645"/>
      <c r="IY575" s="645"/>
      <c r="IZ575" s="645"/>
      <c r="JA575" s="645"/>
      <c r="JB575" s="645"/>
      <c r="JC575" s="645"/>
      <c r="JD575" s="645"/>
      <c r="JE575" s="645"/>
      <c r="JF575" s="645"/>
      <c r="JG575" s="645"/>
      <c r="JH575" s="645"/>
      <c r="JI575" s="645"/>
      <c r="JJ575" s="645"/>
      <c r="JK575" s="645"/>
      <c r="JL575" s="645"/>
      <c r="JM575" s="645"/>
      <c r="JN575" s="645"/>
      <c r="JO575" s="645"/>
      <c r="JP575" s="645"/>
      <c r="JQ575" s="645"/>
      <c r="JR575" s="645"/>
      <c r="JS575" s="645"/>
      <c r="JT575" s="645"/>
      <c r="JU575" s="645"/>
      <c r="JW575" s="522"/>
      <c r="JX575" s="522"/>
      <c r="JY575" s="522"/>
      <c r="JZ575" s="522"/>
      <c r="KA575" s="522"/>
      <c r="KB575" s="522"/>
      <c r="KC575" s="522"/>
      <c r="KD575" s="522"/>
      <c r="KE575" s="522"/>
      <c r="KF575" s="522"/>
      <c r="KG575" s="522"/>
      <c r="KH575" s="522"/>
      <c r="KI575" s="522"/>
      <c r="KJ575" s="522"/>
      <c r="KK575" s="522"/>
      <c r="KL575" s="522"/>
    </row>
    <row r="576" spans="101:298">
      <c r="CW576" s="648"/>
      <c r="CX576" s="648"/>
      <c r="CY576" s="625"/>
      <c r="CZ576" s="625"/>
      <c r="DA576" s="625"/>
      <c r="DB576" s="625"/>
      <c r="DC576" s="645"/>
      <c r="DD576" s="645"/>
      <c r="DE576" s="645"/>
      <c r="DF576" s="645"/>
      <c r="DG576" s="645"/>
      <c r="DH576" s="645"/>
      <c r="DI576" s="645"/>
      <c r="DJ576" s="645"/>
      <c r="DK576" s="645"/>
      <c r="DL576" s="645"/>
      <c r="DM576" s="645"/>
      <c r="DN576" s="645"/>
      <c r="DO576" s="645"/>
      <c r="DP576" s="645"/>
      <c r="DQ576" s="645"/>
      <c r="DR576" s="645"/>
      <c r="DS576" s="645"/>
      <c r="DT576" s="645"/>
      <c r="DU576" s="645"/>
      <c r="DV576" s="645"/>
      <c r="DW576" s="645"/>
      <c r="DX576" s="645"/>
      <c r="DY576" s="645"/>
      <c r="DZ576" s="645"/>
      <c r="EA576" s="645"/>
      <c r="EB576" s="645"/>
      <c r="EC576" s="645"/>
      <c r="ED576" s="645"/>
      <c r="EE576" s="645"/>
      <c r="EF576" s="645"/>
      <c r="EG576" s="645"/>
      <c r="EH576" s="645"/>
      <c r="EI576" s="645"/>
      <c r="EJ576" s="645"/>
      <c r="EK576" s="645"/>
      <c r="EL576" s="645"/>
      <c r="EM576" s="645"/>
      <c r="EN576" s="645"/>
      <c r="EO576" s="645"/>
      <c r="EP576" s="645"/>
      <c r="EQ576" s="645"/>
      <c r="ER576" s="645"/>
      <c r="ES576" s="645"/>
      <c r="ET576" s="645"/>
      <c r="EU576" s="645"/>
      <c r="EV576" s="645"/>
      <c r="EW576" s="645"/>
      <c r="EX576" s="645"/>
      <c r="EY576" s="645"/>
      <c r="EZ576" s="645"/>
      <c r="FA576" s="645"/>
      <c r="FB576" s="645"/>
      <c r="FC576" s="645"/>
      <c r="FD576" s="645"/>
      <c r="FE576" s="645"/>
      <c r="FF576" s="645"/>
      <c r="FG576" s="645"/>
      <c r="FH576" s="645"/>
      <c r="FI576" s="645"/>
      <c r="FJ576" s="645"/>
      <c r="FK576" s="645"/>
      <c r="FL576" s="645"/>
      <c r="FM576" s="645"/>
      <c r="FN576" s="645"/>
      <c r="FO576" s="645"/>
      <c r="FP576" s="645"/>
      <c r="FQ576" s="645"/>
      <c r="FR576" s="645"/>
      <c r="FS576" s="645"/>
      <c r="FT576" s="645"/>
      <c r="FU576" s="645"/>
      <c r="FV576" s="645"/>
      <c r="FW576" s="645"/>
      <c r="FX576" s="645"/>
      <c r="FY576" s="645"/>
      <c r="FZ576" s="645"/>
      <c r="GA576" s="645"/>
      <c r="GB576" s="645"/>
      <c r="GC576" s="645"/>
      <c r="GD576" s="645"/>
      <c r="GE576" s="645"/>
      <c r="GF576" s="645"/>
      <c r="GG576" s="645"/>
      <c r="GH576" s="645"/>
      <c r="GI576" s="645"/>
      <c r="GJ576" s="645"/>
      <c r="GK576" s="645"/>
      <c r="GL576" s="645"/>
      <c r="GM576" s="645"/>
      <c r="GN576" s="645"/>
      <c r="GO576" s="645"/>
      <c r="GP576" s="645"/>
      <c r="GQ576" s="645"/>
      <c r="GR576" s="645"/>
      <c r="GS576" s="645"/>
      <c r="GT576" s="645"/>
      <c r="GU576" s="645"/>
      <c r="GV576" s="645"/>
      <c r="GW576" s="645"/>
      <c r="GX576" s="645"/>
      <c r="GY576" s="645"/>
      <c r="GZ576" s="645"/>
      <c r="HA576" s="645"/>
      <c r="HB576" s="645"/>
      <c r="HC576" s="645"/>
      <c r="HD576" s="645"/>
      <c r="HE576" s="645"/>
      <c r="IT576" s="645"/>
      <c r="IU576" s="645"/>
      <c r="IV576" s="645"/>
      <c r="IW576" s="645"/>
      <c r="IX576" s="645"/>
      <c r="IY576" s="645"/>
      <c r="IZ576" s="645"/>
      <c r="JA576" s="645"/>
      <c r="JB576" s="645"/>
      <c r="JC576" s="645"/>
      <c r="JD576" s="645"/>
      <c r="JE576" s="645"/>
      <c r="JF576" s="645"/>
      <c r="JG576" s="645"/>
      <c r="JH576" s="645"/>
      <c r="JI576" s="645"/>
      <c r="JJ576" s="645"/>
      <c r="JK576" s="645"/>
      <c r="JL576" s="645"/>
      <c r="JM576" s="645"/>
      <c r="JN576" s="645"/>
      <c r="JO576" s="645"/>
      <c r="JP576" s="645"/>
      <c r="JQ576" s="645"/>
      <c r="JR576" s="645"/>
      <c r="JS576" s="645"/>
      <c r="JT576" s="645"/>
      <c r="JU576" s="645"/>
      <c r="JW576" s="522"/>
      <c r="JX576" s="522"/>
      <c r="JY576" s="522"/>
      <c r="JZ576" s="522"/>
      <c r="KA576" s="522"/>
      <c r="KB576" s="522"/>
      <c r="KC576" s="522"/>
      <c r="KD576" s="522"/>
      <c r="KE576" s="522"/>
      <c r="KF576" s="522"/>
      <c r="KG576" s="522"/>
      <c r="KH576" s="522"/>
      <c r="KI576" s="522"/>
      <c r="KJ576" s="522"/>
      <c r="KK576" s="522"/>
      <c r="KL576" s="522"/>
    </row>
    <row r="577" spans="101:298">
      <c r="CW577" s="648"/>
      <c r="CX577" s="648"/>
      <c r="CY577" s="625"/>
      <c r="CZ577" s="625"/>
      <c r="DA577" s="625"/>
      <c r="DB577" s="625"/>
      <c r="DC577" s="645"/>
      <c r="DD577" s="645"/>
      <c r="DE577" s="645"/>
      <c r="DF577" s="645"/>
      <c r="DG577" s="645"/>
      <c r="DH577" s="645"/>
      <c r="DI577" s="645"/>
      <c r="DJ577" s="645"/>
      <c r="DK577" s="645"/>
      <c r="DL577" s="645"/>
      <c r="DM577" s="645"/>
      <c r="DN577" s="645"/>
      <c r="DO577" s="645"/>
      <c r="DP577" s="645"/>
      <c r="DQ577" s="645"/>
      <c r="DR577" s="645"/>
      <c r="DS577" s="645"/>
      <c r="DT577" s="645"/>
      <c r="DU577" s="645"/>
      <c r="DV577" s="645"/>
      <c r="DW577" s="645"/>
      <c r="DX577" s="645"/>
      <c r="DY577" s="645"/>
      <c r="DZ577" s="645"/>
      <c r="EA577" s="645"/>
      <c r="EB577" s="645"/>
      <c r="EC577" s="645"/>
      <c r="ED577" s="645"/>
      <c r="EE577" s="645"/>
      <c r="EF577" s="645"/>
      <c r="EG577" s="645"/>
      <c r="EH577" s="645"/>
      <c r="EI577" s="645"/>
      <c r="EJ577" s="645"/>
      <c r="EK577" s="645"/>
      <c r="EL577" s="645"/>
      <c r="EM577" s="645"/>
      <c r="EN577" s="645"/>
      <c r="EO577" s="645"/>
      <c r="EP577" s="645"/>
      <c r="EQ577" s="645"/>
      <c r="ER577" s="645"/>
      <c r="ES577" s="645"/>
      <c r="ET577" s="645"/>
      <c r="EU577" s="645"/>
      <c r="EV577" s="645"/>
      <c r="EW577" s="645"/>
      <c r="EX577" s="645"/>
      <c r="EY577" s="645"/>
      <c r="EZ577" s="645"/>
      <c r="FA577" s="645"/>
      <c r="FB577" s="645"/>
      <c r="FC577" s="645"/>
      <c r="FD577" s="645"/>
      <c r="FE577" s="645"/>
      <c r="FF577" s="645"/>
      <c r="FG577" s="645"/>
      <c r="FH577" s="645"/>
      <c r="FI577" s="645"/>
      <c r="FJ577" s="645"/>
      <c r="FK577" s="645"/>
      <c r="FL577" s="645"/>
      <c r="FM577" s="645"/>
      <c r="FN577" s="645"/>
      <c r="FO577" s="645"/>
      <c r="FP577" s="645"/>
      <c r="FQ577" s="645"/>
      <c r="FR577" s="645"/>
      <c r="FS577" s="645"/>
      <c r="FT577" s="645"/>
      <c r="FU577" s="645"/>
      <c r="FV577" s="645"/>
      <c r="FW577" s="645"/>
      <c r="FX577" s="645"/>
      <c r="FY577" s="645"/>
      <c r="FZ577" s="645"/>
      <c r="GA577" s="645"/>
      <c r="GB577" s="645"/>
      <c r="GC577" s="645"/>
      <c r="GD577" s="645"/>
      <c r="GE577" s="645"/>
      <c r="GF577" s="645"/>
      <c r="GG577" s="645"/>
      <c r="GH577" s="645"/>
      <c r="GI577" s="645"/>
      <c r="GJ577" s="645"/>
      <c r="GK577" s="645"/>
      <c r="GL577" s="645"/>
      <c r="GM577" s="645"/>
      <c r="GN577" s="645"/>
      <c r="GO577" s="645"/>
      <c r="GP577" s="645"/>
      <c r="GQ577" s="645"/>
      <c r="GR577" s="645"/>
      <c r="GS577" s="645"/>
      <c r="GT577" s="645"/>
      <c r="GU577" s="645"/>
      <c r="GV577" s="645"/>
      <c r="GW577" s="645"/>
      <c r="GX577" s="645"/>
      <c r="GY577" s="645"/>
      <c r="GZ577" s="645"/>
      <c r="HA577" s="645"/>
      <c r="HB577" s="645"/>
      <c r="HC577" s="645"/>
      <c r="HD577" s="645"/>
      <c r="HE577" s="645"/>
      <c r="IT577" s="645"/>
      <c r="IU577" s="645"/>
      <c r="IV577" s="645"/>
      <c r="IW577" s="645"/>
      <c r="IX577" s="645"/>
      <c r="IY577" s="645"/>
      <c r="IZ577" s="645"/>
      <c r="JA577" s="645"/>
      <c r="JB577" s="645"/>
      <c r="JC577" s="645"/>
      <c r="JD577" s="645"/>
      <c r="JE577" s="645"/>
      <c r="JF577" s="645"/>
      <c r="JG577" s="645"/>
      <c r="JH577" s="645"/>
      <c r="JI577" s="645"/>
      <c r="JJ577" s="645"/>
      <c r="JK577" s="645"/>
      <c r="JL577" s="645"/>
      <c r="JM577" s="645"/>
      <c r="JN577" s="645"/>
      <c r="JO577" s="645"/>
      <c r="JP577" s="645"/>
      <c r="JQ577" s="645"/>
      <c r="JR577" s="645"/>
      <c r="JS577" s="645"/>
      <c r="JT577" s="645"/>
      <c r="JU577" s="645"/>
      <c r="JW577" s="522"/>
      <c r="JX577" s="522"/>
      <c r="JY577" s="522"/>
      <c r="JZ577" s="522"/>
      <c r="KA577" s="522"/>
      <c r="KB577" s="522"/>
      <c r="KC577" s="522"/>
      <c r="KD577" s="522"/>
      <c r="KE577" s="522"/>
      <c r="KF577" s="522"/>
      <c r="KG577" s="522"/>
      <c r="KH577" s="522"/>
      <c r="KI577" s="522"/>
      <c r="KJ577" s="522"/>
      <c r="KK577" s="522"/>
      <c r="KL577" s="522"/>
    </row>
    <row r="578" spans="101:298">
      <c r="CW578" s="648"/>
      <c r="CX578" s="648"/>
      <c r="CY578" s="625"/>
      <c r="CZ578" s="625"/>
      <c r="DA578" s="625"/>
      <c r="DB578" s="625"/>
      <c r="DC578" s="645"/>
      <c r="DD578" s="645"/>
      <c r="DE578" s="645"/>
      <c r="DF578" s="645"/>
      <c r="DG578" s="645"/>
      <c r="DH578" s="645"/>
      <c r="DI578" s="645"/>
      <c r="DJ578" s="645"/>
      <c r="DK578" s="645"/>
      <c r="DL578" s="645"/>
      <c r="DM578" s="645"/>
      <c r="DN578" s="645"/>
      <c r="DO578" s="645"/>
      <c r="DP578" s="645"/>
      <c r="DQ578" s="645"/>
      <c r="DR578" s="645"/>
      <c r="DS578" s="645"/>
      <c r="DT578" s="645"/>
      <c r="DU578" s="645"/>
      <c r="DV578" s="645"/>
      <c r="DW578" s="645"/>
      <c r="DX578" s="645"/>
      <c r="DY578" s="645"/>
      <c r="DZ578" s="645"/>
      <c r="EA578" s="645"/>
      <c r="EB578" s="645"/>
      <c r="EC578" s="645"/>
      <c r="ED578" s="645"/>
      <c r="EE578" s="645"/>
      <c r="EF578" s="645"/>
      <c r="EG578" s="645"/>
      <c r="EH578" s="645"/>
      <c r="EI578" s="645"/>
      <c r="EJ578" s="645"/>
      <c r="EK578" s="645"/>
      <c r="EL578" s="645"/>
      <c r="EM578" s="645"/>
      <c r="EN578" s="645"/>
      <c r="EO578" s="645"/>
      <c r="EP578" s="645"/>
      <c r="EQ578" s="645"/>
      <c r="ER578" s="645"/>
      <c r="ES578" s="645"/>
      <c r="ET578" s="645"/>
      <c r="EU578" s="645"/>
      <c r="EV578" s="645"/>
      <c r="EW578" s="645"/>
      <c r="EX578" s="645"/>
      <c r="EY578" s="645"/>
      <c r="EZ578" s="645"/>
      <c r="FA578" s="645"/>
      <c r="FB578" s="645"/>
      <c r="FC578" s="645"/>
      <c r="FD578" s="645"/>
      <c r="FE578" s="645"/>
      <c r="FF578" s="645"/>
      <c r="FG578" s="645"/>
      <c r="FH578" s="645"/>
      <c r="FI578" s="645"/>
      <c r="FJ578" s="645"/>
      <c r="FK578" s="645"/>
      <c r="FL578" s="645"/>
      <c r="FM578" s="645"/>
      <c r="FN578" s="645"/>
      <c r="FO578" s="645"/>
      <c r="FP578" s="645"/>
      <c r="FQ578" s="645"/>
      <c r="FR578" s="645"/>
      <c r="FS578" s="645"/>
      <c r="FT578" s="645"/>
      <c r="FU578" s="645"/>
      <c r="FV578" s="645"/>
      <c r="FW578" s="645"/>
      <c r="FX578" s="645"/>
      <c r="FY578" s="645"/>
      <c r="FZ578" s="645"/>
      <c r="GA578" s="645"/>
      <c r="GB578" s="645"/>
      <c r="GC578" s="645"/>
      <c r="GD578" s="645"/>
      <c r="GE578" s="645"/>
      <c r="GF578" s="645"/>
      <c r="GG578" s="645"/>
      <c r="GH578" s="645"/>
      <c r="GI578" s="645"/>
      <c r="GJ578" s="645"/>
      <c r="GK578" s="645"/>
      <c r="GL578" s="645"/>
      <c r="GM578" s="645"/>
      <c r="GN578" s="645"/>
      <c r="GO578" s="645"/>
      <c r="GP578" s="645"/>
      <c r="GQ578" s="645"/>
      <c r="GR578" s="645"/>
      <c r="GS578" s="645"/>
      <c r="GT578" s="645"/>
      <c r="GU578" s="645"/>
      <c r="GV578" s="645"/>
      <c r="GW578" s="645"/>
      <c r="GX578" s="645"/>
      <c r="GY578" s="645"/>
      <c r="GZ578" s="645"/>
      <c r="HA578" s="645"/>
      <c r="HB578" s="645"/>
      <c r="HC578" s="645"/>
      <c r="HD578" s="645"/>
      <c r="HE578" s="645"/>
      <c r="IT578" s="645"/>
      <c r="IU578" s="645"/>
      <c r="IV578" s="645"/>
      <c r="IW578" s="645"/>
      <c r="IX578" s="645"/>
      <c r="IY578" s="645"/>
      <c r="IZ578" s="645"/>
      <c r="JA578" s="645"/>
      <c r="JB578" s="645"/>
      <c r="JC578" s="645"/>
      <c r="JD578" s="645"/>
      <c r="JE578" s="645"/>
      <c r="JF578" s="645"/>
      <c r="JG578" s="645"/>
      <c r="JH578" s="645"/>
      <c r="JI578" s="645"/>
      <c r="JJ578" s="645"/>
      <c r="JK578" s="645"/>
      <c r="JL578" s="645"/>
      <c r="JM578" s="645"/>
      <c r="JN578" s="645"/>
      <c r="JO578" s="645"/>
      <c r="JP578" s="645"/>
      <c r="JQ578" s="645"/>
      <c r="JR578" s="645"/>
      <c r="JS578" s="645"/>
      <c r="JT578" s="645"/>
      <c r="JU578" s="645"/>
      <c r="JW578" s="522"/>
      <c r="JX578" s="522"/>
      <c r="JY578" s="522"/>
      <c r="JZ578" s="522"/>
      <c r="KA578" s="522"/>
      <c r="KB578" s="522"/>
      <c r="KC578" s="522"/>
      <c r="KD578" s="522"/>
      <c r="KE578" s="522"/>
      <c r="KF578" s="522"/>
      <c r="KG578" s="522"/>
      <c r="KH578" s="522"/>
      <c r="KI578" s="522"/>
      <c r="KJ578" s="522"/>
      <c r="KK578" s="522"/>
      <c r="KL578" s="522"/>
    </row>
    <row r="579" spans="101:298">
      <c r="CW579" s="648"/>
      <c r="CX579" s="648"/>
      <c r="CY579" s="625"/>
      <c r="CZ579" s="625"/>
      <c r="DA579" s="625"/>
      <c r="DB579" s="625"/>
      <c r="DC579" s="645"/>
      <c r="DD579" s="645"/>
      <c r="DE579" s="645"/>
      <c r="DF579" s="645"/>
      <c r="DG579" s="645"/>
      <c r="DH579" s="645"/>
      <c r="DI579" s="645"/>
      <c r="DJ579" s="645"/>
      <c r="DK579" s="645"/>
      <c r="DL579" s="645"/>
      <c r="DM579" s="645"/>
      <c r="DN579" s="645"/>
      <c r="DO579" s="645"/>
      <c r="DP579" s="645"/>
      <c r="DQ579" s="645"/>
      <c r="DR579" s="645"/>
      <c r="DS579" s="645"/>
      <c r="DT579" s="645"/>
      <c r="DU579" s="645"/>
      <c r="DV579" s="645"/>
      <c r="DW579" s="645"/>
      <c r="DX579" s="645"/>
      <c r="DY579" s="645"/>
      <c r="DZ579" s="645"/>
      <c r="EA579" s="645"/>
      <c r="EB579" s="645"/>
      <c r="EC579" s="645"/>
      <c r="ED579" s="645"/>
      <c r="EE579" s="645"/>
      <c r="EF579" s="645"/>
      <c r="EG579" s="645"/>
      <c r="EH579" s="645"/>
      <c r="EI579" s="645"/>
      <c r="EJ579" s="645"/>
      <c r="EK579" s="645"/>
      <c r="EL579" s="645"/>
      <c r="EM579" s="645"/>
      <c r="EN579" s="645"/>
      <c r="EO579" s="645"/>
      <c r="EP579" s="645"/>
      <c r="EQ579" s="645"/>
      <c r="ER579" s="645"/>
      <c r="ES579" s="645"/>
      <c r="ET579" s="645"/>
      <c r="EU579" s="645"/>
      <c r="EV579" s="645"/>
      <c r="EW579" s="645"/>
      <c r="EX579" s="645"/>
      <c r="EY579" s="645"/>
      <c r="EZ579" s="645"/>
      <c r="FA579" s="645"/>
      <c r="FB579" s="645"/>
      <c r="FC579" s="645"/>
      <c r="FD579" s="645"/>
      <c r="FE579" s="645"/>
      <c r="FF579" s="645"/>
      <c r="FG579" s="645"/>
      <c r="FH579" s="645"/>
      <c r="FI579" s="645"/>
      <c r="FJ579" s="645"/>
      <c r="FK579" s="645"/>
      <c r="FL579" s="645"/>
      <c r="FM579" s="645"/>
      <c r="FN579" s="645"/>
      <c r="FO579" s="645"/>
      <c r="FP579" s="645"/>
      <c r="FQ579" s="645"/>
      <c r="FR579" s="645"/>
      <c r="FS579" s="645"/>
      <c r="FT579" s="645"/>
      <c r="FU579" s="645"/>
      <c r="FV579" s="645"/>
      <c r="FW579" s="645"/>
      <c r="FX579" s="645"/>
      <c r="FY579" s="645"/>
      <c r="FZ579" s="645"/>
      <c r="GA579" s="645"/>
      <c r="GB579" s="645"/>
      <c r="GC579" s="645"/>
      <c r="GD579" s="645"/>
      <c r="GE579" s="645"/>
      <c r="GF579" s="645"/>
      <c r="GG579" s="645"/>
      <c r="GH579" s="645"/>
      <c r="GI579" s="645"/>
      <c r="GJ579" s="645"/>
      <c r="GK579" s="645"/>
      <c r="GL579" s="645"/>
      <c r="GM579" s="645"/>
      <c r="GN579" s="645"/>
      <c r="GO579" s="645"/>
      <c r="GP579" s="645"/>
      <c r="GQ579" s="645"/>
      <c r="GR579" s="645"/>
      <c r="GS579" s="645"/>
      <c r="GT579" s="645"/>
      <c r="GU579" s="645"/>
      <c r="GV579" s="645"/>
      <c r="GW579" s="645"/>
      <c r="GX579" s="645"/>
      <c r="GY579" s="645"/>
      <c r="GZ579" s="645"/>
      <c r="HA579" s="645"/>
      <c r="HB579" s="645"/>
      <c r="HC579" s="645"/>
      <c r="HD579" s="645"/>
      <c r="HE579" s="645"/>
      <c r="IT579" s="645"/>
      <c r="IU579" s="645"/>
      <c r="IV579" s="645"/>
      <c r="IW579" s="645"/>
      <c r="IX579" s="645"/>
      <c r="IY579" s="645"/>
      <c r="IZ579" s="645"/>
      <c r="JA579" s="645"/>
      <c r="JB579" s="645"/>
      <c r="JC579" s="645"/>
      <c r="JD579" s="645"/>
      <c r="JE579" s="645"/>
      <c r="JF579" s="645"/>
      <c r="JG579" s="645"/>
      <c r="JH579" s="645"/>
      <c r="JI579" s="645"/>
      <c r="JJ579" s="645"/>
      <c r="JK579" s="645"/>
      <c r="JL579" s="645"/>
      <c r="JM579" s="645"/>
      <c r="JN579" s="645"/>
      <c r="JO579" s="645"/>
      <c r="JP579" s="645"/>
      <c r="JQ579" s="645"/>
      <c r="JR579" s="645"/>
      <c r="JS579" s="645"/>
      <c r="JT579" s="645"/>
      <c r="JU579" s="645"/>
      <c r="JW579" s="522"/>
      <c r="JX579" s="522"/>
      <c r="JY579" s="522"/>
      <c r="JZ579" s="522"/>
      <c r="KA579" s="522"/>
      <c r="KB579" s="522"/>
      <c r="KC579" s="522"/>
      <c r="KD579" s="522"/>
      <c r="KE579" s="522"/>
      <c r="KF579" s="522"/>
      <c r="KG579" s="522"/>
      <c r="KH579" s="522"/>
      <c r="KI579" s="522"/>
      <c r="KJ579" s="522"/>
      <c r="KK579" s="522"/>
      <c r="KL579" s="522"/>
    </row>
    <row r="580" spans="101:298">
      <c r="CW580" s="648"/>
      <c r="CX580" s="648"/>
      <c r="CY580" s="625"/>
      <c r="CZ580" s="625"/>
      <c r="DA580" s="625"/>
      <c r="DB580" s="625"/>
      <c r="DC580" s="645"/>
      <c r="DD580" s="645"/>
      <c r="DE580" s="645"/>
      <c r="DF580" s="645"/>
      <c r="DG580" s="645"/>
      <c r="DH580" s="645"/>
      <c r="DI580" s="645"/>
      <c r="DJ580" s="645"/>
      <c r="DK580" s="645"/>
      <c r="DL580" s="645"/>
      <c r="DM580" s="645"/>
      <c r="DN580" s="645"/>
      <c r="DO580" s="645"/>
      <c r="DP580" s="645"/>
      <c r="DQ580" s="645"/>
      <c r="DR580" s="645"/>
      <c r="DS580" s="645"/>
      <c r="DT580" s="645"/>
      <c r="DU580" s="645"/>
      <c r="DV580" s="645"/>
      <c r="DW580" s="645"/>
      <c r="DX580" s="645"/>
      <c r="DY580" s="645"/>
      <c r="DZ580" s="645"/>
      <c r="EA580" s="645"/>
      <c r="EB580" s="645"/>
      <c r="EC580" s="645"/>
      <c r="ED580" s="645"/>
      <c r="EE580" s="645"/>
      <c r="EF580" s="645"/>
      <c r="EG580" s="645"/>
      <c r="EH580" s="645"/>
      <c r="EI580" s="645"/>
      <c r="EJ580" s="645"/>
      <c r="EK580" s="645"/>
      <c r="EL580" s="645"/>
      <c r="EM580" s="645"/>
      <c r="EN580" s="645"/>
      <c r="EO580" s="645"/>
      <c r="EP580" s="645"/>
      <c r="EQ580" s="645"/>
      <c r="ER580" s="645"/>
      <c r="ES580" s="645"/>
      <c r="ET580" s="645"/>
      <c r="EU580" s="645"/>
      <c r="EV580" s="645"/>
      <c r="EW580" s="645"/>
      <c r="EX580" s="645"/>
      <c r="EY580" s="645"/>
      <c r="EZ580" s="645"/>
      <c r="FA580" s="645"/>
      <c r="FB580" s="645"/>
      <c r="FC580" s="645"/>
      <c r="FD580" s="645"/>
      <c r="FE580" s="645"/>
      <c r="FF580" s="645"/>
      <c r="FG580" s="645"/>
      <c r="FH580" s="645"/>
      <c r="FI580" s="645"/>
      <c r="FJ580" s="645"/>
      <c r="FK580" s="645"/>
      <c r="FL580" s="645"/>
      <c r="FM580" s="645"/>
      <c r="FN580" s="645"/>
      <c r="FO580" s="645"/>
      <c r="FP580" s="645"/>
      <c r="FQ580" s="645"/>
      <c r="FR580" s="645"/>
      <c r="FS580" s="645"/>
      <c r="FT580" s="645"/>
      <c r="FU580" s="645"/>
      <c r="FV580" s="645"/>
      <c r="FW580" s="645"/>
      <c r="FX580" s="645"/>
      <c r="FY580" s="645"/>
      <c r="FZ580" s="645"/>
      <c r="GA580" s="645"/>
      <c r="GB580" s="645"/>
      <c r="GC580" s="645"/>
      <c r="GD580" s="645"/>
      <c r="GE580" s="645"/>
      <c r="GF580" s="645"/>
      <c r="GG580" s="645"/>
      <c r="GH580" s="645"/>
      <c r="GI580" s="645"/>
      <c r="GJ580" s="645"/>
      <c r="GK580" s="645"/>
      <c r="GL580" s="645"/>
      <c r="GM580" s="645"/>
      <c r="GN580" s="645"/>
      <c r="GO580" s="645"/>
      <c r="GP580" s="645"/>
      <c r="GQ580" s="645"/>
      <c r="GR580" s="645"/>
      <c r="GS580" s="645"/>
      <c r="GT580" s="645"/>
      <c r="GU580" s="645"/>
      <c r="GV580" s="645"/>
      <c r="GW580" s="645"/>
      <c r="GX580" s="645"/>
      <c r="GY580" s="645"/>
      <c r="GZ580" s="645"/>
      <c r="HA580" s="645"/>
      <c r="HB580" s="645"/>
      <c r="HC580" s="645"/>
      <c r="HD580" s="645"/>
      <c r="HE580" s="645"/>
      <c r="IT580" s="645"/>
      <c r="IU580" s="645"/>
      <c r="IV580" s="645"/>
      <c r="IW580" s="645"/>
      <c r="IX580" s="645"/>
      <c r="IY580" s="645"/>
      <c r="IZ580" s="645"/>
      <c r="JA580" s="645"/>
      <c r="JB580" s="645"/>
      <c r="JC580" s="645"/>
      <c r="JD580" s="645"/>
      <c r="JE580" s="645"/>
      <c r="JF580" s="645"/>
      <c r="JG580" s="645"/>
      <c r="JH580" s="645"/>
      <c r="JI580" s="645"/>
      <c r="JJ580" s="645"/>
      <c r="JK580" s="645"/>
      <c r="JL580" s="645"/>
      <c r="JM580" s="645"/>
      <c r="JN580" s="645"/>
      <c r="JO580" s="645"/>
      <c r="JP580" s="645"/>
      <c r="JQ580" s="645"/>
      <c r="JR580" s="645"/>
      <c r="JS580" s="645"/>
      <c r="JT580" s="645"/>
      <c r="JU580" s="645"/>
      <c r="JW580" s="522"/>
      <c r="JX580" s="522"/>
      <c r="JY580" s="522"/>
      <c r="JZ580" s="522"/>
      <c r="KA580" s="522"/>
      <c r="KB580" s="522"/>
      <c r="KC580" s="522"/>
      <c r="KD580" s="522"/>
      <c r="KE580" s="522"/>
      <c r="KF580" s="522"/>
      <c r="KG580" s="522"/>
      <c r="KH580" s="522"/>
      <c r="KI580" s="522"/>
      <c r="KJ580" s="522"/>
      <c r="KK580" s="522"/>
      <c r="KL580" s="522"/>
    </row>
    <row r="581" spans="101:298">
      <c r="CW581" s="648"/>
      <c r="CX581" s="648"/>
      <c r="CY581" s="625"/>
      <c r="CZ581" s="625"/>
      <c r="DA581" s="625"/>
      <c r="DB581" s="625"/>
      <c r="DC581" s="645"/>
      <c r="DD581" s="645"/>
      <c r="DE581" s="645"/>
      <c r="DF581" s="645"/>
      <c r="DG581" s="645"/>
      <c r="DH581" s="645"/>
      <c r="DI581" s="645"/>
      <c r="DJ581" s="645"/>
      <c r="DK581" s="645"/>
      <c r="DL581" s="645"/>
      <c r="DM581" s="645"/>
      <c r="DN581" s="645"/>
      <c r="DO581" s="645"/>
      <c r="DP581" s="645"/>
      <c r="DQ581" s="645"/>
      <c r="DR581" s="645"/>
      <c r="DS581" s="645"/>
      <c r="DT581" s="645"/>
      <c r="DU581" s="645"/>
      <c r="DV581" s="645"/>
      <c r="DW581" s="645"/>
      <c r="DX581" s="645"/>
      <c r="DY581" s="645"/>
      <c r="DZ581" s="645"/>
      <c r="EA581" s="645"/>
      <c r="EB581" s="645"/>
      <c r="EC581" s="645"/>
      <c r="ED581" s="645"/>
      <c r="EE581" s="645"/>
      <c r="EF581" s="645"/>
      <c r="EG581" s="645"/>
      <c r="EH581" s="645"/>
      <c r="EI581" s="645"/>
      <c r="EJ581" s="645"/>
      <c r="EK581" s="645"/>
      <c r="EL581" s="645"/>
      <c r="EM581" s="645"/>
      <c r="EN581" s="645"/>
      <c r="EO581" s="645"/>
      <c r="EP581" s="645"/>
      <c r="EQ581" s="645"/>
      <c r="ER581" s="645"/>
      <c r="ES581" s="645"/>
      <c r="ET581" s="645"/>
      <c r="EU581" s="645"/>
      <c r="EV581" s="645"/>
      <c r="EW581" s="645"/>
      <c r="EX581" s="645"/>
      <c r="EY581" s="645"/>
      <c r="EZ581" s="645"/>
      <c r="FA581" s="645"/>
      <c r="FB581" s="645"/>
      <c r="FC581" s="645"/>
      <c r="FD581" s="645"/>
      <c r="FE581" s="645"/>
      <c r="FF581" s="645"/>
      <c r="FG581" s="645"/>
      <c r="FH581" s="645"/>
      <c r="FI581" s="645"/>
      <c r="FJ581" s="645"/>
      <c r="FK581" s="645"/>
      <c r="FL581" s="645"/>
      <c r="FM581" s="645"/>
      <c r="FN581" s="645"/>
      <c r="FO581" s="645"/>
      <c r="FP581" s="645"/>
      <c r="FQ581" s="645"/>
      <c r="FR581" s="645"/>
      <c r="FS581" s="645"/>
      <c r="FT581" s="645"/>
      <c r="FU581" s="645"/>
      <c r="FV581" s="645"/>
      <c r="FW581" s="645"/>
      <c r="FX581" s="645"/>
      <c r="FY581" s="645"/>
      <c r="FZ581" s="645"/>
      <c r="GA581" s="645"/>
      <c r="GB581" s="645"/>
      <c r="GC581" s="645"/>
      <c r="GD581" s="645"/>
      <c r="GE581" s="645"/>
      <c r="GF581" s="645"/>
      <c r="GG581" s="645"/>
      <c r="GH581" s="645"/>
      <c r="GI581" s="645"/>
      <c r="GJ581" s="645"/>
      <c r="GK581" s="645"/>
      <c r="GL581" s="645"/>
      <c r="GM581" s="645"/>
      <c r="GN581" s="645"/>
      <c r="GO581" s="645"/>
      <c r="GP581" s="645"/>
      <c r="GQ581" s="645"/>
      <c r="GR581" s="645"/>
      <c r="GS581" s="645"/>
      <c r="GT581" s="645"/>
      <c r="GU581" s="645"/>
      <c r="GV581" s="645"/>
      <c r="GW581" s="645"/>
      <c r="GX581" s="645"/>
      <c r="GY581" s="645"/>
      <c r="GZ581" s="645"/>
      <c r="HA581" s="645"/>
      <c r="HB581" s="645"/>
      <c r="HC581" s="645"/>
      <c r="HD581" s="645"/>
      <c r="HE581" s="645"/>
      <c r="IT581" s="645"/>
      <c r="IU581" s="645"/>
      <c r="IV581" s="645"/>
      <c r="IW581" s="645"/>
      <c r="IX581" s="645"/>
      <c r="IY581" s="645"/>
      <c r="IZ581" s="645"/>
      <c r="JA581" s="645"/>
      <c r="JB581" s="645"/>
      <c r="JC581" s="645"/>
      <c r="JD581" s="645"/>
      <c r="JE581" s="645"/>
      <c r="JF581" s="645"/>
      <c r="JG581" s="645"/>
      <c r="JH581" s="645"/>
      <c r="JI581" s="645"/>
      <c r="JJ581" s="645"/>
      <c r="JK581" s="645"/>
      <c r="JL581" s="645"/>
      <c r="JM581" s="645"/>
      <c r="JN581" s="645"/>
      <c r="JO581" s="645"/>
      <c r="JP581" s="645"/>
      <c r="JQ581" s="645"/>
      <c r="JR581" s="645"/>
      <c r="JS581" s="645"/>
      <c r="JT581" s="645"/>
      <c r="JU581" s="645"/>
      <c r="JW581" s="522"/>
      <c r="JX581" s="522"/>
      <c r="JY581" s="522"/>
      <c r="JZ581" s="522"/>
      <c r="KA581" s="522"/>
      <c r="KB581" s="522"/>
      <c r="KC581" s="522"/>
      <c r="KD581" s="522"/>
      <c r="KE581" s="522"/>
      <c r="KF581" s="522"/>
      <c r="KG581" s="522"/>
      <c r="KH581" s="522"/>
      <c r="KI581" s="522"/>
      <c r="KJ581" s="522"/>
      <c r="KK581" s="522"/>
      <c r="KL581" s="522"/>
    </row>
    <row r="582" spans="101:298">
      <c r="IT582" s="645"/>
      <c r="IU582" s="645"/>
      <c r="IV582" s="645"/>
      <c r="IW582" s="645"/>
      <c r="IX582" s="645"/>
      <c r="IY582" s="645"/>
      <c r="IZ582" s="645"/>
      <c r="JA582" s="645"/>
      <c r="JB582" s="645"/>
      <c r="JC582" s="645"/>
      <c r="JD582" s="645"/>
      <c r="JE582" s="645"/>
      <c r="JF582" s="645"/>
      <c r="JG582" s="645"/>
      <c r="JH582" s="645"/>
      <c r="JI582" s="645"/>
      <c r="JJ582" s="645"/>
      <c r="JK582" s="645"/>
      <c r="JL582" s="645"/>
      <c r="JM582" s="645"/>
      <c r="JN582" s="645"/>
      <c r="JO582" s="645"/>
      <c r="JP582" s="645"/>
      <c r="JQ582" s="645"/>
      <c r="JR582" s="645"/>
      <c r="JS582" s="645"/>
      <c r="JT582" s="645"/>
      <c r="JU582" s="645"/>
      <c r="JW582" s="522"/>
      <c r="JX582" s="522"/>
      <c r="JY582" s="522"/>
      <c r="JZ582" s="522"/>
      <c r="KA582" s="522"/>
      <c r="KB582" s="522"/>
      <c r="KC582" s="522"/>
      <c r="KD582" s="522"/>
      <c r="KE582" s="522"/>
      <c r="KF582" s="522"/>
      <c r="KG582" s="522"/>
      <c r="KH582" s="522"/>
      <c r="KI582" s="522"/>
      <c r="KJ582" s="522"/>
      <c r="KK582" s="522"/>
      <c r="KL582" s="522"/>
    </row>
    <row r="583" spans="101:298">
      <c r="IT583" s="645"/>
      <c r="IU583" s="645"/>
      <c r="IV583" s="645"/>
      <c r="IW583" s="645"/>
      <c r="IX583" s="645"/>
      <c r="IY583" s="645"/>
      <c r="IZ583" s="645"/>
      <c r="JA583" s="645"/>
      <c r="JB583" s="645"/>
      <c r="JC583" s="645"/>
      <c r="JD583" s="645"/>
      <c r="JE583" s="645"/>
      <c r="JF583" s="645"/>
      <c r="JG583" s="645"/>
      <c r="JH583" s="645"/>
      <c r="JI583" s="645"/>
      <c r="JJ583" s="645"/>
      <c r="JK583" s="645"/>
      <c r="JL583" s="645"/>
      <c r="JM583" s="645"/>
      <c r="JN583" s="645"/>
      <c r="JO583" s="645"/>
      <c r="JP583" s="645"/>
      <c r="JQ583" s="645"/>
      <c r="JR583" s="645"/>
      <c r="JS583" s="645"/>
      <c r="JT583" s="645"/>
      <c r="JU583" s="645"/>
      <c r="JW583" s="522"/>
      <c r="JX583" s="522"/>
      <c r="JY583" s="522"/>
      <c r="JZ583" s="522"/>
      <c r="KA583" s="522"/>
      <c r="KB583" s="522"/>
      <c r="KC583" s="522"/>
      <c r="KD583" s="522"/>
      <c r="KE583" s="522"/>
      <c r="KF583" s="522"/>
      <c r="KG583" s="522"/>
      <c r="KH583" s="522"/>
      <c r="KI583" s="522"/>
      <c r="KJ583" s="522"/>
      <c r="KK583" s="522"/>
      <c r="KL583" s="522"/>
    </row>
  </sheetData>
  <sheetProtection algorithmName="SHA-512" hashValue="zXhIDNNoi+ixpbhO3B6UN9vVtVe4Im2vtVCaaXDIPVgLircNIulmkwSwDvDA6ZeqaecAdRcaGWv8DdimzTFyGA==" saltValue="BgRVr3gtDEN33JugMXUsWA==" spinCount="100000" sheet="1" objects="1" scenarios="1" selectLockedCells="1"/>
  <mergeCells count="356">
    <mergeCell ref="BP61:CN62"/>
    <mergeCell ref="BP64:CN66"/>
    <mergeCell ref="BP68:CN69"/>
    <mergeCell ref="BP73:CN74"/>
    <mergeCell ref="BB64:BD64"/>
    <mergeCell ref="BB48:BD48"/>
    <mergeCell ref="BB47:BD47"/>
    <mergeCell ref="BB43:BD43"/>
    <mergeCell ref="BB54:BD54"/>
    <mergeCell ref="BB57:BF57"/>
    <mergeCell ref="BB63:BD63"/>
    <mergeCell ref="BB61:BD61"/>
    <mergeCell ref="BB62:BD62"/>
    <mergeCell ref="BB58:BD58"/>
    <mergeCell ref="BB55:BD55"/>
    <mergeCell ref="BB51:BD51"/>
    <mergeCell ref="BB50:BD50"/>
    <mergeCell ref="BB49:BD49"/>
    <mergeCell ref="BB53:BD53"/>
    <mergeCell ref="BO46:BP46"/>
    <mergeCell ref="BQ46:BS46"/>
    <mergeCell ref="CD43:CE43"/>
    <mergeCell ref="BY43:BZ43"/>
    <mergeCell ref="BT43:BU43"/>
    <mergeCell ref="AC14:AD14"/>
    <mergeCell ref="AC16:AD16"/>
    <mergeCell ref="P15:T15"/>
    <mergeCell ref="AC25:AD25"/>
    <mergeCell ref="AC23:AD23"/>
    <mergeCell ref="B15:J15"/>
    <mergeCell ref="P14:T14"/>
    <mergeCell ref="AG14:AK14"/>
    <mergeCell ref="AC18:AD18"/>
    <mergeCell ref="AC17:AD17"/>
    <mergeCell ref="AG16:AK16"/>
    <mergeCell ref="W18:X18"/>
    <mergeCell ref="AG15:AK15"/>
    <mergeCell ref="D22:E22"/>
    <mergeCell ref="F22:G22"/>
    <mergeCell ref="I18:O18"/>
    <mergeCell ref="P17:T17"/>
    <mergeCell ref="N24:O24"/>
    <mergeCell ref="D16:H16"/>
    <mergeCell ref="L24:M24"/>
    <mergeCell ref="P23:T23"/>
    <mergeCell ref="Y17:AA17"/>
    <mergeCell ref="AC19:AD19"/>
    <mergeCell ref="AC20:AD20"/>
    <mergeCell ref="AC21:AD21"/>
    <mergeCell ref="AY21:AZ21"/>
    <mergeCell ref="AT23:AU23"/>
    <mergeCell ref="AT22:AU22"/>
    <mergeCell ref="AL23:AM23"/>
    <mergeCell ref="AG18:AK18"/>
    <mergeCell ref="AN18:AO18"/>
    <mergeCell ref="AG22:AK22"/>
    <mergeCell ref="AL22:AM22"/>
    <mergeCell ref="AL21:AM21"/>
    <mergeCell ref="AL18:AM18"/>
    <mergeCell ref="AG23:AK23"/>
    <mergeCell ref="BO43:BP43"/>
    <mergeCell ref="U24:V24"/>
    <mergeCell ref="U18:V18"/>
    <mergeCell ref="U22:V22"/>
    <mergeCell ref="U21:V21"/>
    <mergeCell ref="CD46:CE46"/>
    <mergeCell ref="CA46:CC46"/>
    <mergeCell ref="CA43:CC43"/>
    <mergeCell ref="BY46:BZ46"/>
    <mergeCell ref="BT46:BU46"/>
    <mergeCell ref="AT30:AU30"/>
    <mergeCell ref="AT27:AU27"/>
    <mergeCell ref="BB38:BD38"/>
    <mergeCell ref="AG26:AK26"/>
    <mergeCell ref="AL26:AM26"/>
    <mergeCell ref="BB24:BD24"/>
    <mergeCell ref="BB20:BD20"/>
    <mergeCell ref="BB22:BD22"/>
    <mergeCell ref="BQ36:BR36"/>
    <mergeCell ref="BO32:BP32"/>
    <mergeCell ref="BQ32:BR32"/>
    <mergeCell ref="BQ34:BR34"/>
    <mergeCell ref="BQ35:BR35"/>
    <mergeCell ref="BO36:BP36"/>
    <mergeCell ref="B12:I12"/>
    <mergeCell ref="J12:K12"/>
    <mergeCell ref="L12:N12"/>
    <mergeCell ref="U26:V26"/>
    <mergeCell ref="U25:V25"/>
    <mergeCell ref="J10:K10"/>
    <mergeCell ref="L10:N10"/>
    <mergeCell ref="J8:K8"/>
    <mergeCell ref="J9:K9"/>
    <mergeCell ref="L8:N8"/>
    <mergeCell ref="U9:V9"/>
    <mergeCell ref="P22:T22"/>
    <mergeCell ref="P25:T25"/>
    <mergeCell ref="P18:T18"/>
    <mergeCell ref="L16:O17"/>
    <mergeCell ref="I16:K17"/>
    <mergeCell ref="P16:T16"/>
    <mergeCell ref="U23:V23"/>
    <mergeCell ref="B10:I10"/>
    <mergeCell ref="L9:N9"/>
    <mergeCell ref="B11:I11"/>
    <mergeCell ref="J11:K11"/>
    <mergeCell ref="L11:N11"/>
    <mergeCell ref="AC11:AD11"/>
    <mergeCell ref="J13:K13"/>
    <mergeCell ref="L13:N13"/>
    <mergeCell ref="P9:T9"/>
    <mergeCell ref="AT8:AU8"/>
    <mergeCell ref="AX2:AY2"/>
    <mergeCell ref="AY9:AZ9"/>
    <mergeCell ref="AT9:AU9"/>
    <mergeCell ref="U10:V10"/>
    <mergeCell ref="AC10:AD10"/>
    <mergeCell ref="W10:X10"/>
    <mergeCell ref="P10:T10"/>
    <mergeCell ref="AC9:AD9"/>
    <mergeCell ref="Y9:AA9"/>
    <mergeCell ref="AL8:AM8"/>
    <mergeCell ref="AG8:AK8"/>
    <mergeCell ref="AG6:AK6"/>
    <mergeCell ref="AG7:AK7"/>
    <mergeCell ref="AL7:AM7"/>
    <mergeCell ref="AC8:AD8"/>
    <mergeCell ref="I4:K4"/>
    <mergeCell ref="J6:K6"/>
    <mergeCell ref="P8:T8"/>
    <mergeCell ref="U6:V6"/>
    <mergeCell ref="AT7:AU7"/>
    <mergeCell ref="BB5:BD5"/>
    <mergeCell ref="BB8:BD8"/>
    <mergeCell ref="U8:V8"/>
    <mergeCell ref="AV6:AW6"/>
    <mergeCell ref="AY7:AZ7"/>
    <mergeCell ref="AY8:AZ8"/>
    <mergeCell ref="AL5:AM5"/>
    <mergeCell ref="P7:T7"/>
    <mergeCell ref="AC7:AD7"/>
    <mergeCell ref="BB3:BD3"/>
    <mergeCell ref="BB4:BD4"/>
    <mergeCell ref="BB6:BD6"/>
    <mergeCell ref="AT6:AU6"/>
    <mergeCell ref="AT5:AU5"/>
    <mergeCell ref="AL6:AM6"/>
    <mergeCell ref="AT3:AV3"/>
    <mergeCell ref="O2:AQ3"/>
    <mergeCell ref="AC6:AD6"/>
    <mergeCell ref="U5:V5"/>
    <mergeCell ref="L6:N6"/>
    <mergeCell ref="P6:T6"/>
    <mergeCell ref="J5:K5"/>
    <mergeCell ref="B7:I7"/>
    <mergeCell ref="J7:K7"/>
    <mergeCell ref="L7:N7"/>
    <mergeCell ref="U7:V7"/>
    <mergeCell ref="F2:N3"/>
    <mergeCell ref="AE6:AF6"/>
    <mergeCell ref="AC5:AD5"/>
    <mergeCell ref="L5:N5"/>
    <mergeCell ref="AD4:AE4"/>
    <mergeCell ref="CF32:CG32"/>
    <mergeCell ref="CD19:CE19"/>
    <mergeCell ref="BY19:CC19"/>
    <mergeCell ref="BY20:CC20"/>
    <mergeCell ref="BY31:CC31"/>
    <mergeCell ref="BY21:CC21"/>
    <mergeCell ref="CD20:CE20"/>
    <mergeCell ref="CD32:CE32"/>
    <mergeCell ref="CF22:CG22"/>
    <mergeCell ref="CD22:CE22"/>
    <mergeCell ref="CD21:CE21"/>
    <mergeCell ref="CD31:CE31"/>
    <mergeCell ref="CD29:CE29"/>
    <mergeCell ref="CD30:CE30"/>
    <mergeCell ref="CF12:CG12"/>
    <mergeCell ref="BY22:CC22"/>
    <mergeCell ref="BB21:BD21"/>
    <mergeCell ref="BQ21:BR21"/>
    <mergeCell ref="BO21:BP21"/>
    <mergeCell ref="U13:V13"/>
    <mergeCell ref="AC12:AD12"/>
    <mergeCell ref="AC15:AD15"/>
    <mergeCell ref="AL14:AM14"/>
    <mergeCell ref="AT15:AU15"/>
    <mergeCell ref="AE22:AF22"/>
    <mergeCell ref="BB13:BD13"/>
    <mergeCell ref="BB12:BD12"/>
    <mergeCell ref="AL13:AM13"/>
    <mergeCell ref="AT12:AU12"/>
    <mergeCell ref="AY19:AZ19"/>
    <mergeCell ref="AT13:AU13"/>
    <mergeCell ref="AP17:AS17"/>
    <mergeCell ref="U16:V16"/>
    <mergeCell ref="U17:V17"/>
    <mergeCell ref="U14:V14"/>
    <mergeCell ref="AL15:AM15"/>
    <mergeCell ref="U15:V15"/>
    <mergeCell ref="AC22:AD22"/>
    <mergeCell ref="AC13:AD13"/>
    <mergeCell ref="AY15:AZ15"/>
    <mergeCell ref="AV22:AW22"/>
    <mergeCell ref="AE14:AF14"/>
    <mergeCell ref="AG17:AK17"/>
    <mergeCell ref="BO23:BP23"/>
    <mergeCell ref="BB10:BD10"/>
    <mergeCell ref="BQ10:BR10"/>
    <mergeCell ref="BK3:BK9"/>
    <mergeCell ref="BN2:BS3"/>
    <mergeCell ref="BB2:BI2"/>
    <mergeCell ref="BF4:BF8"/>
    <mergeCell ref="BI4:BI8"/>
    <mergeCell ref="BG3:BI3"/>
    <mergeCell ref="BB7:BD7"/>
    <mergeCell ref="BL3:BL9"/>
    <mergeCell ref="BQ12:BR12"/>
    <mergeCell ref="BO12:BP12"/>
    <mergeCell ref="BO11:BP11"/>
    <mergeCell ref="BE3:BF3"/>
    <mergeCell ref="BO9:BP9"/>
    <mergeCell ref="BB9:BI9"/>
    <mergeCell ref="BE4:BE8"/>
    <mergeCell ref="BH4:BH8"/>
    <mergeCell ref="BO22:BP22"/>
    <mergeCell ref="BG4:BG8"/>
    <mergeCell ref="BJ3:BJ9"/>
    <mergeCell ref="BX38:BY38"/>
    <mergeCell ref="BY40:BZ40"/>
    <mergeCell ref="CD33:CE33"/>
    <mergeCell ref="BT40:BU40"/>
    <mergeCell ref="BQ22:BR22"/>
    <mergeCell ref="BQ20:BR20"/>
    <mergeCell ref="BY10:CC10"/>
    <mergeCell ref="CD12:CE12"/>
    <mergeCell ref="BY12:CC12"/>
    <mergeCell ref="BY32:CC32"/>
    <mergeCell ref="BQ13:BR13"/>
    <mergeCell ref="BQ33:BR33"/>
    <mergeCell ref="BQ19:BR19"/>
    <mergeCell ref="BQ23:BR23"/>
    <mergeCell ref="CD9:CE9"/>
    <mergeCell ref="CD10:CE10"/>
    <mergeCell ref="BQ9:BR9"/>
    <mergeCell ref="BY11:CC11"/>
    <mergeCell ref="BY9:CC9"/>
    <mergeCell ref="CD11:CE11"/>
    <mergeCell ref="BQ11:BR11"/>
    <mergeCell ref="AG9:AK9"/>
    <mergeCell ref="AL9:AM9"/>
    <mergeCell ref="AP9:AS9"/>
    <mergeCell ref="AT21:AU21"/>
    <mergeCell ref="AT20:AU20"/>
    <mergeCell ref="AT14:AU14"/>
    <mergeCell ref="AT10:AU10"/>
    <mergeCell ref="AT24:AU24"/>
    <mergeCell ref="AT25:AU25"/>
    <mergeCell ref="AL16:AM16"/>
    <mergeCell ref="AT18:AU18"/>
    <mergeCell ref="AT19:AU19"/>
    <mergeCell ref="AT11:AU11"/>
    <mergeCell ref="AL17:AM17"/>
    <mergeCell ref="AP25:AS25"/>
    <mergeCell ref="AG10:AK10"/>
    <mergeCell ref="AN10:AO10"/>
    <mergeCell ref="AL10:AM10"/>
    <mergeCell ref="BO20:BP20"/>
    <mergeCell ref="BO13:BP13"/>
    <mergeCell ref="L28:M28"/>
    <mergeCell ref="Y25:AB25"/>
    <mergeCell ref="AL24:AM24"/>
    <mergeCell ref="L27:M27"/>
    <mergeCell ref="L26:M26"/>
    <mergeCell ref="N28:O28"/>
    <mergeCell ref="N26:O26"/>
    <mergeCell ref="N27:O27"/>
    <mergeCell ref="AC28:AD28"/>
    <mergeCell ref="AC27:AD27"/>
    <mergeCell ref="P26:T26"/>
    <mergeCell ref="W26:X26"/>
    <mergeCell ref="P24:T24"/>
    <mergeCell ref="AC26:AD26"/>
    <mergeCell ref="N25:O25"/>
    <mergeCell ref="L25:M25"/>
    <mergeCell ref="AG25:AK25"/>
    <mergeCell ref="AL25:AM25"/>
    <mergeCell ref="AG24:AK24"/>
    <mergeCell ref="AC24:AD24"/>
    <mergeCell ref="AT17:AU17"/>
    <mergeCell ref="AT16:AU16"/>
    <mergeCell ref="BN77:CK77"/>
    <mergeCell ref="AT26:AU26"/>
    <mergeCell ref="BB37:BD37"/>
    <mergeCell ref="BB31:BD31"/>
    <mergeCell ref="BB46:BD46"/>
    <mergeCell ref="BB45:BD45"/>
    <mergeCell ref="BB41:BD41"/>
    <mergeCell ref="AR30:AS30"/>
    <mergeCell ref="BB27:BD27"/>
    <mergeCell ref="AT28:AU28"/>
    <mergeCell ref="BB42:BD42"/>
    <mergeCell ref="BB39:BD39"/>
    <mergeCell ref="BB44:BD44"/>
    <mergeCell ref="BB34:BD34"/>
    <mergeCell ref="BO33:BP33"/>
    <mergeCell ref="BO34:BP34"/>
    <mergeCell ref="BB36:BD36"/>
    <mergeCell ref="BB35:BD35"/>
    <mergeCell ref="BB33:BD33"/>
    <mergeCell ref="BO29:BP29"/>
    <mergeCell ref="BB30:BD30"/>
    <mergeCell ref="BQ29:BR29"/>
    <mergeCell ref="BY29:CC29"/>
    <mergeCell ref="BY30:CC30"/>
    <mergeCell ref="BB59:BD59"/>
    <mergeCell ref="AN26:AO26"/>
    <mergeCell ref="BB11:BD11"/>
    <mergeCell ref="BB32:BD32"/>
    <mergeCell ref="BB29:BD29"/>
    <mergeCell ref="BB28:BD28"/>
    <mergeCell ref="BB26:BD26"/>
    <mergeCell ref="BB23:BD23"/>
    <mergeCell ref="BB14:BD14"/>
    <mergeCell ref="BB16:BD16"/>
    <mergeCell ref="BB19:BD19"/>
    <mergeCell ref="BB18:BD18"/>
    <mergeCell ref="BB25:BD25"/>
    <mergeCell ref="AY22:AZ22"/>
    <mergeCell ref="AY20:AZ20"/>
    <mergeCell ref="AY16:AZ16"/>
    <mergeCell ref="AV14:AW14"/>
    <mergeCell ref="BP75:CN76"/>
    <mergeCell ref="BB60:BD60"/>
    <mergeCell ref="BB52:BD52"/>
    <mergeCell ref="BB56:BD56"/>
    <mergeCell ref="BO51:BQ51"/>
    <mergeCell ref="AY10:AZ10"/>
    <mergeCell ref="AY13:AZ13"/>
    <mergeCell ref="AY14:AZ14"/>
    <mergeCell ref="BO19:BP19"/>
    <mergeCell ref="BB15:BD15"/>
    <mergeCell ref="BB17:BD17"/>
    <mergeCell ref="BB40:BD40"/>
    <mergeCell ref="BO35:BP35"/>
    <mergeCell ref="BO30:BP30"/>
    <mergeCell ref="BO10:BP10"/>
    <mergeCell ref="BP53:CN56"/>
    <mergeCell ref="BQ43:BS43"/>
    <mergeCell ref="BQ40:BS40"/>
    <mergeCell ref="BO40:BP40"/>
    <mergeCell ref="BQ31:BR31"/>
    <mergeCell ref="BO31:BP31"/>
    <mergeCell ref="BQ30:BR30"/>
    <mergeCell ref="CD40:CE40"/>
    <mergeCell ref="CA40:CC40"/>
  </mergeCells>
  <phoneticPr fontId="7" type="noConversion"/>
  <conditionalFormatting sqref="AL17:AM17">
    <cfRule type="expression" dxfId="101" priority="72" stopIfTrue="1">
      <formula>IF($AG$13=FALSE,1,0)</formula>
    </cfRule>
    <cfRule type="expression" dxfId="100" priority="73" stopIfTrue="1">
      <formula>IF($AG$5=FALSE,1,0)</formula>
    </cfRule>
    <cfRule type="expression" dxfId="99" priority="74" stopIfTrue="1">
      <formula>W42&gt;AL17</formula>
    </cfRule>
  </conditionalFormatting>
  <conditionalFormatting sqref="AL25:AM25">
    <cfRule type="expression" dxfId="98" priority="81" stopIfTrue="1">
      <formula>IF($AG$21=FALSE,1,0)</formula>
    </cfRule>
    <cfRule type="expression" dxfId="97" priority="82" stopIfTrue="1">
      <formula>IF($AG$13=FALSE,1,0)</formula>
    </cfRule>
    <cfRule type="expression" dxfId="96" priority="83" stopIfTrue="1">
      <formula>AA42&gt;AL25</formula>
    </cfRule>
  </conditionalFormatting>
  <conditionalFormatting sqref="P14:T14">
    <cfRule type="expression" dxfId="95" priority="142" stopIfTrue="1">
      <formula>IF($P$5=FALSE,1,0)</formula>
    </cfRule>
    <cfRule type="expression" dxfId="94" priority="143" stopIfTrue="1">
      <formula>IF($P$13=FALSE,1,0)</formula>
    </cfRule>
    <cfRule type="expression" dxfId="93" priority="144" stopIfTrue="1">
      <formula>AND($Y$14="x",P13)</formula>
    </cfRule>
  </conditionalFormatting>
  <conditionalFormatting sqref="BE61:BE64 BE58:BF60 BE55:BF56 BE10:BI54">
    <cfRule type="cellIs" dxfId="92" priority="413" stopIfTrue="1" operator="lessThan">
      <formula>$BB$7</formula>
    </cfRule>
    <cfRule type="cellIs" dxfId="91" priority="414" stopIfTrue="1" operator="lessThan">
      <formula>$BB$5</formula>
    </cfRule>
    <cfRule type="cellIs" dxfId="90" priority="415" stopIfTrue="1" operator="lessThanOrEqual">
      <formula>$BB$4</formula>
    </cfRule>
  </conditionalFormatting>
  <conditionalFormatting sqref="AW23:AW28 AW21 AQ26:AS28 AT21:AV28 AQ21:AS24 AL26:AM28 AN21:AP28 AL21:AM24 AG21:AK21 AG23:AK23 AG25:AK28">
    <cfRule type="expression" dxfId="89" priority="4" stopIfTrue="1">
      <formula>IF($AG$21=FALSE,1,0)</formula>
    </cfRule>
    <cfRule type="expression" dxfId="88" priority="8" stopIfTrue="1">
      <formula>IF($AG$13=FALSE,1,0)</formula>
    </cfRule>
  </conditionalFormatting>
  <conditionalFormatting sqref="AW15:AW20 AW13 AQ18:AS20 AT13:AV20 AQ13:AS16 AL18:AM20 AN13:AP20 AL13:AM16 AG13:AK13 AG15:AK15 AG17:AK20">
    <cfRule type="expression" dxfId="87" priority="5" stopIfTrue="1">
      <formula>IF($AG$13=FALSE,1,0)</formula>
    </cfRule>
    <cfRule type="expression" dxfId="86" priority="10" stopIfTrue="1">
      <formula>IF($AG$5=FALSE,1,0)</formula>
    </cfRule>
  </conditionalFormatting>
  <conditionalFormatting sqref="AQ10:AS12 AL11:AM12 AW7:AW12 AW5 AN5:AP12 AT5:AV12 AQ5:AS8 AG10:AK12 AG5:AM5">
    <cfRule type="expression" dxfId="85" priority="12" stopIfTrue="1">
      <formula>IF($P$21=FALSE,1,0)</formula>
    </cfRule>
    <cfRule type="expression" dxfId="84" priority="13" stopIfTrue="1">
      <formula>IF($AG$5=FALSE,1,0)</formula>
    </cfRule>
  </conditionalFormatting>
  <conditionalFormatting sqref="AF23:AF28 AF21 Z26:AB28 AC21:AE28 Z21:AB24 U26:V28 W21:Y28 U21:V24 P21:T21 P23:T23 P25:T28">
    <cfRule type="expression" dxfId="83" priority="14" stopIfTrue="1">
      <formula>IF($P$13=FALSE,1,0)</formula>
    </cfRule>
    <cfRule type="expression" dxfId="82" priority="15" stopIfTrue="1">
      <formula>IF($P$21=FALSE,1,0)</formula>
    </cfRule>
  </conditionalFormatting>
  <conditionalFormatting sqref="AL6:AM8 AL10:AM10">
    <cfRule type="expression" dxfId="81" priority="16" stopIfTrue="1">
      <formula>IF($P$21=FALSE,1,0)</formula>
    </cfRule>
    <cfRule type="expression" dxfId="80" priority="17" stopIfTrue="1">
      <formula>IF($AG$5=FALSE,1,0)</formula>
    </cfRule>
  </conditionalFormatting>
  <conditionalFormatting sqref="B23:H23">
    <cfRule type="expression" dxfId="79" priority="21" stopIfTrue="1">
      <formula>"IF(AF40=""x"",IF(A16=2,TRUE))"</formula>
    </cfRule>
  </conditionalFormatting>
  <conditionalFormatting sqref="I20:O20">
    <cfRule type="expression" dxfId="78" priority="23" stopIfTrue="1">
      <formula>$AL$42&gt;1</formula>
    </cfRule>
  </conditionalFormatting>
  <conditionalFormatting sqref="I22:O22">
    <cfRule type="expression" dxfId="77" priority="24" stopIfTrue="1">
      <formula>$AA$33&lt;&gt;0</formula>
    </cfRule>
  </conditionalFormatting>
  <conditionalFormatting sqref="B27:O27">
    <cfRule type="expression" dxfId="76" priority="25" stopIfTrue="1">
      <formula>$AC$39&gt;$O$13</formula>
    </cfRule>
  </conditionalFormatting>
  <conditionalFormatting sqref="B24:O24">
    <cfRule type="expression" dxfId="75" priority="26" stopIfTrue="1">
      <formula>#REF!&gt;$AQ$31</formula>
    </cfRule>
  </conditionalFormatting>
  <conditionalFormatting sqref="J12:K12">
    <cfRule type="cellIs" dxfId="74" priority="27" stopIfTrue="1" operator="greaterThan">
      <formula>110</formula>
    </cfRule>
  </conditionalFormatting>
  <conditionalFormatting sqref="I18">
    <cfRule type="cellIs" dxfId="73" priority="28" stopIfTrue="1" operator="equal">
      <formula>"Passed"</formula>
    </cfRule>
  </conditionalFormatting>
  <conditionalFormatting sqref="B25:O25">
    <cfRule type="expression" dxfId="72" priority="32" stopIfTrue="1">
      <formula>$AF$35&gt;$AQ$33</formula>
    </cfRule>
  </conditionalFormatting>
  <conditionalFormatting sqref="B26:O26">
    <cfRule type="expression" dxfId="71" priority="33" stopIfTrue="1">
      <formula>$AC$35&gt;$AQ$32</formula>
    </cfRule>
  </conditionalFormatting>
  <conditionalFormatting sqref="Q12:AB12 AF15:AF20 AF13 Z18:AA20 U18:V20 U13:V16 W13:Y20 AB13:AE20 Z13:AA16 P13:T13 P15:T15 P17:T20">
    <cfRule type="expression" dxfId="70" priority="6" stopIfTrue="1">
      <formula>IF($P$5=FALSE,1,0)</formula>
    </cfRule>
    <cfRule type="expression" dxfId="69" priority="7" stopIfTrue="1">
      <formula>IF($P$13=FALSE,1,0)</formula>
    </cfRule>
  </conditionalFormatting>
  <conditionalFormatting sqref="U9:V9">
    <cfRule type="expression" dxfId="68" priority="62" stopIfTrue="1">
      <formula>$G$42&gt;$U$9</formula>
    </cfRule>
  </conditionalFormatting>
  <conditionalFormatting sqref="U17:V17">
    <cfRule type="expression" dxfId="67" priority="63" stopIfTrue="1">
      <formula>IF($P$5=FALSE,1,0)</formula>
    </cfRule>
    <cfRule type="expression" dxfId="66" priority="64" stopIfTrue="1">
      <formula>IF($P$13=FALSE,1,0)</formula>
    </cfRule>
    <cfRule type="expression" dxfId="65" priority="65" stopIfTrue="1">
      <formula>$K$42&gt;$U$17</formula>
    </cfRule>
  </conditionalFormatting>
  <conditionalFormatting sqref="U25:V25">
    <cfRule type="expression" dxfId="64" priority="66" stopIfTrue="1">
      <formula>IF($P$13=FALSE,1,0)</formula>
    </cfRule>
    <cfRule type="expression" dxfId="63" priority="67" stopIfTrue="1">
      <formula>IF($P$21=FALSE,1,0)</formula>
    </cfRule>
    <cfRule type="expression" dxfId="62" priority="68" stopIfTrue="1">
      <formula>$O$42&gt;$U$25</formula>
    </cfRule>
  </conditionalFormatting>
  <conditionalFormatting sqref="AL9:AM9">
    <cfRule type="expression" dxfId="61" priority="69" stopIfTrue="1">
      <formula>IF($P$21=FALSE,1,0)</formula>
    </cfRule>
    <cfRule type="expression" dxfId="60" priority="70" stopIfTrue="1">
      <formula>IF($AG$5=FALSE,1,0)</formula>
    </cfRule>
    <cfRule type="expression" dxfId="59" priority="71" stopIfTrue="1">
      <formula>$S$42&gt;$AL$9</formula>
    </cfRule>
  </conditionalFormatting>
  <conditionalFormatting sqref="AL17:AM17">
    <cfRule type="expression" dxfId="58" priority="75" stopIfTrue="1">
      <formula>IF($AG$13=FALSE,1,0)</formula>
    </cfRule>
    <cfRule type="expression" dxfId="57" priority="76" stopIfTrue="1">
      <formula>IF($AG$13=FALSE,1,0)</formula>
    </cfRule>
    <cfRule type="expression" dxfId="56" priority="77" stopIfTrue="1">
      <formula>$W$42&gt;$AL$17</formula>
    </cfRule>
  </conditionalFormatting>
  <conditionalFormatting sqref="AL25:AM25">
    <cfRule type="expression" dxfId="55" priority="78" stopIfTrue="1">
      <formula>IF($AG$21=FALSE,1,0)</formula>
    </cfRule>
    <cfRule type="expression" dxfId="54" priority="79" stopIfTrue="1">
      <formula>IF($AG$13=FALSE,1,0)</formula>
    </cfRule>
    <cfRule type="expression" dxfId="53" priority="80" stopIfTrue="1">
      <formula>$AA$42&gt;$AL$25</formula>
    </cfRule>
  </conditionalFormatting>
  <conditionalFormatting sqref="J13:K13">
    <cfRule type="expression" dxfId="52" priority="1" stopIfTrue="1">
      <formula>$O$13&gt;$AQ$47</formula>
    </cfRule>
  </conditionalFormatting>
  <conditionalFormatting sqref="P6:T6">
    <cfRule type="expression" dxfId="51" priority="193" stopIfTrue="1">
      <formula>$Y$6="x"</formula>
    </cfRule>
  </conditionalFormatting>
  <conditionalFormatting sqref="P8:T8">
    <cfRule type="expression" dxfId="50" priority="194" stopIfTrue="1">
      <formula>$Z$6="x"</formula>
    </cfRule>
  </conditionalFormatting>
  <conditionalFormatting sqref="P16:T16">
    <cfRule type="expression" dxfId="49" priority="195" stopIfTrue="1">
      <formula>IF($P$5=FALSE,1,0)</formula>
    </cfRule>
    <cfRule type="expression" dxfId="48" priority="196" stopIfTrue="1">
      <formula>IF($P$13=FALSE,1,0)</formula>
    </cfRule>
    <cfRule type="expression" dxfId="47" priority="197" stopIfTrue="1">
      <formula>AND($Z$14="x",$P$13)</formula>
    </cfRule>
  </conditionalFormatting>
  <conditionalFormatting sqref="P22:T22">
    <cfRule type="expression" dxfId="46" priority="198" stopIfTrue="1">
      <formula>IF($P$13=FALSE,1,0)</formula>
    </cfRule>
    <cfRule type="expression" dxfId="45" priority="199" stopIfTrue="1">
      <formula>IF($P$21=FALSE,1,0)</formula>
    </cfRule>
    <cfRule type="expression" dxfId="44" priority="200" stopIfTrue="1">
      <formula>AND($Y$22="X",$P$21)</formula>
    </cfRule>
  </conditionalFormatting>
  <conditionalFormatting sqref="P24:T24">
    <cfRule type="expression" dxfId="43" priority="201" stopIfTrue="1">
      <formula>IF($P$13=FALSE,1,0)</formula>
    </cfRule>
    <cfRule type="expression" dxfId="42" priority="202" stopIfTrue="1">
      <formula>IF($P$21=FALSE,1,0)</formula>
    </cfRule>
    <cfRule type="expression" dxfId="41" priority="203" stopIfTrue="1">
      <formula>AND($Z$22="x",$P$21)</formula>
    </cfRule>
  </conditionalFormatting>
  <conditionalFormatting sqref="AG6:AK6">
    <cfRule type="expression" dxfId="40" priority="204" stopIfTrue="1">
      <formula>IF($P$21=FALSE,1,0)</formula>
    </cfRule>
    <cfRule type="expression" dxfId="39" priority="205" stopIfTrue="1">
      <formula>IF($AG$5=FALSE,1,0)</formula>
    </cfRule>
    <cfRule type="expression" dxfId="38" priority="206" stopIfTrue="1">
      <formula>AND($AP$6="x",$AG$5)</formula>
    </cfRule>
  </conditionalFormatting>
  <conditionalFormatting sqref="AG8:AK8">
    <cfRule type="expression" dxfId="37" priority="207" stopIfTrue="1">
      <formula>IF($P$21=FALSE,1,0)</formula>
    </cfRule>
    <cfRule type="expression" dxfId="36" priority="208" stopIfTrue="1">
      <formula>IF($AG$5=FALSE,1,0)</formula>
    </cfRule>
    <cfRule type="expression" dxfId="35" priority="209" stopIfTrue="1">
      <formula>AND($AQ$6="x",$AG$5)</formula>
    </cfRule>
  </conditionalFormatting>
  <conditionalFormatting sqref="AG7:AK7 AG9:AK9">
    <cfRule type="expression" dxfId="34" priority="210" stopIfTrue="1">
      <formula>IF($P$21=FALSE,1,0)</formula>
    </cfRule>
    <cfRule type="expression" dxfId="33" priority="211" stopIfTrue="1">
      <formula>IF($AG$5=FALSE,1,0)</formula>
    </cfRule>
  </conditionalFormatting>
  <conditionalFormatting sqref="AG14:AK14">
    <cfRule type="expression" dxfId="32" priority="212" stopIfTrue="1">
      <formula>IF($AG$13=FALSE,1,0)</formula>
    </cfRule>
    <cfRule type="expression" dxfId="31" priority="213" stopIfTrue="1">
      <formula>IF($AG$5=FALSE,1,0)</formula>
    </cfRule>
    <cfRule type="expression" dxfId="30" priority="214" stopIfTrue="1">
      <formula>AND($AP$14="X",$AG$13)</formula>
    </cfRule>
  </conditionalFormatting>
  <conditionalFormatting sqref="AG16:AK16">
    <cfRule type="expression" dxfId="29" priority="215" stopIfTrue="1">
      <formula>IF($AG$13=FALSE,1,0)</formula>
    </cfRule>
    <cfRule type="expression" dxfId="28" priority="216" stopIfTrue="1">
      <formula>IF($AG$5=FALSE,1,0)</formula>
    </cfRule>
    <cfRule type="expression" dxfId="27" priority="217" stopIfTrue="1">
      <formula>AND($AQ$14="X",$AG$13)</formula>
    </cfRule>
  </conditionalFormatting>
  <conditionalFormatting sqref="AG22:AK22">
    <cfRule type="expression" dxfId="26" priority="218" stopIfTrue="1">
      <formula>IF($AG$21=FALSE,1,0)</formula>
    </cfRule>
    <cfRule type="expression" dxfId="25" priority="219" stopIfTrue="1">
      <formula>IF($AG$13=FALSE,1,0)</formula>
    </cfRule>
    <cfRule type="expression" dxfId="24" priority="220" stopIfTrue="1">
      <formula>AND($AP$22="x",$AG$21)</formula>
    </cfRule>
  </conditionalFormatting>
  <conditionalFormatting sqref="AG24:AK24">
    <cfRule type="expression" dxfId="23" priority="221" stopIfTrue="1">
      <formula>IF($AG$21=FALSE,1,0)</formula>
    </cfRule>
    <cfRule type="expression" dxfId="22" priority="222" stopIfTrue="1">
      <formula>IF($AG$13=FALSE,1,0)</formula>
    </cfRule>
    <cfRule type="expression" dxfId="21" priority="223" stopIfTrue="1">
      <formula>AND($AQ$22="X",$AG$21)</formula>
    </cfRule>
  </conditionalFormatting>
  <conditionalFormatting sqref="I19:L19">
    <cfRule type="expression" dxfId="20" priority="313" stopIfTrue="1">
      <formula>LEFT($I$16,3)="SCR"</formula>
    </cfRule>
    <cfRule type="expression" dxfId="19" priority="314" stopIfTrue="1">
      <formula>LEFT($I$16,3)="SLP"</formula>
    </cfRule>
    <cfRule type="expression" dxfId="18" priority="315" stopIfTrue="1">
      <formula>$AJ$49="User Motor"</formula>
    </cfRule>
  </conditionalFormatting>
  <conditionalFormatting sqref="B20:H20">
    <cfRule type="expression" dxfId="17" priority="316" stopIfTrue="1">
      <formula>LEFT($I$16,3)="SCR"</formula>
    </cfRule>
    <cfRule type="expression" dxfId="16" priority="317" stopIfTrue="1">
      <formula>LEFT($I$16,3)="SLP"</formula>
    </cfRule>
    <cfRule type="expression" dxfId="15" priority="318" stopIfTrue="1">
      <formula>$AG$41="x"</formula>
    </cfRule>
  </conditionalFormatting>
  <conditionalFormatting sqref="D21:G22">
    <cfRule type="expression" dxfId="14" priority="319" stopIfTrue="1">
      <formula>$C$17&lt;&gt;4</formula>
    </cfRule>
  </conditionalFormatting>
  <conditionalFormatting sqref="BJ10:BL54">
    <cfRule type="cellIs" dxfId="13" priority="507" stopIfTrue="1" operator="lessThan">
      <formula>1.05</formula>
    </cfRule>
    <cfRule type="cellIs" dxfId="12" priority="508" stopIfTrue="1" operator="greaterThan">
      <formula>1.5</formula>
    </cfRule>
    <cfRule type="cellIs" dxfId="11" priority="509" stopIfTrue="1" operator="between">
      <formula>1.05</formula>
      <formula>1.5</formula>
    </cfRule>
  </conditionalFormatting>
  <conditionalFormatting sqref="AD4:AF4">
    <cfRule type="expression" dxfId="10" priority="510" stopIfTrue="1">
      <formula>NOT($O$4)</formula>
    </cfRule>
  </conditionalFormatting>
  <conditionalFormatting sqref="I28:O28">
    <cfRule type="expression" dxfId="9" priority="416" stopIfTrue="1">
      <formula>$AC$40&lt;=$BB$7</formula>
    </cfRule>
    <cfRule type="expression" dxfId="8" priority="417" stopIfTrue="1">
      <formula>$AC$40&lt;=$BB$5</formula>
    </cfRule>
    <cfRule type="expression" dxfId="7" priority="418" stopIfTrue="1">
      <formula>$AC$40&lt;=$BB$4</formula>
    </cfRule>
  </conditionalFormatting>
  <dataValidations count="16">
    <dataValidation type="whole" errorStyle="warning" allowBlank="1" showErrorMessage="1" errorTitle="Temperature" error="Allowable coil temputure should be higher then the selected ambient temputure._x000a__x000a_Nippon Pulse does not reccomend coil temputures over 135 degrees C" sqref="C22">
      <formula1>C4</formula1>
      <formula2>135</formula2>
    </dataValidation>
    <dataValidation type="custom" allowBlank="1" showInputMessage="1" showErrorMessage="1" errorTitle="Maximum Coil Temperature" error="Maximum coil temperature should be below 160 dig C (320 dig F)" sqref="J11:K11">
      <formula1>O11&lt;160.1</formula1>
    </dataValidation>
    <dataValidation type="list" allowBlank="1" showErrorMessage="1" sqref="CA40:CC40 W10:X10 AN10:AO10 AN18:AO18 AN26:AO26 W18:X18 W26:X26 AT30:AU30 F22:H22">
      <formula1>$K$62:$K$65</formula1>
    </dataValidation>
    <dataValidation type="list" allowBlank="1" showErrorMessage="1" sqref="BZ42:CA42">
      <formula1>$B$57:$B$58</formula1>
      <formula2>0</formula2>
    </dataValidation>
    <dataValidation type="list" allowBlank="1" showErrorMessage="1" sqref="BQ40:BS40 L5:N5">
      <formula1>$B$62:$B$66</formula1>
    </dataValidation>
    <dataValidation type="list" allowBlank="1" showErrorMessage="1" sqref="BQ43:BS43 L8:N9">
      <formula1>$E$62:$E$66</formula1>
    </dataValidation>
    <dataValidation type="list" allowBlank="1" showErrorMessage="1" sqref="BQ46:BS46">
      <formula1>$H$62:$H$68</formula1>
    </dataValidation>
    <dataValidation type="list" allowBlank="1" showErrorMessage="1" sqref="CA43:CC43">
      <formula1>$N$62:$N$64</formula1>
    </dataValidation>
    <dataValidation type="list" allowBlank="1" showErrorMessage="1" sqref="CA46:CC46">
      <formula1>$Q$62:$Q$67</formula1>
    </dataValidation>
    <dataValidation type="list" allowBlank="1" showInputMessage="1" showErrorMessage="1" sqref="BQ9:BR9 BQ34:BR36 BQ19:BR19">
      <formula1>$K$62:$K$65</formula1>
    </dataValidation>
    <dataValidation type="list" allowBlank="1" showInputMessage="1" showErrorMessage="1" sqref="BQ11:BR11 BQ21 BQ30">
      <formula1>$Q$62:$Q$67</formula1>
    </dataValidation>
    <dataValidation type="list" allowBlank="1" showInputMessage="1" showErrorMessage="1" sqref="BQ10:BR10 AV22:AW22 AV14:AW14 AV6:AW6 AE6:AF6 AE14:AF14 AE22:AF22 BQ29:BR29 BQ20:BR20">
      <formula1>$H$62:$H$68</formula1>
    </dataValidation>
    <dataValidation type="list" allowBlank="1" showInputMessage="1" showErrorMessage="1" sqref="BQ22:BR22 BQ12:BR12 BQ31:BR33">
      <formula1>$N$62:$N$64</formula1>
    </dataValidation>
    <dataValidation type="list" allowBlank="1" showErrorMessage="1" sqref="L10:N11">
      <formula1>$W$62:$W$63</formula1>
      <formula2>0</formula2>
    </dataValidation>
    <dataValidation type="list" allowBlank="1" showErrorMessage="1" sqref="L13:N13">
      <formula1>$T$62:$T$63</formula1>
    </dataValidation>
    <dataValidation type="list" allowBlank="1" showErrorMessage="1" sqref="I16:K17">
      <formula1>Select_Motor</formula1>
    </dataValidation>
  </dataValidations>
  <hyperlinks>
    <hyperlink ref="F2:N3" location="Instructions!A1" display="Instructions!A1"/>
    <hyperlink ref="E5" location="Instructions!A34" display="?"/>
    <hyperlink ref="E6" location="Instructions!A43" display="?"/>
    <hyperlink ref="E8" location="Instructions!A51" display="?"/>
    <hyperlink ref="E9" location="Instructions!A63" display="?"/>
    <hyperlink ref="E13" location="Instructions!A75" display="?"/>
    <hyperlink ref="G17" location="Instructions!A83" display="?"/>
    <hyperlink ref="M19" location="Instructions!A93" display="?"/>
    <hyperlink ref="AQ30" location="Instructions!A102" display="?"/>
  </hyperlinks>
  <pageMargins left="0.74791666666666667" right="0.74791666666666667" top="0.98402777777777783" bottom="0.98402777777777783" header="0.51180555555555562" footer="0.51180555555555562"/>
  <pageSetup scale="60" firstPageNumber="0" fitToHeight="6" orientation="landscape" horizontalDpi="300" verticalDpi="300"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042" r:id="rId4" name="Check Box 18">
              <controlPr defaultSize="0" autoFill="0" autoLine="0" autoPict="0">
                <anchor moveWithCells="1" sizeWithCells="1">
                  <from>
                    <xdr:col>15</xdr:col>
                    <xdr:colOff>0</xdr:colOff>
                    <xdr:row>25</xdr:row>
                    <xdr:rowOff>114300</xdr:rowOff>
                  </from>
                  <to>
                    <xdr:col>27</xdr:col>
                    <xdr:colOff>104775</xdr:colOff>
                    <xdr:row>27</xdr:row>
                    <xdr:rowOff>85725</xdr:rowOff>
                  </to>
                </anchor>
              </controlPr>
            </control>
          </mc:Choice>
        </mc:AlternateContent>
        <mc:AlternateContent xmlns:mc="http://schemas.openxmlformats.org/markup-compatibility/2006">
          <mc:Choice Requires="x14">
            <control shapeId="1039" r:id="rId5" name="Check Box 15">
              <controlPr defaultSize="0" autoFill="0" autoLine="0" autoPict="0">
                <anchor moveWithCells="1" sizeWithCells="1">
                  <from>
                    <xdr:col>15</xdr:col>
                    <xdr:colOff>0</xdr:colOff>
                    <xdr:row>9</xdr:row>
                    <xdr:rowOff>114300</xdr:rowOff>
                  </from>
                  <to>
                    <xdr:col>27</xdr:col>
                    <xdr:colOff>104775</xdr:colOff>
                    <xdr:row>11</xdr:row>
                    <xdr:rowOff>85725</xdr:rowOff>
                  </to>
                </anchor>
              </controlPr>
            </control>
          </mc:Choice>
        </mc:AlternateContent>
        <mc:AlternateContent xmlns:mc="http://schemas.openxmlformats.org/markup-compatibility/2006">
          <mc:Choice Requires="x14">
            <control shapeId="1040" r:id="rId6" name="Check Box 16">
              <controlPr defaultSize="0" autoFill="0" autoLine="0" autoPict="0">
                <anchor moveWithCells="1" sizeWithCells="1">
                  <from>
                    <xdr:col>15</xdr:col>
                    <xdr:colOff>0</xdr:colOff>
                    <xdr:row>17</xdr:row>
                    <xdr:rowOff>76200</xdr:rowOff>
                  </from>
                  <to>
                    <xdr:col>27</xdr:col>
                    <xdr:colOff>104775</xdr:colOff>
                    <xdr:row>19</xdr:row>
                    <xdr:rowOff>28575</xdr:rowOff>
                  </to>
                </anchor>
              </controlPr>
            </control>
          </mc:Choice>
        </mc:AlternateContent>
        <mc:AlternateContent xmlns:mc="http://schemas.openxmlformats.org/markup-compatibility/2006">
          <mc:Choice Requires="x14">
            <control shapeId="1033" r:id="rId7" name="Check Box 9">
              <controlPr defaultSize="0" autoFill="0" autoLine="0" autoPict="0">
                <anchor moveWithCells="1" sizeWithCells="1">
                  <from>
                    <xdr:col>8</xdr:col>
                    <xdr:colOff>19050</xdr:colOff>
                    <xdr:row>17</xdr:row>
                    <xdr:rowOff>66675</xdr:rowOff>
                  </from>
                  <to>
                    <xdr:col>11</xdr:col>
                    <xdr:colOff>123825</xdr:colOff>
                    <xdr:row>19</xdr:row>
                    <xdr:rowOff>19050</xdr:rowOff>
                  </to>
                </anchor>
              </controlPr>
            </control>
          </mc:Choice>
        </mc:AlternateContent>
        <mc:AlternateContent xmlns:mc="http://schemas.openxmlformats.org/markup-compatibility/2006">
          <mc:Choice Requires="x14">
            <control shapeId="1041" r:id="rId8" name="Check Box 17">
              <controlPr defaultSize="0" autoFill="0" autoLine="0" autoPict="0">
                <anchor moveWithCells="1" sizeWithCells="1">
                  <from>
                    <xdr:col>15</xdr:col>
                    <xdr:colOff>0</xdr:colOff>
                    <xdr:row>11</xdr:row>
                    <xdr:rowOff>76200</xdr:rowOff>
                  </from>
                  <to>
                    <xdr:col>21</xdr:col>
                    <xdr:colOff>76200</xdr:colOff>
                    <xdr:row>13</xdr:row>
                    <xdr:rowOff>47625</xdr:rowOff>
                  </to>
                </anchor>
              </controlPr>
            </control>
          </mc:Choice>
        </mc:AlternateContent>
        <mc:AlternateContent xmlns:mc="http://schemas.openxmlformats.org/markup-compatibility/2006">
          <mc:Choice Requires="x14">
            <control shapeId="1043" r:id="rId9" name="Check Box 19">
              <controlPr defaultSize="0" autoFill="0" autoLine="0" autoPict="0">
                <anchor moveWithCells="1" sizeWithCells="1">
                  <from>
                    <xdr:col>15</xdr:col>
                    <xdr:colOff>9525</xdr:colOff>
                    <xdr:row>19</xdr:row>
                    <xdr:rowOff>76200</xdr:rowOff>
                  </from>
                  <to>
                    <xdr:col>21</xdr:col>
                    <xdr:colOff>66675</xdr:colOff>
                    <xdr:row>21</xdr:row>
                    <xdr:rowOff>47625</xdr:rowOff>
                  </to>
                </anchor>
              </controlPr>
            </control>
          </mc:Choice>
        </mc:AlternateContent>
        <mc:AlternateContent xmlns:mc="http://schemas.openxmlformats.org/markup-compatibility/2006">
          <mc:Choice Requires="x14">
            <control shapeId="1044" r:id="rId10" name="Check Box 20">
              <controlPr defaultSize="0" autoFill="0" autoLine="0" autoPict="0">
                <anchor moveWithCells="1" sizeWithCells="1">
                  <from>
                    <xdr:col>32</xdr:col>
                    <xdr:colOff>0</xdr:colOff>
                    <xdr:row>9</xdr:row>
                    <xdr:rowOff>114300</xdr:rowOff>
                  </from>
                  <to>
                    <xdr:col>43</xdr:col>
                    <xdr:colOff>57150</xdr:colOff>
                    <xdr:row>11</xdr:row>
                    <xdr:rowOff>85725</xdr:rowOff>
                  </to>
                </anchor>
              </controlPr>
            </control>
          </mc:Choice>
        </mc:AlternateContent>
        <mc:AlternateContent xmlns:mc="http://schemas.openxmlformats.org/markup-compatibility/2006">
          <mc:Choice Requires="x14">
            <control shapeId="1045" r:id="rId11" name="Check Box 21">
              <controlPr defaultSize="0" autoFill="0" autoLine="0" autoPict="0">
                <anchor moveWithCells="1" sizeWithCells="1">
                  <from>
                    <xdr:col>32</xdr:col>
                    <xdr:colOff>0</xdr:colOff>
                    <xdr:row>3</xdr:row>
                    <xdr:rowOff>161925</xdr:rowOff>
                  </from>
                  <to>
                    <xdr:col>37</xdr:col>
                    <xdr:colOff>19050</xdr:colOff>
                    <xdr:row>5</xdr:row>
                    <xdr:rowOff>57150</xdr:rowOff>
                  </to>
                </anchor>
              </controlPr>
            </control>
          </mc:Choice>
        </mc:AlternateContent>
        <mc:AlternateContent xmlns:mc="http://schemas.openxmlformats.org/markup-compatibility/2006">
          <mc:Choice Requires="x14">
            <control shapeId="1046" r:id="rId12" name="Check Box 22">
              <controlPr defaultSize="0" autoFill="0" autoLine="0" autoPict="0">
                <anchor moveWithCells="1" sizeWithCells="1">
                  <from>
                    <xdr:col>32</xdr:col>
                    <xdr:colOff>0</xdr:colOff>
                    <xdr:row>17</xdr:row>
                    <xdr:rowOff>76200</xdr:rowOff>
                  </from>
                  <to>
                    <xdr:col>43</xdr:col>
                    <xdr:colOff>57150</xdr:colOff>
                    <xdr:row>19</xdr:row>
                    <xdr:rowOff>28575</xdr:rowOff>
                  </to>
                </anchor>
              </controlPr>
            </control>
          </mc:Choice>
        </mc:AlternateContent>
        <mc:AlternateContent xmlns:mc="http://schemas.openxmlformats.org/markup-compatibility/2006">
          <mc:Choice Requires="x14">
            <control shapeId="1047" r:id="rId13" name="Check Box 23">
              <controlPr defaultSize="0" autoFill="0" autoLine="0" autoPict="0">
                <anchor moveWithCells="1" sizeWithCells="1">
                  <from>
                    <xdr:col>32</xdr:col>
                    <xdr:colOff>0</xdr:colOff>
                    <xdr:row>11</xdr:row>
                    <xdr:rowOff>85725</xdr:rowOff>
                  </from>
                  <to>
                    <xdr:col>37</xdr:col>
                    <xdr:colOff>19050</xdr:colOff>
                    <xdr:row>13</xdr:row>
                    <xdr:rowOff>57150</xdr:rowOff>
                  </to>
                </anchor>
              </controlPr>
            </control>
          </mc:Choice>
        </mc:AlternateContent>
        <mc:AlternateContent xmlns:mc="http://schemas.openxmlformats.org/markup-compatibility/2006">
          <mc:Choice Requires="x14">
            <control shapeId="1048" r:id="rId14" name="Check Box 24">
              <controlPr defaultSize="0" autoFill="0" autoLine="0" autoPict="0">
                <anchor moveWithCells="1" sizeWithCells="1">
                  <from>
                    <xdr:col>32</xdr:col>
                    <xdr:colOff>0</xdr:colOff>
                    <xdr:row>25</xdr:row>
                    <xdr:rowOff>114300</xdr:rowOff>
                  </from>
                  <to>
                    <xdr:col>43</xdr:col>
                    <xdr:colOff>57150</xdr:colOff>
                    <xdr:row>27</xdr:row>
                    <xdr:rowOff>85725</xdr:rowOff>
                  </to>
                </anchor>
              </controlPr>
            </control>
          </mc:Choice>
        </mc:AlternateContent>
        <mc:AlternateContent xmlns:mc="http://schemas.openxmlformats.org/markup-compatibility/2006">
          <mc:Choice Requires="x14">
            <control shapeId="1049" r:id="rId15" name="Check Box 25">
              <controlPr defaultSize="0" autoFill="0" autoLine="0" autoPict="0">
                <anchor moveWithCells="1" sizeWithCells="1">
                  <from>
                    <xdr:col>32</xdr:col>
                    <xdr:colOff>0</xdr:colOff>
                    <xdr:row>19</xdr:row>
                    <xdr:rowOff>85725</xdr:rowOff>
                  </from>
                  <to>
                    <xdr:col>37</xdr:col>
                    <xdr:colOff>28575</xdr:colOff>
                    <xdr:row>21</xdr:row>
                    <xdr:rowOff>57150</xdr:rowOff>
                  </to>
                </anchor>
              </controlPr>
            </control>
          </mc:Choice>
        </mc:AlternateContent>
        <mc:AlternateContent xmlns:mc="http://schemas.openxmlformats.org/markup-compatibility/2006">
          <mc:Choice Requires="x14">
            <control shapeId="13666" r:id="rId16" name="Check Box 5474">
              <controlPr defaultSize="0" autoFill="0" autoLine="0" autoPict="0">
                <anchor moveWithCells="1" sizeWithCells="1">
                  <from>
                    <xdr:col>20</xdr:col>
                    <xdr:colOff>171450</xdr:colOff>
                    <xdr:row>2</xdr:row>
                    <xdr:rowOff>161925</xdr:rowOff>
                  </from>
                  <to>
                    <xdr:col>29</xdr:col>
                    <xdr:colOff>0</xdr:colOff>
                    <xdr:row>4</xdr:row>
                    <xdr:rowOff>19050</xdr:rowOff>
                  </to>
                </anchor>
              </controlPr>
            </control>
          </mc:Choice>
        </mc:AlternateContent>
        <mc:AlternateContent xmlns:mc="http://schemas.openxmlformats.org/markup-compatibility/2006">
          <mc:Choice Requires="x14">
            <control shapeId="64104" r:id="rId17" name="Check Box 6760">
              <controlPr defaultSize="0" autoFill="0" autoLine="0" autoPict="0">
                <anchor moveWithCells="1" sizeWithCells="1">
                  <from>
                    <xdr:col>33</xdr:col>
                    <xdr:colOff>85725</xdr:colOff>
                    <xdr:row>2</xdr:row>
                    <xdr:rowOff>161925</xdr:rowOff>
                  </from>
                  <to>
                    <xdr:col>48</xdr:col>
                    <xdr:colOff>142875</xdr:colOff>
                    <xdr:row>3</xdr:row>
                    <xdr:rowOff>190500</xdr:rowOff>
                  </to>
                </anchor>
              </controlPr>
            </control>
          </mc:Choice>
        </mc:AlternateContent>
        <mc:AlternateContent xmlns:mc="http://schemas.openxmlformats.org/markup-compatibility/2006">
          <mc:Choice Requires="x14">
            <control shapeId="327698" r:id="rId18" name="Check Box 7186">
              <controlPr defaultSize="0" autoFill="0" autoLine="0" autoPict="0">
                <anchor moveWithCells="1" sizeWithCells="1">
                  <from>
                    <xdr:col>41</xdr:col>
                    <xdr:colOff>76200</xdr:colOff>
                    <xdr:row>30</xdr:row>
                    <xdr:rowOff>57150</xdr:rowOff>
                  </from>
                  <to>
                    <xdr:col>44</xdr:col>
                    <xdr:colOff>38100</xdr:colOff>
                    <xdr:row>32</xdr:row>
                    <xdr:rowOff>47625</xdr:rowOff>
                  </to>
                </anchor>
              </controlPr>
            </control>
          </mc:Choice>
        </mc:AlternateContent>
        <mc:AlternateContent xmlns:mc="http://schemas.openxmlformats.org/markup-compatibility/2006">
          <mc:Choice Requires="x14">
            <control shapeId="327699" r:id="rId19" name="Check Box 7187">
              <controlPr defaultSize="0" autoFill="0" autoLine="0" autoPict="0">
                <anchor moveWithCells="1" sizeWithCells="1">
                  <from>
                    <xdr:col>41</xdr:col>
                    <xdr:colOff>76200</xdr:colOff>
                    <xdr:row>31</xdr:row>
                    <xdr:rowOff>57150</xdr:rowOff>
                  </from>
                  <to>
                    <xdr:col>44</xdr:col>
                    <xdr:colOff>38100</xdr:colOff>
                    <xdr:row>33</xdr:row>
                    <xdr:rowOff>47625</xdr:rowOff>
                  </to>
                </anchor>
              </controlPr>
            </control>
          </mc:Choice>
        </mc:AlternateContent>
        <mc:AlternateContent xmlns:mc="http://schemas.openxmlformats.org/markup-compatibility/2006">
          <mc:Choice Requires="x14">
            <control shapeId="327700" r:id="rId20" name="Check Box 7188">
              <controlPr defaultSize="0" autoFill="0" autoLine="0" autoPict="0">
                <anchor moveWithCells="1" sizeWithCells="1">
                  <from>
                    <xdr:col>41</xdr:col>
                    <xdr:colOff>76200</xdr:colOff>
                    <xdr:row>32</xdr:row>
                    <xdr:rowOff>57150</xdr:rowOff>
                  </from>
                  <to>
                    <xdr:col>44</xdr:col>
                    <xdr:colOff>38100</xdr:colOff>
                    <xdr:row>34</xdr:row>
                    <xdr:rowOff>47625</xdr:rowOff>
                  </to>
                </anchor>
              </controlPr>
            </control>
          </mc:Choice>
        </mc:AlternateContent>
        <mc:AlternateContent xmlns:mc="http://schemas.openxmlformats.org/markup-compatibility/2006">
          <mc:Choice Requires="x14">
            <control shapeId="327753" r:id="rId21" name="Check Box 7241">
              <controlPr defaultSize="0" autoFill="0" autoLine="0" autoPict="0">
                <anchor moveWithCells="1" sizeWithCells="1">
                  <from>
                    <xdr:col>46</xdr:col>
                    <xdr:colOff>76200</xdr:colOff>
                    <xdr:row>30</xdr:row>
                    <xdr:rowOff>47625</xdr:rowOff>
                  </from>
                  <to>
                    <xdr:col>48</xdr:col>
                    <xdr:colOff>114300</xdr:colOff>
                    <xdr:row>32</xdr:row>
                    <xdr:rowOff>38100</xdr:rowOff>
                  </to>
                </anchor>
              </controlPr>
            </control>
          </mc:Choice>
        </mc:AlternateContent>
        <mc:AlternateContent xmlns:mc="http://schemas.openxmlformats.org/markup-compatibility/2006">
          <mc:Choice Requires="x14">
            <control shapeId="1035" r:id="rId22" name="Option Button 11">
              <controlPr defaultSize="0" autoFill="0" autoLine="0" autoPict="0">
                <anchor moveWithCells="1" sizeWithCells="1">
                  <from>
                    <xdr:col>7</xdr:col>
                    <xdr:colOff>85725</xdr:colOff>
                    <xdr:row>16</xdr:row>
                    <xdr:rowOff>95250</xdr:rowOff>
                  </from>
                  <to>
                    <xdr:col>7</xdr:col>
                    <xdr:colOff>85725</xdr:colOff>
                    <xdr:row>18</xdr:row>
                    <xdr:rowOff>95250</xdr:rowOff>
                  </to>
                </anchor>
              </controlPr>
            </control>
          </mc:Choice>
        </mc:AlternateContent>
        <mc:AlternateContent xmlns:mc="http://schemas.openxmlformats.org/markup-compatibility/2006">
          <mc:Choice Requires="x14">
            <control shapeId="1036" r:id="rId23" name="Option Button 12">
              <controlPr defaultSize="0" autoFill="0" autoLine="0" autoPict="0">
                <anchor moveWithCells="1" sizeWithCells="1">
                  <from>
                    <xdr:col>7</xdr:col>
                    <xdr:colOff>85725</xdr:colOff>
                    <xdr:row>21</xdr:row>
                    <xdr:rowOff>85725</xdr:rowOff>
                  </from>
                  <to>
                    <xdr:col>7</xdr:col>
                    <xdr:colOff>85725</xdr:colOff>
                    <xdr:row>21</xdr:row>
                    <xdr:rowOff>85725</xdr:rowOff>
                  </to>
                </anchor>
              </controlPr>
            </control>
          </mc:Choice>
        </mc:AlternateContent>
        <mc:AlternateContent xmlns:mc="http://schemas.openxmlformats.org/markup-compatibility/2006">
          <mc:Choice Requires="x14">
            <control shapeId="1037" r:id="rId24" name="Option Button 13">
              <controlPr defaultSize="0" autoFill="0" autoLine="0" autoPict="0">
                <anchor moveWithCells="1" sizeWithCells="1">
                  <from>
                    <xdr:col>7</xdr:col>
                    <xdr:colOff>85725</xdr:colOff>
                    <xdr:row>18</xdr:row>
                    <xdr:rowOff>9525</xdr:rowOff>
                  </from>
                  <to>
                    <xdr:col>7</xdr:col>
                    <xdr:colOff>85725</xdr:colOff>
                    <xdr:row>20</xdr:row>
                    <xdr:rowOff>28575</xdr:rowOff>
                  </to>
                </anchor>
              </controlPr>
            </control>
          </mc:Choice>
        </mc:AlternateContent>
        <mc:AlternateContent xmlns:mc="http://schemas.openxmlformats.org/markup-compatibility/2006">
          <mc:Choice Requires="x14">
            <control shapeId="1038" r:id="rId25" name="Group Box 14">
              <controlPr defaultSize="0" autoFill="0" autoLine="0" autoPict="0">
                <anchor moveWithCells="1" sizeWithCells="1">
                  <from>
                    <xdr:col>1</xdr:col>
                    <xdr:colOff>47625</xdr:colOff>
                    <xdr:row>20</xdr:row>
                    <xdr:rowOff>95250</xdr:rowOff>
                  </from>
                  <to>
                    <xdr:col>1</xdr:col>
                    <xdr:colOff>47625</xdr:colOff>
                    <xdr:row>20</xdr:row>
                    <xdr:rowOff>95250</xdr:rowOff>
                  </to>
                </anchor>
              </controlPr>
            </control>
          </mc:Choice>
        </mc:AlternateContent>
        <mc:AlternateContent xmlns:mc="http://schemas.openxmlformats.org/markup-compatibility/2006">
          <mc:Choice Requires="x14">
            <control shapeId="1053" r:id="rId26" name="Option Button 29">
              <controlPr defaultSize="0" autoFill="0" autoLine="0" autoPict="0">
                <anchor moveWithCells="1" sizeWithCells="1">
                  <from>
                    <xdr:col>1</xdr:col>
                    <xdr:colOff>66675</xdr:colOff>
                    <xdr:row>17</xdr:row>
                    <xdr:rowOff>114300</xdr:rowOff>
                  </from>
                  <to>
                    <xdr:col>6</xdr:col>
                    <xdr:colOff>76200</xdr:colOff>
                    <xdr:row>19</xdr:row>
                    <xdr:rowOff>9525</xdr:rowOff>
                  </to>
                </anchor>
              </controlPr>
            </control>
          </mc:Choice>
        </mc:AlternateContent>
        <mc:AlternateContent xmlns:mc="http://schemas.openxmlformats.org/markup-compatibility/2006">
          <mc:Choice Requires="x14">
            <control shapeId="1054" r:id="rId27" name="Option Button 30">
              <controlPr defaultSize="0" autoFill="0" autoLine="0" autoPict="0">
                <anchor moveWithCells="1" sizeWithCells="1">
                  <from>
                    <xdr:col>1</xdr:col>
                    <xdr:colOff>66675</xdr:colOff>
                    <xdr:row>19</xdr:row>
                    <xdr:rowOff>28575</xdr:rowOff>
                  </from>
                  <to>
                    <xdr:col>6</xdr:col>
                    <xdr:colOff>76200</xdr:colOff>
                    <xdr:row>20</xdr:row>
                    <xdr:rowOff>57150</xdr:rowOff>
                  </to>
                </anchor>
              </controlPr>
            </control>
          </mc:Choice>
        </mc:AlternateContent>
        <mc:AlternateContent xmlns:mc="http://schemas.openxmlformats.org/markup-compatibility/2006">
          <mc:Choice Requires="x14">
            <control shapeId="1055" r:id="rId28" name="Option Button 31">
              <controlPr defaultSize="0" autoFill="0" autoLine="0" autoPict="0">
                <anchor moveWithCells="1" sizeWithCells="1">
                  <from>
                    <xdr:col>1</xdr:col>
                    <xdr:colOff>66675</xdr:colOff>
                    <xdr:row>16</xdr:row>
                    <xdr:rowOff>76200</xdr:rowOff>
                  </from>
                  <to>
                    <xdr:col>6</xdr:col>
                    <xdr:colOff>38100</xdr:colOff>
                    <xdr:row>17</xdr:row>
                    <xdr:rowOff>95250</xdr:rowOff>
                  </to>
                </anchor>
              </controlPr>
            </control>
          </mc:Choice>
        </mc:AlternateContent>
        <mc:AlternateContent xmlns:mc="http://schemas.openxmlformats.org/markup-compatibility/2006">
          <mc:Choice Requires="x14">
            <control shapeId="1056" r:id="rId29" name="Group Box 32">
              <controlPr defaultSize="0" autoFill="0" autoPict="0">
                <anchor moveWithCells="1" sizeWithCells="1">
                  <from>
                    <xdr:col>1</xdr:col>
                    <xdr:colOff>0</xdr:colOff>
                    <xdr:row>16</xdr:row>
                    <xdr:rowOff>0</xdr:rowOff>
                  </from>
                  <to>
                    <xdr:col>7</xdr:col>
                    <xdr:colOff>0</xdr:colOff>
                    <xdr:row>22</xdr:row>
                    <xdr:rowOff>0</xdr:rowOff>
                  </to>
                </anchor>
              </controlPr>
            </control>
          </mc:Choice>
        </mc:AlternateContent>
        <mc:AlternateContent xmlns:mc="http://schemas.openxmlformats.org/markup-compatibility/2006">
          <mc:Choice Requires="x14">
            <control shapeId="328396" r:id="rId30" name="Option Button 7884">
              <controlPr defaultSize="0" autoFill="0" autoLine="0" autoPict="0">
                <anchor moveWithCells="1" sizeWithCells="1">
                  <from>
                    <xdr:col>1</xdr:col>
                    <xdr:colOff>66675</xdr:colOff>
                    <xdr:row>20</xdr:row>
                    <xdr:rowOff>19050</xdr:rowOff>
                  </from>
                  <to>
                    <xdr:col>2</xdr:col>
                    <xdr:colOff>171450</xdr:colOff>
                    <xdr:row>21</xdr:row>
                    <xdr:rowOff>104775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7"/>
  <sheetViews>
    <sheetView workbookViewId="0">
      <selection sqref="A1:A31"/>
    </sheetView>
  </sheetViews>
  <sheetFormatPr defaultRowHeight="12.75"/>
  <cols>
    <col min="1" max="1" width="2.7109375" customWidth="1"/>
    <col min="2" max="2" width="104.140625" style="701" customWidth="1"/>
  </cols>
  <sheetData>
    <row r="1" spans="1:2">
      <c r="A1" s="875"/>
      <c r="B1" s="702"/>
    </row>
    <row r="2" spans="1:2">
      <c r="A2" s="876"/>
      <c r="B2" s="703" t="s">
        <v>629</v>
      </c>
    </row>
    <row r="3" spans="1:2">
      <c r="A3" s="876"/>
      <c r="B3" s="704"/>
    </row>
    <row r="4" spans="1:2">
      <c r="A4" s="876"/>
      <c r="B4" s="704" t="s">
        <v>647</v>
      </c>
    </row>
    <row r="5" spans="1:2">
      <c r="A5" s="876"/>
      <c r="B5" s="704"/>
    </row>
    <row r="6" spans="1:2">
      <c r="A6" s="876"/>
      <c r="B6" s="704" t="s">
        <v>648</v>
      </c>
    </row>
    <row r="7" spans="1:2">
      <c r="A7" s="876"/>
      <c r="B7" s="704"/>
    </row>
    <row r="8" spans="1:2">
      <c r="A8" s="876"/>
      <c r="B8" s="704" t="s">
        <v>630</v>
      </c>
    </row>
    <row r="9" spans="1:2">
      <c r="A9" s="876"/>
      <c r="B9" s="704"/>
    </row>
    <row r="10" spans="1:2" ht="25.5">
      <c r="A10" s="876"/>
      <c r="B10" s="704" t="s">
        <v>631</v>
      </c>
    </row>
    <row r="11" spans="1:2">
      <c r="A11" s="876"/>
      <c r="B11" s="704"/>
    </row>
    <row r="12" spans="1:2" ht="38.25">
      <c r="A12" s="876"/>
      <c r="B12" s="704" t="s">
        <v>632</v>
      </c>
    </row>
    <row r="13" spans="1:2">
      <c r="A13" s="876"/>
      <c r="B13" s="704"/>
    </row>
    <row r="14" spans="1:2">
      <c r="A14" s="876"/>
      <c r="B14" s="704" t="s">
        <v>633</v>
      </c>
    </row>
    <row r="15" spans="1:2">
      <c r="A15" s="876"/>
      <c r="B15" s="704" t="s">
        <v>634</v>
      </c>
    </row>
    <row r="16" spans="1:2" ht="38.25">
      <c r="A16" s="876"/>
      <c r="B16" s="704" t="s">
        <v>635</v>
      </c>
    </row>
    <row r="17" spans="1:2">
      <c r="A17" s="876"/>
      <c r="B17" s="704" t="s">
        <v>636</v>
      </c>
    </row>
    <row r="18" spans="1:2">
      <c r="A18" s="876"/>
      <c r="B18" s="704" t="s">
        <v>637</v>
      </c>
    </row>
    <row r="19" spans="1:2">
      <c r="A19" s="876"/>
      <c r="B19" s="704" t="s">
        <v>638</v>
      </c>
    </row>
    <row r="20" spans="1:2">
      <c r="A20" s="876"/>
      <c r="B20" s="704" t="s">
        <v>639</v>
      </c>
    </row>
    <row r="21" spans="1:2">
      <c r="A21" s="876"/>
      <c r="B21" s="704" t="s">
        <v>640</v>
      </c>
    </row>
    <row r="22" spans="1:2" ht="25.5">
      <c r="A22" s="876"/>
      <c r="B22" s="704" t="s">
        <v>649</v>
      </c>
    </row>
    <row r="23" spans="1:2">
      <c r="A23" s="876"/>
      <c r="B23" s="704" t="s">
        <v>641</v>
      </c>
    </row>
    <row r="24" spans="1:2">
      <c r="A24" s="876"/>
      <c r="B24" s="704"/>
    </row>
    <row r="25" spans="1:2" ht="25.5">
      <c r="A25" s="876"/>
      <c r="B25" s="704" t="s">
        <v>642</v>
      </c>
    </row>
    <row r="26" spans="1:2">
      <c r="A26" s="876"/>
      <c r="B26" s="704"/>
    </row>
    <row r="27" spans="1:2">
      <c r="A27" s="876"/>
      <c r="B27" s="704" t="s">
        <v>643</v>
      </c>
    </row>
    <row r="28" spans="1:2">
      <c r="A28" s="876"/>
      <c r="B28" s="704" t="s">
        <v>644</v>
      </c>
    </row>
    <row r="29" spans="1:2">
      <c r="A29" s="876"/>
      <c r="B29" s="704"/>
    </row>
    <row r="30" spans="1:2">
      <c r="A30" s="876"/>
      <c r="B30" s="705" t="s">
        <v>646</v>
      </c>
    </row>
    <row r="31" spans="1:2" ht="13.5" thickBot="1">
      <c r="A31" s="877"/>
      <c r="B31" s="706"/>
    </row>
    <row r="33" spans="1:2" ht="13.5" thickBot="1"/>
    <row r="34" spans="1:2">
      <c r="A34" s="875"/>
      <c r="B34" s="702"/>
    </row>
    <row r="35" spans="1:2">
      <c r="A35" s="876"/>
      <c r="B35" s="703" t="s">
        <v>650</v>
      </c>
    </row>
    <row r="36" spans="1:2">
      <c r="A36" s="876"/>
      <c r="B36" s="704" t="s">
        <v>651</v>
      </c>
    </row>
    <row r="37" spans="1:2">
      <c r="A37" s="876"/>
      <c r="B37" s="704" t="s">
        <v>652</v>
      </c>
    </row>
    <row r="38" spans="1:2">
      <c r="A38" s="876"/>
      <c r="B38" s="704"/>
    </row>
    <row r="39" spans="1:2">
      <c r="A39" s="876"/>
      <c r="B39" s="705" t="s">
        <v>654</v>
      </c>
    </row>
    <row r="40" spans="1:2" ht="13.5" thickBot="1">
      <c r="A40" s="877"/>
      <c r="B40" s="706"/>
    </row>
    <row r="42" spans="1:2" ht="13.5" thickBot="1"/>
    <row r="43" spans="1:2">
      <c r="A43" s="875"/>
      <c r="B43" s="702"/>
    </row>
    <row r="44" spans="1:2">
      <c r="A44" s="876"/>
      <c r="B44" s="703" t="s">
        <v>655</v>
      </c>
    </row>
    <row r="45" spans="1:2">
      <c r="A45" s="876"/>
      <c r="B45" s="704" t="s">
        <v>656</v>
      </c>
    </row>
    <row r="46" spans="1:2">
      <c r="A46" s="876"/>
      <c r="B46" s="704"/>
    </row>
    <row r="47" spans="1:2">
      <c r="A47" s="876"/>
      <c r="B47" s="705" t="s">
        <v>654</v>
      </c>
    </row>
    <row r="48" spans="1:2" ht="13.5" thickBot="1">
      <c r="A48" s="877"/>
      <c r="B48" s="706"/>
    </row>
    <row r="50" spans="1:2" ht="13.5" thickBot="1"/>
    <row r="51" spans="1:2">
      <c r="A51" s="875"/>
      <c r="B51" s="702"/>
    </row>
    <row r="52" spans="1:2">
      <c r="A52" s="876"/>
      <c r="B52" s="703" t="s">
        <v>658</v>
      </c>
    </row>
    <row r="53" spans="1:2" ht="25.5">
      <c r="A53" s="876"/>
      <c r="B53" s="704" t="s">
        <v>659</v>
      </c>
    </row>
    <row r="54" spans="1:2">
      <c r="A54" s="876"/>
      <c r="B54" s="704"/>
    </row>
    <row r="55" spans="1:2">
      <c r="A55" s="876"/>
      <c r="B55" s="704" t="s">
        <v>660</v>
      </c>
    </row>
    <row r="56" spans="1:2">
      <c r="A56" s="876"/>
      <c r="B56" s="704"/>
    </row>
    <row r="57" spans="1:2">
      <c r="A57" s="876"/>
      <c r="B57" s="703" t="s">
        <v>661</v>
      </c>
    </row>
    <row r="58" spans="1:2">
      <c r="A58" s="876"/>
      <c r="B58" s="704"/>
    </row>
    <row r="59" spans="1:2">
      <c r="A59" s="876"/>
      <c r="B59" s="705" t="s">
        <v>654</v>
      </c>
    </row>
    <row r="60" spans="1:2" ht="13.5" thickBot="1">
      <c r="A60" s="877"/>
      <c r="B60" s="706"/>
    </row>
    <row r="62" spans="1:2" ht="13.5" thickBot="1"/>
    <row r="63" spans="1:2">
      <c r="A63" s="875"/>
      <c r="B63" s="702"/>
    </row>
    <row r="64" spans="1:2">
      <c r="A64" s="876"/>
      <c r="B64" s="703" t="s">
        <v>665</v>
      </c>
    </row>
    <row r="65" spans="1:2">
      <c r="A65" s="876"/>
      <c r="B65" s="704" t="s">
        <v>663</v>
      </c>
    </row>
    <row r="66" spans="1:2">
      <c r="A66" s="876"/>
      <c r="B66" s="704"/>
    </row>
    <row r="67" spans="1:2">
      <c r="A67" s="876"/>
      <c r="B67" s="704" t="s">
        <v>666</v>
      </c>
    </row>
    <row r="68" spans="1:2">
      <c r="A68" s="876"/>
      <c r="B68" s="704"/>
    </row>
    <row r="69" spans="1:2">
      <c r="A69" s="876"/>
      <c r="B69" s="703" t="s">
        <v>664</v>
      </c>
    </row>
    <row r="70" spans="1:2">
      <c r="A70" s="876"/>
      <c r="B70" s="704"/>
    </row>
    <row r="71" spans="1:2">
      <c r="A71" s="876"/>
      <c r="B71" s="705" t="s">
        <v>654</v>
      </c>
    </row>
    <row r="72" spans="1:2" ht="13.5" thickBot="1">
      <c r="A72" s="877"/>
      <c r="B72" s="706"/>
    </row>
    <row r="74" spans="1:2" ht="13.5" thickBot="1"/>
    <row r="75" spans="1:2">
      <c r="A75" s="875"/>
      <c r="B75" s="702"/>
    </row>
    <row r="76" spans="1:2">
      <c r="A76" s="876"/>
      <c r="B76" s="703" t="s">
        <v>668</v>
      </c>
    </row>
    <row r="77" spans="1:2">
      <c r="A77" s="876"/>
      <c r="B77" s="704" t="s">
        <v>669</v>
      </c>
    </row>
    <row r="78" spans="1:2">
      <c r="A78" s="876"/>
      <c r="B78" s="704"/>
    </row>
    <row r="79" spans="1:2">
      <c r="A79" s="876"/>
      <c r="B79" s="705" t="s">
        <v>654</v>
      </c>
    </row>
    <row r="80" spans="1:2" ht="13.5" thickBot="1">
      <c r="A80" s="877"/>
      <c r="B80" s="706"/>
    </row>
    <row r="82" spans="1:2" ht="13.5" thickBot="1"/>
    <row r="83" spans="1:2">
      <c r="A83" s="875"/>
      <c r="B83" s="702"/>
    </row>
    <row r="84" spans="1:2">
      <c r="A84" s="876"/>
      <c r="B84" s="703" t="s">
        <v>671</v>
      </c>
    </row>
    <row r="85" spans="1:2">
      <c r="A85" s="876"/>
      <c r="B85" s="704" t="s">
        <v>672</v>
      </c>
    </row>
    <row r="86" spans="1:2">
      <c r="A86" s="876"/>
      <c r="B86" s="704" t="s">
        <v>673</v>
      </c>
    </row>
    <row r="87" spans="1:2">
      <c r="A87" s="876"/>
      <c r="B87" s="704" t="s">
        <v>674</v>
      </c>
    </row>
    <row r="88" spans="1:2">
      <c r="A88" s="876"/>
      <c r="B88" s="704"/>
    </row>
    <row r="89" spans="1:2">
      <c r="A89" s="876"/>
      <c r="B89" s="705" t="s">
        <v>654</v>
      </c>
    </row>
    <row r="90" spans="1:2" ht="13.5" thickBot="1">
      <c r="A90" s="877"/>
      <c r="B90" s="706"/>
    </row>
    <row r="92" spans="1:2" ht="13.5" thickBot="1"/>
    <row r="93" spans="1:2">
      <c r="A93" s="875"/>
      <c r="B93" s="702"/>
    </row>
    <row r="94" spans="1:2">
      <c r="A94" s="876"/>
      <c r="B94" s="703" t="s">
        <v>675</v>
      </c>
    </row>
    <row r="95" spans="1:2">
      <c r="A95" s="876"/>
      <c r="B95" s="704" t="s">
        <v>676</v>
      </c>
    </row>
    <row r="96" spans="1:2">
      <c r="A96" s="876"/>
      <c r="B96" s="704" t="s">
        <v>677</v>
      </c>
    </row>
    <row r="97" spans="1:2">
      <c r="A97" s="876"/>
      <c r="B97" s="704"/>
    </row>
    <row r="98" spans="1:2">
      <c r="A98" s="876"/>
      <c r="B98" s="705" t="s">
        <v>654</v>
      </c>
    </row>
    <row r="99" spans="1:2" ht="13.5" thickBot="1">
      <c r="A99" s="877"/>
      <c r="B99" s="706"/>
    </row>
    <row r="101" spans="1:2" ht="13.5" thickBot="1"/>
    <row r="102" spans="1:2">
      <c r="A102" s="875"/>
      <c r="B102" s="702"/>
    </row>
    <row r="103" spans="1:2">
      <c r="A103" s="876"/>
      <c r="B103" s="703" t="s">
        <v>678</v>
      </c>
    </row>
    <row r="104" spans="1:2">
      <c r="A104" s="876"/>
      <c r="B104" s="704" t="s">
        <v>679</v>
      </c>
    </row>
    <row r="105" spans="1:2">
      <c r="A105" s="876"/>
      <c r="B105" s="704"/>
    </row>
    <row r="106" spans="1:2">
      <c r="A106" s="876"/>
      <c r="B106" s="705" t="s">
        <v>654</v>
      </c>
    </row>
    <row r="107" spans="1:2" ht="13.5" thickBot="1">
      <c r="A107" s="877"/>
      <c r="B107" s="706"/>
    </row>
  </sheetData>
  <sheetProtection sheet="1" objects="1" scenarios="1"/>
  <mergeCells count="9">
    <mergeCell ref="A83:A90"/>
    <mergeCell ref="A93:A99"/>
    <mergeCell ref="A102:A107"/>
    <mergeCell ref="A1:A31"/>
    <mergeCell ref="A34:A40"/>
    <mergeCell ref="A43:A48"/>
    <mergeCell ref="A51:A60"/>
    <mergeCell ref="A63:A72"/>
    <mergeCell ref="A75:A80"/>
  </mergeCells>
  <hyperlinks>
    <hyperlink ref="B30" location="Smart!A1" display="Click here to go back to the SMART worksheet."/>
    <hyperlink ref="B39" location="Smart!A1" display="Click to return to the SMART worksheet."/>
    <hyperlink ref="B47" location="Smart!A1" display="Click to return to the SMART worksheet."/>
    <hyperlink ref="B59" location="Smart!A1" display="Click to return to the SMART worksheet."/>
    <hyperlink ref="B71" location="Smart!A1" display="Click to return to the SMART worksheet."/>
    <hyperlink ref="B79" location="Smart!A1" display="Click to return to the SMART worksheet."/>
    <hyperlink ref="B89" location="Smart!A1" display="Click to return to the SMART worksheet."/>
    <hyperlink ref="B98" location="Smart!A1" display="Click to return to the SMART worksheet."/>
    <hyperlink ref="B106" location="Smart!A1" display="Click to return to the SMART worksheet."/>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CL255"/>
  <sheetViews>
    <sheetView showRowColHeaders="0" view="pageBreakPreview" topLeftCell="A25" zoomScaleNormal="100" zoomScaleSheetLayoutView="100" workbookViewId="0">
      <selection activeCell="BG50" sqref="BG50"/>
    </sheetView>
  </sheetViews>
  <sheetFormatPr defaultColWidth="10.28515625" defaultRowHeight="14.25"/>
  <cols>
    <col min="1" max="35" width="2.140625" style="188" customWidth="1"/>
    <col min="36" max="38" width="1.85546875" style="188" customWidth="1"/>
    <col min="39" max="41" width="1.42578125" style="188" customWidth="1"/>
    <col min="42" max="42" width="1.85546875" style="188" customWidth="1"/>
    <col min="43" max="45" width="2.28515625" style="188" customWidth="1"/>
    <col min="46" max="46" width="2.140625" style="188" customWidth="1"/>
    <col min="47" max="47" width="0.7109375" style="188" customWidth="1"/>
    <col min="48" max="48" width="2.85546875" style="188" customWidth="1"/>
    <col min="49" max="49" width="2.28515625" style="188" customWidth="1"/>
    <col min="50" max="50" width="2.42578125" style="188" customWidth="1"/>
    <col min="51" max="51" width="1.140625" style="188" customWidth="1"/>
    <col min="52" max="52" width="1.85546875" style="188" customWidth="1"/>
    <col min="53" max="53" width="1.42578125" style="188" customWidth="1"/>
    <col min="54" max="58" width="1.85546875" style="188" customWidth="1"/>
    <col min="59" max="60" width="1.85546875" style="30" customWidth="1"/>
    <col min="61" max="61" width="1.42578125" style="30" customWidth="1"/>
    <col min="62" max="62" width="5.7109375" style="30" customWidth="1"/>
    <col min="63" max="66" width="12.7109375" style="30" customWidth="1"/>
    <col min="67" max="67" width="2.7109375" style="188" customWidth="1"/>
    <col min="68" max="68" width="10.7109375" style="265" customWidth="1"/>
    <col min="69" max="69" width="12.7109375" style="265" customWidth="1"/>
    <col min="70" max="72" width="12.7109375" style="188" customWidth="1"/>
    <col min="73" max="73" width="3.5703125" style="188" customWidth="1"/>
    <col min="74" max="75" width="10.7109375" style="40" customWidth="1"/>
    <col min="76" max="77" width="10.7109375" style="30" customWidth="1"/>
    <col min="78" max="80" width="14.42578125" style="30" customWidth="1"/>
    <col min="81" max="81" width="10.28515625" style="30" customWidth="1"/>
    <col min="82" max="16384" width="10.28515625" style="188"/>
  </cols>
  <sheetData>
    <row r="1" spans="1:90" s="187" customFormat="1" ht="18" customHeight="1">
      <c r="A1" s="920" t="str">
        <f>AL27&amp;"-"&amp;AR38</f>
        <v>S080D-25</v>
      </c>
      <c r="B1" s="920"/>
      <c r="C1" s="920"/>
      <c r="D1" s="920"/>
      <c r="E1" s="183"/>
      <c r="F1" s="183"/>
      <c r="G1" s="183"/>
      <c r="H1" s="183"/>
      <c r="I1" s="183"/>
      <c r="J1" s="183"/>
      <c r="K1" s="183"/>
      <c r="L1" s="183"/>
      <c r="M1" s="183"/>
      <c r="N1" s="183"/>
      <c r="O1" s="183"/>
      <c r="P1" s="183"/>
      <c r="Q1" s="183"/>
      <c r="R1" s="183"/>
      <c r="S1" s="183"/>
      <c r="T1" s="183"/>
      <c r="U1" s="183"/>
      <c r="V1" s="183"/>
      <c r="W1" s="183"/>
      <c r="X1" s="183"/>
      <c r="Y1" s="183"/>
      <c r="Z1" s="184"/>
      <c r="AA1" s="183"/>
      <c r="AB1" s="183"/>
      <c r="AC1" s="183"/>
      <c r="AD1" s="183"/>
      <c r="AE1" s="183"/>
      <c r="AF1" s="183"/>
      <c r="AG1" s="183"/>
      <c r="AH1" s="183"/>
      <c r="AI1" s="184"/>
      <c r="AJ1" s="183"/>
      <c r="AK1" s="183"/>
      <c r="AL1" s="183"/>
      <c r="AM1" s="183"/>
      <c r="AN1" s="183"/>
      <c r="AO1" s="183"/>
      <c r="AP1" s="183"/>
      <c r="AQ1" s="183"/>
      <c r="AR1" s="183"/>
      <c r="AS1" s="183"/>
      <c r="AT1" s="183"/>
      <c r="AU1" s="183"/>
      <c r="AV1" s="183"/>
      <c r="AW1" s="183"/>
      <c r="AX1" s="183"/>
      <c r="AY1" s="183"/>
      <c r="AZ1" s="185"/>
      <c r="BA1" s="185"/>
      <c r="BB1" s="185"/>
      <c r="BC1" s="185"/>
      <c r="BD1" s="185"/>
      <c r="BE1" s="185"/>
      <c r="BF1" s="186"/>
      <c r="BG1" s="186"/>
      <c r="BH1" s="37" t="s">
        <v>166</v>
      </c>
      <c r="BI1" s="37">
        <f>HLOOKUP($AL$27,Spec_Sheet!F3:CJ37,31,FALSE)</f>
        <v>28</v>
      </c>
      <c r="BJ1" s="942" t="str">
        <f>M26</f>
        <v>S080D-25</v>
      </c>
      <c r="BK1" s="943"/>
      <c r="BL1" s="943"/>
      <c r="BM1" s="943"/>
      <c r="BN1" s="943"/>
      <c r="BO1" s="183"/>
      <c r="BP1" s="936" t="str">
        <f>IF(Smart!B26="",IF(Smart!B25="",IF(Smart!B27="",IF(Smart!B28="",IF(Smart!B24="","","Stroke too Long"),"Motor gets too Hot"),"Need more Voltage"),"Will not Handle Peak"),"Will not Handle RMS")&amp;IF(Smart!Y29="X"," Acceleration time ","")&amp;IF(AND(Smart!Y29="X",Smart!Z29="x"),"and ","")&amp;IF(Smart!Z29="x","Deceleration time ","")&amp;IF(OR(Smart!Y29="X",Smart!Z29="x"),"is to short!","")</f>
        <v/>
      </c>
      <c r="BQ1" s="937"/>
      <c r="BR1" s="937"/>
      <c r="BS1" s="937"/>
      <c r="BT1" s="937"/>
      <c r="BU1" s="937"/>
      <c r="BV1" s="183"/>
      <c r="BW1" s="183"/>
      <c r="BX1" s="183"/>
      <c r="BY1" s="29"/>
      <c r="BZ1" s="29"/>
      <c r="CA1" s="29"/>
      <c r="CB1" s="29"/>
      <c r="CC1" s="29"/>
    </row>
    <row r="2" spans="1:90" s="187" customFormat="1" ht="10.5" customHeight="1">
      <c r="A2" s="920"/>
      <c r="B2" s="920"/>
      <c r="C2" s="920"/>
      <c r="D2" s="920"/>
      <c r="E2" s="183"/>
      <c r="F2" s="183"/>
      <c r="G2" s="183"/>
      <c r="H2" s="183"/>
      <c r="I2" s="183"/>
      <c r="J2" s="183"/>
      <c r="K2" s="183"/>
      <c r="L2" s="183"/>
      <c r="M2" s="183"/>
      <c r="N2" s="183"/>
      <c r="O2" s="183"/>
      <c r="P2" s="183"/>
      <c r="Q2" s="183"/>
      <c r="R2" s="183"/>
      <c r="S2" s="183"/>
      <c r="T2" s="183"/>
      <c r="U2" s="183"/>
      <c r="V2" s="915">
        <f>AD3+(AZ3*2)</f>
        <v>85</v>
      </c>
      <c r="W2" s="923"/>
      <c r="X2" s="923"/>
      <c r="Y2" s="183"/>
      <c r="Z2" s="183"/>
      <c r="AA2" s="183"/>
      <c r="AB2" s="183"/>
      <c r="AC2" s="183"/>
      <c r="AD2" s="183"/>
      <c r="AE2" s="183"/>
      <c r="AF2" s="183"/>
      <c r="AG2" s="183"/>
      <c r="AH2" s="183"/>
      <c r="AI2" s="183"/>
      <c r="AJ2" s="183"/>
      <c r="AK2" s="183"/>
      <c r="AL2" s="183"/>
      <c r="AM2" s="183"/>
      <c r="AN2" s="183"/>
      <c r="AO2" s="183"/>
      <c r="AP2" s="183"/>
      <c r="AQ2" s="183"/>
      <c r="AR2" s="183"/>
      <c r="AS2" s="183"/>
      <c r="AT2" s="183"/>
      <c r="AU2" s="183"/>
      <c r="AV2" s="183"/>
      <c r="AW2" s="183"/>
      <c r="AX2" s="183"/>
      <c r="AY2" s="183"/>
      <c r="AZ2" s="183"/>
      <c r="BA2" s="183"/>
      <c r="BB2" s="183"/>
      <c r="BC2" s="185"/>
      <c r="BD2" s="185"/>
      <c r="BE2" s="185"/>
      <c r="BF2" s="186"/>
      <c r="BG2" s="186"/>
      <c r="BH2" s="37" t="s">
        <v>167</v>
      </c>
      <c r="BI2" s="37">
        <f>HLOOKUP($AL$27,Spec_Sheet!F3:CJ37,29,FALSE)</f>
        <v>1430</v>
      </c>
      <c r="BJ2" s="943"/>
      <c r="BK2" s="943"/>
      <c r="BL2" s="943"/>
      <c r="BM2" s="943"/>
      <c r="BN2" s="943"/>
      <c r="BO2" s="183"/>
      <c r="BP2" s="937"/>
      <c r="BQ2" s="937"/>
      <c r="BR2" s="937"/>
      <c r="BS2" s="937"/>
      <c r="BT2" s="937"/>
      <c r="BU2" s="937"/>
      <c r="BV2" s="183"/>
      <c r="BW2" s="183"/>
      <c r="BX2" s="183"/>
      <c r="BY2" s="30"/>
      <c r="BZ2" s="29"/>
      <c r="CA2" s="29"/>
      <c r="CB2" s="30"/>
      <c r="CC2" s="29"/>
      <c r="CF2" s="188"/>
      <c r="CG2" s="188"/>
      <c r="CH2" s="188"/>
      <c r="CI2" s="188"/>
      <c r="CJ2" s="188"/>
    </row>
    <row r="3" spans="1:90" s="187" customFormat="1" ht="11.25" customHeight="1">
      <c r="A3" s="920"/>
      <c r="B3" s="920"/>
      <c r="C3" s="920"/>
      <c r="D3" s="920"/>
      <c r="E3" s="183"/>
      <c r="F3" s="183"/>
      <c r="G3" s="183"/>
      <c r="H3" s="183"/>
      <c r="I3" s="183"/>
      <c r="J3" s="183"/>
      <c r="K3" s="183"/>
      <c r="L3" s="183"/>
      <c r="M3" s="183"/>
      <c r="N3" s="183"/>
      <c r="O3" s="183"/>
      <c r="P3" s="183"/>
      <c r="Q3" s="183"/>
      <c r="R3" s="183"/>
      <c r="S3" s="183"/>
      <c r="T3" s="183"/>
      <c r="U3" s="183"/>
      <c r="V3" s="183"/>
      <c r="W3" s="183"/>
      <c r="X3" s="183"/>
      <c r="Y3" s="183"/>
      <c r="Z3" s="183"/>
      <c r="AA3" s="183"/>
      <c r="AB3" s="183"/>
      <c r="AC3" s="183"/>
      <c r="AD3" s="924">
        <f>W4+AR38</f>
        <v>65</v>
      </c>
      <c r="AE3" s="925"/>
      <c r="AF3" s="925"/>
      <c r="AG3" s="183"/>
      <c r="AH3" s="183"/>
      <c r="AI3" s="183"/>
      <c r="AJ3" s="183"/>
      <c r="AK3" s="183"/>
      <c r="AL3" s="183"/>
      <c r="AM3" s="183"/>
      <c r="AN3" s="183"/>
      <c r="AO3" s="183"/>
      <c r="AP3" s="183"/>
      <c r="AQ3" s="183"/>
      <c r="AR3" s="183"/>
      <c r="AS3" s="183"/>
      <c r="AT3" s="183"/>
      <c r="AU3" s="183"/>
      <c r="AV3" s="183"/>
      <c r="AW3" s="183"/>
      <c r="AX3" s="183"/>
      <c r="AY3" s="183"/>
      <c r="AZ3" s="910">
        <f>AR41</f>
        <v>10</v>
      </c>
      <c r="BA3" s="910"/>
      <c r="BB3" s="911"/>
      <c r="BC3" s="183"/>
      <c r="BD3" s="185"/>
      <c r="BE3" s="185"/>
      <c r="BF3" s="186"/>
      <c r="BG3" s="186"/>
      <c r="BH3" s="37" t="s">
        <v>168</v>
      </c>
      <c r="BI3" s="37">
        <f>HLOOKUP($AL$27,Spec_Sheet!F3:CJ37,30,FALSE)</f>
        <v>5</v>
      </c>
      <c r="BJ3" s="189"/>
      <c r="BK3" s="190" t="str">
        <f>IF(M35&gt;=AR38,"Caution!!  Stroke not Longer then Magnetic Pitch","")</f>
        <v>Caution!!  Stroke not Longer then Magnetic Pitch</v>
      </c>
      <c r="BL3" s="189"/>
      <c r="BM3" s="189"/>
      <c r="BN3" s="189"/>
      <c r="BO3" s="183"/>
      <c r="BP3" s="191"/>
      <c r="BQ3" s="191"/>
      <c r="BR3" s="183"/>
      <c r="BS3" s="40"/>
      <c r="BT3" s="183"/>
      <c r="BU3" s="183"/>
      <c r="BV3" s="183"/>
      <c r="BW3" s="183"/>
      <c r="BX3" s="183"/>
      <c r="BY3" s="30"/>
      <c r="BZ3" s="29"/>
      <c r="CA3" s="29"/>
      <c r="CB3" s="30"/>
      <c r="CC3" s="29"/>
      <c r="CF3" s="188"/>
      <c r="CG3" s="188"/>
      <c r="CH3" s="188"/>
      <c r="CI3" s="188"/>
      <c r="CJ3" s="188"/>
    </row>
    <row r="4" spans="1:90" s="187" customFormat="1" ht="12" customHeight="1">
      <c r="A4" s="920"/>
      <c r="B4" s="920"/>
      <c r="C4" s="920"/>
      <c r="D4" s="920"/>
      <c r="E4" s="183"/>
      <c r="F4" s="183"/>
      <c r="G4" s="183"/>
      <c r="H4" s="183"/>
      <c r="I4" s="183"/>
      <c r="J4" s="183"/>
      <c r="K4" s="183"/>
      <c r="L4" s="183"/>
      <c r="M4" s="183"/>
      <c r="N4" s="183"/>
      <c r="O4" s="183"/>
      <c r="P4" s="910">
        <f>AZ3</f>
        <v>10</v>
      </c>
      <c r="Q4" s="910"/>
      <c r="R4" s="911"/>
      <c r="S4" s="183"/>
      <c r="T4" s="183"/>
      <c r="U4" s="183"/>
      <c r="V4" s="183"/>
      <c r="W4" s="914">
        <f>AR28</f>
        <v>40</v>
      </c>
      <c r="X4" s="914"/>
      <c r="Y4" s="183"/>
      <c r="Z4" s="183"/>
      <c r="AA4" s="183"/>
      <c r="AB4" s="183"/>
      <c r="AC4" s="183"/>
      <c r="AD4" s="183"/>
      <c r="AE4" s="910">
        <f>AR38</f>
        <v>25</v>
      </c>
      <c r="AF4" s="910"/>
      <c r="AG4" s="910"/>
      <c r="AH4" s="910"/>
      <c r="AI4" s="910"/>
      <c r="AJ4" s="517"/>
      <c r="AK4" s="183"/>
      <c r="AL4" s="923"/>
      <c r="AM4" s="923"/>
      <c r="AN4" s="183"/>
      <c r="AO4" s="183"/>
      <c r="AP4" s="183"/>
      <c r="AQ4" s="183"/>
      <c r="AR4" s="183"/>
      <c r="AS4" s="183"/>
      <c r="AT4" s="183"/>
      <c r="AU4" s="183"/>
      <c r="AV4" s="183"/>
      <c r="AW4" s="183"/>
      <c r="AX4" s="183"/>
      <c r="AY4" s="183"/>
      <c r="AZ4" s="185"/>
      <c r="BA4" s="185"/>
      <c r="BB4" s="185"/>
      <c r="BC4" s="185"/>
      <c r="BD4" s="185"/>
      <c r="BE4" s="185"/>
      <c r="BF4" s="186"/>
      <c r="BG4" s="186"/>
      <c r="BH4" s="37" t="s">
        <v>169</v>
      </c>
      <c r="BI4" s="37">
        <f>HLOOKUP($AL$27,Spec_Sheet!F3:CJ37,32,FALSE)</f>
        <v>4</v>
      </c>
      <c r="BJ4" s="938" t="s">
        <v>270</v>
      </c>
      <c r="BK4" s="937"/>
      <c r="BL4" s="937"/>
      <c r="BM4" s="937"/>
      <c r="BN4" s="937"/>
      <c r="BO4" s="192"/>
      <c r="BP4" s="193" t="s">
        <v>271</v>
      </c>
      <c r="BQ4" s="183"/>
      <c r="BR4" s="183"/>
      <c r="BS4" s="183"/>
      <c r="BT4" s="183"/>
      <c r="BU4" s="183"/>
      <c r="BV4" s="183"/>
      <c r="BW4" s="183"/>
      <c r="BX4" s="183"/>
      <c r="BY4" s="30"/>
      <c r="BZ4" s="29"/>
      <c r="CA4" s="30"/>
      <c r="CB4" s="30"/>
      <c r="CC4" s="30"/>
      <c r="CD4" s="188"/>
      <c r="CE4" s="188"/>
      <c r="CF4" s="188"/>
      <c r="CG4" s="188"/>
      <c r="CH4" s="188"/>
      <c r="CI4" s="188"/>
      <c r="CJ4" s="188"/>
    </row>
    <row r="5" spans="1:90" s="187" customFormat="1" ht="11.25" customHeight="1">
      <c r="A5" s="920"/>
      <c r="B5" s="920"/>
      <c r="C5" s="920"/>
      <c r="D5" s="920"/>
      <c r="E5" s="183" t="s">
        <v>417</v>
      </c>
      <c r="F5" s="183"/>
      <c r="G5" s="183"/>
      <c r="H5" s="183"/>
      <c r="I5" s="183"/>
      <c r="J5" s="183"/>
      <c r="K5" s="183"/>
      <c r="L5" s="183"/>
      <c r="M5" s="183"/>
      <c r="N5" s="183"/>
      <c r="O5" s="183"/>
      <c r="P5" s="183"/>
      <c r="Q5" s="183"/>
      <c r="R5" s="183"/>
      <c r="S5" s="183"/>
      <c r="T5" s="183"/>
      <c r="U5" s="183"/>
      <c r="V5" s="183"/>
      <c r="W5" s="914">
        <f>AR31</f>
        <v>34</v>
      </c>
      <c r="X5" s="914"/>
      <c r="Y5" s="183"/>
      <c r="Z5" s="183"/>
      <c r="AA5" s="183"/>
      <c r="AB5" s="183"/>
      <c r="AC5" s="183"/>
      <c r="AD5" s="183"/>
      <c r="AE5" s="183"/>
      <c r="AF5" s="183"/>
      <c r="AG5" s="183"/>
      <c r="AH5" s="183"/>
      <c r="AI5" s="183"/>
      <c r="AJ5" s="183"/>
      <c r="AK5" s="183"/>
      <c r="AL5" s="183"/>
      <c r="AM5" s="183"/>
      <c r="AN5" s="183"/>
      <c r="AO5" s="183"/>
      <c r="AP5" s="183"/>
      <c r="AQ5" s="183"/>
      <c r="AR5" s="183"/>
      <c r="AS5" s="183"/>
      <c r="AT5" s="183"/>
      <c r="AU5" s="183"/>
      <c r="AV5" s="183"/>
      <c r="AW5" s="183"/>
      <c r="AX5" s="183"/>
      <c r="AY5" s="183"/>
      <c r="AZ5" s="185"/>
      <c r="BA5" s="185"/>
      <c r="BB5" s="185"/>
      <c r="BC5" s="185"/>
      <c r="BD5" s="185"/>
      <c r="BE5" s="185"/>
      <c r="BF5" s="186"/>
      <c r="BG5" s="186"/>
      <c r="BH5" s="37" t="s">
        <v>170</v>
      </c>
      <c r="BI5" s="37">
        <f>HLOOKUP($AL$27,Spec_Sheet!F3:CJ37,33,FALSE)</f>
        <v>10</v>
      </c>
      <c r="BJ5" s="928" t="s">
        <v>173</v>
      </c>
      <c r="BK5" s="929"/>
      <c r="BL5" s="929"/>
      <c r="BM5" s="195">
        <f>Smart!J5</f>
        <v>400</v>
      </c>
      <c r="BN5" s="195" t="str">
        <f>Smart!L5</f>
        <v>grams</v>
      </c>
      <c r="BO5" s="183"/>
      <c r="BP5" s="928" t="s">
        <v>94</v>
      </c>
      <c r="BQ5" s="929"/>
      <c r="BR5" s="929"/>
      <c r="BS5" s="195">
        <f>Smart!$L$24</f>
        <v>15</v>
      </c>
      <c r="BT5" s="196" t="str">
        <f>Smart!$N$24</f>
        <v>mm</v>
      </c>
      <c r="BU5" s="185"/>
      <c r="BV5" s="183"/>
      <c r="BW5" s="40"/>
      <c r="BX5" s="29"/>
      <c r="BY5" s="29"/>
      <c r="BZ5" s="29"/>
      <c r="CA5" s="30"/>
      <c r="CB5" s="29"/>
      <c r="CC5" s="30"/>
      <c r="CD5" s="188"/>
      <c r="CE5" s="188"/>
      <c r="CF5" s="188"/>
      <c r="CG5" s="188"/>
      <c r="CH5" s="188"/>
      <c r="CI5" s="188"/>
      <c r="CJ5" s="188"/>
      <c r="CK5" s="188"/>
      <c r="CL5" s="188"/>
    </row>
    <row r="6" spans="1:90" s="187" customFormat="1" ht="21" customHeight="1">
      <c r="A6" s="921"/>
      <c r="B6" s="921"/>
      <c r="C6" s="921"/>
      <c r="D6" s="921"/>
      <c r="E6" s="447" t="s">
        <v>419</v>
      </c>
      <c r="F6" s="918" t="str">
        <f>"The bending radious of the motor cable should be "&amp;BI6*BI7&amp;"mm (wire diameter "&amp;BI6&amp;" * "&amp;BI7&amp;") as suggested by the wire manufacturer.  Use supplied connecotr to attach the proper high flex cable as required by your application."</f>
        <v>The bending radious of the motor cable should be 8mm (wire diameter 1 * 8) as suggested by the wire manufacturer.  Use supplied connecotr to attach the proper high flex cable as required by your application.</v>
      </c>
      <c r="G6" s="919"/>
      <c r="H6" s="919"/>
      <c r="I6" s="919"/>
      <c r="J6" s="919"/>
      <c r="K6" s="919"/>
      <c r="L6" s="919"/>
      <c r="M6" s="919"/>
      <c r="N6" s="919"/>
      <c r="O6" s="919"/>
      <c r="P6" s="516"/>
      <c r="Q6" s="183"/>
      <c r="R6" s="183"/>
      <c r="S6" s="183"/>
      <c r="T6" s="183"/>
      <c r="U6" s="183"/>
      <c r="V6" s="183"/>
      <c r="W6" s="183"/>
      <c r="X6" s="183"/>
      <c r="Y6" s="923"/>
      <c r="Z6" s="923"/>
      <c r="AA6" s="917"/>
      <c r="AB6" s="917"/>
      <c r="AC6" s="184"/>
      <c r="AD6" s="183"/>
      <c r="AE6" s="183"/>
      <c r="AF6" s="183"/>
      <c r="AG6" s="183"/>
      <c r="AH6" s="197"/>
      <c r="AI6" s="183"/>
      <c r="AJ6" s="183"/>
      <c r="AK6" s="183"/>
      <c r="AL6" s="183"/>
      <c r="AM6" s="183"/>
      <c r="AN6" s="183"/>
      <c r="AO6" s="183"/>
      <c r="AP6" s="183"/>
      <c r="AQ6" s="183"/>
      <c r="AR6" s="926"/>
      <c r="AS6" s="914"/>
      <c r="AT6" s="932"/>
      <c r="AU6" s="932"/>
      <c r="AV6" s="183"/>
      <c r="AW6" s="183"/>
      <c r="AX6" s="183"/>
      <c r="AY6" s="183"/>
      <c r="AZ6" s="185"/>
      <c r="BA6" s="185"/>
      <c r="BB6" s="185"/>
      <c r="BC6" s="185"/>
      <c r="BD6" s="185"/>
      <c r="BE6" s="185"/>
      <c r="BF6" s="186"/>
      <c r="BG6" s="186"/>
      <c r="BH6" s="37" t="s">
        <v>85</v>
      </c>
      <c r="BI6" s="37">
        <f>HLOOKUP($AL$27,Spec_Sheet!F3:CJ37,34,FALSE)</f>
        <v>1</v>
      </c>
      <c r="BJ6" s="941" t="s">
        <v>172</v>
      </c>
      <c r="BK6" s="929"/>
      <c r="BL6" s="929"/>
      <c r="BM6" s="939" t="str">
        <f>IF(Smart!J6=0,"Horizontal",IF(Smart!J6=90,"Vertical",Smart!J6 &amp; "°"))</f>
        <v>Horizontal</v>
      </c>
      <c r="BN6" s="940"/>
      <c r="BO6" s="183"/>
      <c r="BP6" s="941" t="s">
        <v>265</v>
      </c>
      <c r="BQ6" s="929"/>
      <c r="BR6" s="929"/>
      <c r="BS6" s="199">
        <f>IF(Z156&gt;1,IF(Z156&gt;60,ROUNDUP(Z156/60,1),ROUNDUP(Z156,2)),ROUNDUP(Z156*1000,0))</f>
        <v>40.71</v>
      </c>
      <c r="BT6" s="199" t="str">
        <f>IF(Z156&gt;1,IF(Z156&gt;60,"min","sec"),"msec")</f>
        <v>sec</v>
      </c>
      <c r="BU6" s="189"/>
      <c r="BV6" s="183"/>
      <c r="BW6" s="183"/>
      <c r="BX6" s="29"/>
      <c r="BY6" s="29"/>
      <c r="BZ6" s="29"/>
      <c r="CA6" s="29"/>
      <c r="CB6" s="29"/>
      <c r="CC6" s="29"/>
    </row>
    <row r="7" spans="1:90" s="187" customFormat="1" ht="15" customHeight="1">
      <c r="A7" s="921"/>
      <c r="B7" s="921"/>
      <c r="C7" s="921"/>
      <c r="D7" s="921"/>
      <c r="E7" s="448"/>
      <c r="F7" s="919"/>
      <c r="G7" s="919"/>
      <c r="H7" s="919"/>
      <c r="I7" s="919"/>
      <c r="J7" s="919"/>
      <c r="K7" s="919"/>
      <c r="L7" s="919"/>
      <c r="M7" s="919"/>
      <c r="N7" s="919"/>
      <c r="O7" s="919"/>
      <c r="P7" s="516"/>
      <c r="Q7" s="183"/>
      <c r="R7" s="183"/>
      <c r="S7" s="183"/>
      <c r="T7" s="183"/>
      <c r="U7" s="183"/>
      <c r="V7" s="183"/>
      <c r="W7" s="183"/>
      <c r="X7" s="183"/>
      <c r="Y7" s="183"/>
      <c r="Z7" s="183"/>
      <c r="AA7" s="183"/>
      <c r="AB7" s="183"/>
      <c r="AC7" s="183"/>
      <c r="AD7" s="183"/>
      <c r="AE7" s="183"/>
      <c r="AF7" s="183"/>
      <c r="AG7" s="183"/>
      <c r="AH7" s="183"/>
      <c r="AI7" s="183"/>
      <c r="AJ7" s="183"/>
      <c r="AK7" s="183"/>
      <c r="AL7" s="183"/>
      <c r="AM7" s="183"/>
      <c r="AN7" s="183"/>
      <c r="AO7" s="183"/>
      <c r="AP7" s="183"/>
      <c r="AQ7" s="183"/>
      <c r="AR7" s="183"/>
      <c r="AS7" s="183"/>
      <c r="AT7" s="183"/>
      <c r="AU7" s="183"/>
      <c r="AV7" s="183"/>
      <c r="AW7" s="183"/>
      <c r="AX7" s="183"/>
      <c r="AY7" s="183"/>
      <c r="AZ7" s="185"/>
      <c r="BA7" s="185"/>
      <c r="BB7" s="185"/>
      <c r="BC7" s="185"/>
      <c r="BD7" s="185"/>
      <c r="BE7" s="185"/>
      <c r="BF7" s="186"/>
      <c r="BG7" s="186"/>
      <c r="BH7" s="37" t="s">
        <v>171</v>
      </c>
      <c r="BI7" s="37">
        <f>HLOOKUP($AL$27,Spec_Sheet!F3:CJ37,35,FALSE)</f>
        <v>8</v>
      </c>
      <c r="BJ7" s="928" t="s">
        <v>174</v>
      </c>
      <c r="BK7" s="929"/>
      <c r="BL7" s="929"/>
      <c r="BM7" s="933">
        <f>Smart!O7</f>
        <v>0.1</v>
      </c>
      <c r="BN7" s="934"/>
      <c r="BO7" s="183"/>
      <c r="BP7" s="928" t="s">
        <v>264</v>
      </c>
      <c r="BQ7" s="929"/>
      <c r="BR7" s="929"/>
      <c r="BS7" s="200" t="str">
        <f>LEFT((Smart!F39/Smart!D39)*100,4)</f>
        <v>-22.</v>
      </c>
      <c r="BT7" s="195" t="s">
        <v>191</v>
      </c>
      <c r="BU7" s="185"/>
      <c r="BV7" s="183"/>
      <c r="BW7" s="183"/>
      <c r="BX7" s="29"/>
      <c r="BY7" s="29"/>
      <c r="BZ7" s="29"/>
      <c r="CA7" s="29"/>
      <c r="CB7" s="29"/>
      <c r="CC7" s="29"/>
    </row>
    <row r="8" spans="1:90" s="187" customFormat="1" ht="15" customHeight="1">
      <c r="A8" s="921"/>
      <c r="B8" s="921"/>
      <c r="C8" s="921"/>
      <c r="D8" s="921"/>
      <c r="E8" s="448"/>
      <c r="F8" s="919"/>
      <c r="G8" s="919"/>
      <c r="H8" s="919"/>
      <c r="I8" s="919"/>
      <c r="J8" s="919"/>
      <c r="K8" s="919"/>
      <c r="L8" s="919"/>
      <c r="M8" s="919"/>
      <c r="N8" s="919"/>
      <c r="O8" s="919"/>
      <c r="P8" s="516"/>
      <c r="Q8" s="183"/>
      <c r="R8" s="183"/>
      <c r="S8" s="183"/>
      <c r="T8" s="183"/>
      <c r="U8" s="183"/>
      <c r="V8" s="183"/>
      <c r="W8" s="183"/>
      <c r="X8" s="183"/>
      <c r="Y8" s="183"/>
      <c r="Z8" s="183"/>
      <c r="AA8" s="183"/>
      <c r="AB8" s="183"/>
      <c r="AC8" s="183"/>
      <c r="AD8" s="183"/>
      <c r="AE8" s="183"/>
      <c r="AF8" s="183"/>
      <c r="AG8" s="183"/>
      <c r="AH8" s="183"/>
      <c r="AI8" s="183"/>
      <c r="AJ8" s="183"/>
      <c r="AK8" s="183"/>
      <c r="AL8" s="183"/>
      <c r="AM8" s="917"/>
      <c r="AN8" s="917"/>
      <c r="AO8" s="201"/>
      <c r="AP8" s="183"/>
      <c r="AQ8" s="183"/>
      <c r="AR8" s="183"/>
      <c r="AS8" s="183"/>
      <c r="AT8" s="183"/>
      <c r="AU8" s="183"/>
      <c r="AV8" s="183"/>
      <c r="AW8" s="183"/>
      <c r="AX8" s="183"/>
      <c r="AY8" s="183"/>
      <c r="AZ8" s="185"/>
      <c r="BA8" s="185"/>
      <c r="BB8" s="185"/>
      <c r="BC8" s="185"/>
      <c r="BD8" s="185"/>
      <c r="BE8" s="185"/>
      <c r="BF8" s="185"/>
      <c r="BG8" s="185"/>
      <c r="BH8" s="185"/>
      <c r="BI8" s="185"/>
      <c r="BJ8" s="941" t="s">
        <v>186</v>
      </c>
      <c r="BK8" s="929"/>
      <c r="BL8" s="929"/>
      <c r="BM8" s="199">
        <f>Smart!J8</f>
        <v>0</v>
      </c>
      <c r="BN8" s="199">
        <f>Smart!L8</f>
        <v>0</v>
      </c>
      <c r="BO8" s="183"/>
      <c r="BP8" s="941" t="s">
        <v>269</v>
      </c>
      <c r="BQ8" s="929"/>
      <c r="BR8" s="929"/>
      <c r="BS8" s="199">
        <f>IF(Smart!AC32&gt;1000,ROUNDUP(Smart!AC32/1000,1),IF(Smart!AC32&lt;1,ROUNDUP(Smart!AC32*1000,1),ROUNDUP(Smart!AC32,1)))</f>
        <v>3</v>
      </c>
      <c r="BT8" s="199" t="str">
        <f>IF(Smart!AC32&gt;1000,"m/sec",IF(Smart!AC32&lt;1,"µm/sec","mm/sec"))</f>
        <v>mm/sec</v>
      </c>
      <c r="BU8" s="189"/>
      <c r="BV8" s="183"/>
      <c r="BW8" s="183"/>
      <c r="BX8" s="29"/>
      <c r="BY8" s="29"/>
      <c r="BZ8" s="29"/>
      <c r="CA8" s="29"/>
      <c r="CB8" s="29"/>
      <c r="CC8" s="29"/>
    </row>
    <row r="9" spans="1:90" s="187" customFormat="1" ht="21" customHeight="1">
      <c r="A9" s="921"/>
      <c r="B9" s="921"/>
      <c r="C9" s="921"/>
      <c r="D9" s="921"/>
      <c r="E9" s="448"/>
      <c r="F9" s="919"/>
      <c r="G9" s="919"/>
      <c r="H9" s="919"/>
      <c r="I9" s="919"/>
      <c r="J9" s="919"/>
      <c r="K9" s="919"/>
      <c r="L9" s="919"/>
      <c r="M9" s="919"/>
      <c r="N9" s="919"/>
      <c r="O9" s="919"/>
      <c r="P9" s="516"/>
      <c r="Q9" s="183"/>
      <c r="R9" s="183"/>
      <c r="S9" s="183"/>
      <c r="T9" s="183"/>
      <c r="U9" s="183"/>
      <c r="V9" s="183"/>
      <c r="W9" s="183"/>
      <c r="X9" s="183"/>
      <c r="Y9" s="183"/>
      <c r="Z9" s="183"/>
      <c r="AA9" s="183"/>
      <c r="AB9" s="183"/>
      <c r="AC9" s="183"/>
      <c r="AD9" s="183"/>
      <c r="AE9" s="183"/>
      <c r="AF9" s="916"/>
      <c r="AG9" s="916"/>
      <c r="AH9" s="183"/>
      <c r="AI9" s="183"/>
      <c r="AJ9" s="183"/>
      <c r="AK9" s="183"/>
      <c r="AL9" s="183"/>
      <c r="AM9" s="183"/>
      <c r="AN9" s="915"/>
      <c r="AO9" s="915"/>
      <c r="AP9" s="183"/>
      <c r="AQ9" s="183"/>
      <c r="AR9" s="183"/>
      <c r="AS9" s="183"/>
      <c r="AT9" s="183"/>
      <c r="AU9" s="183"/>
      <c r="AV9" s="183"/>
      <c r="AW9" s="183"/>
      <c r="AX9" s="183"/>
      <c r="AY9" s="183"/>
      <c r="AZ9" s="185"/>
      <c r="BA9" s="185"/>
      <c r="BB9" s="185"/>
      <c r="BC9" s="185"/>
      <c r="BD9" s="185"/>
      <c r="BE9" s="185"/>
      <c r="BF9" s="185"/>
      <c r="BG9" s="185"/>
      <c r="BH9" s="185"/>
      <c r="BI9" s="185"/>
      <c r="BJ9" s="928" t="s">
        <v>184</v>
      </c>
      <c r="BK9" s="929"/>
      <c r="BL9" s="929"/>
      <c r="BM9" s="195">
        <f>Smart!J9</f>
        <v>0</v>
      </c>
      <c r="BN9" s="195" t="str">
        <f>Smart!L9</f>
        <v>Newton</v>
      </c>
      <c r="BO9" s="183"/>
      <c r="BP9" s="928" t="s">
        <v>272</v>
      </c>
      <c r="BQ9" s="929"/>
      <c r="BR9" s="929"/>
      <c r="BS9" s="195">
        <f>IF(BP79&lt;100,IF(BP79&lt;10,ROUNDUP(BP79,2),ROUNDUP(BP79,1)),ROUNDUP(BP79,0))</f>
        <v>6.0000000000000005E-2</v>
      </c>
      <c r="BT9" s="195" t="s">
        <v>52</v>
      </c>
      <c r="BU9" s="185"/>
      <c r="BV9" s="183"/>
      <c r="BW9" s="183"/>
      <c r="BX9" s="29"/>
      <c r="BY9" s="29"/>
      <c r="BZ9" s="29"/>
      <c r="CA9" s="29"/>
      <c r="CB9" s="29"/>
      <c r="CC9" s="29"/>
    </row>
    <row r="10" spans="1:90" s="187" customFormat="1" ht="15" customHeight="1">
      <c r="A10" s="921"/>
      <c r="B10" s="921"/>
      <c r="C10" s="921"/>
      <c r="D10" s="921"/>
      <c r="E10" s="447" t="s">
        <v>418</v>
      </c>
      <c r="F10" s="918" t="str">
        <f>"Motor wire: AWG"&amp;BI1&amp;"(Ul"&amp;BI2&amp;") 
flying lead 300mm 
U-red   V-white  W-black"</f>
        <v>Motor wire: AWG28(Ul1430) 
flying lead 300mm 
U-red   V-white  W-black</v>
      </c>
      <c r="G10" s="919"/>
      <c r="H10" s="919"/>
      <c r="I10" s="919"/>
      <c r="J10" s="919"/>
      <c r="K10" s="919"/>
      <c r="L10" s="919"/>
      <c r="M10" s="919"/>
      <c r="N10" s="919"/>
      <c r="O10" s="919"/>
      <c r="P10" s="919"/>
      <c r="Q10" s="183"/>
      <c r="R10" s="183"/>
      <c r="S10" s="183"/>
      <c r="T10" s="183"/>
      <c r="U10" s="183"/>
      <c r="V10" s="183"/>
      <c r="W10" s="201"/>
      <c r="X10" s="201"/>
      <c r="Y10" s="201"/>
      <c r="Z10" s="201"/>
      <c r="AA10" s="201"/>
      <c r="AB10" s="201"/>
      <c r="AC10" s="201"/>
      <c r="AD10" s="201"/>
      <c r="AE10" s="201"/>
      <c r="AF10" s="201"/>
      <c r="AG10" s="201"/>
      <c r="AH10" s="201"/>
      <c r="AI10" s="201"/>
      <c r="AJ10" s="201"/>
      <c r="AK10" s="201"/>
      <c r="AL10" s="201"/>
      <c r="AM10" s="201"/>
      <c r="AN10" s="201"/>
      <c r="AO10" s="201"/>
      <c r="AP10" s="201"/>
      <c r="AQ10" s="201"/>
      <c r="AR10" s="201"/>
      <c r="AS10" s="201"/>
      <c r="AT10" s="201"/>
      <c r="AU10" s="201"/>
      <c r="AV10" s="201"/>
      <c r="AW10" s="201"/>
      <c r="AX10" s="201"/>
      <c r="AY10" s="201"/>
      <c r="AZ10" s="202"/>
      <c r="BA10" s="202"/>
      <c r="BB10" s="202"/>
      <c r="BC10" s="202"/>
      <c r="BD10" s="202"/>
      <c r="BE10" s="202"/>
      <c r="BF10" s="202"/>
      <c r="BG10" s="202"/>
      <c r="BH10" s="185"/>
      <c r="BI10" s="185"/>
      <c r="BJ10" s="941" t="s">
        <v>175</v>
      </c>
      <c r="BK10" s="929"/>
      <c r="BL10" s="929"/>
      <c r="BM10" s="199">
        <f>Smart!J10</f>
        <v>25</v>
      </c>
      <c r="BN10" s="199" t="str">
        <f>Smart!L10</f>
        <v>°C</v>
      </c>
      <c r="BO10" s="183"/>
      <c r="BP10" s="941" t="s">
        <v>192</v>
      </c>
      <c r="BQ10" s="929"/>
      <c r="BR10" s="929"/>
      <c r="BS10" s="199">
        <f>IF(Smart!AE32&gt;1000,ROUNDUP(Smart!AE32/1000,1),IF(Smart!AE32&lt;1,ROUNDUP(Smart!AE32*1000,1),ROUNDUP(Smart!AE32,1)))</f>
        <v>24</v>
      </c>
      <c r="BT10" s="199" t="str">
        <f>IF(Smart!AE32&gt;1,"m/sec",IF(Smart!AE32&lt;0.001,"µm/sec","mm/sec"))</f>
        <v>mm/sec</v>
      </c>
      <c r="BU10" s="189"/>
      <c r="BV10" s="183"/>
      <c r="BW10" s="183"/>
      <c r="BX10" s="29"/>
      <c r="BY10" s="29"/>
      <c r="BZ10" s="29"/>
      <c r="CA10" s="29"/>
      <c r="CB10" s="29"/>
      <c r="CC10" s="29"/>
    </row>
    <row r="11" spans="1:90" s="187" customFormat="1" ht="12.75" customHeight="1">
      <c r="A11" s="921"/>
      <c r="B11" s="921"/>
      <c r="C11" s="921"/>
      <c r="D11" s="921"/>
      <c r="E11" s="183"/>
      <c r="F11" s="919"/>
      <c r="G11" s="919"/>
      <c r="H11" s="919"/>
      <c r="I11" s="919"/>
      <c r="J11" s="919"/>
      <c r="K11" s="919"/>
      <c r="L11" s="919"/>
      <c r="M11" s="919"/>
      <c r="N11" s="919"/>
      <c r="O11" s="919"/>
      <c r="P11" s="919"/>
      <c r="Q11" s="183"/>
      <c r="R11" s="183"/>
      <c r="S11" s="183"/>
      <c r="T11" s="183"/>
      <c r="U11" s="183"/>
      <c r="V11" s="183"/>
      <c r="W11" s="201"/>
      <c r="X11" s="201"/>
      <c r="Y11" s="201"/>
      <c r="Z11" s="201"/>
      <c r="AA11" s="201"/>
      <c r="AB11" s="201"/>
      <c r="AC11" s="201"/>
      <c r="AD11" s="201"/>
      <c r="AE11" s="201"/>
      <c r="AF11" s="201"/>
      <c r="AG11" s="201"/>
      <c r="AH11" s="201"/>
      <c r="AI11" s="201"/>
      <c r="AJ11" s="201"/>
      <c r="AK11" s="201"/>
      <c r="AL11" s="201"/>
      <c r="AM11" s="201"/>
      <c r="AN11" s="201"/>
      <c r="AO11" s="201"/>
      <c r="AP11" s="201"/>
      <c r="AQ11" s="201"/>
      <c r="AR11" s="201"/>
      <c r="AS11" s="201"/>
      <c r="AT11" s="935"/>
      <c r="AU11" s="917"/>
      <c r="AV11" s="917"/>
      <c r="AW11" s="201"/>
      <c r="AX11" s="201"/>
      <c r="AY11" s="201"/>
      <c r="AZ11" s="202"/>
      <c r="BA11" s="202"/>
      <c r="BB11" s="202"/>
      <c r="BC11" s="202"/>
      <c r="BD11" s="202"/>
      <c r="BE11" s="202"/>
      <c r="BF11" s="202"/>
      <c r="BG11" s="202"/>
      <c r="BH11" s="185"/>
      <c r="BI11" s="185"/>
      <c r="BJ11" s="928" t="s">
        <v>177</v>
      </c>
      <c r="BK11" s="929"/>
      <c r="BL11" s="937"/>
      <c r="BM11" s="195">
        <f>Smart!J11</f>
        <v>135</v>
      </c>
      <c r="BN11" s="195" t="str">
        <f>Smart!L11</f>
        <v>°C</v>
      </c>
      <c r="BO11" s="183"/>
      <c r="BP11" s="928" t="s">
        <v>193</v>
      </c>
      <c r="BQ11" s="929"/>
      <c r="BR11" s="929"/>
      <c r="BS11" s="195">
        <f>IF(Smart!AB36&gt;1,ROUNDUP(Smart!AB36,1),IF(Smart!AB36&lt;0.001,ROUNDUP(Smart!AB36*1000000,1),ROUNDUP(Smart!AB36*1000,1)))</f>
        <v>300</v>
      </c>
      <c r="BT11" s="203" t="str">
        <f>IF(Smart!AB36&gt;1,"m/sec",IF(Smart!AB36&lt;0.001,"µm/sec","mm/sec"))&amp;"^2"</f>
        <v>mm/sec^2</v>
      </c>
      <c r="BU11" s="185"/>
      <c r="BV11" s="183"/>
      <c r="BW11" s="183"/>
      <c r="BX11" s="29"/>
      <c r="BY11" s="29"/>
      <c r="BZ11" s="29"/>
      <c r="CA11" s="29"/>
      <c r="CB11" s="29"/>
      <c r="CC11" s="29"/>
    </row>
    <row r="12" spans="1:90" s="187" customFormat="1" ht="12" customHeight="1">
      <c r="A12" s="921"/>
      <c r="B12" s="921"/>
      <c r="C12" s="921"/>
      <c r="D12" s="921"/>
      <c r="E12" s="183"/>
      <c r="F12" s="183"/>
      <c r="G12" s="183"/>
      <c r="H12" s="183"/>
      <c r="I12" s="183"/>
      <c r="J12" s="183"/>
      <c r="K12" s="183"/>
      <c r="L12" s="183"/>
      <c r="M12" s="183"/>
      <c r="N12" s="183"/>
      <c r="O12" s="183"/>
      <c r="P12" s="183"/>
      <c r="Q12" s="183"/>
      <c r="R12" s="183"/>
      <c r="S12" s="183"/>
      <c r="T12" s="183"/>
      <c r="U12" s="183"/>
      <c r="V12" s="183"/>
      <c r="W12" s="201"/>
      <c r="X12" s="201"/>
      <c r="Y12" s="201"/>
      <c r="Z12" s="201"/>
      <c r="AA12" s="201"/>
      <c r="AB12" s="201"/>
      <c r="AC12" s="201"/>
      <c r="AD12" s="201"/>
      <c r="AE12" s="201"/>
      <c r="AF12" s="201"/>
      <c r="AG12" s="201"/>
      <c r="AH12" s="201"/>
      <c r="AI12" s="201"/>
      <c r="AJ12" s="201"/>
      <c r="AK12" s="201"/>
      <c r="AL12" s="201"/>
      <c r="AM12" s="201"/>
      <c r="AN12" s="201"/>
      <c r="AO12" s="201"/>
      <c r="AP12" s="201"/>
      <c r="AQ12" s="201"/>
      <c r="AR12" s="201"/>
      <c r="AS12" s="201"/>
      <c r="AT12" s="935"/>
      <c r="AU12" s="917"/>
      <c r="AV12" s="917"/>
      <c r="AW12" s="201"/>
      <c r="AX12" s="201"/>
      <c r="AY12" s="201"/>
      <c r="AZ12" s="202"/>
      <c r="BA12" s="202"/>
      <c r="BB12" s="202"/>
      <c r="BC12" s="202"/>
      <c r="BD12" s="202"/>
      <c r="BE12" s="202"/>
      <c r="BF12" s="202"/>
      <c r="BG12" s="202"/>
      <c r="BH12" s="202"/>
      <c r="BI12" s="202"/>
      <c r="BJ12" s="941" t="s">
        <v>179</v>
      </c>
      <c r="BK12" s="929"/>
      <c r="BL12" s="929"/>
      <c r="BM12" s="199">
        <f>Smart!O11-Smart!O10</f>
        <v>110</v>
      </c>
      <c r="BN12" s="199" t="s">
        <v>180</v>
      </c>
      <c r="BO12" s="183"/>
      <c r="BP12" s="891"/>
      <c r="BQ12" s="946"/>
      <c r="BR12" s="946"/>
      <c r="BS12" s="195">
        <f>ROUND(Smart!AB36*0.1019716213,1)</f>
        <v>0</v>
      </c>
      <c r="BT12" s="195" t="s">
        <v>257</v>
      </c>
      <c r="BU12" s="185"/>
      <c r="BV12" s="183"/>
      <c r="BW12" s="183"/>
      <c r="BX12" s="29"/>
      <c r="BY12" s="29"/>
      <c r="BZ12" s="29"/>
      <c r="CA12" s="29"/>
      <c r="CB12" s="29"/>
      <c r="CC12" s="29"/>
    </row>
    <row r="13" spans="1:90" s="187" customFormat="1" ht="15" customHeight="1">
      <c r="A13" s="922"/>
      <c r="B13" s="922"/>
      <c r="C13" s="922"/>
      <c r="D13" s="922"/>
      <c r="E13" s="183"/>
      <c r="F13" s="183"/>
      <c r="G13" s="183"/>
      <c r="H13" s="183"/>
      <c r="I13" s="183"/>
      <c r="J13" s="183"/>
      <c r="K13" s="183"/>
      <c r="L13" s="183"/>
      <c r="M13" s="183"/>
      <c r="N13" s="183"/>
      <c r="O13" s="183"/>
      <c r="P13" s="183"/>
      <c r="Q13" s="183"/>
      <c r="R13" s="183"/>
      <c r="S13" s="183"/>
      <c r="T13" s="183"/>
      <c r="U13" s="183"/>
      <c r="V13" s="183"/>
      <c r="W13" s="927"/>
      <c r="X13" s="927"/>
      <c r="Y13" s="201"/>
      <c r="Z13" s="201"/>
      <c r="AA13" s="201"/>
      <c r="AB13" s="201"/>
      <c r="AC13" s="201"/>
      <c r="AD13" s="201"/>
      <c r="AE13" s="201"/>
      <c r="AF13" s="201"/>
      <c r="AG13" s="201"/>
      <c r="AH13" s="201"/>
      <c r="AI13" s="201"/>
      <c r="AJ13" s="201"/>
      <c r="AK13" s="201"/>
      <c r="AL13" s="201"/>
      <c r="AM13" s="201"/>
      <c r="AN13" s="201"/>
      <c r="AO13" s="201"/>
      <c r="AP13" s="201"/>
      <c r="AQ13" s="917"/>
      <c r="AR13" s="917"/>
      <c r="AS13" s="917"/>
      <c r="AT13" s="917"/>
      <c r="AU13" s="201"/>
      <c r="AV13" s="201"/>
      <c r="AW13" s="201"/>
      <c r="AX13" s="201"/>
      <c r="AY13" s="201"/>
      <c r="AZ13" s="201"/>
      <c r="BA13" s="201"/>
      <c r="BB13" s="201"/>
      <c r="BC13" s="201"/>
      <c r="BD13" s="201"/>
      <c r="BE13" s="201"/>
      <c r="BF13" s="201"/>
      <c r="BG13" s="28"/>
      <c r="BH13" s="29"/>
      <c r="BI13" s="30"/>
      <c r="BJ13" s="928" t="s">
        <v>182</v>
      </c>
      <c r="BK13" s="929"/>
      <c r="BL13" s="929"/>
      <c r="BM13" s="195">
        <f>Smart!J13</f>
        <v>36</v>
      </c>
      <c r="BN13" s="195" t="str">
        <f>Smart!L13</f>
        <v>Vac</v>
      </c>
      <c r="BO13" s="183"/>
      <c r="BP13" s="944" t="s">
        <v>137</v>
      </c>
      <c r="BQ13" s="945"/>
      <c r="BR13" s="945"/>
      <c r="BS13" s="199">
        <f>IF(BP78&lt;100,IF(BP78&lt;10,ROUNDUP(BP78,2),ROUNDUP(BP78,1)),ROUNDUP(BP78,0))</f>
        <v>0.59</v>
      </c>
      <c r="BT13" s="199" t="s">
        <v>52</v>
      </c>
      <c r="BU13" s="189"/>
      <c r="BV13" s="183"/>
      <c r="BW13" s="183"/>
      <c r="BX13" s="29"/>
      <c r="BY13" s="29"/>
      <c r="BZ13" s="29"/>
      <c r="CA13" s="29"/>
      <c r="CB13" s="29"/>
      <c r="CC13" s="29"/>
    </row>
    <row r="14" spans="1:90" s="187" customFormat="1" ht="10.5" customHeight="1">
      <c r="A14" s="183"/>
      <c r="B14" s="183"/>
      <c r="C14" s="183"/>
      <c r="D14" s="183"/>
      <c r="E14" s="183"/>
      <c r="F14" s="183"/>
      <c r="G14" s="183"/>
      <c r="H14" s="183"/>
      <c r="I14" s="183"/>
      <c r="J14" s="183"/>
      <c r="K14" s="183"/>
      <c r="L14" s="183"/>
      <c r="M14" s="183"/>
      <c r="N14" s="183"/>
      <c r="O14" s="183"/>
      <c r="P14" s="183"/>
      <c r="Q14" s="183"/>
      <c r="R14" s="183"/>
      <c r="S14" s="183"/>
      <c r="T14" s="183"/>
      <c r="U14" s="183"/>
      <c r="V14" s="183"/>
      <c r="W14" s="183"/>
      <c r="X14" s="201"/>
      <c r="Y14" s="201"/>
      <c r="Z14" s="201"/>
      <c r="AA14" s="201"/>
      <c r="AB14" s="201"/>
      <c r="AC14" s="201"/>
      <c r="AD14" s="201"/>
      <c r="AE14" s="201"/>
      <c r="AF14" s="201"/>
      <c r="AG14" s="201"/>
      <c r="AH14" s="201"/>
      <c r="AI14" s="201"/>
      <c r="AJ14" s="201"/>
      <c r="AK14" s="201"/>
      <c r="AL14" s="201"/>
      <c r="AM14" s="201"/>
      <c r="AN14" s="201"/>
      <c r="AO14" s="201"/>
      <c r="AP14" s="201"/>
      <c r="AQ14" s="917"/>
      <c r="AR14" s="917"/>
      <c r="AS14" s="917"/>
      <c r="AT14" s="917"/>
      <c r="AU14" s="201"/>
      <c r="AV14" s="201"/>
      <c r="AW14" s="201"/>
      <c r="AX14" s="201"/>
      <c r="AY14" s="201"/>
      <c r="AZ14" s="201"/>
      <c r="BA14" s="201"/>
      <c r="BB14" s="201"/>
      <c r="BC14" s="201"/>
      <c r="BD14" s="201"/>
      <c r="BE14" s="201"/>
      <c r="BF14" s="201"/>
      <c r="BG14" s="28"/>
      <c r="BH14" s="29"/>
      <c r="BI14" s="30"/>
      <c r="BJ14" s="30"/>
      <c r="BK14" s="204"/>
      <c r="BL14" s="183"/>
      <c r="BM14" s="183"/>
      <c r="BN14" s="183"/>
      <c r="BO14" s="205"/>
      <c r="BP14" s="928" t="s">
        <v>366</v>
      </c>
      <c r="BQ14" s="929"/>
      <c r="BR14" s="929"/>
      <c r="BS14" s="195">
        <f>IF(Smart!AD40&lt;10,IF(Smart!AD40&lt;1,ROUNDUP(Smart!AD40,2),ROUNDUP(Smart!AD40,1)),ROUNDUP(Smart!AD40,0))</f>
        <v>0.01</v>
      </c>
      <c r="BT14" s="195" t="s">
        <v>277</v>
      </c>
      <c r="BU14" s="183"/>
      <c r="BV14" s="183"/>
      <c r="BW14" s="183"/>
      <c r="BX14" s="29"/>
      <c r="BY14" s="29"/>
      <c r="BZ14" s="29"/>
      <c r="CA14" s="29"/>
      <c r="CB14" s="29"/>
      <c r="CC14" s="29"/>
    </row>
    <row r="15" spans="1:90" s="187" customFormat="1" ht="15" customHeight="1">
      <c r="A15" s="183"/>
      <c r="B15" s="183"/>
      <c r="C15" s="183"/>
      <c r="D15" s="183"/>
      <c r="E15" s="183"/>
      <c r="F15" s="183"/>
      <c r="G15" s="183"/>
      <c r="H15" s="183"/>
      <c r="I15" s="183"/>
      <c r="J15" s="183"/>
      <c r="K15" s="183"/>
      <c r="L15" s="183"/>
      <c r="M15" s="183"/>
      <c r="N15" s="183"/>
      <c r="O15" s="183"/>
      <c r="P15" s="183"/>
      <c r="Q15" s="183"/>
      <c r="R15" s="183"/>
      <c r="S15" s="183"/>
      <c r="T15" s="183"/>
      <c r="U15" s="183"/>
      <c r="V15" s="183"/>
      <c r="W15" s="201"/>
      <c r="X15" s="201"/>
      <c r="Y15" s="201"/>
      <c r="Z15" s="201"/>
      <c r="AA15" s="201"/>
      <c r="AB15" s="201"/>
      <c r="AC15" s="201"/>
      <c r="AD15" s="201"/>
      <c r="AE15" s="201"/>
      <c r="AF15" s="201"/>
      <c r="AG15" s="201"/>
      <c r="AH15" s="201"/>
      <c r="AI15" s="201"/>
      <c r="AJ15" s="201"/>
      <c r="AK15" s="201"/>
      <c r="AL15" s="201"/>
      <c r="AM15" s="201"/>
      <c r="AN15" s="201"/>
      <c r="AO15" s="201"/>
      <c r="AP15" s="201"/>
      <c r="AQ15" s="917"/>
      <c r="AR15" s="917"/>
      <c r="AS15" s="917"/>
      <c r="AT15" s="917"/>
      <c r="AU15" s="201"/>
      <c r="AV15" s="201"/>
      <c r="AW15" s="201"/>
      <c r="AX15" s="201"/>
      <c r="AY15" s="201"/>
      <c r="AZ15" s="917"/>
      <c r="BA15" s="917"/>
      <c r="BB15" s="201"/>
      <c r="BC15" s="201"/>
      <c r="BD15" s="201"/>
      <c r="BE15" s="201"/>
      <c r="BF15" s="201"/>
      <c r="BG15" s="28"/>
      <c r="BH15" s="29"/>
      <c r="BI15" s="28"/>
      <c r="BJ15" s="206" t="s">
        <v>197</v>
      </c>
      <c r="BK15" s="207"/>
      <c r="BM15" s="208"/>
      <c r="BN15" s="209"/>
      <c r="BO15" s="207"/>
      <c r="BP15" s="941" t="s">
        <v>261</v>
      </c>
      <c r="BQ15" s="929"/>
      <c r="BR15" s="929"/>
      <c r="BS15" s="199">
        <f>ROUND(Smart!L28,0)</f>
        <v>25</v>
      </c>
      <c r="BT15" s="199" t="str">
        <f>"°C  "&amp;ROUND(BS15*1.8+32,0)&amp;"°F"</f>
        <v>°C  77°F</v>
      </c>
      <c r="BU15" s="183"/>
      <c r="BV15" s="183"/>
      <c r="BW15" s="183"/>
      <c r="BX15" s="29"/>
      <c r="BY15" s="29"/>
      <c r="BZ15" s="29"/>
      <c r="CA15" s="29"/>
      <c r="CB15" s="29"/>
      <c r="CC15" s="29"/>
    </row>
    <row r="16" spans="1:90" ht="12.75" customHeight="1">
      <c r="A16" s="183"/>
      <c r="B16" s="183"/>
      <c r="C16" s="183"/>
      <c r="D16" s="183"/>
      <c r="E16" s="183"/>
      <c r="F16" s="40"/>
      <c r="G16" s="40"/>
      <c r="H16" s="40"/>
      <c r="I16" s="40"/>
      <c r="J16" s="40"/>
      <c r="K16" s="40"/>
      <c r="L16" s="40"/>
      <c r="M16" s="40"/>
      <c r="N16" s="40"/>
      <c r="O16" s="40"/>
      <c r="P16" s="40"/>
      <c r="Q16" s="40"/>
      <c r="R16" s="183"/>
      <c r="S16" s="183"/>
      <c r="T16" s="183"/>
      <c r="U16" s="183"/>
      <c r="V16" s="183"/>
      <c r="W16" s="201"/>
      <c r="X16" s="201"/>
      <c r="Y16" s="201"/>
      <c r="Z16" s="201"/>
      <c r="AA16" s="201"/>
      <c r="AB16" s="201"/>
      <c r="AC16" s="201"/>
      <c r="AD16" s="201"/>
      <c r="AE16" s="201"/>
      <c r="AF16" s="201"/>
      <c r="AG16" s="201"/>
      <c r="AH16" s="201"/>
      <c r="AI16" s="201"/>
      <c r="AJ16" s="201"/>
      <c r="AK16" s="201"/>
      <c r="AL16" s="201"/>
      <c r="AM16" s="201"/>
      <c r="AN16" s="201"/>
      <c r="AO16" s="201"/>
      <c r="AP16" s="201"/>
      <c r="AQ16" s="917"/>
      <c r="AR16" s="917"/>
      <c r="AS16" s="917"/>
      <c r="AT16" s="917"/>
      <c r="AU16" s="201"/>
      <c r="AV16" s="201"/>
      <c r="AW16" s="201"/>
      <c r="AX16" s="201"/>
      <c r="AY16" s="201"/>
      <c r="AZ16" s="201"/>
      <c r="BA16" s="201"/>
      <c r="BB16" s="201"/>
      <c r="BC16" s="201"/>
      <c r="BD16" s="201"/>
      <c r="BE16" s="201"/>
      <c r="BF16" s="201"/>
      <c r="BG16" s="28"/>
      <c r="BI16" s="28"/>
      <c r="BJ16" s="930" t="s">
        <v>273</v>
      </c>
      <c r="BK16" s="931"/>
      <c r="BL16" s="931"/>
      <c r="BM16" s="210"/>
      <c r="BN16" s="210"/>
      <c r="BO16" s="210"/>
      <c r="BP16" s="928" t="s">
        <v>262</v>
      </c>
      <c r="BQ16" s="929"/>
      <c r="BR16" s="929"/>
      <c r="BS16" s="195">
        <f>ROUND(BS15-(Smart!AC40*0.3),0)</f>
        <v>25</v>
      </c>
      <c r="BT16" s="195" t="str">
        <f>"°C  "&amp;ROUNDUP(BS16*1.8+32,0)&amp;"°F"</f>
        <v>°C  77°F</v>
      </c>
      <c r="BU16" s="40"/>
    </row>
    <row r="17" spans="1:81" ht="12" customHeight="1">
      <c r="A17" s="183"/>
      <c r="B17" s="183"/>
      <c r="C17" s="183"/>
      <c r="D17" s="183"/>
      <c r="E17" s="183"/>
      <c r="F17" s="183"/>
      <c r="G17" s="183"/>
      <c r="H17" s="183"/>
      <c r="I17" s="183"/>
      <c r="J17" s="183"/>
      <c r="K17" s="183"/>
      <c r="L17" s="183"/>
      <c r="M17" s="183"/>
      <c r="N17" s="183"/>
      <c r="O17" s="183"/>
      <c r="P17" s="183"/>
      <c r="Q17" s="183"/>
      <c r="R17" s="183"/>
      <c r="S17" s="183"/>
      <c r="T17" s="183"/>
      <c r="U17" s="183"/>
      <c r="V17" s="183"/>
      <c r="W17" s="201"/>
      <c r="X17" s="201"/>
      <c r="Y17" s="201"/>
      <c r="Z17" s="201"/>
      <c r="AA17" s="927"/>
      <c r="AB17" s="927"/>
      <c r="AC17" s="201"/>
      <c r="AD17" s="201"/>
      <c r="AE17" s="201"/>
      <c r="AF17" s="201"/>
      <c r="AG17" s="201"/>
      <c r="AH17" s="201"/>
      <c r="AI17" s="201"/>
      <c r="AJ17" s="201"/>
      <c r="AK17" s="201"/>
      <c r="AL17" s="201"/>
      <c r="AM17" s="201"/>
      <c r="AN17" s="201"/>
      <c r="AO17" s="201"/>
      <c r="AP17" s="201"/>
      <c r="AQ17" s="201"/>
      <c r="AR17" s="201"/>
      <c r="AS17" s="201"/>
      <c r="AT17" s="201"/>
      <c r="AU17" s="201"/>
      <c r="AV17" s="201"/>
      <c r="AW17" s="201"/>
      <c r="AX17" s="201"/>
      <c r="AY17" s="201"/>
      <c r="AZ17" s="201"/>
      <c r="BA17" s="201"/>
      <c r="BB17" s="201"/>
      <c r="BC17" s="201"/>
      <c r="BD17" s="201"/>
      <c r="BE17" s="201"/>
      <c r="BF17" s="201"/>
      <c r="BG17" s="28"/>
      <c r="BH17" s="28"/>
      <c r="BI17" s="28"/>
      <c r="BJ17" s="941" t="s">
        <v>278</v>
      </c>
      <c r="BK17" s="929"/>
      <c r="BL17" s="929"/>
      <c r="BM17" s="211" t="s">
        <v>243</v>
      </c>
      <c r="BN17" s="212" t="str">
        <f>IF(Smart!L27&gt;10,ROUNDUP(Smart!L27,0),ROUNDUP(Smart!L27,1))&amp; " V"</f>
        <v>2.7 V</v>
      </c>
      <c r="BO17" s="33">
        <f>IF(Smart!L27&gt;10,ROUNDUP(Smart!L27,0),ROUNDUP(Smart!L27,1))</f>
        <v>2.7</v>
      </c>
      <c r="BP17" s="941" t="s">
        <v>263</v>
      </c>
      <c r="BQ17" s="929"/>
      <c r="BR17" s="929"/>
      <c r="BS17" s="213" t="str">
        <f>LEFT((Smart!AC37/Smart!AI32)^2*100,4)</f>
        <v>0.10</v>
      </c>
      <c r="BT17" s="199" t="s">
        <v>191</v>
      </c>
      <c r="BU17" s="40"/>
    </row>
    <row r="18" spans="1:81" ht="15" customHeight="1">
      <c r="A18" s="183"/>
      <c r="B18" s="183"/>
      <c r="C18" s="183"/>
      <c r="D18" s="183"/>
      <c r="E18" s="183"/>
      <c r="F18" s="183"/>
      <c r="G18" s="183"/>
      <c r="H18" s="183"/>
      <c r="I18" s="183"/>
      <c r="J18" s="183"/>
      <c r="K18" s="183"/>
      <c r="L18" s="183"/>
      <c r="M18" s="183"/>
      <c r="N18" s="183"/>
      <c r="O18" s="183"/>
      <c r="P18" s="923"/>
      <c r="Q18" s="923"/>
      <c r="R18" s="183"/>
      <c r="S18" s="183"/>
      <c r="T18" s="183"/>
      <c r="U18" s="183"/>
      <c r="V18" s="183"/>
      <c r="W18" s="201"/>
      <c r="X18" s="201"/>
      <c r="Y18" s="201"/>
      <c r="Z18" s="201"/>
      <c r="AA18" s="201"/>
      <c r="AB18" s="201"/>
      <c r="AC18" s="201"/>
      <c r="AD18" s="201"/>
      <c r="AE18" s="201"/>
      <c r="AF18" s="201"/>
      <c r="AG18" s="201"/>
      <c r="AH18" s="201"/>
      <c r="AI18" s="201"/>
      <c r="AJ18" s="201"/>
      <c r="AK18" s="201"/>
      <c r="AL18" s="201"/>
      <c r="AM18" s="201"/>
      <c r="AN18" s="201"/>
      <c r="AO18" s="201"/>
      <c r="AP18" s="201"/>
      <c r="AQ18" s="201"/>
      <c r="AR18" s="201"/>
      <c r="AS18" s="201"/>
      <c r="AT18" s="201"/>
      <c r="AU18" s="201"/>
      <c r="AV18" s="201"/>
      <c r="AW18" s="917"/>
      <c r="AX18" s="917"/>
      <c r="AY18" s="201"/>
      <c r="AZ18" s="201"/>
      <c r="BA18" s="201"/>
      <c r="BB18" s="201"/>
      <c r="BC18" s="201"/>
      <c r="BD18" s="201"/>
      <c r="BE18" s="201"/>
      <c r="BF18" s="201"/>
      <c r="BG18" s="28"/>
      <c r="BH18" s="28"/>
      <c r="BI18" s="28"/>
      <c r="BJ18" s="928" t="s">
        <v>274</v>
      </c>
      <c r="BK18" s="929"/>
      <c r="BL18" s="929"/>
      <c r="BM18" s="214" t="s">
        <v>244</v>
      </c>
      <c r="BN18" s="215">
        <f>IF(Smart!AC38&lt;10,IF(Smart!AC38&lt;1,ROUNDUP(Smart!AC38,2),ROUNDUP(Smart!AC38,1)),ROUNDUP(Smart!AC38,0))</f>
        <v>0.28000000000000003</v>
      </c>
      <c r="BO18" s="216"/>
      <c r="BP18" s="217" t="s">
        <v>286</v>
      </c>
      <c r="BQ18" s="217"/>
      <c r="BR18" s="217"/>
      <c r="BS18" s="189">
        <f>ROUNDDOWN(100-BS17,0)</f>
        <v>99</v>
      </c>
      <c r="BT18" s="218" t="s">
        <v>191</v>
      </c>
      <c r="BU18" s="40"/>
    </row>
    <row r="19" spans="1:81" ht="15" customHeight="1">
      <c r="A19" s="183"/>
      <c r="B19" s="183"/>
      <c r="C19" s="183"/>
      <c r="D19" s="183"/>
      <c r="E19" s="183"/>
      <c r="F19" s="40"/>
      <c r="G19" s="40"/>
      <c r="H19" s="40"/>
      <c r="I19" s="40"/>
      <c r="J19" s="40"/>
      <c r="K19" s="40"/>
      <c r="L19" s="40"/>
      <c r="M19" s="40"/>
      <c r="N19" s="40"/>
      <c r="O19" s="40"/>
      <c r="P19" s="40"/>
      <c r="Q19" s="183"/>
      <c r="R19" s="183"/>
      <c r="S19" s="183"/>
      <c r="T19" s="183"/>
      <c r="U19" s="183"/>
      <c r="V19" s="183"/>
      <c r="W19" s="201"/>
      <c r="X19" s="201"/>
      <c r="Y19" s="201"/>
      <c r="Z19" s="201"/>
      <c r="AA19" s="201"/>
      <c r="AB19" s="201"/>
      <c r="AC19" s="201"/>
      <c r="AD19" s="201"/>
      <c r="AE19" s="201"/>
      <c r="AF19" s="201"/>
      <c r="AG19" s="201"/>
      <c r="AH19" s="201"/>
      <c r="AI19" s="201"/>
      <c r="AJ19" s="201"/>
      <c r="AK19" s="201"/>
      <c r="AL19" s="201"/>
      <c r="AM19" s="201"/>
      <c r="AN19" s="201"/>
      <c r="AO19" s="201"/>
      <c r="AP19" s="201"/>
      <c r="AQ19" s="201"/>
      <c r="AR19" s="201"/>
      <c r="AS19" s="201"/>
      <c r="AT19" s="917"/>
      <c r="AU19" s="917"/>
      <c r="AV19" s="201"/>
      <c r="AW19" s="201"/>
      <c r="AX19" s="201"/>
      <c r="AY19" s="201"/>
      <c r="AZ19" s="201"/>
      <c r="BA19" s="201"/>
      <c r="BB19" s="201"/>
      <c r="BC19" s="201"/>
      <c r="BD19" s="201"/>
      <c r="BE19" s="201"/>
      <c r="BF19" s="201"/>
      <c r="BG19" s="28"/>
      <c r="BH19" s="28"/>
      <c r="BI19" s="28"/>
      <c r="BJ19" s="941" t="s">
        <v>275</v>
      </c>
      <c r="BK19" s="929"/>
      <c r="BL19" s="929"/>
      <c r="BM19" s="211" t="s">
        <v>246</v>
      </c>
      <c r="BN19" s="212">
        <f>IF(Smart!AC37&lt;10,IF(Smart!AC37&lt;1,ROUNDUP(Smart!AC37,2),ROUNDUP(Smart!AC37,1)),ROUNDUP(Smart!AC37,0))</f>
        <v>0.03</v>
      </c>
      <c r="BO19" s="33"/>
      <c r="BP19" s="219"/>
      <c r="BQ19" s="219"/>
      <c r="BR19" s="40"/>
      <c r="BS19" s="40"/>
      <c r="BT19" s="40"/>
      <c r="BU19" s="40"/>
    </row>
    <row r="20" spans="1:81" ht="15.75" customHeight="1">
      <c r="A20" s="183"/>
      <c r="B20" s="183"/>
      <c r="C20" s="183"/>
      <c r="D20" s="183"/>
      <c r="E20" s="183"/>
      <c r="F20" s="40"/>
      <c r="G20" s="40"/>
      <c r="H20" s="40"/>
      <c r="I20" s="40"/>
      <c r="J20" s="40"/>
      <c r="K20" s="40"/>
      <c r="L20" s="40"/>
      <c r="M20" s="40"/>
      <c r="N20" s="40"/>
      <c r="O20" s="40"/>
      <c r="P20" s="40"/>
      <c r="Q20" s="183"/>
      <c r="R20" s="183"/>
      <c r="S20" s="40"/>
      <c r="T20" s="40"/>
      <c r="U20" s="40"/>
      <c r="V20" s="40"/>
      <c r="W20" s="201"/>
      <c r="X20" s="201"/>
      <c r="Y20" s="201"/>
      <c r="Z20" s="201"/>
      <c r="AA20" s="201"/>
      <c r="AB20" s="201"/>
      <c r="AC20" s="201"/>
      <c r="AD20" s="201"/>
      <c r="AE20" s="201"/>
      <c r="AF20" s="201"/>
      <c r="AG20" s="201"/>
      <c r="AH20" s="201"/>
      <c r="AI20" s="201"/>
      <c r="AJ20" s="201"/>
      <c r="AK20" s="201"/>
      <c r="AL20" s="201"/>
      <c r="AM20" s="201"/>
      <c r="AN20" s="201"/>
      <c r="AO20" s="201"/>
      <c r="AP20" s="201"/>
      <c r="AQ20" s="201"/>
      <c r="AR20" s="201"/>
      <c r="AS20" s="201"/>
      <c r="AT20" s="201"/>
      <c r="AU20" s="201"/>
      <c r="AV20" s="201"/>
      <c r="AW20" s="201"/>
      <c r="AX20" s="201"/>
      <c r="AY20" s="201"/>
      <c r="AZ20" s="201"/>
      <c r="BA20" s="201"/>
      <c r="BB20" s="201"/>
      <c r="BC20" s="201"/>
      <c r="BD20" s="201"/>
      <c r="BE20" s="201"/>
      <c r="BF20" s="201"/>
      <c r="BG20" s="28"/>
      <c r="BH20" s="28"/>
      <c r="BI20" s="28"/>
      <c r="BJ20" s="930" t="s">
        <v>276</v>
      </c>
      <c r="BK20" s="931"/>
      <c r="BL20" s="931"/>
      <c r="BM20" s="214"/>
      <c r="BN20" s="215"/>
      <c r="BO20" s="216"/>
      <c r="BP20" s="219"/>
      <c r="BQ20" s="219"/>
      <c r="BR20" s="40"/>
      <c r="BS20" s="40"/>
      <c r="BT20" s="40"/>
      <c r="BU20" s="40"/>
    </row>
    <row r="21" spans="1:81" ht="18" customHeight="1">
      <c r="A21" s="183"/>
      <c r="B21" s="183"/>
      <c r="C21" s="183"/>
      <c r="D21" s="183"/>
      <c r="E21" s="183"/>
      <c r="F21" s="40"/>
      <c r="G21" s="40"/>
      <c r="H21" s="40"/>
      <c r="I21" s="40"/>
      <c r="J21" s="40"/>
      <c r="K21" s="40"/>
      <c r="L21" s="40"/>
      <c r="M21" s="40"/>
      <c r="N21" s="40"/>
      <c r="O21" s="40"/>
      <c r="P21" s="40"/>
      <c r="Q21" s="183"/>
      <c r="R21" s="183"/>
      <c r="S21" s="40"/>
      <c r="T21" s="923"/>
      <c r="U21" s="923"/>
      <c r="V21" s="923"/>
      <c r="W21" s="923"/>
      <c r="X21" s="201"/>
      <c r="Y21" s="201"/>
      <c r="Z21" s="201"/>
      <c r="AA21" s="201"/>
      <c r="AB21" s="201"/>
      <c r="AC21" s="201"/>
      <c r="AD21" s="201"/>
      <c r="AE21" s="201"/>
      <c r="AF21" s="201"/>
      <c r="AG21" s="201"/>
      <c r="AH21" s="201"/>
      <c r="AI21" s="201"/>
      <c r="AJ21" s="201"/>
      <c r="AK21" s="201"/>
      <c r="AL21" s="201"/>
      <c r="AM21" s="201"/>
      <c r="AN21" s="201"/>
      <c r="AO21" s="201"/>
      <c r="AP21" s="201"/>
      <c r="AQ21" s="201"/>
      <c r="AR21" s="201"/>
      <c r="AS21" s="201"/>
      <c r="AT21" s="201"/>
      <c r="AU21" s="201"/>
      <c r="AV21" s="201"/>
      <c r="AW21" s="201"/>
      <c r="AX21" s="201"/>
      <c r="AY21" s="201"/>
      <c r="AZ21" s="201"/>
      <c r="BA21" s="201"/>
      <c r="BB21" s="201"/>
      <c r="BC21" s="201"/>
      <c r="BD21" s="201"/>
      <c r="BE21" s="201"/>
      <c r="BF21" s="201"/>
      <c r="BG21" s="28"/>
      <c r="BJ21" s="941" t="s">
        <v>279</v>
      </c>
      <c r="BK21" s="929"/>
      <c r="BL21" s="929"/>
      <c r="BM21" s="211" t="s">
        <v>242</v>
      </c>
      <c r="BN21" s="212" t="str">
        <f>IF(BO17*SQRT(2)&gt;10,ROUNDUP(BO17*SQRT(2),0),ROUNDUP(BO17*SQRT(2),1))&amp;" V"</f>
        <v>3.9 V</v>
      </c>
      <c r="BO21" s="33"/>
      <c r="BP21" s="970" t="s">
        <v>208</v>
      </c>
      <c r="BQ21" s="971"/>
      <c r="BR21" s="971"/>
      <c r="BS21" s="464">
        <f>ROUNDUP(((IF(BS11*10&gt;BS10,BS11/0.1019716213,BS10)*10^6)/2500000)/4,1)</f>
        <v>294.20000000000005</v>
      </c>
      <c r="BT21" s="464" t="s">
        <v>209</v>
      </c>
      <c r="BU21" s="40"/>
    </row>
    <row r="22" spans="1:81">
      <c r="A22" s="40"/>
      <c r="B22" s="40"/>
      <c r="C22" s="40"/>
      <c r="D22" s="40"/>
      <c r="E22" s="40"/>
      <c r="F22" s="40"/>
      <c r="G22" s="40"/>
      <c r="H22" s="40"/>
      <c r="I22" s="40"/>
      <c r="J22" s="40"/>
      <c r="K22" s="40"/>
      <c r="L22" s="40"/>
      <c r="M22" s="40"/>
      <c r="N22" s="40"/>
      <c r="O22" s="40"/>
      <c r="P22" s="40"/>
      <c r="Q22" s="40"/>
      <c r="R22" s="40"/>
      <c r="S22" s="40"/>
      <c r="T22" s="40"/>
      <c r="U22" s="40"/>
      <c r="V22" s="40"/>
      <c r="W22" s="201"/>
      <c r="X22" s="201"/>
      <c r="Y22" s="201"/>
      <c r="Z22" s="201"/>
      <c r="AA22" s="201"/>
      <c r="AB22" s="201"/>
      <c r="AC22" s="201"/>
      <c r="AD22" s="201"/>
      <c r="AE22" s="201"/>
      <c r="AF22" s="201"/>
      <c r="AG22" s="201"/>
      <c r="AH22" s="201"/>
      <c r="AI22" s="201"/>
      <c r="AJ22" s="201"/>
      <c r="AK22" s="201"/>
      <c r="AL22" s="201"/>
      <c r="AM22" s="201"/>
      <c r="AN22" s="201"/>
      <c r="AO22" s="201"/>
      <c r="AP22" s="201"/>
      <c r="AQ22" s="201"/>
      <c r="AR22" s="201"/>
      <c r="AS22" s="201"/>
      <c r="AT22" s="201"/>
      <c r="AU22" s="201"/>
      <c r="AV22" s="201"/>
      <c r="AW22" s="201"/>
      <c r="AX22" s="201"/>
      <c r="AY22" s="201"/>
      <c r="AZ22" s="201"/>
      <c r="BA22" s="201"/>
      <c r="BB22" s="201"/>
      <c r="BC22" s="201"/>
      <c r="BD22" s="201"/>
      <c r="BE22" s="201"/>
      <c r="BF22" s="201"/>
      <c r="BG22" s="28"/>
      <c r="BJ22" s="928" t="s">
        <v>274</v>
      </c>
      <c r="BK22" s="929"/>
      <c r="BL22" s="929"/>
      <c r="BM22" s="214" t="s">
        <v>245</v>
      </c>
      <c r="BN22" s="215">
        <f>IF(BN18*SQRT(2)&lt;10,IF(BN18*SQRT(2)&lt;1,ROUNDUP(BN18*SQRT(2),2),ROUNDUP(BN18*SQRT(2),1)),ROUNDUP(BN18*SQRT(2),0))</f>
        <v>0.4</v>
      </c>
      <c r="BO22" s="216"/>
      <c r="BP22" s="219"/>
      <c r="BQ22" s="219"/>
      <c r="BR22" s="40"/>
      <c r="BS22" s="40"/>
      <c r="BT22" s="40"/>
      <c r="BU22" s="40"/>
    </row>
    <row r="23" spans="1:81">
      <c r="A23" s="30" t="str">
        <f>"_dim"&amp;RIGHT(LEFT(AL27,4),3)&amp;IF(LEFT(AL27,1)="L","L","")&amp;IF(RIGHT(AL27,1)="S","S","")&amp;IF(RIGHT(AL27,2)="50","5","")</f>
        <v>_dim080</v>
      </c>
      <c r="B23" s="465"/>
      <c r="C23" s="465"/>
      <c r="D23" s="465"/>
      <c r="E23" s="40"/>
      <c r="F23" s="40"/>
      <c r="G23" s="40"/>
      <c r="H23" s="40"/>
      <c r="I23" s="40"/>
      <c r="J23" s="40"/>
      <c r="K23" s="40"/>
      <c r="L23" s="40"/>
      <c r="M23" s="40"/>
      <c r="N23" s="40"/>
      <c r="O23" s="40"/>
      <c r="P23" s="40"/>
      <c r="Q23" s="40"/>
      <c r="R23" s="40"/>
      <c r="S23" s="40"/>
      <c r="T23" s="40"/>
      <c r="U23" s="40"/>
      <c r="V23" s="40"/>
      <c r="W23" s="201"/>
      <c r="X23" s="201"/>
      <c r="Y23" s="201"/>
      <c r="Z23" s="201"/>
      <c r="AA23" s="201"/>
      <c r="AB23" s="201"/>
      <c r="AC23" s="201"/>
      <c r="AD23" s="201"/>
      <c r="AE23" s="201"/>
      <c r="AF23" s="201"/>
      <c r="AG23" s="201"/>
      <c r="AH23" s="201"/>
      <c r="AI23" s="201" t="s">
        <v>423</v>
      </c>
      <c r="AJ23" s="201"/>
      <c r="AK23" s="201"/>
      <c r="AL23" s="201"/>
      <c r="AM23" s="201"/>
      <c r="AN23" s="201"/>
      <c r="AO23" s="201"/>
      <c r="AP23" s="201"/>
      <c r="AQ23" s="201"/>
      <c r="AR23" s="201"/>
      <c r="AS23" s="201"/>
      <c r="AT23" s="201"/>
      <c r="AU23" s="201"/>
      <c r="AV23" s="201"/>
      <c r="AW23" s="201"/>
      <c r="AX23" s="201"/>
      <c r="AY23" s="201"/>
      <c r="AZ23" s="201"/>
      <c r="BA23" s="201"/>
      <c r="BB23" s="201"/>
      <c r="BC23" s="201"/>
      <c r="BD23" s="201"/>
      <c r="BE23" s="201"/>
      <c r="BF23" s="201"/>
      <c r="BG23" s="28"/>
      <c r="BJ23" s="941" t="s">
        <v>275</v>
      </c>
      <c r="BK23" s="929"/>
      <c r="BL23" s="929"/>
      <c r="BM23" s="211" t="s">
        <v>247</v>
      </c>
      <c r="BN23" s="198">
        <f>IF(BN19*SQRT(2)&lt;10,IF(BN19*SQRT(2)&lt;1,ROUNDUP(BN19*SQRT(2),2),ROUNDUP(BN19*SQRT(2),1)),ROUNDUP(BN19*SQRT(2),0))</f>
        <v>0.05</v>
      </c>
      <c r="BO23" s="33"/>
      <c r="BP23" s="219"/>
      <c r="BQ23" s="219"/>
      <c r="BR23" s="40"/>
      <c r="BS23" s="40"/>
      <c r="BT23" s="40"/>
      <c r="BU23" s="40"/>
    </row>
    <row r="24" spans="1:81">
      <c r="A24" s="30" t="e">
        <f>IF(AL27=Custom!J13,1,IF(HLOOKUP(AL27,Spec_Sheet!F3:CV28,38)="",1,0))</f>
        <v>#REF!</v>
      </c>
      <c r="B24" s="40"/>
      <c r="C24" s="40"/>
      <c r="D24" s="40"/>
      <c r="E24" s="40"/>
      <c r="F24" s="40"/>
      <c r="G24" s="40"/>
      <c r="H24" s="40"/>
      <c r="I24" s="40"/>
      <c r="J24" s="40"/>
      <c r="K24" s="40"/>
      <c r="L24" s="40"/>
      <c r="M24" s="40"/>
      <c r="N24" s="40"/>
      <c r="O24" s="40"/>
      <c r="P24" s="40"/>
      <c r="Q24" s="40"/>
      <c r="R24" s="40"/>
      <c r="S24" s="40"/>
      <c r="T24" s="40"/>
      <c r="U24" s="40"/>
      <c r="V24" s="40"/>
      <c r="W24" s="201"/>
      <c r="X24" s="201"/>
      <c r="Y24" s="201"/>
      <c r="Z24" s="201"/>
      <c r="AA24" s="201"/>
      <c r="AB24" s="201"/>
      <c r="AC24" s="201"/>
      <c r="AD24" s="201"/>
      <c r="AE24" s="201"/>
      <c r="AF24" s="201"/>
      <c r="AG24" s="201"/>
      <c r="AH24" s="201"/>
      <c r="AI24" s="201" t="s">
        <v>420</v>
      </c>
      <c r="AJ24" s="201"/>
      <c r="AK24" s="201"/>
      <c r="AL24" s="201"/>
      <c r="AM24" s="201"/>
      <c r="AN24" s="201"/>
      <c r="AO24" s="201"/>
      <c r="AP24" s="201"/>
      <c r="AQ24" s="201"/>
      <c r="AR24" s="201"/>
      <c r="AS24" s="201"/>
      <c r="AT24" s="201"/>
      <c r="AU24" s="201"/>
      <c r="AV24" s="201"/>
      <c r="AW24" s="201"/>
      <c r="AX24" s="201"/>
      <c r="AY24" s="201"/>
      <c r="AZ24" s="201"/>
      <c r="BA24" s="201"/>
      <c r="BB24" s="201"/>
      <c r="BC24" s="201"/>
      <c r="BD24" s="201"/>
      <c r="BE24" s="201"/>
      <c r="BF24" s="201"/>
      <c r="BG24" s="28"/>
      <c r="BO24" s="40"/>
      <c r="BP24" s="219"/>
      <c r="BQ24" s="219"/>
      <c r="BR24" s="40"/>
      <c r="BS24" s="40"/>
      <c r="BT24" s="40"/>
      <c r="BU24" s="40"/>
    </row>
    <row r="25" spans="1:81" s="207" customFormat="1" ht="19.5">
      <c r="A25" s="912" t="s">
        <v>176</v>
      </c>
      <c r="B25" s="913"/>
      <c r="C25" s="913"/>
      <c r="D25" s="913"/>
      <c r="E25" s="913"/>
      <c r="F25" s="913"/>
      <c r="G25" s="913"/>
      <c r="H25" s="913"/>
      <c r="I25" s="913"/>
      <c r="J25" s="913"/>
      <c r="K25" s="913"/>
      <c r="L25" s="913"/>
      <c r="M25" s="913"/>
      <c r="N25" s="913"/>
      <c r="O25" s="913"/>
      <c r="P25" s="913"/>
      <c r="Q25" s="913"/>
      <c r="R25" s="913"/>
      <c r="S25" s="913"/>
      <c r="T25" s="913"/>
      <c r="U25" s="913"/>
      <c r="V25" s="913"/>
      <c r="W25" s="913"/>
      <c r="X25" s="913"/>
      <c r="Y25" s="913"/>
      <c r="Z25" s="913"/>
      <c r="AA25" s="913"/>
      <c r="AB25" s="913"/>
      <c r="AC25" s="210"/>
      <c r="AD25" s="210"/>
      <c r="AE25" s="216"/>
      <c r="AF25" s="216"/>
      <c r="AG25" s="216"/>
      <c r="AH25" s="216"/>
      <c r="AI25" s="210"/>
      <c r="AJ25" s="210"/>
      <c r="AK25" s="210"/>
      <c r="AL25" s="220"/>
      <c r="AM25" s="220"/>
      <c r="AN25" s="220"/>
      <c r="AO25" s="210"/>
      <c r="AP25" s="351" t="e">
        <f>IF(A24,"See the "&amp;AL27&amp;" data sheet for","")</f>
        <v>#REF!</v>
      </c>
      <c r="AQ25" s="210"/>
      <c r="AR25" s="220"/>
      <c r="AS25" s="220"/>
      <c r="AT25" s="220"/>
      <c r="AU25" s="220"/>
      <c r="AV25" s="220"/>
      <c r="AW25" s="220"/>
      <c r="AX25" s="220"/>
      <c r="AY25" s="220"/>
      <c r="AZ25" s="220"/>
      <c r="BA25" s="220"/>
      <c r="BB25" s="220"/>
      <c r="BC25" s="220"/>
      <c r="BD25" s="220"/>
      <c r="BE25" s="220"/>
      <c r="BF25" s="220"/>
      <c r="BG25" s="31"/>
      <c r="BH25" s="32"/>
      <c r="BI25" s="32"/>
      <c r="BJ25" s="32"/>
      <c r="BK25" s="32"/>
      <c r="BL25" s="32"/>
      <c r="BM25" s="32"/>
      <c r="BN25" s="32"/>
      <c r="BO25" s="210"/>
      <c r="BP25" s="210"/>
      <c r="BQ25" s="210"/>
      <c r="BR25" s="210"/>
      <c r="BS25" s="210"/>
      <c r="BT25" s="210"/>
      <c r="BU25" s="210"/>
      <c r="BV25" s="210"/>
      <c r="BW25" s="210"/>
      <c r="BX25" s="32"/>
      <c r="BY25" s="32"/>
    </row>
    <row r="26" spans="1:81" s="207" customFormat="1" ht="18">
      <c r="A26" s="951"/>
      <c r="B26" s="913"/>
      <c r="C26" s="913"/>
      <c r="D26" s="913"/>
      <c r="E26" s="913"/>
      <c r="F26" s="913"/>
      <c r="G26" s="913"/>
      <c r="H26" s="913"/>
      <c r="I26" s="913"/>
      <c r="J26" s="913"/>
      <c r="K26" s="913"/>
      <c r="L26" s="913"/>
      <c r="M26" s="955" t="str">
        <f>AL27&amp;"-"&amp;AR38&amp;IF(Smart!B17=2," Dual Forcer","")&amp;IF(Smart!B17=1," Parallel Drive","")</f>
        <v>S080D-25</v>
      </c>
      <c r="N26" s="956"/>
      <c r="O26" s="956"/>
      <c r="P26" s="956"/>
      <c r="Q26" s="956"/>
      <c r="R26" s="956"/>
      <c r="S26" s="956"/>
      <c r="T26" s="956"/>
      <c r="U26" s="956"/>
      <c r="V26" s="956"/>
      <c r="W26" s="956"/>
      <c r="X26" s="956"/>
      <c r="Y26" s="956"/>
      <c r="Z26" s="956"/>
      <c r="AA26" s="956"/>
      <c r="AB26" s="956"/>
      <c r="AC26" s="210"/>
      <c r="AD26" s="968" t="s">
        <v>178</v>
      </c>
      <c r="AE26" s="969"/>
      <c r="AF26" s="969"/>
      <c r="AG26" s="969"/>
      <c r="AH26" s="969"/>
      <c r="AI26" s="969"/>
      <c r="AJ26" s="969"/>
      <c r="AK26" s="969"/>
      <c r="AL26" s="969"/>
      <c r="AM26" s="969"/>
      <c r="AN26" s="969"/>
      <c r="AO26" s="969"/>
      <c r="AP26" s="969"/>
      <c r="AQ26" s="969"/>
      <c r="AR26" s="969"/>
      <c r="AS26" s="969"/>
      <c r="AT26" s="969"/>
      <c r="AU26" s="969"/>
      <c r="AV26" s="969"/>
      <c r="AW26" s="969"/>
      <c r="AX26" s="969"/>
      <c r="AY26" s="969"/>
      <c r="AZ26" s="969"/>
      <c r="BA26" s="969"/>
      <c r="BB26" s="220"/>
      <c r="BC26" s="220"/>
      <c r="BD26" s="220"/>
      <c r="BE26" s="220"/>
      <c r="BF26" s="220"/>
      <c r="BG26" s="31"/>
      <c r="BH26" s="32"/>
      <c r="BI26" s="32"/>
      <c r="BJ26" s="32"/>
      <c r="BK26" s="32"/>
      <c r="BL26" s="32"/>
      <c r="BM26" s="32"/>
      <c r="BN26" s="32"/>
      <c r="BO26" s="210"/>
      <c r="BP26" s="210"/>
      <c r="BQ26" s="210"/>
      <c r="BR26" s="210"/>
      <c r="BS26" s="210"/>
      <c r="BT26" s="210"/>
      <c r="BU26" s="210"/>
      <c r="BV26" s="210"/>
      <c r="BW26" s="210"/>
      <c r="BX26" s="32"/>
      <c r="BY26" s="32"/>
    </row>
    <row r="27" spans="1:81" s="207" customFormat="1" ht="15">
      <c r="A27" s="904" t="s">
        <v>240</v>
      </c>
      <c r="B27" s="892"/>
      <c r="C27" s="892"/>
      <c r="D27" s="892"/>
      <c r="E27" s="892"/>
      <c r="F27" s="892"/>
      <c r="G27" s="892"/>
      <c r="H27" s="892"/>
      <c r="I27" s="892"/>
      <c r="J27" s="892"/>
      <c r="K27" s="892"/>
      <c r="L27" s="892"/>
      <c r="M27" s="952">
        <f>Smart!AQ32</f>
        <v>1.8</v>
      </c>
      <c r="N27" s="952"/>
      <c r="O27" s="952"/>
      <c r="P27" s="952"/>
      <c r="Q27" s="905" t="s">
        <v>52</v>
      </c>
      <c r="R27" s="905"/>
      <c r="S27" s="890"/>
      <c r="T27" s="906"/>
      <c r="U27" s="889" t="str">
        <f>"("&amp;ROUND(M27*0.2248089431,2)&amp;" lbs)"</f>
        <v>(0.4 lbs)</v>
      </c>
      <c r="V27" s="896"/>
      <c r="W27" s="896"/>
      <c r="X27" s="896"/>
      <c r="Y27" s="896"/>
      <c r="Z27" s="896"/>
      <c r="AA27" s="896"/>
      <c r="AB27" s="896"/>
      <c r="AC27" s="34"/>
      <c r="AD27" s="204" t="s">
        <v>181</v>
      </c>
      <c r="AE27" s="222"/>
      <c r="AF27" s="222"/>
      <c r="AG27" s="222"/>
      <c r="AH27" s="222"/>
      <c r="AI27" s="222"/>
      <c r="AJ27" s="222"/>
      <c r="AK27" s="222"/>
      <c r="AL27" s="953" t="str">
        <f>Smart!I16</f>
        <v>S080D</v>
      </c>
      <c r="AM27" s="953"/>
      <c r="AN27" s="953"/>
      <c r="AO27" s="953"/>
      <c r="AP27" s="954"/>
      <c r="AQ27" s="953"/>
      <c r="AR27" s="953"/>
      <c r="AS27" s="953"/>
      <c r="AT27" s="34"/>
      <c r="AU27" s="34"/>
      <c r="AV27" s="34"/>
      <c r="AW27" s="34"/>
      <c r="AX27" s="34"/>
      <c r="AY27" s="34"/>
      <c r="AZ27" s="34"/>
      <c r="BA27" s="34"/>
      <c r="BB27" s="210"/>
      <c r="BC27" s="210"/>
      <c r="BD27" s="210"/>
      <c r="BE27" s="210"/>
      <c r="BF27" s="210"/>
      <c r="BG27" s="32"/>
      <c r="BH27" s="32"/>
      <c r="BI27" s="32"/>
      <c r="BJ27" s="32"/>
      <c r="BK27" s="32"/>
      <c r="BL27" s="32"/>
      <c r="BM27" s="32"/>
      <c r="BN27" s="32"/>
      <c r="BO27" s="210"/>
      <c r="BP27" s="210"/>
      <c r="BQ27" s="210"/>
      <c r="BR27" s="210"/>
      <c r="BS27" s="210"/>
      <c r="BT27" s="210"/>
      <c r="BU27" s="210"/>
      <c r="BV27" s="210"/>
      <c r="BW27" s="210"/>
      <c r="BX27" s="32"/>
      <c r="BY27" s="32"/>
      <c r="BZ27" s="32"/>
      <c r="CA27" s="32"/>
      <c r="CB27" s="32"/>
      <c r="CC27" s="32"/>
    </row>
    <row r="28" spans="1:81" s="207" customFormat="1">
      <c r="A28" s="902" t="s">
        <v>241</v>
      </c>
      <c r="B28" s="896"/>
      <c r="C28" s="896"/>
      <c r="D28" s="896"/>
      <c r="E28" s="896"/>
      <c r="F28" s="896"/>
      <c r="G28" s="896"/>
      <c r="H28" s="896"/>
      <c r="I28" s="896"/>
      <c r="J28" s="896"/>
      <c r="K28" s="896"/>
      <c r="L28" s="896"/>
      <c r="M28" s="903">
        <f>M27/M31</f>
        <v>0.84507042253521136</v>
      </c>
      <c r="N28" s="903"/>
      <c r="O28" s="903"/>
      <c r="P28" s="903"/>
      <c r="Q28" s="881" t="s">
        <v>183</v>
      </c>
      <c r="R28" s="909"/>
      <c r="S28" s="890"/>
      <c r="T28" s="906"/>
      <c r="U28" s="880"/>
      <c r="V28" s="893"/>
      <c r="W28" s="893"/>
      <c r="X28" s="893"/>
      <c r="Y28" s="893"/>
      <c r="Z28" s="893"/>
      <c r="AA28" s="896"/>
      <c r="AB28" s="896"/>
      <c r="AC28" s="34"/>
      <c r="AD28" s="34"/>
      <c r="AE28" s="895" t="s">
        <v>424</v>
      </c>
      <c r="AF28" s="896"/>
      <c r="AG28" s="896"/>
      <c r="AH28" s="896"/>
      <c r="AI28" s="896"/>
      <c r="AJ28" s="896"/>
      <c r="AK28" s="896"/>
      <c r="AL28" s="896"/>
      <c r="AM28" s="896"/>
      <c r="AN28" s="896"/>
      <c r="AO28" s="896"/>
      <c r="AP28" s="896"/>
      <c r="AQ28" s="896"/>
      <c r="AR28" s="892">
        <f>HLOOKUP($AL$27,Spec_Sheet!F3:CV18,11,FALSE)</f>
        <v>40</v>
      </c>
      <c r="AS28" s="892"/>
      <c r="AT28" s="892"/>
      <c r="AU28" s="892" t="s">
        <v>24</v>
      </c>
      <c r="AV28" s="892"/>
      <c r="AW28" s="889" t="str">
        <f>"("&amp;ROUND(AR28/25.4,2)&amp;" in)"</f>
        <v>(1.57 in)</v>
      </c>
      <c r="AX28" s="890"/>
      <c r="AY28" s="890"/>
      <c r="AZ28" s="890"/>
      <c r="BA28" s="890"/>
      <c r="BB28" s="210"/>
      <c r="BC28" s="210"/>
      <c r="BD28" s="210"/>
      <c r="BE28" s="210"/>
      <c r="BF28" s="210"/>
      <c r="BG28" s="32"/>
      <c r="BH28" s="32"/>
      <c r="BI28" s="32"/>
      <c r="BJ28" s="32"/>
      <c r="BK28" s="32"/>
      <c r="BL28" s="32"/>
      <c r="BM28" s="32"/>
      <c r="BN28" s="32"/>
      <c r="BO28" s="210"/>
      <c r="BP28" s="210"/>
      <c r="BQ28" s="210"/>
      <c r="BR28" s="210"/>
      <c r="BS28" s="210"/>
      <c r="BT28" s="210"/>
      <c r="BU28" s="210"/>
      <c r="BV28" s="210"/>
      <c r="BW28" s="210"/>
      <c r="BX28" s="32"/>
      <c r="BY28" s="32"/>
      <c r="BZ28" s="32"/>
      <c r="CA28" s="32"/>
      <c r="CB28" s="32"/>
      <c r="CC28" s="32"/>
    </row>
    <row r="29" spans="1:81" s="207" customFormat="1" ht="18" customHeight="1">
      <c r="A29" s="904" t="s">
        <v>137</v>
      </c>
      <c r="B29" s="896"/>
      <c r="C29" s="896"/>
      <c r="D29" s="896"/>
      <c r="E29" s="896"/>
      <c r="F29" s="896"/>
      <c r="G29" s="896"/>
      <c r="H29" s="896"/>
      <c r="I29" s="896"/>
      <c r="J29" s="896"/>
      <c r="K29" s="896"/>
      <c r="L29" s="896"/>
      <c r="M29" s="908">
        <f>Smart!AQ33</f>
        <v>14.943109512138239</v>
      </c>
      <c r="N29" s="908"/>
      <c r="O29" s="908"/>
      <c r="P29" s="908"/>
      <c r="Q29" s="905" t="s">
        <v>52</v>
      </c>
      <c r="R29" s="905"/>
      <c r="S29" s="890"/>
      <c r="T29" s="906"/>
      <c r="U29" s="889" t="str">
        <f>"("&amp;ROUND(M29*0.2248089431,2)&amp;" lbs)"</f>
        <v>(3.36 lbs)</v>
      </c>
      <c r="V29" s="896"/>
      <c r="W29" s="896"/>
      <c r="X29" s="896"/>
      <c r="Y29" s="896"/>
      <c r="Z29" s="896"/>
      <c r="AA29" s="896"/>
      <c r="AB29" s="896"/>
      <c r="AC29" s="34"/>
      <c r="AD29" s="34"/>
      <c r="AE29" s="897" t="s">
        <v>185</v>
      </c>
      <c r="AF29" s="896"/>
      <c r="AG29" s="896"/>
      <c r="AH29" s="896"/>
      <c r="AI29" s="896"/>
      <c r="AJ29" s="896"/>
      <c r="AK29" s="896"/>
      <c r="AL29" s="896"/>
      <c r="AM29" s="896"/>
      <c r="AN29" s="896"/>
      <c r="AO29" s="896"/>
      <c r="AP29" s="896"/>
      <c r="AQ29" s="896"/>
      <c r="AR29" s="893">
        <f>HLOOKUP($AL$27,Spec_Sheet!F3:CV18,12,FALSE)</f>
        <v>20</v>
      </c>
      <c r="AS29" s="893"/>
      <c r="AT29" s="893"/>
      <c r="AU29" s="893" t="s">
        <v>24</v>
      </c>
      <c r="AV29" s="893"/>
      <c r="AW29" s="880" t="str">
        <f>"("&amp;ROUND(AR29/25.4,2)&amp;" in)"</f>
        <v>(0.79 in)</v>
      </c>
      <c r="AX29" s="881"/>
      <c r="AY29" s="881"/>
      <c r="AZ29" s="881"/>
      <c r="BA29" s="881"/>
      <c r="BB29" s="210"/>
      <c r="BC29" s="210"/>
      <c r="BD29" s="210"/>
      <c r="BE29" s="210"/>
      <c r="BF29" s="210"/>
      <c r="BG29" s="32"/>
      <c r="BH29" s="32"/>
      <c r="BI29" s="33"/>
      <c r="BJ29" s="33"/>
      <c r="BK29" s="33"/>
      <c r="BL29" s="33"/>
      <c r="BM29" s="33"/>
      <c r="BN29" s="33"/>
      <c r="BO29" s="210"/>
      <c r="BP29" s="210"/>
      <c r="BQ29" s="210"/>
      <c r="BR29" s="210"/>
      <c r="BS29" s="216"/>
      <c r="BT29" s="210"/>
      <c r="BU29" s="210"/>
      <c r="BV29" s="210"/>
      <c r="BW29" s="210"/>
      <c r="BX29" s="33"/>
      <c r="BY29" s="33"/>
      <c r="BZ29" s="33"/>
      <c r="CA29" s="32"/>
      <c r="CB29" s="32"/>
      <c r="CC29" s="32"/>
    </row>
    <row r="30" spans="1:81" s="207" customFormat="1" ht="15">
      <c r="A30" s="902" t="s">
        <v>274</v>
      </c>
      <c r="B30" s="896"/>
      <c r="C30" s="896"/>
      <c r="D30" s="896"/>
      <c r="E30" s="896"/>
      <c r="F30" s="896"/>
      <c r="G30" s="896"/>
      <c r="H30" s="896"/>
      <c r="I30" s="896"/>
      <c r="J30" s="896"/>
      <c r="K30" s="896"/>
      <c r="L30" s="896"/>
      <c r="M30" s="903">
        <f>M29/M31</f>
        <v>7.0155443718958876</v>
      </c>
      <c r="N30" s="903"/>
      <c r="O30" s="903"/>
      <c r="P30" s="903"/>
      <c r="Q30" s="881" t="s">
        <v>183</v>
      </c>
      <c r="R30" s="909"/>
      <c r="S30" s="890"/>
      <c r="T30" s="906"/>
      <c r="U30" s="880"/>
      <c r="V30" s="893"/>
      <c r="W30" s="893"/>
      <c r="X30" s="893"/>
      <c r="Y30" s="893"/>
      <c r="Z30" s="893"/>
      <c r="AA30" s="896"/>
      <c r="AB30" s="896"/>
      <c r="AC30" s="34"/>
      <c r="AD30" s="34"/>
      <c r="AE30" s="895" t="s">
        <v>187</v>
      </c>
      <c r="AF30" s="896"/>
      <c r="AG30" s="896"/>
      <c r="AH30" s="896"/>
      <c r="AI30" s="896"/>
      <c r="AJ30" s="896"/>
      <c r="AK30" s="896"/>
      <c r="AL30" s="896"/>
      <c r="AM30" s="896"/>
      <c r="AN30" s="896"/>
      <c r="AO30" s="896"/>
      <c r="AP30" s="896"/>
      <c r="AQ30" s="896"/>
      <c r="AR30" s="892">
        <f>HLOOKUP($AL$27,Spec_Sheet!F3:CV37,26,FALSE)</f>
        <v>20</v>
      </c>
      <c r="AS30" s="892"/>
      <c r="AT30" s="892"/>
      <c r="AU30" s="892" t="s">
        <v>24</v>
      </c>
      <c r="AV30" s="892"/>
      <c r="AW30" s="889" t="str">
        <f>"("&amp;ROUND(AR30/25.4,2)&amp;" in)"</f>
        <v>(0.79 in)</v>
      </c>
      <c r="AX30" s="890"/>
      <c r="AY30" s="890"/>
      <c r="AZ30" s="890"/>
      <c r="BA30" s="890"/>
      <c r="BB30" s="210"/>
      <c r="BC30" s="210"/>
      <c r="BD30" s="210"/>
      <c r="BE30" s="210"/>
      <c r="BF30" s="210"/>
      <c r="BG30" s="32"/>
      <c r="BH30" s="32"/>
      <c r="BI30" s="33"/>
      <c r="BJ30" s="33"/>
      <c r="BK30" s="33"/>
      <c r="BL30" s="33"/>
      <c r="BM30" s="33"/>
      <c r="BN30" s="33"/>
      <c r="BO30" s="210"/>
      <c r="BP30" s="210"/>
      <c r="BQ30" s="210"/>
      <c r="BR30" s="210"/>
      <c r="BS30" s="224"/>
      <c r="BT30" s="210"/>
      <c r="BU30" s="210"/>
      <c r="BV30" s="210"/>
      <c r="BW30" s="210"/>
      <c r="BX30" s="33"/>
      <c r="BY30" s="33"/>
      <c r="BZ30" s="33"/>
      <c r="CA30" s="32"/>
      <c r="CB30" s="32"/>
      <c r="CC30" s="32"/>
    </row>
    <row r="31" spans="1:81" s="207" customFormat="1" ht="15">
      <c r="A31" s="904" t="s">
        <v>188</v>
      </c>
      <c r="B31" s="896"/>
      <c r="C31" s="896"/>
      <c r="D31" s="896" t="s">
        <v>189</v>
      </c>
      <c r="E31" s="896"/>
      <c r="F31" s="896"/>
      <c r="G31" s="896"/>
      <c r="H31" s="896"/>
      <c r="I31" s="896"/>
      <c r="J31" s="896"/>
      <c r="K31" s="896"/>
      <c r="L31" s="896"/>
      <c r="M31" s="908">
        <f>Smart!AQ34</f>
        <v>2.13</v>
      </c>
      <c r="N31" s="892"/>
      <c r="O31" s="892"/>
      <c r="P31" s="892"/>
      <c r="Q31" s="905" t="s">
        <v>190</v>
      </c>
      <c r="R31" s="905"/>
      <c r="S31" s="890"/>
      <c r="T31" s="906"/>
      <c r="U31" s="889" t="str">
        <f>"("&amp;ROUND(M31*0.2248089431,2)&amp;" lbs/Arms)"</f>
        <v>(0.48 lbs/Arms)</v>
      </c>
      <c r="V31" s="896"/>
      <c r="W31" s="896"/>
      <c r="X31" s="896"/>
      <c r="Y31" s="896"/>
      <c r="Z31" s="896"/>
      <c r="AA31" s="896"/>
      <c r="AB31" s="896"/>
      <c r="AC31" s="34"/>
      <c r="AD31" s="34"/>
      <c r="AE31" s="897" t="s">
        <v>80</v>
      </c>
      <c r="AF31" s="896"/>
      <c r="AG31" s="896"/>
      <c r="AH31" s="896"/>
      <c r="AI31" s="896"/>
      <c r="AJ31" s="896"/>
      <c r="AK31" s="896"/>
      <c r="AL31" s="896"/>
      <c r="AM31" s="896"/>
      <c r="AN31" s="896"/>
      <c r="AO31" s="896"/>
      <c r="AP31" s="896"/>
      <c r="AQ31" s="896"/>
      <c r="AR31" s="893">
        <f>HLOOKUP($AL$27,Spec_Sheet!F3:CV37,27,FALSE)</f>
        <v>34</v>
      </c>
      <c r="AS31" s="893"/>
      <c r="AT31" s="893"/>
      <c r="AU31" s="893" t="s">
        <v>24</v>
      </c>
      <c r="AV31" s="893"/>
      <c r="AW31" s="880" t="str">
        <f>"("&amp;ROUND(AR31/25.4,2)&amp;" in)"</f>
        <v>(1.34 in)</v>
      </c>
      <c r="AX31" s="881"/>
      <c r="AY31" s="881"/>
      <c r="AZ31" s="881"/>
      <c r="BA31" s="881"/>
      <c r="BB31" s="210"/>
      <c r="BC31" s="210"/>
      <c r="BD31" s="210"/>
      <c r="BE31" s="210"/>
      <c r="BF31" s="210"/>
      <c r="BG31" s="32"/>
      <c r="BH31" s="32"/>
      <c r="BI31" s="33"/>
      <c r="BJ31" s="33"/>
      <c r="BK31" s="33"/>
      <c r="BL31" s="33"/>
      <c r="BM31" s="33"/>
      <c r="BN31" s="33"/>
      <c r="BO31" s="210"/>
      <c r="BP31" s="210"/>
      <c r="BQ31" s="210"/>
      <c r="BR31" s="210"/>
      <c r="BS31" s="225"/>
      <c r="BT31" s="210"/>
      <c r="BU31" s="210"/>
      <c r="BV31" s="210"/>
      <c r="BW31" s="210"/>
      <c r="BX31" s="33"/>
      <c r="BY31" s="33"/>
      <c r="BZ31" s="33"/>
      <c r="CA31" s="32"/>
      <c r="CB31" s="32"/>
      <c r="CC31" s="32"/>
    </row>
    <row r="32" spans="1:81" s="207" customFormat="1" ht="15">
      <c r="A32" s="902" t="s">
        <v>59</v>
      </c>
      <c r="B32" s="896"/>
      <c r="C32" s="896"/>
      <c r="D32" s="896"/>
      <c r="E32" s="896"/>
      <c r="F32" s="896"/>
      <c r="G32" s="896"/>
      <c r="H32" s="896"/>
      <c r="I32" s="896"/>
      <c r="J32" s="896"/>
      <c r="K32" s="896"/>
      <c r="L32" s="896"/>
      <c r="M32" s="961">
        <f>Smart!AQ36</f>
        <v>1.42</v>
      </c>
      <c r="N32" s="941"/>
      <c r="O32" s="941"/>
      <c r="P32" s="941"/>
      <c r="Q32" s="881" t="s">
        <v>60</v>
      </c>
      <c r="R32" s="909"/>
      <c r="S32" s="890"/>
      <c r="T32" s="906"/>
      <c r="U32" s="880" t="str">
        <f>"("&amp;ROUND(M32*0.0254,2)&amp;" V/in/s)"</f>
        <v>(0.04 V/in/s)</v>
      </c>
      <c r="V32" s="893"/>
      <c r="W32" s="893"/>
      <c r="X32" s="893"/>
      <c r="Y32" s="893"/>
      <c r="Z32" s="893"/>
      <c r="AA32" s="896"/>
      <c r="AB32" s="896"/>
      <c r="AC32" s="34"/>
      <c r="AD32" s="34"/>
      <c r="AE32" s="895" t="s">
        <v>81</v>
      </c>
      <c r="AF32" s="896"/>
      <c r="AG32" s="896"/>
      <c r="AH32" s="896"/>
      <c r="AI32" s="896"/>
      <c r="AJ32" s="896"/>
      <c r="AK32" s="896"/>
      <c r="AL32" s="896"/>
      <c r="AM32" s="896"/>
      <c r="AN32" s="896"/>
      <c r="AO32" s="896"/>
      <c r="AP32" s="896"/>
      <c r="AQ32" s="896"/>
      <c r="AR32" s="892">
        <f>HLOOKUP($AL$27,Spec_Sheet!F3:CV37,28,FALSE)</f>
        <v>10</v>
      </c>
      <c r="AS32" s="892"/>
      <c r="AT32" s="892"/>
      <c r="AU32" s="892" t="s">
        <v>24</v>
      </c>
      <c r="AV32" s="892"/>
      <c r="AW32" s="889" t="str">
        <f>"("&amp;ROUND(AR32/25.4,2)&amp;" in)"</f>
        <v>(0.39 in)</v>
      </c>
      <c r="AX32" s="890"/>
      <c r="AY32" s="890"/>
      <c r="AZ32" s="890"/>
      <c r="BA32" s="890"/>
      <c r="BB32" s="210"/>
      <c r="BC32" s="210"/>
      <c r="BD32" s="210"/>
      <c r="BE32" s="210"/>
      <c r="BF32" s="210"/>
      <c r="BG32" s="32"/>
      <c r="BH32" s="32"/>
      <c r="BI32" s="33"/>
      <c r="BJ32" s="33"/>
      <c r="BK32" s="33"/>
      <c r="BL32" s="33"/>
      <c r="BM32" s="33"/>
      <c r="BN32" s="33"/>
      <c r="BO32" s="210"/>
      <c r="BP32" s="210"/>
      <c r="BQ32" s="210"/>
      <c r="BR32" s="210"/>
      <c r="BS32" s="225"/>
      <c r="BT32" s="210"/>
      <c r="BU32" s="210"/>
      <c r="BV32" s="210"/>
      <c r="BW32" s="210"/>
      <c r="BX32" s="33"/>
      <c r="BY32" s="33"/>
      <c r="BZ32" s="33"/>
      <c r="CA32" s="32"/>
      <c r="CB32" s="32"/>
      <c r="CC32" s="32"/>
    </row>
    <row r="33" spans="1:81" s="207" customFormat="1" ht="15">
      <c r="A33" s="904" t="s">
        <v>449</v>
      </c>
      <c r="B33" s="896"/>
      <c r="C33" s="896"/>
      <c r="D33" s="896"/>
      <c r="E33" s="896"/>
      <c r="F33" s="896"/>
      <c r="G33" s="896"/>
      <c r="H33" s="896"/>
      <c r="I33" s="896"/>
      <c r="J33" s="896"/>
      <c r="K33" s="896"/>
      <c r="L33" s="896"/>
      <c r="M33" s="908">
        <f>Smart!AQ39</f>
        <v>4.7</v>
      </c>
      <c r="N33" s="892"/>
      <c r="O33" s="892"/>
      <c r="P33" s="892"/>
      <c r="Q33" s="905" t="s">
        <v>62</v>
      </c>
      <c r="R33" s="905"/>
      <c r="S33" s="890"/>
      <c r="T33" s="906"/>
      <c r="U33" s="889"/>
      <c r="V33" s="896"/>
      <c r="W33" s="896"/>
      <c r="X33" s="896"/>
      <c r="Y33" s="896"/>
      <c r="Z33" s="896"/>
      <c r="AA33" s="896"/>
      <c r="AB33" s="896"/>
      <c r="AC33" s="34"/>
      <c r="AD33" s="34"/>
      <c r="AE33" s="897" t="s">
        <v>7</v>
      </c>
      <c r="AF33" s="896"/>
      <c r="AG33" s="896"/>
      <c r="AH33" s="896"/>
      <c r="AI33" s="896"/>
      <c r="AJ33" s="896"/>
      <c r="AK33" s="896"/>
      <c r="AL33" s="896"/>
      <c r="AM33" s="896"/>
      <c r="AN33" s="896"/>
      <c r="AO33" s="896"/>
      <c r="AP33" s="896"/>
      <c r="AQ33" s="896"/>
      <c r="AR33" s="893">
        <f>Smart!AQ42</f>
        <v>0.05</v>
      </c>
      <c r="AS33" s="893"/>
      <c r="AT33" s="893"/>
      <c r="AU33" s="893" t="s">
        <v>11</v>
      </c>
      <c r="AV33" s="893"/>
      <c r="AW33" s="880" t="str">
        <f>"("&amp;ROUND(AR33*2.204622622,2)&amp;" lbs)"</f>
        <v>(0.11 lbs)</v>
      </c>
      <c r="AX33" s="881"/>
      <c r="AY33" s="881"/>
      <c r="AZ33" s="881"/>
      <c r="BA33" s="881"/>
      <c r="BB33" s="210"/>
      <c r="BC33" s="210"/>
      <c r="BD33" s="210"/>
      <c r="BE33" s="210"/>
      <c r="BF33" s="210"/>
      <c r="BG33" s="32"/>
      <c r="BH33" s="32"/>
      <c r="BI33" s="33"/>
      <c r="BJ33" s="33"/>
      <c r="BK33" s="33"/>
      <c r="BL33" s="33"/>
      <c r="BM33" s="33"/>
      <c r="BN33" s="33"/>
      <c r="BO33" s="210"/>
      <c r="BP33" s="210"/>
      <c r="BQ33" s="210"/>
      <c r="BR33" s="210"/>
      <c r="BS33" s="225"/>
      <c r="BT33" s="210"/>
      <c r="BU33" s="210"/>
      <c r="BV33" s="210"/>
      <c r="BW33" s="210"/>
      <c r="BX33" s="33"/>
      <c r="BY33" s="33"/>
      <c r="BZ33" s="33"/>
      <c r="CA33" s="32"/>
      <c r="CB33" s="32"/>
      <c r="CC33" s="32"/>
    </row>
    <row r="34" spans="1:81" s="207" customFormat="1" ht="15">
      <c r="A34" s="902" t="s">
        <v>450</v>
      </c>
      <c r="B34" s="896"/>
      <c r="C34" s="896"/>
      <c r="D34" s="896"/>
      <c r="E34" s="896"/>
      <c r="F34" s="896"/>
      <c r="G34" s="896"/>
      <c r="H34" s="896"/>
      <c r="I34" s="896"/>
      <c r="J34" s="896"/>
      <c r="K34" s="896"/>
      <c r="L34" s="896"/>
      <c r="M34" s="903">
        <f>Smart!AQ37</f>
        <v>0.7</v>
      </c>
      <c r="N34" s="903"/>
      <c r="O34" s="903"/>
      <c r="P34" s="903"/>
      <c r="Q34" s="881" t="s">
        <v>64</v>
      </c>
      <c r="R34" s="909"/>
      <c r="S34" s="890"/>
      <c r="T34" s="906"/>
      <c r="U34" s="880"/>
      <c r="V34" s="893"/>
      <c r="W34" s="893"/>
      <c r="X34" s="893"/>
      <c r="Y34" s="893"/>
      <c r="Z34" s="893"/>
      <c r="AA34" s="896"/>
      <c r="AB34" s="896"/>
      <c r="AC34" s="34"/>
      <c r="AD34" s="34"/>
      <c r="AE34" s="895" t="s">
        <v>194</v>
      </c>
      <c r="AF34" s="896"/>
      <c r="AG34" s="896"/>
      <c r="AH34" s="896"/>
      <c r="AI34" s="896"/>
      <c r="AJ34" s="896"/>
      <c r="AK34" s="896"/>
      <c r="AL34" s="896"/>
      <c r="AM34" s="896"/>
      <c r="AN34" s="896"/>
      <c r="AO34" s="896"/>
      <c r="AP34" s="896"/>
      <c r="AQ34" s="896"/>
      <c r="AR34" s="892">
        <f>AR37+(AR35*2)</f>
        <v>9</v>
      </c>
      <c r="AS34" s="892"/>
      <c r="AT34" s="892"/>
      <c r="AU34" s="892" t="s">
        <v>24</v>
      </c>
      <c r="AV34" s="892"/>
      <c r="AW34" s="889" t="str">
        <f>"("&amp;ROUND(AR34/25.4,2)&amp;" in)"</f>
        <v>(0.35 in)</v>
      </c>
      <c r="AX34" s="890"/>
      <c r="AY34" s="890"/>
      <c r="AZ34" s="890"/>
      <c r="BA34" s="890"/>
      <c r="BB34" s="210"/>
      <c r="BC34" s="210"/>
      <c r="BD34" s="210"/>
      <c r="BE34" s="210"/>
      <c r="BF34" s="210"/>
      <c r="BG34" s="32"/>
      <c r="BH34" s="32"/>
      <c r="BI34" s="33"/>
      <c r="BJ34" s="33"/>
      <c r="BK34" s="33"/>
      <c r="BL34" s="33"/>
      <c r="BM34" s="33"/>
      <c r="BN34" s="33"/>
      <c r="BO34" s="210"/>
      <c r="BP34" s="210"/>
      <c r="BQ34" s="210"/>
      <c r="BR34" s="210"/>
      <c r="BS34" s="225"/>
      <c r="BT34" s="210"/>
      <c r="BU34" s="210"/>
      <c r="BV34" s="210"/>
      <c r="BW34" s="210"/>
      <c r="BX34" s="33"/>
      <c r="BY34" s="33"/>
      <c r="BZ34" s="33"/>
      <c r="CA34" s="32"/>
      <c r="CB34" s="32"/>
      <c r="CC34" s="32"/>
    </row>
    <row r="35" spans="1:81" s="207" customFormat="1" ht="25.5" customHeight="1">
      <c r="A35" s="904" t="s">
        <v>195</v>
      </c>
      <c r="B35" s="896"/>
      <c r="C35" s="896"/>
      <c r="D35" s="896"/>
      <c r="E35" s="896"/>
      <c r="F35" s="896"/>
      <c r="G35" s="896"/>
      <c r="H35" s="896"/>
      <c r="I35" s="896"/>
      <c r="J35" s="896"/>
      <c r="K35" s="896"/>
      <c r="L35" s="896"/>
      <c r="M35" s="907">
        <f>Smart!AQ40</f>
        <v>30</v>
      </c>
      <c r="N35" s="896"/>
      <c r="O35" s="896"/>
      <c r="P35" s="896"/>
      <c r="Q35" s="905" t="s">
        <v>24</v>
      </c>
      <c r="R35" s="905"/>
      <c r="S35" s="890"/>
      <c r="T35" s="906"/>
      <c r="U35" s="889" t="str">
        <f>"("&amp;ROUND(M35/25.4,2)&amp;" in)"</f>
        <v>(1.18 in)</v>
      </c>
      <c r="V35" s="896"/>
      <c r="W35" s="896"/>
      <c r="X35" s="896"/>
      <c r="Y35" s="896"/>
      <c r="Z35" s="896"/>
      <c r="AA35" s="896"/>
      <c r="AB35" s="896"/>
      <c r="AC35" s="34"/>
      <c r="AD35" s="34"/>
      <c r="AE35" s="897" t="s">
        <v>71</v>
      </c>
      <c r="AF35" s="896"/>
      <c r="AG35" s="896"/>
      <c r="AH35" s="896"/>
      <c r="AI35" s="896"/>
      <c r="AJ35" s="896"/>
      <c r="AK35" s="896"/>
      <c r="AL35" s="896"/>
      <c r="AM35" s="896"/>
      <c r="AN35" s="896"/>
      <c r="AO35" s="896"/>
      <c r="AP35" s="896"/>
      <c r="AQ35" s="896"/>
      <c r="AR35" s="893">
        <f>HLOOKUP($AL$27,Spec_Sheet!F3:CV18,14,FALSE)</f>
        <v>0.5</v>
      </c>
      <c r="AS35" s="893"/>
      <c r="AT35" s="893"/>
      <c r="AU35" s="893" t="s">
        <v>24</v>
      </c>
      <c r="AV35" s="893"/>
      <c r="AW35" s="880" t="str">
        <f>"("&amp;ROUND(AR35/25.4,2)&amp;" in)"</f>
        <v>(0.02 in)</v>
      </c>
      <c r="AX35" s="881"/>
      <c r="AY35" s="881"/>
      <c r="AZ35" s="881"/>
      <c r="BA35" s="881"/>
      <c r="BB35" s="210"/>
      <c r="BC35" s="210"/>
      <c r="BD35" s="210"/>
      <c r="BE35" s="210"/>
      <c r="BF35" s="210"/>
      <c r="BG35" s="32"/>
      <c r="BH35" s="32"/>
      <c r="BI35" s="33"/>
      <c r="BJ35" s="33"/>
      <c r="BK35" s="33"/>
      <c r="BL35" s="33"/>
      <c r="BM35" s="33"/>
      <c r="BN35" s="33"/>
      <c r="BO35" s="210"/>
      <c r="BP35" s="210"/>
      <c r="BQ35" s="210"/>
      <c r="BR35" s="210"/>
      <c r="BS35" s="210"/>
      <c r="BT35" s="210"/>
      <c r="BU35" s="210"/>
      <c r="BV35" s="210"/>
      <c r="BW35" s="210"/>
      <c r="BX35" s="33"/>
      <c r="BY35" s="33"/>
      <c r="BZ35" s="33"/>
      <c r="CA35" s="32"/>
      <c r="CB35" s="32"/>
      <c r="CC35" s="32"/>
    </row>
    <row r="36" spans="1:81" s="207" customFormat="1" ht="15" customHeight="1">
      <c r="A36" s="221"/>
      <c r="B36" s="226"/>
      <c r="C36" s="226"/>
      <c r="D36" s="227"/>
      <c r="E36" s="228"/>
      <c r="F36" s="228"/>
      <c r="G36" s="229"/>
      <c r="H36" s="229"/>
      <c r="I36" s="34"/>
      <c r="J36" s="34"/>
      <c r="K36" s="34"/>
      <c r="L36" s="34"/>
      <c r="M36" s="34"/>
      <c r="N36" s="34"/>
      <c r="O36" s="34"/>
      <c r="P36" s="34"/>
      <c r="Q36" s="34"/>
      <c r="R36" s="34"/>
      <c r="S36" s="34"/>
      <c r="T36" s="34"/>
      <c r="U36" s="34"/>
      <c r="V36" s="34"/>
      <c r="W36" s="34"/>
      <c r="X36" s="34"/>
      <c r="Y36" s="34"/>
      <c r="Z36" s="34"/>
      <c r="AA36" s="34"/>
      <c r="AB36" s="34"/>
      <c r="AC36" s="34"/>
      <c r="AD36" s="204" t="s">
        <v>196</v>
      </c>
      <c r="AE36" s="222"/>
      <c r="AF36" s="222"/>
      <c r="AG36" s="222"/>
      <c r="AH36" s="899" t="str">
        <f>AL27&amp;"-"&amp;AR38&amp;" Shaft"</f>
        <v>S080D-25 Shaft</v>
      </c>
      <c r="AI36" s="899"/>
      <c r="AJ36" s="899"/>
      <c r="AK36" s="899"/>
      <c r="AL36" s="899"/>
      <c r="AM36" s="900"/>
      <c r="AN36" s="900"/>
      <c r="AO36" s="900"/>
      <c r="AP36" s="900"/>
      <c r="AQ36" s="900"/>
      <c r="AR36" s="901"/>
      <c r="AS36" s="901"/>
      <c r="AT36" s="901"/>
      <c r="AU36" s="34"/>
      <c r="AV36" s="34"/>
      <c r="AW36" s="34"/>
      <c r="AX36" s="34"/>
      <c r="AY36" s="34"/>
      <c r="AZ36" s="34"/>
      <c r="BA36" s="34"/>
      <c r="BB36" s="210"/>
      <c r="BC36" s="210"/>
      <c r="BD36" s="210"/>
      <c r="BE36" s="210"/>
      <c r="BF36" s="210"/>
      <c r="BG36" s="32"/>
      <c r="BH36" s="32"/>
      <c r="BI36" s="33"/>
      <c r="BJ36" s="33"/>
      <c r="BK36" s="33"/>
      <c r="BL36" s="33"/>
      <c r="BM36" s="33"/>
      <c r="BN36" s="33"/>
      <c r="BO36" s="210"/>
      <c r="BP36" s="210"/>
      <c r="BQ36" s="210"/>
      <c r="BR36" s="210"/>
      <c r="BS36" s="210"/>
      <c r="BT36" s="210"/>
      <c r="BU36" s="210"/>
      <c r="BV36" s="210"/>
      <c r="BW36" s="210"/>
      <c r="BX36" s="33"/>
      <c r="BY36" s="33"/>
      <c r="BZ36" s="33"/>
      <c r="CA36" s="32"/>
      <c r="CB36" s="32"/>
      <c r="CC36" s="32"/>
    </row>
    <row r="37" spans="1:81" s="207" customFormat="1" ht="18">
      <c r="A37" s="912" t="s">
        <v>198</v>
      </c>
      <c r="B37" s="964"/>
      <c r="C37" s="964"/>
      <c r="D37" s="964"/>
      <c r="E37" s="964"/>
      <c r="F37" s="964"/>
      <c r="G37" s="964"/>
      <c r="H37" s="964"/>
      <c r="I37" s="964"/>
      <c r="J37" s="964"/>
      <c r="K37" s="964"/>
      <c r="L37" s="964"/>
      <c r="M37" s="964"/>
      <c r="N37" s="964"/>
      <c r="O37" s="964"/>
      <c r="P37" s="964"/>
      <c r="Q37" s="964"/>
      <c r="R37" s="964"/>
      <c r="S37" s="964"/>
      <c r="T37" s="964"/>
      <c r="U37" s="964"/>
      <c r="V37" s="964"/>
      <c r="W37" s="964"/>
      <c r="X37" s="964"/>
      <c r="Y37" s="964"/>
      <c r="Z37" s="964"/>
      <c r="AA37" s="964"/>
      <c r="AB37" s="964"/>
      <c r="AC37" s="35"/>
      <c r="AD37" s="35" t="e">
        <f>HLOOKUP($AL$27,Spec_Sheet!P3:CD44,54,FALSE)</f>
        <v>#REF!</v>
      </c>
      <c r="AE37" s="895" t="s">
        <v>199</v>
      </c>
      <c r="AF37" s="896"/>
      <c r="AG37" s="896"/>
      <c r="AH37" s="896"/>
      <c r="AI37" s="896"/>
      <c r="AJ37" s="896"/>
      <c r="AK37" s="896"/>
      <c r="AL37" s="896"/>
      <c r="AM37" s="896"/>
      <c r="AN37" s="896"/>
      <c r="AO37" s="896"/>
      <c r="AP37" s="896"/>
      <c r="AQ37" s="896"/>
      <c r="AR37" s="892">
        <f>HLOOKUP($AL$27,Spec_Sheet!F3:CV18,15,FALSE)</f>
        <v>8</v>
      </c>
      <c r="AS37" s="892"/>
      <c r="AT37" s="892"/>
      <c r="AU37" s="892" t="s">
        <v>24</v>
      </c>
      <c r="AV37" s="892"/>
      <c r="AW37" s="889" t="str">
        <f>"("&amp;ROUND(AR37/25.4,2)&amp;" in)"</f>
        <v>(0.31 in)</v>
      </c>
      <c r="AX37" s="890"/>
      <c r="AY37" s="890"/>
      <c r="AZ37" s="890"/>
      <c r="BA37" s="890"/>
      <c r="BB37" s="210"/>
      <c r="BC37" s="210"/>
      <c r="BD37" s="210"/>
      <c r="BE37" s="210"/>
      <c r="BF37" s="210"/>
      <c r="BG37" s="32"/>
      <c r="BH37" s="32"/>
      <c r="BI37" s="33"/>
      <c r="BJ37" s="33"/>
      <c r="BK37" s="33"/>
      <c r="BL37" s="33"/>
      <c r="BM37" s="33"/>
      <c r="BN37" s="33"/>
      <c r="BO37" s="210"/>
      <c r="BP37" s="210"/>
      <c r="BQ37" s="210"/>
      <c r="BR37" s="210"/>
      <c r="BS37" s="225"/>
      <c r="BT37" s="210"/>
      <c r="BU37" s="210"/>
      <c r="BV37" s="210"/>
      <c r="BW37" s="210"/>
      <c r="BX37" s="33"/>
      <c r="BY37" s="33"/>
      <c r="BZ37" s="33"/>
      <c r="CA37" s="32"/>
      <c r="CB37" s="32"/>
      <c r="CC37" s="32"/>
    </row>
    <row r="38" spans="1:81" s="207" customFormat="1" ht="15">
      <c r="A38" s="895" t="s">
        <v>200</v>
      </c>
      <c r="B38" s="896"/>
      <c r="C38" s="896"/>
      <c r="D38" s="896"/>
      <c r="E38" s="896"/>
      <c r="F38" s="896"/>
      <c r="G38" s="896"/>
      <c r="H38" s="896"/>
      <c r="I38" s="896"/>
      <c r="J38" s="896"/>
      <c r="K38" s="896"/>
      <c r="L38" s="896"/>
      <c r="M38" s="896"/>
      <c r="N38" s="896"/>
      <c r="O38" s="965" t="s">
        <v>201</v>
      </c>
      <c r="P38" s="896"/>
      <c r="Q38" s="896"/>
      <c r="R38" s="896"/>
      <c r="S38" s="896"/>
      <c r="T38" s="896"/>
      <c r="U38" s="889" t="s">
        <v>202</v>
      </c>
      <c r="V38" s="890"/>
      <c r="W38" s="890"/>
      <c r="X38" s="890"/>
      <c r="Y38" s="890"/>
      <c r="Z38" s="890"/>
      <c r="AA38" s="890"/>
      <c r="AB38" s="890"/>
      <c r="AC38" s="34"/>
      <c r="AD38" s="34"/>
      <c r="AE38" s="897" t="s">
        <v>426</v>
      </c>
      <c r="AF38" s="896"/>
      <c r="AG38" s="896"/>
      <c r="AH38" s="896"/>
      <c r="AI38" s="896"/>
      <c r="AJ38" s="896"/>
      <c r="AK38" s="896"/>
      <c r="AL38" s="896"/>
      <c r="AM38" s="896"/>
      <c r="AN38" s="896"/>
      <c r="AO38" s="896"/>
      <c r="AP38" s="896"/>
      <c r="AQ38" s="896"/>
      <c r="AR38" s="893">
        <f>Smart!AC50</f>
        <v>25</v>
      </c>
      <c r="AS38" s="893"/>
      <c r="AT38" s="893"/>
      <c r="AU38" s="893" t="s">
        <v>24</v>
      </c>
      <c r="AV38" s="893"/>
      <c r="AW38" s="880" t="str">
        <f>"("&amp;ROUND(AR38/25.4,2)&amp;" in)"</f>
        <v>(0.98 in)</v>
      </c>
      <c r="AX38" s="881"/>
      <c r="AY38" s="881"/>
      <c r="AZ38" s="881"/>
      <c r="BA38" s="881"/>
      <c r="BB38" s="210"/>
      <c r="BC38" s="210"/>
      <c r="BD38" s="210"/>
      <c r="BE38" s="210"/>
      <c r="BF38" s="210"/>
      <c r="BG38" s="32"/>
      <c r="BH38" s="32"/>
      <c r="BI38" s="32"/>
      <c r="BJ38" s="32"/>
      <c r="BK38" s="32"/>
      <c r="BL38" s="32"/>
      <c r="BM38" s="32"/>
      <c r="BN38" s="32"/>
      <c r="BO38" s="210"/>
      <c r="BP38" s="210"/>
      <c r="BQ38" s="210"/>
      <c r="BR38" s="210"/>
      <c r="BS38" s="225"/>
      <c r="BT38" s="210"/>
      <c r="BU38" s="210"/>
      <c r="BV38" s="210"/>
      <c r="BW38" s="210"/>
      <c r="BX38" s="32"/>
      <c r="BY38" s="32"/>
      <c r="BZ38" s="32"/>
      <c r="CA38" s="32"/>
      <c r="CB38" s="32"/>
      <c r="CC38" s="32"/>
    </row>
    <row r="39" spans="1:81" s="207" customFormat="1">
      <c r="A39" s="897" t="s">
        <v>203</v>
      </c>
      <c r="B39" s="893"/>
      <c r="C39" s="893"/>
      <c r="D39" s="893"/>
      <c r="E39" s="893"/>
      <c r="F39" s="893"/>
      <c r="G39" s="893"/>
      <c r="H39" s="893"/>
      <c r="I39" s="893"/>
      <c r="J39" s="893"/>
      <c r="K39" s="893"/>
      <c r="L39" s="893"/>
      <c r="M39" s="966" t="s">
        <v>267</v>
      </c>
      <c r="N39" s="893"/>
      <c r="O39" s="967">
        <f>Smart!AQ38</f>
        <v>33.200000000000003</v>
      </c>
      <c r="P39" s="881"/>
      <c r="Q39" s="881"/>
      <c r="R39" s="881"/>
      <c r="S39" s="893"/>
      <c r="T39" s="962" t="s">
        <v>204</v>
      </c>
      <c r="U39" s="963"/>
      <c r="V39" s="963"/>
      <c r="W39" s="893"/>
      <c r="X39" s="893"/>
      <c r="Y39" s="223"/>
      <c r="Z39" s="223"/>
      <c r="AA39" s="223"/>
      <c r="AB39" s="223"/>
      <c r="AC39" s="34"/>
      <c r="AD39" s="34"/>
      <c r="AE39" s="895" t="s">
        <v>425</v>
      </c>
      <c r="AF39" s="896"/>
      <c r="AG39" s="896"/>
      <c r="AH39" s="896"/>
      <c r="AI39" s="896"/>
      <c r="AJ39" s="896"/>
      <c r="AK39" s="896"/>
      <c r="AL39" s="896"/>
      <c r="AM39" s="896"/>
      <c r="AN39" s="896"/>
      <c r="AO39" s="896"/>
      <c r="AP39" s="896"/>
      <c r="AQ39" s="896"/>
      <c r="AR39" s="892">
        <f>AR41*2+AR38+AR28</f>
        <v>85</v>
      </c>
      <c r="AS39" s="892"/>
      <c r="AT39" s="892"/>
      <c r="AU39" s="892" t="s">
        <v>24</v>
      </c>
      <c r="AV39" s="892"/>
      <c r="AW39" s="889" t="str">
        <f>"("&amp;ROUND(AR39/25.4,2)&amp;" in)"</f>
        <v>(3.35 in)</v>
      </c>
      <c r="AX39" s="890"/>
      <c r="AY39" s="890"/>
      <c r="AZ39" s="890"/>
      <c r="BA39" s="890"/>
      <c r="BB39" s="210"/>
      <c r="BC39" s="210"/>
      <c r="BD39" s="210"/>
      <c r="BE39" s="210"/>
      <c r="BF39" s="210"/>
      <c r="BG39" s="32"/>
      <c r="BH39" s="32"/>
      <c r="BI39" s="32"/>
      <c r="BJ39" s="32"/>
      <c r="BK39" s="32"/>
      <c r="BL39" s="32"/>
      <c r="BM39" s="32"/>
      <c r="BN39" s="32"/>
      <c r="BO39" s="210"/>
      <c r="BP39" s="210"/>
      <c r="BQ39" s="210"/>
      <c r="BR39" s="210"/>
      <c r="BS39" s="216"/>
      <c r="BT39" s="210"/>
      <c r="BU39" s="210"/>
      <c r="BV39" s="210"/>
      <c r="BW39" s="210"/>
      <c r="BX39" s="32"/>
      <c r="BY39" s="32"/>
      <c r="BZ39" s="32"/>
      <c r="CA39" s="32"/>
      <c r="CB39" s="32"/>
      <c r="CC39" s="32"/>
    </row>
    <row r="40" spans="1:81" s="207" customFormat="1">
      <c r="A40" s="34"/>
      <c r="B40" s="230"/>
      <c r="C40" s="226"/>
      <c r="D40" s="226"/>
      <c r="E40" s="227"/>
      <c r="F40" s="226"/>
      <c r="G40" s="226"/>
      <c r="H40" s="231"/>
      <c r="I40" s="34"/>
      <c r="J40" s="34"/>
      <c r="K40" s="34"/>
      <c r="L40" s="34"/>
      <c r="M40" s="34"/>
      <c r="N40" s="34"/>
      <c r="O40" s="34"/>
      <c r="P40" s="34"/>
      <c r="Q40" s="34"/>
      <c r="R40" s="34"/>
      <c r="S40" s="34"/>
      <c r="T40" s="34"/>
      <c r="U40" s="34"/>
      <c r="V40" s="34"/>
      <c r="W40" s="34"/>
      <c r="X40" s="34"/>
      <c r="Y40" s="34"/>
      <c r="Z40" s="34"/>
      <c r="AA40" s="34"/>
      <c r="AB40" s="34"/>
      <c r="AC40" s="34"/>
      <c r="AD40" s="34"/>
      <c r="AE40" s="897" t="s">
        <v>7</v>
      </c>
      <c r="AF40" s="896"/>
      <c r="AG40" s="896"/>
      <c r="AH40" s="896"/>
      <c r="AI40" s="896"/>
      <c r="AJ40" s="896"/>
      <c r="AK40" s="896"/>
      <c r="AL40" s="896"/>
      <c r="AM40" s="896"/>
      <c r="AN40" s="896"/>
      <c r="AO40" s="896"/>
      <c r="AP40" s="896"/>
      <c r="AQ40" s="896"/>
      <c r="AR40" s="893">
        <f>VLOOKUP(AR38,'Shaft Weight'!A6:CD86,HLOOKUP(AL27,'Shaft Weight'!B2:CD5,4),TRUE)</f>
        <v>0.02</v>
      </c>
      <c r="AS40" s="893"/>
      <c r="AT40" s="893"/>
      <c r="AU40" s="893" t="s">
        <v>11</v>
      </c>
      <c r="AV40" s="893"/>
      <c r="AW40" s="880" t="str">
        <f>"("&amp;ROUND(AR40*2.204622622,2)&amp;" lbs)"</f>
        <v>(0.04 lbs)</v>
      </c>
      <c r="AX40" s="881"/>
      <c r="AY40" s="881"/>
      <c r="AZ40" s="881"/>
      <c r="BA40" s="881"/>
      <c r="BB40" s="210"/>
      <c r="BC40" s="210"/>
      <c r="BD40" s="210"/>
      <c r="BE40" s="210"/>
      <c r="BF40" s="210"/>
      <c r="BG40" s="32"/>
      <c r="BH40" s="32"/>
      <c r="BI40" s="32"/>
      <c r="BJ40" s="32"/>
      <c r="BK40" s="32"/>
      <c r="BL40" s="32"/>
      <c r="BM40" s="32"/>
      <c r="BN40" s="32"/>
      <c r="BO40" s="210"/>
      <c r="BP40" s="210"/>
      <c r="BQ40" s="210"/>
      <c r="BR40" s="210"/>
      <c r="BS40" s="210"/>
      <c r="BT40" s="210"/>
      <c r="BU40" s="210"/>
      <c r="BV40" s="210"/>
      <c r="BW40" s="210"/>
      <c r="BX40" s="32"/>
      <c r="BY40" s="32"/>
      <c r="BZ40" s="32"/>
      <c r="CA40" s="32"/>
      <c r="CB40" s="32"/>
      <c r="CC40" s="32"/>
    </row>
    <row r="41" spans="1:81" s="207" customFormat="1">
      <c r="A41" s="232" t="str">
        <f>IF(M35&gt;=AR38,"Caution!!  Stroke not Longer then Magnetic Pitch","")</f>
        <v>Caution!!  Stroke not Longer then Magnetic Pitch</v>
      </c>
      <c r="B41" s="34"/>
      <c r="C41" s="34"/>
      <c r="D41" s="34"/>
      <c r="E41" s="34"/>
      <c r="F41" s="34"/>
      <c r="G41" s="34"/>
      <c r="H41" s="34"/>
      <c r="I41" s="34"/>
      <c r="J41" s="34"/>
      <c r="K41" s="34"/>
      <c r="L41" s="34"/>
      <c r="M41" s="34"/>
      <c r="N41" s="34"/>
      <c r="O41" s="34"/>
      <c r="P41" s="34"/>
      <c r="Q41" s="34"/>
      <c r="R41" s="34"/>
      <c r="S41" s="34"/>
      <c r="T41" s="34"/>
      <c r="U41" s="34"/>
      <c r="V41" s="34"/>
      <c r="W41" s="34"/>
      <c r="X41" s="34"/>
      <c r="Y41" s="34"/>
      <c r="Z41" s="34"/>
      <c r="AA41" s="34"/>
      <c r="AB41" s="34"/>
      <c r="AC41" s="34"/>
      <c r="AD41" s="34"/>
      <c r="AE41" s="895" t="s">
        <v>205</v>
      </c>
      <c r="AF41" s="898"/>
      <c r="AG41" s="898"/>
      <c r="AH41" s="898"/>
      <c r="AI41" s="898"/>
      <c r="AJ41" s="898"/>
      <c r="AK41" s="898"/>
      <c r="AL41" s="898"/>
      <c r="AM41" s="898"/>
      <c r="AN41" s="898"/>
      <c r="AO41" s="898"/>
      <c r="AP41" s="898"/>
      <c r="AQ41" s="898"/>
      <c r="AR41" s="892">
        <f>IF(HLOOKUP(AL27,Spec_Sheet!F3:CV44,36,FALSE)&gt;=AR38,HLOOKUP(AL27,Spec_Sheet!F3:CV44,37,FALSE),IF(HLOOKUP(AL27,Spec_Sheet!F3:CV44,38,FALSE)&gt;=AR38,HLOOKUP(AL27,Spec_Sheet!F3:CV44,39,FALSE),HLOOKUP(AL27,Spec_Sheet!F3:CV44,41,FALSE)))</f>
        <v>10</v>
      </c>
      <c r="AS41" s="892"/>
      <c r="AT41" s="892"/>
      <c r="AU41" s="892" t="s">
        <v>24</v>
      </c>
      <c r="AV41" s="892"/>
      <c r="AW41" s="889" t="str">
        <f>"("&amp;ROUND(AR41/25.4,2)&amp;" in)"</f>
        <v>(0.39 in)</v>
      </c>
      <c r="AX41" s="890"/>
      <c r="AY41" s="890"/>
      <c r="AZ41" s="890"/>
      <c r="BA41" s="890"/>
      <c r="BB41" s="210"/>
      <c r="BC41" s="210"/>
      <c r="BD41" s="210"/>
      <c r="BE41" s="210"/>
      <c r="BF41" s="210"/>
      <c r="BG41" s="32"/>
      <c r="BH41" s="32"/>
      <c r="BI41" s="32"/>
      <c r="BJ41" s="32"/>
      <c r="BK41" s="32"/>
      <c r="BL41" s="32"/>
      <c r="BM41" s="32"/>
      <c r="BN41" s="32"/>
      <c r="BO41" s="210"/>
      <c r="BP41" s="210"/>
      <c r="BQ41" s="210"/>
      <c r="BR41" s="210"/>
      <c r="BS41" s="210"/>
      <c r="BT41" s="210"/>
      <c r="BU41" s="210"/>
      <c r="BV41" s="210"/>
      <c r="BW41" s="210"/>
      <c r="BX41" s="32"/>
      <c r="BY41" s="32"/>
      <c r="BZ41" s="32"/>
      <c r="CA41" s="32"/>
      <c r="CB41" s="32"/>
      <c r="CC41" s="32"/>
    </row>
    <row r="42" spans="1:81" s="207" customFormat="1">
      <c r="A42" s="34" t="s">
        <v>206</v>
      </c>
      <c r="B42" s="34"/>
      <c r="C42" s="34"/>
      <c r="D42" s="34"/>
      <c r="E42" s="34"/>
      <c r="F42" s="34"/>
      <c r="G42" s="34"/>
      <c r="H42" s="34"/>
      <c r="I42" s="34"/>
      <c r="J42" s="34"/>
      <c r="K42" s="34"/>
      <c r="L42" s="34"/>
      <c r="M42" s="34"/>
      <c r="N42" s="34"/>
      <c r="O42" s="34"/>
      <c r="P42" s="34"/>
      <c r="Q42" s="34"/>
      <c r="R42" s="34"/>
      <c r="S42" s="34"/>
      <c r="T42" s="34"/>
      <c r="U42" s="34"/>
      <c r="V42" s="34"/>
      <c r="W42" s="34"/>
      <c r="X42" s="34"/>
      <c r="Y42" s="34"/>
      <c r="Z42" s="34"/>
      <c r="AA42" s="34"/>
      <c r="AB42" s="34"/>
      <c r="AC42" s="34"/>
      <c r="AD42" s="34"/>
      <c r="AE42" s="894" t="s">
        <v>207</v>
      </c>
      <c r="AF42" s="891"/>
      <c r="AG42" s="891"/>
      <c r="AH42" s="891"/>
      <c r="AI42" s="891"/>
      <c r="AJ42" s="891"/>
      <c r="AK42" s="891"/>
      <c r="AL42" s="891"/>
      <c r="AM42" s="891"/>
      <c r="AN42" s="891"/>
      <c r="AO42" s="891"/>
      <c r="AP42" s="891"/>
      <c r="AQ42" s="891"/>
      <c r="AR42" s="891">
        <v>0</v>
      </c>
      <c r="AS42" s="891"/>
      <c r="AT42" s="891"/>
      <c r="AU42" s="891" t="s">
        <v>24</v>
      </c>
      <c r="AV42" s="891"/>
      <c r="AW42" s="888" t="str">
        <f>"("&amp;ROUND(AR42/25.4,2)&amp;" in)"</f>
        <v>(0 in)</v>
      </c>
      <c r="AX42" s="888"/>
      <c r="AY42" s="888"/>
      <c r="AZ42" s="888"/>
      <c r="BA42" s="888"/>
      <c r="BB42" s="210"/>
      <c r="BC42" s="210"/>
      <c r="BD42" s="210"/>
      <c r="BE42" s="210"/>
      <c r="BF42" s="210"/>
      <c r="BG42" s="32"/>
      <c r="BH42" s="32"/>
      <c r="BI42" s="32"/>
      <c r="BJ42" s="32"/>
      <c r="BK42" s="32"/>
      <c r="BL42" s="32"/>
      <c r="BM42" s="32"/>
      <c r="BN42" s="32"/>
      <c r="BO42" s="194"/>
      <c r="BP42" s="210"/>
      <c r="BQ42" s="210"/>
      <c r="BR42" s="210"/>
      <c r="BS42" s="210"/>
      <c r="BT42" s="210"/>
      <c r="BU42" s="210"/>
      <c r="BV42" s="210"/>
      <c r="BW42" s="210"/>
      <c r="BX42" s="32"/>
      <c r="BY42" s="32"/>
      <c r="BZ42" s="32"/>
      <c r="CA42" s="32"/>
      <c r="CB42" s="32"/>
      <c r="CC42" s="32"/>
    </row>
    <row r="43" spans="1:81" s="221" customFormat="1" ht="13.5" customHeight="1">
      <c r="A43" s="949" t="s">
        <v>248</v>
      </c>
      <c r="B43" s="950"/>
      <c r="C43" s="950"/>
      <c r="D43" s="950"/>
      <c r="E43" s="950"/>
      <c r="F43" s="950"/>
      <c r="G43" s="950"/>
      <c r="H43" s="950"/>
      <c r="I43" s="950"/>
      <c r="J43" s="950"/>
      <c r="K43" s="950"/>
      <c r="L43" s="950"/>
      <c r="M43" s="950"/>
      <c r="N43" s="950"/>
      <c r="O43" s="950"/>
      <c r="P43" s="950"/>
      <c r="Q43" s="950"/>
      <c r="R43" s="950"/>
      <c r="S43" s="950"/>
      <c r="T43" s="950"/>
      <c r="U43" s="950"/>
      <c r="V43" s="950"/>
      <c r="W43" s="950"/>
      <c r="X43" s="950"/>
      <c r="Y43" s="950"/>
      <c r="Z43" s="950"/>
      <c r="AA43" s="950"/>
      <c r="AB43" s="950"/>
      <c r="AC43" s="950"/>
      <c r="AD43" s="950"/>
      <c r="AE43" s="950"/>
      <c r="AF43" s="950"/>
      <c r="AG43" s="950"/>
      <c r="AH43" s="950"/>
      <c r="AI43" s="950"/>
      <c r="AJ43" s="950"/>
      <c r="AK43" s="950"/>
      <c r="AL43" s="950"/>
      <c r="AM43" s="950"/>
      <c r="AN43" s="950"/>
      <c r="AO43" s="950"/>
      <c r="AP43" s="950"/>
      <c r="AQ43" s="950"/>
      <c r="AR43" s="950"/>
      <c r="AS43" s="950"/>
      <c r="AT43" s="950"/>
      <c r="AU43" s="950"/>
      <c r="AV43" s="950"/>
      <c r="AW43" s="950"/>
      <c r="AX43" s="950"/>
      <c r="AY43" s="950"/>
      <c r="AZ43" s="950"/>
      <c r="BA43" s="950"/>
      <c r="BB43" s="950"/>
      <c r="BC43" s="950"/>
      <c r="BD43" s="233"/>
      <c r="BE43" s="233"/>
      <c r="BF43" s="233"/>
      <c r="BG43" s="34"/>
      <c r="BH43" s="34"/>
      <c r="BI43" s="34"/>
      <c r="BJ43" s="34"/>
      <c r="BK43" s="34"/>
      <c r="BL43" s="34"/>
      <c r="BM43" s="34"/>
      <c r="BN43" s="34"/>
      <c r="BO43" s="878"/>
      <c r="BP43" s="879"/>
      <c r="BQ43" s="879"/>
      <c r="BR43" s="234"/>
      <c r="BS43" s="34"/>
      <c r="BT43" s="34"/>
      <c r="BU43" s="34"/>
      <c r="BV43" s="34"/>
      <c r="BW43" s="34"/>
      <c r="BX43" s="35"/>
      <c r="BY43" s="35"/>
      <c r="BZ43" s="35"/>
      <c r="CA43" s="35"/>
      <c r="CB43" s="35"/>
      <c r="CC43" s="35"/>
    </row>
    <row r="44" spans="1:81" s="221" customFormat="1" ht="12.75">
      <c r="A44" s="235" t="s">
        <v>451</v>
      </c>
      <c r="B44" s="34"/>
      <c r="C44" s="34"/>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c r="AI44" s="34"/>
      <c r="AJ44" s="34"/>
      <c r="AK44" s="34"/>
      <c r="AL44" s="34"/>
      <c r="AM44" s="34"/>
      <c r="AN44" s="34"/>
      <c r="AO44" s="34"/>
      <c r="AP44" s="34"/>
      <c r="AQ44" s="34"/>
      <c r="AR44" s="34"/>
      <c r="AS44" s="34"/>
      <c r="AT44" s="34"/>
      <c r="AU44" s="34"/>
      <c r="AV44" s="34"/>
      <c r="AW44" s="34"/>
      <c r="AX44" s="34"/>
      <c r="AY44" s="34"/>
      <c r="AZ44" s="34"/>
      <c r="BA44" s="34"/>
      <c r="BB44" s="34"/>
      <c r="BC44" s="34"/>
      <c r="BD44" s="34"/>
      <c r="BE44" s="34"/>
      <c r="BF44" s="34"/>
      <c r="BG44" s="35"/>
      <c r="BH44" s="35"/>
      <c r="BI44" s="35"/>
      <c r="BJ44" s="35"/>
      <c r="BK44" s="35"/>
      <c r="BL44" s="35"/>
      <c r="BM44" s="35"/>
      <c r="BN44" s="35"/>
      <c r="BO44" s="879"/>
      <c r="BP44" s="879"/>
      <c r="BQ44" s="879"/>
      <c r="BR44" s="34"/>
      <c r="BS44" s="34"/>
      <c r="BT44" s="34"/>
      <c r="BU44" s="34"/>
      <c r="BV44" s="34"/>
      <c r="BW44" s="34"/>
      <c r="BX44" s="35"/>
      <c r="BY44" s="35"/>
      <c r="BZ44" s="35"/>
      <c r="CA44" s="35"/>
      <c r="CB44" s="35"/>
      <c r="CC44" s="35"/>
    </row>
    <row r="45" spans="1:81" s="221" customFormat="1">
      <c r="A45" s="957" t="s">
        <v>452</v>
      </c>
      <c r="B45" s="958"/>
      <c r="C45" s="958"/>
      <c r="D45" s="958"/>
      <c r="E45" s="958"/>
      <c r="F45" s="958"/>
      <c r="G45" s="958"/>
      <c r="H45" s="958"/>
      <c r="I45" s="958"/>
      <c r="J45" s="958"/>
      <c r="K45" s="958"/>
      <c r="L45" s="958"/>
      <c r="M45" s="958"/>
      <c r="N45" s="958"/>
      <c r="O45" s="958"/>
      <c r="P45" s="958"/>
      <c r="Q45" s="958"/>
      <c r="R45" s="958"/>
      <c r="S45" s="958"/>
      <c r="T45" s="958"/>
      <c r="U45" s="958"/>
      <c r="V45" s="958"/>
      <c r="W45" s="958"/>
      <c r="X45" s="958"/>
      <c r="Y45" s="958"/>
      <c r="Z45" s="958"/>
      <c r="AA45" s="958"/>
      <c r="AB45" s="958"/>
      <c r="AC45" s="958"/>
      <c r="AD45" s="958"/>
      <c r="AE45" s="958"/>
      <c r="AF45" s="958"/>
      <c r="AG45" s="958"/>
      <c r="AH45" s="958"/>
      <c r="AI45" s="958"/>
      <c r="AJ45" s="958"/>
      <c r="AK45" s="958"/>
      <c r="AL45" s="958"/>
      <c r="AM45" s="958"/>
      <c r="AN45" s="958"/>
      <c r="AO45" s="958"/>
      <c r="AP45" s="958"/>
      <c r="AQ45" s="958"/>
      <c r="AR45" s="958"/>
      <c r="AS45" s="958"/>
      <c r="AT45" s="958"/>
      <c r="AU45" s="958"/>
      <c r="AV45" s="958"/>
      <c r="AW45" s="958"/>
      <c r="AX45" s="958"/>
      <c r="AY45" s="958"/>
      <c r="AZ45" s="958"/>
      <c r="BA45" s="958"/>
      <c r="BB45" s="958"/>
      <c r="BC45" s="958"/>
      <c r="BD45" s="34"/>
      <c r="BE45" s="34"/>
      <c r="BF45" s="34"/>
      <c r="BG45" s="36"/>
      <c r="BH45" s="36"/>
      <c r="BI45" s="36"/>
      <c r="BJ45" s="36"/>
      <c r="BK45" s="36"/>
      <c r="BL45" s="36"/>
      <c r="BM45" s="36"/>
      <c r="BN45" s="36"/>
      <c r="BO45" s="34"/>
      <c r="BP45" s="236"/>
      <c r="BQ45" s="236"/>
      <c r="BR45" s="237"/>
      <c r="BS45" s="34"/>
      <c r="BT45" s="34"/>
      <c r="BU45" s="34"/>
      <c r="BV45" s="34"/>
      <c r="BW45" s="34"/>
      <c r="BX45" s="35"/>
      <c r="BY45" s="35"/>
      <c r="BZ45" s="35"/>
      <c r="CA45" s="35"/>
      <c r="CB45" s="35"/>
      <c r="CC45" s="35"/>
    </row>
    <row r="46" spans="1:81" s="221" customFormat="1">
      <c r="A46" s="958"/>
      <c r="B46" s="958"/>
      <c r="C46" s="958"/>
      <c r="D46" s="958"/>
      <c r="E46" s="958"/>
      <c r="F46" s="958"/>
      <c r="G46" s="958"/>
      <c r="H46" s="958"/>
      <c r="I46" s="958"/>
      <c r="J46" s="958"/>
      <c r="K46" s="958"/>
      <c r="L46" s="958"/>
      <c r="M46" s="958"/>
      <c r="N46" s="958"/>
      <c r="O46" s="958"/>
      <c r="P46" s="958"/>
      <c r="Q46" s="958"/>
      <c r="R46" s="958"/>
      <c r="S46" s="958"/>
      <c r="T46" s="958"/>
      <c r="U46" s="958"/>
      <c r="V46" s="958"/>
      <c r="W46" s="958"/>
      <c r="X46" s="958"/>
      <c r="Y46" s="958"/>
      <c r="Z46" s="958"/>
      <c r="AA46" s="958"/>
      <c r="AB46" s="958"/>
      <c r="AC46" s="958"/>
      <c r="AD46" s="958"/>
      <c r="AE46" s="958"/>
      <c r="AF46" s="958"/>
      <c r="AG46" s="958"/>
      <c r="AH46" s="958"/>
      <c r="AI46" s="958"/>
      <c r="AJ46" s="958"/>
      <c r="AK46" s="958"/>
      <c r="AL46" s="958"/>
      <c r="AM46" s="958"/>
      <c r="AN46" s="958"/>
      <c r="AO46" s="958"/>
      <c r="AP46" s="958"/>
      <c r="AQ46" s="958"/>
      <c r="AR46" s="958"/>
      <c r="AS46" s="958"/>
      <c r="AT46" s="958"/>
      <c r="AU46" s="958"/>
      <c r="AV46" s="958"/>
      <c r="AW46" s="958"/>
      <c r="AX46" s="958"/>
      <c r="AY46" s="958"/>
      <c r="AZ46" s="958"/>
      <c r="BA46" s="958"/>
      <c r="BB46" s="958"/>
      <c r="BC46" s="958"/>
      <c r="BD46" s="34"/>
      <c r="BE46" s="34"/>
      <c r="BF46" s="34"/>
      <c r="BG46" s="36"/>
      <c r="BH46" s="36"/>
      <c r="BI46" s="36"/>
      <c r="BJ46" s="36"/>
      <c r="BK46" s="36"/>
      <c r="BL46" s="36"/>
      <c r="BM46" s="36"/>
      <c r="BN46" s="36"/>
      <c r="BO46" s="34"/>
      <c r="BP46" s="34"/>
      <c r="BQ46" s="34"/>
      <c r="BR46" s="237"/>
      <c r="BS46" s="34"/>
      <c r="BT46" s="34"/>
      <c r="BU46" s="34"/>
      <c r="BV46" s="34"/>
      <c r="BW46" s="34"/>
      <c r="BX46" s="35"/>
      <c r="BY46" s="35"/>
      <c r="BZ46" s="35"/>
      <c r="CA46" s="35"/>
      <c r="CB46" s="35"/>
      <c r="CC46" s="35"/>
    </row>
    <row r="47" spans="1:81" s="34" customFormat="1" ht="21">
      <c r="A47" s="959" t="s">
        <v>453</v>
      </c>
      <c r="B47" s="960"/>
      <c r="C47" s="960"/>
      <c r="D47" s="960"/>
      <c r="E47" s="960"/>
      <c r="F47" s="960"/>
      <c r="G47" s="960"/>
      <c r="H47" s="960"/>
      <c r="I47" s="960"/>
      <c r="J47" s="960"/>
      <c r="K47" s="960"/>
      <c r="L47" s="960"/>
      <c r="M47" s="960"/>
      <c r="N47" s="960"/>
      <c r="O47" s="960"/>
      <c r="P47" s="960"/>
      <c r="Q47" s="960"/>
      <c r="R47" s="960"/>
      <c r="S47" s="960"/>
      <c r="T47" s="960"/>
      <c r="U47" s="960"/>
      <c r="V47" s="960"/>
      <c r="W47" s="960"/>
      <c r="X47" s="960"/>
      <c r="Y47" s="960"/>
      <c r="Z47" s="960"/>
      <c r="AA47" s="960"/>
      <c r="AB47" s="960"/>
      <c r="AC47" s="960"/>
      <c r="AD47" s="960"/>
      <c r="AE47" s="960"/>
      <c r="AF47" s="960"/>
      <c r="AG47" s="960"/>
      <c r="AH47" s="960"/>
      <c r="AI47" s="960"/>
      <c r="AJ47" s="960"/>
      <c r="AK47" s="960"/>
      <c r="AL47" s="960"/>
      <c r="AM47" s="960"/>
      <c r="AN47" s="960"/>
      <c r="AO47" s="960"/>
      <c r="AP47" s="960"/>
      <c r="AQ47" s="960"/>
      <c r="AR47" s="960"/>
      <c r="AS47" s="960"/>
      <c r="AT47" s="34" t="str">
        <f>"NPA SMART " &amp; Smart!AY3</f>
        <v>NPA SMART V2.5.2</v>
      </c>
      <c r="BA47" s="238"/>
      <c r="BG47" s="35"/>
      <c r="BH47" s="35"/>
      <c r="BI47" s="35"/>
      <c r="BJ47" s="239" t="s">
        <v>35</v>
      </c>
      <c r="BK47" s="239" t="s">
        <v>25</v>
      </c>
      <c r="BL47" s="239" t="s">
        <v>282</v>
      </c>
      <c r="BM47" s="240" t="s">
        <v>283</v>
      </c>
      <c r="BN47" s="239" t="s">
        <v>284</v>
      </c>
      <c r="BO47" s="884" t="s">
        <v>280</v>
      </c>
      <c r="BP47" s="885"/>
      <c r="BQ47" s="239" t="s">
        <v>105</v>
      </c>
      <c r="BR47" s="241" t="s">
        <v>285</v>
      </c>
      <c r="BS47" s="239" t="s">
        <v>281</v>
      </c>
      <c r="BT47" s="241" t="s">
        <v>137</v>
      </c>
      <c r="BX47" s="35"/>
      <c r="BY47" s="35"/>
      <c r="BZ47" s="35"/>
      <c r="CA47" s="35"/>
      <c r="CB47" s="35"/>
      <c r="CC47" s="35"/>
    </row>
    <row r="48" spans="1:81" s="30" customFormat="1" ht="12.75" customHeight="1">
      <c r="A48" s="37"/>
      <c r="B48" s="37"/>
      <c r="C48" s="37"/>
      <c r="D48" s="37"/>
      <c r="E48" s="37"/>
      <c r="F48" s="37"/>
      <c r="G48" s="37"/>
      <c r="H48" s="37"/>
      <c r="I48" s="37"/>
      <c r="J48" s="339"/>
      <c r="K48" s="339"/>
      <c r="L48" s="339"/>
      <c r="M48" s="339"/>
      <c r="N48" s="339"/>
      <c r="O48" s="339"/>
      <c r="P48" s="339"/>
      <c r="Q48" s="339"/>
      <c r="R48" s="339"/>
      <c r="S48" s="339"/>
      <c r="T48" s="339"/>
      <c r="U48" s="339"/>
      <c r="V48" s="339"/>
      <c r="W48" s="339"/>
      <c r="X48" s="339"/>
      <c r="Y48" s="339"/>
      <c r="Z48" s="339"/>
      <c r="AA48" s="339"/>
      <c r="AB48" s="339"/>
      <c r="AZ48" s="37"/>
      <c r="BA48" s="37"/>
      <c r="BB48" s="37"/>
      <c r="BC48" s="189"/>
      <c r="BD48" s="189"/>
      <c r="BE48" s="189"/>
      <c r="BF48" s="189"/>
      <c r="BG48" s="189">
        <v>56</v>
      </c>
      <c r="BH48" s="189">
        <v>57</v>
      </c>
      <c r="BI48" s="189">
        <v>58</v>
      </c>
      <c r="BJ48" s="242">
        <v>1</v>
      </c>
      <c r="BK48" s="242" t="str">
        <f>Smart!W11&amp;" mm"</f>
        <v>15 mm</v>
      </c>
      <c r="BL48" s="243" t="str">
        <f>IF(Y51&lt;1,ROUNDUP(Y51*1000,2),ROUNDUP(Y51,2))&amp;IF(Y51&lt;1," ms"," s")</f>
        <v>80 ms</v>
      </c>
      <c r="BM48" s="243" t="str">
        <f>IF(Y52&lt;1,ROUNDUP(Y52*1000,2),ROUNDUP(Y52,2))&amp;IF(Y52&lt;1," ms"," s")</f>
        <v>545 ms</v>
      </c>
      <c r="BN48" s="243" t="str">
        <f>IF(Y53&lt;1,ROUNDUP(Y53*1000,2),ROUNDUP(Y53,2))&amp;IF(Y53&lt;1," ms"," s")</f>
        <v>80 ms</v>
      </c>
      <c r="BO48" s="886" t="str">
        <f>IF(Y54&lt;1,ROUNDUP(Y54*1000,2),ROUNDUP(Y54,2))&amp;IF(Y54&lt;1," ms"," s")</f>
        <v>40 s</v>
      </c>
      <c r="BP48" s="870"/>
      <c r="BQ48" s="244" t="str">
        <f>IF(SUM(Y51:Y54)&lt;1,ROUNDUP(SUM(Y51:Y54)*1000,2),ROUNDUP(SUM(Y51:Y54),2))&amp;IF(SUM(Y51:Y54)&lt;1," ms"," s")</f>
        <v>40.71 s</v>
      </c>
      <c r="BR48" s="245" t="str">
        <f>IF(Smart!AC7&gt;Smart!AC10,ROUNDUP(Smart!AC7,2),ROUNDUP(Smart!AC10,2))&amp;" m/sec^2"</f>
        <v>0.3 m/sec^2</v>
      </c>
      <c r="BS48" s="197" t="str">
        <f>IF(Smart!$V$11,ROUNDUP(Smart!$O$8,2),0)&amp;" N"</f>
        <v>0 N</v>
      </c>
      <c r="BT48" s="242" t="str">
        <f>IF(Y55&gt;Y57,ROUNDUP(Y55,2),ROUNDUP(Y57,2))&amp;" N"</f>
        <v>0.59 N</v>
      </c>
      <c r="BV48" s="189"/>
      <c r="BW48" s="189"/>
      <c r="BX48" s="189"/>
    </row>
    <row r="49" spans="1:81" s="40" customFormat="1">
      <c r="A49" s="37"/>
      <c r="B49" s="30"/>
      <c r="C49" s="30"/>
      <c r="D49" s="30"/>
      <c r="E49" s="30"/>
      <c r="F49" s="30"/>
      <c r="G49" s="30"/>
      <c r="H49" s="30"/>
      <c r="I49" s="30"/>
      <c r="J49" s="30"/>
      <c r="K49" s="30"/>
      <c r="L49" s="30"/>
      <c r="M49" s="30"/>
      <c r="N49" s="30"/>
      <c r="O49" s="30"/>
      <c r="P49" s="30"/>
      <c r="Q49" s="30"/>
      <c r="R49" s="30"/>
      <c r="S49" s="30"/>
      <c r="T49" s="30"/>
      <c r="U49" s="30"/>
      <c r="V49" s="30"/>
      <c r="W49" s="30"/>
      <c r="X49" s="30"/>
      <c r="Y49" s="30"/>
      <c r="Z49" s="30"/>
      <c r="AA49" s="583">
        <f>Smart!O5</f>
        <v>0.4</v>
      </c>
      <c r="AB49" s="30"/>
      <c r="AC49" s="523"/>
      <c r="AD49" s="30"/>
      <c r="AE49" s="30"/>
      <c r="AF49" s="30">
        <f>Smart!$O$13</f>
        <v>36</v>
      </c>
      <c r="AG49" s="30"/>
      <c r="AH49" s="30"/>
      <c r="AI49" s="30"/>
      <c r="AJ49" s="523"/>
      <c r="AK49" s="523"/>
      <c r="AL49" s="30"/>
      <c r="AM49" s="30"/>
      <c r="AN49" s="30"/>
      <c r="AO49" s="30"/>
      <c r="AP49" s="30"/>
      <c r="AQ49" s="30"/>
      <c r="AR49" s="30"/>
      <c r="AS49" s="30"/>
      <c r="AT49" s="30"/>
      <c r="AU49" s="30"/>
      <c r="AV49" s="30"/>
      <c r="AW49" s="30"/>
      <c r="AX49" s="30"/>
      <c r="AY49" s="30"/>
      <c r="AZ49" s="37"/>
      <c r="BA49" s="37"/>
      <c r="BB49" s="37"/>
      <c r="BC49" s="189"/>
      <c r="BD49" s="189"/>
      <c r="BE49" s="189"/>
      <c r="BF49" s="189"/>
      <c r="BG49" s="189"/>
      <c r="BH49" s="189"/>
      <c r="BI49" s="189"/>
      <c r="BJ49" s="246">
        <v>2</v>
      </c>
      <c r="BK49" s="246" t="str">
        <f>Smart!W19&amp;" mm"</f>
        <v>-182 mm</v>
      </c>
      <c r="BL49" s="247" t="str">
        <f>IF(Y59&lt;1,ROUNDUP(Y59*1000,2),ROUNDUP(Y59,2))&amp;IF(Y59&lt;1," ms"," s")</f>
        <v>0 ms</v>
      </c>
      <c r="BM49" s="247" t="str">
        <f>IF(Y60&lt;1,ROUNDUP(Y60*1000,2),ROUNDUP(Y60,2))&amp;IF(Y60&lt;1," ms"," s")</f>
        <v>0 ms</v>
      </c>
      <c r="BN49" s="247" t="str">
        <f>IF(Y61&lt;1,ROUNDUP(Y61*1000,2),ROUNDUP(Y61,2))&amp;IF(Y61&lt;1," ms"," s")</f>
        <v>0 ms</v>
      </c>
      <c r="BO49" s="882" t="str">
        <f>IF(Y62&lt;1,ROUNDUP(Y62*1000,2),ROUNDUP(Y62,2))&amp;IF(Y62&lt;1," ms"," s")</f>
        <v>0 ms</v>
      </c>
      <c r="BP49" s="887"/>
      <c r="BQ49" s="247" t="str">
        <f>IF(SUM(Y59:Y62)&lt;1,ROUNDUP(SUM(Y59:Y62)*1000,2),ROUNDUP(SUM(Y59:Y62),2))&amp;IF(SUM(Y59:Y62)&lt;1," ms"," s")</f>
        <v>0 ms</v>
      </c>
      <c r="BR49" s="248" t="str">
        <f>IF(Smart!AC15&gt;Smart!AC18,ROUNDUP(Smart!AC15,2),ROUNDUP(Smart!AC18,2))&amp;" m/sec^2"</f>
        <v>0.51 m/sec^2</v>
      </c>
      <c r="BS49" s="246" t="str">
        <f>IF(Smart!$V$19,ROUNDUP(Smart!$O$8,2),0)&amp;" N"</f>
        <v>0 N</v>
      </c>
      <c r="BT49" s="246" t="str">
        <f>IF(Y63&gt;Y65,ROUNDUP(Y63,2),ROUNDUP(Y65,2))&amp;" N"</f>
        <v>0 N</v>
      </c>
      <c r="BU49" s="30" t="b">
        <f>Smart!P5</f>
        <v>1</v>
      </c>
      <c r="BV49" s="189"/>
      <c r="BW49" s="189"/>
      <c r="BX49" s="189"/>
      <c r="BY49" s="30"/>
      <c r="BZ49" s="30"/>
      <c r="CA49" s="30"/>
      <c r="CB49" s="30"/>
      <c r="CC49" s="30"/>
    </row>
    <row r="50" spans="1:81" s="40" customFormat="1">
      <c r="A50" s="30"/>
      <c r="B50" s="30" t="s">
        <v>210</v>
      </c>
      <c r="C50" s="30" t="s">
        <v>211</v>
      </c>
      <c r="D50" s="30" t="s">
        <v>212</v>
      </c>
      <c r="E50" s="30" t="s">
        <v>213</v>
      </c>
      <c r="F50" s="30" t="s">
        <v>214</v>
      </c>
      <c r="G50" s="30" t="s">
        <v>215</v>
      </c>
      <c r="H50" s="30" t="s">
        <v>216</v>
      </c>
      <c r="I50" s="30" t="s">
        <v>217</v>
      </c>
      <c r="J50" s="30" t="s">
        <v>218</v>
      </c>
      <c r="K50" s="30" t="s">
        <v>219</v>
      </c>
      <c r="L50" s="30" t="s">
        <v>220</v>
      </c>
      <c r="M50" s="30" t="s">
        <v>221</v>
      </c>
      <c r="N50" s="30"/>
      <c r="O50" s="30"/>
      <c r="P50" s="30"/>
      <c r="Q50" s="584"/>
      <c r="R50" s="584"/>
      <c r="S50" s="584"/>
      <c r="T50" s="584"/>
      <c r="U50" s="30"/>
      <c r="V50" s="30"/>
      <c r="W50" s="30"/>
      <c r="X50" s="585" t="s">
        <v>222</v>
      </c>
      <c r="Y50" s="586"/>
      <c r="Z50" s="587" t="str">
        <f>"Time (sec)"</f>
        <v>Time (sec)</v>
      </c>
      <c r="AA50" s="588" t="s">
        <v>16</v>
      </c>
      <c r="AB50" s="30" t="s">
        <v>297</v>
      </c>
      <c r="AC50" s="524"/>
      <c r="AD50" s="524"/>
      <c r="AE50" s="525" t="s">
        <v>223</v>
      </c>
      <c r="AF50" s="525" t="s">
        <v>93</v>
      </c>
      <c r="AG50" s="525" t="s">
        <v>133</v>
      </c>
      <c r="AH50" s="524" t="s">
        <v>224</v>
      </c>
      <c r="AI50" s="524" t="s">
        <v>225</v>
      </c>
      <c r="AJ50" s="524"/>
      <c r="AK50" s="524"/>
      <c r="AL50" s="524"/>
      <c r="AM50" s="524"/>
      <c r="AN50" s="524"/>
      <c r="AO50" s="524"/>
      <c r="AP50" s="524"/>
      <c r="AQ50" s="524"/>
      <c r="AR50" s="524"/>
      <c r="AS50" s="524">
        <f>AS51/100</f>
        <v>8.0000000000000002E-3</v>
      </c>
      <c r="AT50" s="524" t="s">
        <v>224</v>
      </c>
      <c r="AU50" s="524" t="s">
        <v>225</v>
      </c>
      <c r="AV50" s="524"/>
      <c r="AW50" s="382"/>
      <c r="AX50" s="382"/>
      <c r="AY50" s="382"/>
      <c r="AZ50" s="37"/>
      <c r="BA50" s="37"/>
      <c r="BB50" s="37"/>
      <c r="BC50" s="189"/>
      <c r="BD50" s="189"/>
      <c r="BE50" s="189"/>
      <c r="BF50" s="189"/>
      <c r="BG50" s="189"/>
      <c r="BH50" s="189"/>
      <c r="BI50" s="189"/>
      <c r="BJ50" s="246">
        <v>3</v>
      </c>
      <c r="BK50" s="246" t="str">
        <f>Smart!W27&amp;" mm"</f>
        <v>-5 mm</v>
      </c>
      <c r="BL50" s="247" t="str">
        <f>IF(Y67&lt;1,ROUNDUP(Y67*1000,2),ROUNDUP(Y67,2))&amp;IF(Y67&lt;1," ms"," s")</f>
        <v>0 ms</v>
      </c>
      <c r="BM50" s="247" t="str">
        <f>IF(Y68&lt;1,ROUNDUP(Y68*1000,2),ROUNDUP(Y68,2))&amp;IF(Y68&lt;1," ms"," s")</f>
        <v>0 ms</v>
      </c>
      <c r="BN50" s="247" t="str">
        <f>IF(Y69&lt;1,ROUNDUP(Y69*1000,2),ROUNDUP(Y69,2))&amp;IF(Y69&lt;1," ms"," s")</f>
        <v>0 ms</v>
      </c>
      <c r="BO50" s="882" t="str">
        <f>IF(Y70&lt;1,ROUNDUP(Y70*1000,2),ROUNDUP(Y70,2))&amp;IF(Y70&lt;1," ms"," s")</f>
        <v>0 ms</v>
      </c>
      <c r="BP50" s="887"/>
      <c r="BQ50" s="247" t="str">
        <f>IF(SUM(Y67:Y70)&lt;1,ROUNDUP(SUM(Y67:Y70)*1000,2),ROUNDUP(SUM(Y67:Y70),2))&amp;IF(SUM(Y67:Y70)&lt;1," ms"," s")</f>
        <v>0 ms</v>
      </c>
      <c r="BR50" s="248" t="e">
        <f>IF(Smart!AC23&gt;Smart!AC26,ROUNDUP(Smart!AC23,2),ROUNDUP(Smart!AC26,2))&amp;" m/sec^2"</f>
        <v>#DIV/0!</v>
      </c>
      <c r="BS50" s="246" t="str">
        <f>IF(Smart!$V$27,ROUNDUP(Smart!$O$8,2),0)&amp;" N"</f>
        <v>0 N</v>
      </c>
      <c r="BT50" s="246" t="str">
        <f>IF(Y71&gt;Y73,ROUNDUP(Y71,2),ROUNDUP(Y73,2))&amp;" N"</f>
        <v>0 N</v>
      </c>
      <c r="BU50" s="30" t="b">
        <f>Smart!P13</f>
        <v>0</v>
      </c>
      <c r="BV50" s="189"/>
      <c r="BW50" s="189"/>
      <c r="BX50" s="189"/>
      <c r="BY50" s="30"/>
      <c r="BZ50" s="30"/>
      <c r="CA50" s="30"/>
      <c r="CB50" s="30"/>
      <c r="CC50" s="30"/>
    </row>
    <row r="51" spans="1:81" s="40" customFormat="1">
      <c r="A51" s="30">
        <v>1</v>
      </c>
      <c r="B51" s="30">
        <f>(M$31*SQRT(10/(O$39*(M$33+(M$33*0.00393*10))*($A51*0.01))))</f>
        <v>5.289214367531117</v>
      </c>
      <c r="C51" s="30">
        <f t="shared" ref="C51:C82" si="0">(M$31*SQRT(20/(O$39*(M$33+(M$33*0.00393*20))*($A51*0.01))))</f>
        <v>7.3425417137568783</v>
      </c>
      <c r="D51" s="30">
        <f t="shared" ref="D51:D82" si="1">(M$31*SQRT(30/(O$39*(M$33+(M$33*0.00393*30))*($A51*0.01))))</f>
        <v>8.8332552846069454</v>
      </c>
      <c r="E51" s="30">
        <f t="shared" ref="E51:E82" si="2">$M$31*SQRT(40/($O$39*($M$33+($M$33*0.00393*40))*($A51*0.01)))</f>
        <v>10.025070046930381</v>
      </c>
      <c r="F51" s="30">
        <f t="shared" ref="F51:F82" si="3">$M$31*SQRT(50/($O$39*($M$33+($M$33*0.00393*50))*($A51*0.01)))</f>
        <v>11.022758267664273</v>
      </c>
      <c r="G51" s="30">
        <f t="shared" ref="G51:G82" si="4">$M$31*SQRT(60/($O$39*($M$33+($M$33*0.00393*60))*($A51*0.01)))</f>
        <v>11.881278128063698</v>
      </c>
      <c r="H51" s="30">
        <f t="shared" ref="H51:H82" si="5">$M$31*SQRT(70/($O$39*($M$33+($M$33*0.00393*70))*($A51*0.01)))</f>
        <v>12.63393184595261</v>
      </c>
      <c r="I51" s="30">
        <f t="shared" ref="I51:I82" si="6">$M$31*SQRT(80/($O$39*($M$33+($M$33*0.00393*80))*($A51*0.01)))</f>
        <v>13.302793541182067</v>
      </c>
      <c r="J51" s="30">
        <f t="shared" ref="J51:J82" si="7">$M$31*SQRT(90/($O$39*($M$33+($M$33*0.00393*90))*($A51*0.01)))</f>
        <v>13.903420979051401</v>
      </c>
      <c r="K51" s="30">
        <f t="shared" ref="K51:K82" si="8">$M$31*SQRT(100/($O$39*($M$33+($M$33*0.00393*100))*($A51*0.01)))</f>
        <v>14.447279486334564</v>
      </c>
      <c r="L51" s="30">
        <f t="shared" ref="L51:L82" si="9">$M$31*SQRT(110/($O$39*($M$33+($M$33*0.00393*110))*($A51*0.01)))</f>
        <v>14.943109512138239</v>
      </c>
      <c r="M51" s="947">
        <f t="shared" ref="M51:M82" si="10">$M$31*SQRT(120/($O$39*($M$33+($M$33*0.00393*120))*($A51*0.01)))</f>
        <v>15.397753615602573</v>
      </c>
      <c r="N51" s="948"/>
      <c r="O51" s="948"/>
      <c r="P51" s="948"/>
      <c r="Q51" s="589"/>
      <c r="R51" s="590"/>
      <c r="S51" s="584"/>
      <c r="T51" s="584"/>
      <c r="U51" s="30"/>
      <c r="V51" s="30"/>
      <c r="W51" s="29">
        <v>1</v>
      </c>
      <c r="X51" s="591" t="s">
        <v>226</v>
      </c>
      <c r="Y51" s="587">
        <f>Smart!$U6</f>
        <v>0.08</v>
      </c>
      <c r="Z51" s="587">
        <f>Smart!AX30</f>
        <v>0</v>
      </c>
      <c r="AA51" s="588">
        <v>0</v>
      </c>
      <c r="AB51" s="30">
        <f>AA51/$M$31</f>
        <v>0</v>
      </c>
      <c r="AC51" s="524" t="s">
        <v>227</v>
      </c>
      <c r="AD51" s="524">
        <f>(M$33+(M$33*0.00393*BM12))</f>
        <v>6.7318100000000003</v>
      </c>
      <c r="AE51" s="526">
        <v>0</v>
      </c>
      <c r="AF51" s="527">
        <f t="shared" ref="AF51:AF82" si="11">IF(M$31*(AF$49-(SQRT(AH51^2+AI51^2)))/$AD$51&lt;$M$29,M$31*(AF$49-(SQRT(AH51^2+AI51^2)))/$AD$51,$M$29)</f>
        <v>11.390695815835562</v>
      </c>
      <c r="AG51" s="527">
        <f t="shared" ref="AG51:AG82" si="12">IF(M$31*(AF$49-(SQRT(AH51^2+AI51^2)))/AD$51&gt;M$27,M$27,M$31*(AF$49-(SQRT(AH51^2+AI51^2)))/AD$51)</f>
        <v>1.8</v>
      </c>
      <c r="AH51" s="524">
        <f t="shared" ref="AH51:AH82" si="13">M$32*AE51</f>
        <v>0</v>
      </c>
      <c r="AI51" s="524">
        <f t="shared" ref="AI51:AI82" si="14">7.695 * AE51 * $M$34 * $M$30 / $M$35</f>
        <v>0</v>
      </c>
      <c r="AJ51" s="524"/>
      <c r="AK51" s="524"/>
      <c r="AL51" s="524"/>
      <c r="AM51" s="524"/>
      <c r="AN51" s="524"/>
      <c r="AO51" s="524"/>
      <c r="AP51" s="524"/>
      <c r="AQ51" s="524"/>
      <c r="AR51" s="527">
        <f>M$31*(AF$49-(SQRT((AT51^2+AV51^2))))/AD$51</f>
        <v>10.910215475037194</v>
      </c>
      <c r="AS51" s="524">
        <f>AD58</f>
        <v>0.8</v>
      </c>
      <c r="AT51" s="524">
        <f t="shared" ref="AT51:AT82" si="15">M$32*AS51</f>
        <v>1.1359999999999999</v>
      </c>
      <c r="AU51" s="524"/>
      <c r="AV51" s="524">
        <f t="shared" ref="AV51:AV82" si="16">7.695 * AS51 * $M$34 * $M$30 / $M$35</f>
        <v>1.0077127935791252</v>
      </c>
      <c r="AW51" s="382"/>
      <c r="AX51" s="382"/>
      <c r="AY51" s="382"/>
      <c r="AZ51" s="37"/>
      <c r="BA51" s="37"/>
      <c r="BB51" s="37"/>
      <c r="BC51" s="189"/>
      <c r="BD51" s="189"/>
      <c r="BE51" s="189"/>
      <c r="BF51" s="189"/>
      <c r="BG51" s="189"/>
      <c r="BH51" s="189"/>
      <c r="BI51" s="189"/>
      <c r="BJ51" s="246">
        <v>4</v>
      </c>
      <c r="BK51" s="246" t="str">
        <f>Smart!AN11&amp;" mm"</f>
        <v>5 mm</v>
      </c>
      <c r="BL51" s="247" t="str">
        <f>IF(Y75&lt;1,ROUNDUP(Y75*1000,2),ROUNDUP(Y75,2))&amp;IF(Y75&lt;1," ms"," s")</f>
        <v>0 ms</v>
      </c>
      <c r="BM51" s="247" t="str">
        <f>IF(Y76&lt;1,ROUNDUP(Y76*1000,2),ROUNDUP(Y76,2))&amp;IF(Y76&lt;1," ms"," s")</f>
        <v>0 ms</v>
      </c>
      <c r="BN51" s="247" t="str">
        <f>IF(Y77&lt;1,ROUNDUP(Y77*1000,2),ROUNDUP(Y77,2))&amp;IF(Y77&lt;1," ms"," s")</f>
        <v>0 ms</v>
      </c>
      <c r="BO51" s="882" t="str">
        <f>IF(Y78&lt;1,ROUNDUP(Y78*1000,2),ROUNDUP(Y78,2))&amp;IF(Y78&lt;1," ms"," s")</f>
        <v>0 ms</v>
      </c>
      <c r="BP51" s="887"/>
      <c r="BQ51" s="247" t="str">
        <f>IF(SUM(Y75:Y78)&lt;1,ROUNDUP(SUM(Y75:Y78)*1000,2),ROUNDUP(SUM(Y75:Y78),2))&amp;IF(SUM(Y75:Y78)&lt;1," ms"," s")</f>
        <v>0 ms</v>
      </c>
      <c r="BR51" s="248" t="str">
        <f>IF(Smart!AT7&gt;Smart!AT10,ROUNDUP(Smart!AT7,2),ROUNDUP(Smart!AT10,2))&amp;" m/sec^2"</f>
        <v>6.25 m/sec^2</v>
      </c>
      <c r="BS51" s="246" t="str">
        <f>IF(Smart!$AM$11,ROUNDUP(Smart!$O$8,2),0)&amp;" N"</f>
        <v>0 N</v>
      </c>
      <c r="BT51" s="246" t="str">
        <f>IF(Y79&gt;Y81,ROUNDUP(Y79,2),ROUNDUP(Y81,2))&amp;" N"</f>
        <v>0 N</v>
      </c>
      <c r="BU51" s="30" t="b">
        <f>Smart!P21</f>
        <v>0</v>
      </c>
      <c r="BV51" s="189"/>
      <c r="BW51" s="189"/>
      <c r="BX51" s="189"/>
      <c r="BY51" s="30"/>
      <c r="BZ51" s="30"/>
      <c r="CA51" s="30"/>
      <c r="CB51" s="30"/>
      <c r="CC51" s="30"/>
    </row>
    <row r="52" spans="1:81" s="40" customFormat="1">
      <c r="A52" s="30">
        <v>2</v>
      </c>
      <c r="B52" s="30">
        <f t="shared" ref="B52:B82" si="17">(M$31*SQRT(10/(O$39*(M$33+(M$33*0.00393*10))*($A52*0.01))))</f>
        <v>3.7400393464305686</v>
      </c>
      <c r="C52" s="30">
        <f t="shared" si="0"/>
        <v>5.1919610369425824</v>
      </c>
      <c r="D52" s="30">
        <f t="shared" si="1"/>
        <v>6.2460547116974778</v>
      </c>
      <c r="E52" s="30">
        <f t="shared" si="2"/>
        <v>7.0887950120546135</v>
      </c>
      <c r="F52" s="30">
        <f t="shared" si="3"/>
        <v>7.7942671184454886</v>
      </c>
      <c r="G52" s="30">
        <f t="shared" si="4"/>
        <v>8.4013323335172494</v>
      </c>
      <c r="H52" s="30">
        <f t="shared" si="5"/>
        <v>8.9335388813217644</v>
      </c>
      <c r="I52" s="30">
        <f t="shared" si="6"/>
        <v>9.4064955216944455</v>
      </c>
      <c r="J52" s="30">
        <f t="shared" si="7"/>
        <v>9.8312032559785525</v>
      </c>
      <c r="K52" s="30">
        <f t="shared" si="8"/>
        <v>10.215769294484472</v>
      </c>
      <c r="L52" s="30">
        <f t="shared" si="9"/>
        <v>10.566374068046152</v>
      </c>
      <c r="M52" s="30">
        <f t="shared" si="10"/>
        <v>10.887855996632261</v>
      </c>
      <c r="N52" s="30"/>
      <c r="O52" s="30"/>
      <c r="P52" s="30"/>
      <c r="Q52" s="592"/>
      <c r="R52" s="593"/>
      <c r="S52" s="584"/>
      <c r="T52" s="584"/>
      <c r="U52" s="30"/>
      <c r="V52" s="30"/>
      <c r="W52" s="29"/>
      <c r="X52" s="591" t="s">
        <v>228</v>
      </c>
      <c r="Y52" s="587">
        <f>Smart!$U7</f>
        <v>0.54500000000000004</v>
      </c>
      <c r="Z52" s="587">
        <f>Smart!AX31</f>
        <v>0</v>
      </c>
      <c r="AA52" s="588">
        <f>Smart!D96+Smart!$E$35-IF(Smart!V$11,IF(Smart!Z$4,Fl,0),0)</f>
        <v>0.44145000000000006</v>
      </c>
      <c r="AB52" s="30">
        <f t="shared" ref="AB52:AB63" si="18">AA52/$M$31</f>
        <v>0.2072535211267606</v>
      </c>
      <c r="AC52" s="524" t="s">
        <v>229</v>
      </c>
      <c r="AD52" s="524">
        <f>AR38/1000</f>
        <v>2.5000000000000001E-2</v>
      </c>
      <c r="AE52" s="526">
        <f t="shared" ref="AE52:AE83" si="19">AE51+AD$57/100</f>
        <v>8.0000000000000002E-3</v>
      </c>
      <c r="AF52" s="527">
        <f t="shared" si="11"/>
        <v>11.38589101242758</v>
      </c>
      <c r="AG52" s="527">
        <f t="shared" si="12"/>
        <v>1.8</v>
      </c>
      <c r="AH52" s="524">
        <f t="shared" si="13"/>
        <v>1.136E-2</v>
      </c>
      <c r="AI52" s="524">
        <f t="shared" si="14"/>
        <v>1.0077127935791252E-2</v>
      </c>
      <c r="AJ52" s="524"/>
      <c r="AK52" s="524"/>
      <c r="AL52" s="524"/>
      <c r="AM52" s="524"/>
      <c r="AN52" s="524"/>
      <c r="AO52" s="524"/>
      <c r="AP52" s="524"/>
      <c r="AQ52" s="524"/>
      <c r="AR52" s="527">
        <f t="shared" ref="AR52:AR82" si="20">M$31*(AF$49-(SQRT((AT52^2+AV52^2))))/AD$51</f>
        <v>10.91502027844518</v>
      </c>
      <c r="AS52" s="524">
        <f>AS51-$AS$50</f>
        <v>0.79200000000000004</v>
      </c>
      <c r="AT52" s="524">
        <f t="shared" si="15"/>
        <v>1.1246400000000001</v>
      </c>
      <c r="AU52" s="524"/>
      <c r="AV52" s="524">
        <f t="shared" si="16"/>
        <v>0.99763566564333395</v>
      </c>
      <c r="AW52" s="382"/>
      <c r="AX52" s="382"/>
      <c r="AY52" s="382"/>
      <c r="AZ52" s="37"/>
      <c r="BA52" s="37"/>
      <c r="BB52" s="37"/>
      <c r="BC52" s="189"/>
      <c r="BD52" s="189"/>
      <c r="BE52" s="189"/>
      <c r="BF52" s="189"/>
      <c r="BG52" s="189"/>
      <c r="BH52" s="189"/>
      <c r="BI52" s="189"/>
      <c r="BJ52" s="246">
        <v>5</v>
      </c>
      <c r="BK52" s="246" t="str">
        <f>Smart!AN19&amp;" mm"</f>
        <v>-100 mm</v>
      </c>
      <c r="BL52" s="247" t="str">
        <f>IF(Y83&lt;1,ROUNDUP(Y83*1000,2),ROUNDUP(Y83,2))&amp;IF(Y83&lt;1," ms"," s")</f>
        <v>0 ms</v>
      </c>
      <c r="BM52" s="247" t="str">
        <f>IF(Y84&lt;1,ROUNDUP(Y84*1000,2),ROUNDUP(Y84,2))&amp;IF(Y84&lt;1," ms"," s")</f>
        <v>0 ms</v>
      </c>
      <c r="BN52" s="247" t="str">
        <f>IF(Y85&lt;1,ROUNDUP(Y85*1000,2),ROUNDUP(Y85,2))&amp;IF(Y85&lt;1," ms"," s")</f>
        <v>0 ms</v>
      </c>
      <c r="BO52" s="882" t="str">
        <f>IF(Y86&lt;1,ROUNDUP(Y86*1000,2),ROUNDUP(Y86,2))&amp;IF(Y86&lt;1," ms"," s")</f>
        <v>0 ms</v>
      </c>
      <c r="BP52" s="887"/>
      <c r="BQ52" s="247" t="str">
        <f>IF(SUM(Y83:Y86)&lt;1,ROUNDUP(SUM(Y83:Y86)*1000,2),ROUNDUP(SUM(Y83:Y86),2))&amp;IF(SUM(Y83:Y86)&lt;1," ms"," s")</f>
        <v>0 ms</v>
      </c>
      <c r="BR52" s="248" t="str">
        <f>IF(Smart!AT18&gt;Smart!AT15,ROUNDUP(Smart!AT18,2),ROUNDUP(Smart!AT15,2))&amp;" m/sec^2"</f>
        <v>20 m/sec^2</v>
      </c>
      <c r="BS52" s="246" t="str">
        <f>IF(Smart!$AM$19,ROUNDUP(Smart!$O$8,2),0)&amp;" N"</f>
        <v>0 N</v>
      </c>
      <c r="BT52" s="246" t="str">
        <f>IF(Y87&gt;Y89,ROUNDUP(Y87,2),ROUNDUP(Y89,2))&amp;" N"</f>
        <v>0 N</v>
      </c>
      <c r="BU52" s="30" t="b">
        <f>Smart!AG5</f>
        <v>0</v>
      </c>
      <c r="BV52" s="189"/>
      <c r="BW52" s="189"/>
      <c r="BX52" s="189"/>
      <c r="BY52" s="30"/>
      <c r="BZ52" s="30"/>
      <c r="CA52" s="30"/>
      <c r="CB52" s="30"/>
      <c r="CC52" s="30"/>
    </row>
    <row r="53" spans="1:81" s="40" customFormat="1">
      <c r="A53" s="30">
        <v>3</v>
      </c>
      <c r="B53" s="30">
        <f t="shared" si="17"/>
        <v>3.0537293388957263</v>
      </c>
      <c r="C53" s="30">
        <f t="shared" si="0"/>
        <v>4.2392184349735897</v>
      </c>
      <c r="D53" s="30">
        <f t="shared" si="1"/>
        <v>5.0998823163885048</v>
      </c>
      <c r="E53" s="30">
        <f t="shared" si="2"/>
        <v>5.7879768902401105</v>
      </c>
      <c r="F53" s="30">
        <f t="shared" si="3"/>
        <v>6.3639924530481418</v>
      </c>
      <c r="G53" s="30">
        <f t="shared" si="4"/>
        <v>6.8596591255543879</v>
      </c>
      <c r="H53" s="30">
        <f t="shared" si="5"/>
        <v>7.294203952184124</v>
      </c>
      <c r="I53" s="30">
        <f t="shared" si="6"/>
        <v>7.6803714319754812</v>
      </c>
      <c r="J53" s="30">
        <f t="shared" si="7"/>
        <v>8.0271438449120165</v>
      </c>
      <c r="K53" s="30">
        <f t="shared" si="8"/>
        <v>8.3411407004930194</v>
      </c>
      <c r="L53" s="30">
        <f t="shared" si="9"/>
        <v>8.6274082993630703</v>
      </c>
      <c r="M53" s="30">
        <f t="shared" si="10"/>
        <v>8.8898971948836802</v>
      </c>
      <c r="N53" s="30"/>
      <c r="O53" s="30"/>
      <c r="P53" s="30"/>
      <c r="Q53" s="592"/>
      <c r="R53" s="590"/>
      <c r="S53" s="584"/>
      <c r="T53" s="584"/>
      <c r="U53" s="30"/>
      <c r="V53" s="30"/>
      <c r="W53" s="29"/>
      <c r="X53" s="29" t="s">
        <v>230</v>
      </c>
      <c r="Y53" s="587">
        <f>Smart!$U8</f>
        <v>0.08</v>
      </c>
      <c r="Z53" s="587">
        <f>Smart!AX32</f>
        <v>8.0000000000000002E-3</v>
      </c>
      <c r="AA53" s="588">
        <f>Smart!D97+Smart!$E$35-IF(Smart!V$11,IF(Smart!Z$4,Fl,0),0)</f>
        <v>0.51345000000000007</v>
      </c>
      <c r="AB53" s="30">
        <f t="shared" si="18"/>
        <v>0.24105633802816906</v>
      </c>
      <c r="AC53" s="524" t="s">
        <v>454</v>
      </c>
      <c r="AD53" s="524">
        <f>AF49/M32</f>
        <v>25.35211267605634</v>
      </c>
      <c r="AE53" s="526">
        <f t="shared" si="19"/>
        <v>1.6E-2</v>
      </c>
      <c r="AF53" s="527">
        <f t="shared" si="11"/>
        <v>11.381086209019593</v>
      </c>
      <c r="AG53" s="527">
        <f t="shared" si="12"/>
        <v>1.8</v>
      </c>
      <c r="AH53" s="524">
        <f t="shared" si="13"/>
        <v>2.2720000000000001E-2</v>
      </c>
      <c r="AI53" s="524">
        <f t="shared" si="14"/>
        <v>2.0154255871582503E-2</v>
      </c>
      <c r="AJ53" s="524"/>
      <c r="AK53" s="524"/>
      <c r="AL53" s="524"/>
      <c r="AM53" s="524"/>
      <c r="AN53" s="524"/>
      <c r="AO53" s="524"/>
      <c r="AP53" s="524"/>
      <c r="AQ53" s="524"/>
      <c r="AR53" s="527">
        <f t="shared" si="20"/>
        <v>10.919825081853162</v>
      </c>
      <c r="AS53" s="524">
        <f t="shared" ref="AS53:AS116" si="21">AS52-$AS$50</f>
        <v>0.78400000000000003</v>
      </c>
      <c r="AT53" s="524">
        <f t="shared" si="15"/>
        <v>1.11328</v>
      </c>
      <c r="AU53" s="524"/>
      <c r="AV53" s="524">
        <f t="shared" si="16"/>
        <v>0.98755853770754287</v>
      </c>
      <c r="AW53" s="382"/>
      <c r="AX53" s="382"/>
      <c r="AY53" s="382"/>
      <c r="AZ53" s="37"/>
      <c r="BA53" s="37"/>
      <c r="BB53" s="37"/>
      <c r="BC53" s="189"/>
      <c r="BD53" s="189"/>
      <c r="BE53" s="189"/>
      <c r="BF53" s="189"/>
      <c r="BG53" s="189"/>
      <c r="BH53" s="189"/>
      <c r="BI53" s="189"/>
      <c r="BJ53" s="246">
        <v>6</v>
      </c>
      <c r="BK53" s="246" t="str">
        <f>Smart!AN27&amp;" mm"</f>
        <v>40 mm</v>
      </c>
      <c r="BL53" s="247" t="str">
        <f>IF(Y91&lt;1,ROUNDUP(Y91*1000,2),ROUNDUP(Y91,2))&amp;IF(Y91&lt;1," ms"," s")</f>
        <v>0 ms</v>
      </c>
      <c r="BM53" s="247" t="str">
        <f>IF(Y92&lt;1,ROUNDUP(Y92*1000,2),ROUNDUP(Y92,2))&amp;IF(Y92&lt;1," ms"," s")</f>
        <v>0 ms</v>
      </c>
      <c r="BN53" s="247" t="str">
        <f>IF(Y93&lt;1,ROUNDUP(Y93*1000,2),ROUNDUP(Y93,2))&amp;IF(Y93&lt;1," ms"," s")</f>
        <v>0 ms</v>
      </c>
      <c r="BO53" s="882" t="str">
        <f>IF(Y94&lt;1,ROUNDUP(Y94*1000,2),ROUNDUP(Y94,2))&amp;IF(Y94&lt;1," ms"," s")</f>
        <v>0 ms</v>
      </c>
      <c r="BP53" s="883"/>
      <c r="BQ53" s="247" t="str">
        <f>IF(SUM(Y91:Y94)&lt;1,ROUNDUP(SUM(Y91:Y94)*1000,2),ROUNDUP(SUM(Y91:Y94),2))&amp;IF(SUM(Y91:Y94)&lt;1," ms"," s")</f>
        <v>0 ms</v>
      </c>
      <c r="BR53" s="248" t="str">
        <f>IF(Smart!AT23&gt;Smart!AT26,ROUNDUP(Smart!AT23,2),ROUNDUP(Smart!AT26,2))&amp;" m/sec^2"</f>
        <v>4 m/sec^2</v>
      </c>
      <c r="BS53" s="246" t="str">
        <f>IF(Smart!$AM$27,ROUNDUP(Smart!$O$8,2),0)&amp;" N"</f>
        <v>0 N</v>
      </c>
      <c r="BT53" s="246" t="str">
        <f>IF(Y95&gt;Y97,ROUNDUP(Y95,2),ROUNDUP(Y97,2))&amp;" N"</f>
        <v>0 N</v>
      </c>
      <c r="BU53" s="30" t="b">
        <f>Smart!AG13</f>
        <v>0</v>
      </c>
      <c r="BV53" s="189"/>
      <c r="BW53" s="189"/>
      <c r="BX53" s="189"/>
      <c r="BY53" s="30"/>
      <c r="BZ53" s="30"/>
      <c r="CA53" s="30"/>
      <c r="CB53" s="30"/>
      <c r="CC53" s="30"/>
    </row>
    <row r="54" spans="1:81" s="40" customFormat="1" ht="15">
      <c r="A54" s="340">
        <v>4</v>
      </c>
      <c r="B54" s="30">
        <f t="shared" si="17"/>
        <v>2.6446071837655585</v>
      </c>
      <c r="C54" s="30">
        <f t="shared" si="0"/>
        <v>3.6712708568784391</v>
      </c>
      <c r="D54" s="30">
        <f t="shared" si="1"/>
        <v>4.4166276423034727</v>
      </c>
      <c r="E54" s="30">
        <f t="shared" si="2"/>
        <v>5.0125350234651904</v>
      </c>
      <c r="F54" s="30">
        <f t="shared" si="3"/>
        <v>5.5113791338321363</v>
      </c>
      <c r="G54" s="30">
        <f t="shared" si="4"/>
        <v>5.9406390640318492</v>
      </c>
      <c r="H54" s="30">
        <f t="shared" si="5"/>
        <v>6.3169659229763049</v>
      </c>
      <c r="I54" s="30">
        <f t="shared" si="6"/>
        <v>6.6513967705910337</v>
      </c>
      <c r="J54" s="30">
        <f t="shared" si="7"/>
        <v>6.9517104895257003</v>
      </c>
      <c r="K54" s="30">
        <f t="shared" si="8"/>
        <v>7.2236397431672819</v>
      </c>
      <c r="L54" s="30">
        <f t="shared" si="9"/>
        <v>7.4715547560691196</v>
      </c>
      <c r="M54" s="30">
        <f t="shared" si="10"/>
        <v>7.6988768078012866</v>
      </c>
      <c r="N54" s="30"/>
      <c r="O54" s="30"/>
      <c r="P54" s="30"/>
      <c r="Q54" s="594"/>
      <c r="R54" s="595"/>
      <c r="S54" s="584"/>
      <c r="T54" s="584"/>
      <c r="U54" s="30"/>
      <c r="V54" s="30"/>
      <c r="W54" s="29"/>
      <c r="X54" s="585" t="s">
        <v>231</v>
      </c>
      <c r="Y54" s="587">
        <f>IF(Smart!$U9&gt;40,40,Smart!$U9)</f>
        <v>40</v>
      </c>
      <c r="Z54" s="587">
        <f>Smart!AX33</f>
        <v>1.6E-2</v>
      </c>
      <c r="AA54" s="588">
        <f>Smart!D98+Smart!$E$35-IF(Smart!V$11,IF(Smart!Z$4,Fl,0),0)</f>
        <v>0.58545000000000014</v>
      </c>
      <c r="AB54" s="30">
        <f t="shared" si="18"/>
        <v>0.27485915492957752</v>
      </c>
      <c r="AC54" s="524" t="s">
        <v>232</v>
      </c>
      <c r="AD54" s="524">
        <f>IF(((Smart!O13/AD51)*M31)/(AD55+ML)&gt;197,197,((Smart!O13/AD51)*M31)/(AD55+ML))</f>
        <v>25.312657368523471</v>
      </c>
      <c r="AE54" s="526">
        <f t="shared" si="19"/>
        <v>2.4E-2</v>
      </c>
      <c r="AF54" s="527">
        <f t="shared" si="11"/>
        <v>11.376281405611611</v>
      </c>
      <c r="AG54" s="527">
        <f t="shared" si="12"/>
        <v>1.8</v>
      </c>
      <c r="AH54" s="524">
        <f t="shared" si="13"/>
        <v>3.4079999999999999E-2</v>
      </c>
      <c r="AI54" s="524">
        <f t="shared" si="14"/>
        <v>3.0231383807373762E-2</v>
      </c>
      <c r="AJ54" s="524"/>
      <c r="AK54" s="524"/>
      <c r="AL54" s="524"/>
      <c r="AM54" s="524"/>
      <c r="AN54" s="524"/>
      <c r="AO54" s="524"/>
      <c r="AP54" s="524"/>
      <c r="AQ54" s="524"/>
      <c r="AR54" s="527">
        <f t="shared" si="20"/>
        <v>10.924629885261144</v>
      </c>
      <c r="AS54" s="524">
        <f t="shared" si="21"/>
        <v>0.77600000000000002</v>
      </c>
      <c r="AT54" s="524">
        <f t="shared" si="15"/>
        <v>1.10192</v>
      </c>
      <c r="AU54" s="524"/>
      <c r="AV54" s="524">
        <f t="shared" si="16"/>
        <v>0.97748140977175146</v>
      </c>
      <c r="AW54" s="382"/>
      <c r="AX54" s="382"/>
      <c r="AY54" s="382"/>
      <c r="AZ54" s="37"/>
      <c r="BA54" s="37"/>
      <c r="BB54" s="37"/>
      <c r="BC54" s="189"/>
      <c r="BD54" s="189"/>
      <c r="BE54" s="189"/>
      <c r="BF54" s="189"/>
      <c r="BG54" s="189"/>
      <c r="BH54" s="189"/>
      <c r="BI54" s="189"/>
      <c r="BJ54" s="189"/>
      <c r="BK54" s="189"/>
      <c r="BM54" s="189"/>
      <c r="BN54" s="189"/>
      <c r="BO54" s="30"/>
      <c r="BP54" s="249"/>
      <c r="BQ54" s="250"/>
      <c r="BR54" s="189"/>
      <c r="BS54" s="189"/>
      <c r="BT54" s="189"/>
      <c r="BU54" s="30" t="b">
        <f>Smart!AG21</f>
        <v>0</v>
      </c>
      <c r="BV54" s="189"/>
      <c r="BW54" s="189"/>
      <c r="BX54" s="189"/>
      <c r="BY54" s="30"/>
      <c r="BZ54" s="30"/>
      <c r="CA54" s="30"/>
      <c r="CB54" s="30"/>
      <c r="CC54" s="30"/>
    </row>
    <row r="55" spans="1:81" s="40" customFormat="1">
      <c r="A55" s="30">
        <v>5</v>
      </c>
      <c r="B55" s="30">
        <f t="shared" si="17"/>
        <v>2.3654085746736269</v>
      </c>
      <c r="C55" s="30">
        <f t="shared" si="0"/>
        <v>3.2836844799176363</v>
      </c>
      <c r="D55" s="30">
        <f t="shared" si="1"/>
        <v>3.9503518557980764</v>
      </c>
      <c r="E55" s="30">
        <f t="shared" si="2"/>
        <v>4.4833476208266685</v>
      </c>
      <c r="F55" s="30">
        <f t="shared" si="3"/>
        <v>4.929527357209027</v>
      </c>
      <c r="G55" s="30">
        <f t="shared" si="4"/>
        <v>5.3134691107863752</v>
      </c>
      <c r="H55" s="30">
        <f t="shared" si="5"/>
        <v>5.6500660861298861</v>
      </c>
      <c r="I55" s="30">
        <f t="shared" si="6"/>
        <v>5.9491901297456504</v>
      </c>
      <c r="J55" s="30">
        <f t="shared" si="7"/>
        <v>6.2177988857911215</v>
      </c>
      <c r="K55" s="30">
        <f t="shared" si="8"/>
        <v>6.4610198042764662</v>
      </c>
      <c r="L55" s="30">
        <f t="shared" si="9"/>
        <v>6.6827617328729652</v>
      </c>
      <c r="M55" s="30">
        <f t="shared" si="10"/>
        <v>6.8860847570561052</v>
      </c>
      <c r="N55" s="30"/>
      <c r="O55" s="30"/>
      <c r="P55" s="30"/>
      <c r="Q55" s="584"/>
      <c r="R55" s="596"/>
      <c r="S55" s="584"/>
      <c r="T55" s="584"/>
      <c r="U55" s="30"/>
      <c r="V55" s="30"/>
      <c r="W55" s="29"/>
      <c r="X55" s="591" t="s">
        <v>233</v>
      </c>
      <c r="Y55" s="597">
        <f>Smart!$D$35</f>
        <v>0.58768269128344741</v>
      </c>
      <c r="Z55" s="601">
        <f>Smart!AX34</f>
        <v>2.4E-2</v>
      </c>
      <c r="AA55" s="602">
        <f>Smart!D99+Smart!$E$35-IF(Smart!V$11,IF(Smart!Z$4,Fl,0),0)</f>
        <v>0.62145000000000006</v>
      </c>
      <c r="AB55" s="382">
        <f t="shared" si="18"/>
        <v>0.29176056338028172</v>
      </c>
      <c r="AC55" s="524" t="s">
        <v>234</v>
      </c>
      <c r="AD55" s="524">
        <f>IF(Smart!I19,AR40,AR33)</f>
        <v>0.05</v>
      </c>
      <c r="AE55" s="526">
        <f t="shared" si="19"/>
        <v>3.2000000000000001E-2</v>
      </c>
      <c r="AF55" s="527">
        <f t="shared" si="11"/>
        <v>11.371476602203627</v>
      </c>
      <c r="AG55" s="527">
        <f t="shared" si="12"/>
        <v>1.8</v>
      </c>
      <c r="AH55" s="524">
        <f t="shared" si="13"/>
        <v>4.5440000000000001E-2</v>
      </c>
      <c r="AI55" s="524">
        <f t="shared" si="14"/>
        <v>4.0308511743165007E-2</v>
      </c>
      <c r="AJ55" s="524"/>
      <c r="AK55" s="524"/>
      <c r="AL55" s="524"/>
      <c r="AM55" s="524"/>
      <c r="AN55" s="524"/>
      <c r="AO55" s="524"/>
      <c r="AP55" s="524"/>
      <c r="AQ55" s="524"/>
      <c r="AR55" s="527">
        <f t="shared" si="20"/>
        <v>10.929434688669129</v>
      </c>
      <c r="AS55" s="524">
        <f t="shared" si="21"/>
        <v>0.76800000000000002</v>
      </c>
      <c r="AT55" s="524">
        <f t="shared" si="15"/>
        <v>1.09056</v>
      </c>
      <c r="AU55" s="524"/>
      <c r="AV55" s="524">
        <f t="shared" si="16"/>
        <v>0.96740428183596039</v>
      </c>
      <c r="AW55" s="382"/>
      <c r="AX55" s="382"/>
      <c r="AY55" s="382"/>
      <c r="AZ55" s="37"/>
      <c r="BA55" s="37"/>
      <c r="BB55" s="37"/>
      <c r="BC55" s="189"/>
      <c r="BD55" s="189"/>
      <c r="BE55" s="189"/>
      <c r="BF55" s="189"/>
      <c r="BG55" s="189"/>
      <c r="BH55" s="189"/>
      <c r="BI55" s="189"/>
      <c r="BJ55" s="34" t="str">
        <f>"NPA SMART " &amp; Smart!AY3</f>
        <v>NPA SMART V2.5.2</v>
      </c>
      <c r="BK55" s="189"/>
      <c r="BM55" s="189"/>
      <c r="BN55" s="189"/>
      <c r="BP55" s="251"/>
      <c r="BQ55" s="250"/>
      <c r="BR55" s="250"/>
      <c r="BS55" s="189"/>
      <c r="BT55" s="189"/>
      <c r="BU55" s="189"/>
      <c r="BV55" s="189"/>
      <c r="BW55" s="189"/>
      <c r="BX55" s="189"/>
      <c r="BY55" s="30"/>
      <c r="BZ55" s="30"/>
      <c r="CA55" s="30"/>
      <c r="CB55" s="30"/>
      <c r="CC55" s="30"/>
    </row>
    <row r="56" spans="1:81" s="40" customFormat="1">
      <c r="A56" s="30">
        <v>6</v>
      </c>
      <c r="B56" s="382">
        <f t="shared" si="17"/>
        <v>2.1593127234414808</v>
      </c>
      <c r="C56" s="382">
        <f t="shared" si="0"/>
        <v>2.9975801023008484</v>
      </c>
      <c r="D56" s="382">
        <f t="shared" si="1"/>
        <v>3.6061613691716694</v>
      </c>
      <c r="E56" s="382">
        <f t="shared" si="2"/>
        <v>4.0927177084398076</v>
      </c>
      <c r="F56" s="382">
        <f t="shared" si="3"/>
        <v>4.5000222189703516</v>
      </c>
      <c r="G56" s="382">
        <f t="shared" si="4"/>
        <v>4.8505114843076909</v>
      </c>
      <c r="H56" s="382">
        <f t="shared" si="5"/>
        <v>5.15778107794711</v>
      </c>
      <c r="I56" s="382">
        <f t="shared" si="6"/>
        <v>5.430842721581298</v>
      </c>
      <c r="J56" s="382">
        <f t="shared" si="7"/>
        <v>5.6760478462971431</v>
      </c>
      <c r="K56" s="382">
        <f t="shared" si="8"/>
        <v>5.8980771521497228</v>
      </c>
      <c r="L56" s="382">
        <f t="shared" si="9"/>
        <v>6.1004989125447269</v>
      </c>
      <c r="M56" s="382">
        <f t="shared" si="10"/>
        <v>6.2861065905535174</v>
      </c>
      <c r="N56" s="382"/>
      <c r="O56" s="382"/>
      <c r="P56" s="382"/>
      <c r="Q56" s="598"/>
      <c r="R56" s="465"/>
      <c r="S56" s="465"/>
      <c r="T56" s="465"/>
      <c r="U56" s="465"/>
      <c r="V56" s="465"/>
      <c r="W56" s="29"/>
      <c r="X56" s="591" t="s">
        <v>235</v>
      </c>
      <c r="Y56" s="597">
        <f>Smart!$E$35</f>
        <v>0.44145000000000006</v>
      </c>
      <c r="Z56" s="601">
        <f>Smart!AX35</f>
        <v>3.2000000000000001E-2</v>
      </c>
      <c r="AA56" s="602">
        <f>Smart!D100+Smart!$E$35-IF(Smart!V$11,IF(Smart!Z$4,Fl,0),0)</f>
        <v>0.62145000000000006</v>
      </c>
      <c r="AB56" s="382">
        <f t="shared" si="18"/>
        <v>0.29176056338028172</v>
      </c>
      <c r="AC56" s="383" t="s">
        <v>236</v>
      </c>
      <c r="AD56" s="383">
        <f>ROUND(SQRT(AD54*AD52),1)</f>
        <v>0.8</v>
      </c>
      <c r="AE56" s="384">
        <f t="shared" si="19"/>
        <v>0.04</v>
      </c>
      <c r="AF56" s="385">
        <f t="shared" si="11"/>
        <v>11.366671798795643</v>
      </c>
      <c r="AG56" s="385">
        <f t="shared" si="12"/>
        <v>1.8</v>
      </c>
      <c r="AH56" s="383">
        <f t="shared" si="13"/>
        <v>5.6799999999999996E-2</v>
      </c>
      <c r="AI56" s="383">
        <f t="shared" si="14"/>
        <v>5.0385639678956269E-2</v>
      </c>
      <c r="AJ56" s="383"/>
      <c r="AK56" s="383"/>
      <c r="AL56" s="383"/>
      <c r="AM56" s="383"/>
      <c r="AN56" s="383"/>
      <c r="AO56" s="383"/>
      <c r="AP56" s="383"/>
      <c r="AQ56" s="383"/>
      <c r="AR56" s="385">
        <f t="shared" si="20"/>
        <v>10.934239492077111</v>
      </c>
      <c r="AS56" s="383">
        <f t="shared" si="21"/>
        <v>0.76</v>
      </c>
      <c r="AT56" s="383">
        <f t="shared" si="15"/>
        <v>1.0791999999999999</v>
      </c>
      <c r="AU56" s="383"/>
      <c r="AV56" s="383">
        <f t="shared" si="16"/>
        <v>0.95732715390016909</v>
      </c>
      <c r="AW56" s="465"/>
      <c r="AX56" s="465"/>
      <c r="AY56" s="465"/>
      <c r="AZ56" s="37"/>
      <c r="BA56" s="37"/>
      <c r="BB56" s="37"/>
      <c r="BC56" s="189"/>
      <c r="BD56" s="189"/>
      <c r="BE56" s="189"/>
      <c r="BF56" s="189"/>
      <c r="BG56" s="189"/>
      <c r="BH56" s="189"/>
      <c r="BI56" s="189"/>
      <c r="BJ56" s="189"/>
      <c r="BK56" s="189"/>
      <c r="BM56" s="189"/>
      <c r="BN56" s="189"/>
      <c r="BO56" s="189"/>
      <c r="BP56" s="251"/>
      <c r="BQ56" s="250"/>
      <c r="BR56" s="250"/>
      <c r="BS56" s="189"/>
      <c r="BT56" s="189"/>
      <c r="BU56" s="189"/>
      <c r="BV56" s="189"/>
      <c r="BW56" s="189"/>
      <c r="BX56" s="189"/>
      <c r="BY56" s="30"/>
      <c r="BZ56" s="30"/>
      <c r="CA56" s="30"/>
      <c r="CB56" s="30"/>
      <c r="CC56" s="30"/>
    </row>
    <row r="57" spans="1:81" s="40" customFormat="1">
      <c r="A57" s="30">
        <v>7</v>
      </c>
      <c r="B57" s="382">
        <f t="shared" si="17"/>
        <v>1.9991351210567316</v>
      </c>
      <c r="C57" s="382">
        <f t="shared" si="0"/>
        <v>2.7752199093883867</v>
      </c>
      <c r="D57" s="382">
        <f t="shared" si="1"/>
        <v>3.3386566786024354</v>
      </c>
      <c r="E57" s="382">
        <f t="shared" si="2"/>
        <v>3.789120317168631</v>
      </c>
      <c r="F57" s="382">
        <f t="shared" si="3"/>
        <v>4.1662110197458295</v>
      </c>
      <c r="G57" s="382">
        <f t="shared" si="4"/>
        <v>4.4907010263496536</v>
      </c>
      <c r="H57" s="382">
        <f t="shared" si="5"/>
        <v>4.7751773921899705</v>
      </c>
      <c r="I57" s="382">
        <f t="shared" si="6"/>
        <v>5.0279833503434315</v>
      </c>
      <c r="J57" s="382">
        <f t="shared" si="7"/>
        <v>5.254999183372596</v>
      </c>
      <c r="K57" s="382">
        <f t="shared" si="8"/>
        <v>5.4605583774694626</v>
      </c>
      <c r="L57" s="382">
        <f t="shared" si="9"/>
        <v>5.6479645118745001</v>
      </c>
      <c r="M57" s="382">
        <f t="shared" si="10"/>
        <v>5.8198038308471505</v>
      </c>
      <c r="N57" s="382"/>
      <c r="O57" s="382"/>
      <c r="P57" s="382"/>
      <c r="Q57" s="382"/>
      <c r="R57" s="382"/>
      <c r="S57" s="382"/>
      <c r="T57" s="382"/>
      <c r="U57" s="382"/>
      <c r="V57" s="382"/>
      <c r="W57" s="29"/>
      <c r="X57" s="29" t="s">
        <v>237</v>
      </c>
      <c r="Y57" s="597">
        <f>Smart!$F$35</f>
        <v>-0.29521730871655277</v>
      </c>
      <c r="Z57" s="601">
        <f>Smart!AX36</f>
        <v>0.04</v>
      </c>
      <c r="AA57" s="602">
        <f>Smart!D101+Smart!$E$35-IF(Smart!V$11,IF(Smart!Z$4,Fl,0),0)</f>
        <v>0.62145000000000006</v>
      </c>
      <c r="AB57" s="382">
        <f t="shared" si="18"/>
        <v>0.29176056338028172</v>
      </c>
      <c r="AC57" s="383" t="s">
        <v>238</v>
      </c>
      <c r="AD57" s="383">
        <f>IF(AR51&gt;0,AS51,VLOOKUP(0,AR51:AS125,2,TRUE))</f>
        <v>0.8</v>
      </c>
      <c r="AE57" s="384">
        <f t="shared" si="19"/>
        <v>4.8000000000000001E-2</v>
      </c>
      <c r="AF57" s="385">
        <f t="shared" si="11"/>
        <v>11.361866995387661</v>
      </c>
      <c r="AG57" s="385">
        <f t="shared" si="12"/>
        <v>1.8</v>
      </c>
      <c r="AH57" s="383">
        <f t="shared" si="13"/>
        <v>6.8159999999999998E-2</v>
      </c>
      <c r="AI57" s="383">
        <f t="shared" si="14"/>
        <v>6.0462767614747524E-2</v>
      </c>
      <c r="AJ57" s="383"/>
      <c r="AK57" s="383"/>
      <c r="AL57" s="383"/>
      <c r="AM57" s="383"/>
      <c r="AN57" s="383"/>
      <c r="AO57" s="383"/>
      <c r="AP57" s="383"/>
      <c r="AQ57" s="383"/>
      <c r="AR57" s="385">
        <f t="shared" si="20"/>
        <v>10.939044295485099</v>
      </c>
      <c r="AS57" s="383">
        <f t="shared" si="21"/>
        <v>0.752</v>
      </c>
      <c r="AT57" s="383">
        <f t="shared" si="15"/>
        <v>1.0678399999999999</v>
      </c>
      <c r="AU57" s="383"/>
      <c r="AV57" s="383">
        <f t="shared" si="16"/>
        <v>0.94725002596437768</v>
      </c>
      <c r="AW57" s="465"/>
      <c r="AX57" s="465"/>
      <c r="AY57" s="465"/>
      <c r="AZ57" s="37"/>
      <c r="BA57" s="37"/>
      <c r="BB57" s="37"/>
      <c r="BC57" s="189"/>
      <c r="BD57" s="189"/>
      <c r="BE57" s="189"/>
      <c r="BF57" s="189"/>
      <c r="BG57" s="189"/>
      <c r="BH57" s="189"/>
      <c r="BI57" s="189"/>
      <c r="BJ57" s="189"/>
      <c r="BK57" s="189"/>
      <c r="BM57" s="189"/>
      <c r="BN57" s="189"/>
      <c r="BO57" s="189"/>
      <c r="BP57" s="251"/>
      <c r="BQ57" s="250"/>
      <c r="BR57" s="250"/>
      <c r="BS57" s="189"/>
      <c r="BT57" s="189"/>
      <c r="BU57" s="189"/>
      <c r="BV57" s="189"/>
      <c r="BW57" s="189"/>
      <c r="BX57" s="189"/>
      <c r="BY57" s="30"/>
      <c r="BZ57" s="30"/>
      <c r="CA57" s="30"/>
      <c r="CB57" s="30"/>
      <c r="CC57" s="30"/>
    </row>
    <row r="58" spans="1:81" s="40" customFormat="1">
      <c r="A58" s="30">
        <v>8</v>
      </c>
      <c r="B58" s="382">
        <f t="shared" si="17"/>
        <v>1.8700196732152843</v>
      </c>
      <c r="C58" s="382">
        <f t="shared" si="0"/>
        <v>2.5959805184712912</v>
      </c>
      <c r="D58" s="382">
        <f t="shared" si="1"/>
        <v>3.1230273558487389</v>
      </c>
      <c r="E58" s="382">
        <f t="shared" si="2"/>
        <v>3.5443975060273067</v>
      </c>
      <c r="F58" s="382">
        <f t="shared" si="3"/>
        <v>3.8971335592227443</v>
      </c>
      <c r="G58" s="382">
        <f t="shared" si="4"/>
        <v>4.2006661667586247</v>
      </c>
      <c r="H58" s="382">
        <f t="shared" si="5"/>
        <v>4.4667694406608822</v>
      </c>
      <c r="I58" s="382">
        <f t="shared" si="6"/>
        <v>4.7032477608472227</v>
      </c>
      <c r="J58" s="382">
        <f t="shared" si="7"/>
        <v>4.9156016279892762</v>
      </c>
      <c r="K58" s="382">
        <f t="shared" si="8"/>
        <v>5.1078846472422361</v>
      </c>
      <c r="L58" s="382">
        <f t="shared" si="9"/>
        <v>5.2831870340230758</v>
      </c>
      <c r="M58" s="382">
        <f t="shared" si="10"/>
        <v>5.4439279983161306</v>
      </c>
      <c r="N58" s="382"/>
      <c r="O58" s="382"/>
      <c r="P58" s="382"/>
      <c r="Q58" s="382"/>
      <c r="R58" s="382"/>
      <c r="S58" s="382"/>
      <c r="T58" s="382"/>
      <c r="U58" s="382"/>
      <c r="V58" s="382"/>
      <c r="W58" s="29"/>
      <c r="X58" s="585" t="s">
        <v>239</v>
      </c>
      <c r="Y58" s="597">
        <f>Smart!$G$35</f>
        <v>0</v>
      </c>
      <c r="Z58" s="601">
        <f>Smart!AX37</f>
        <v>4.8000000000000001E-2</v>
      </c>
      <c r="AA58" s="602">
        <f>Smart!D102+Smart!$E$35-IF(Smart!V$11,IF(Smart!Z$4,Fl,0),0)</f>
        <v>0.62145000000000006</v>
      </c>
      <c r="AB58" s="382">
        <f t="shared" si="18"/>
        <v>0.29176056338028172</v>
      </c>
      <c r="AC58" s="383"/>
      <c r="AD58" s="465">
        <f>IF(AD53&lt;AD56,AD53,AD56)</f>
        <v>0.8</v>
      </c>
      <c r="AE58" s="526">
        <f t="shared" si="19"/>
        <v>5.6000000000000001E-2</v>
      </c>
      <c r="AF58" s="527">
        <f t="shared" si="11"/>
        <v>11.357062191979676</v>
      </c>
      <c r="AG58" s="527">
        <f t="shared" si="12"/>
        <v>1.8</v>
      </c>
      <c r="AH58" s="524">
        <f t="shared" si="13"/>
        <v>7.9519999999999993E-2</v>
      </c>
      <c r="AI58" s="524">
        <f t="shared" si="14"/>
        <v>7.0539895550538773E-2</v>
      </c>
      <c r="AJ58" s="524"/>
      <c r="AK58" s="524"/>
      <c r="AL58" s="524"/>
      <c r="AM58" s="524"/>
      <c r="AN58" s="524"/>
      <c r="AO58" s="524"/>
      <c r="AP58" s="524"/>
      <c r="AQ58" s="524"/>
      <c r="AR58" s="527">
        <f t="shared" si="20"/>
        <v>10.943849098893081</v>
      </c>
      <c r="AS58" s="524">
        <f t="shared" si="21"/>
        <v>0.74399999999999999</v>
      </c>
      <c r="AT58" s="524">
        <f t="shared" si="15"/>
        <v>1.0564799999999999</v>
      </c>
      <c r="AU58" s="524"/>
      <c r="AV58" s="524">
        <f t="shared" si="16"/>
        <v>0.93717289802858661</v>
      </c>
      <c r="AW58" s="382"/>
      <c r="AX58" s="382"/>
      <c r="AY58" s="382"/>
      <c r="AZ58" s="37"/>
      <c r="BA58" s="37"/>
      <c r="BB58" s="37"/>
      <c r="BC58" s="189"/>
      <c r="BD58" s="189"/>
      <c r="BE58" s="189"/>
      <c r="BF58" s="189"/>
      <c r="BG58" s="189"/>
      <c r="BH58" s="189"/>
      <c r="BI58" s="189"/>
      <c r="BJ58" s="37"/>
      <c r="BK58" s="37"/>
      <c r="BL58" s="252"/>
      <c r="BM58" s="37"/>
      <c r="BN58" s="37"/>
      <c r="BO58" s="189"/>
      <c r="BP58" s="251"/>
      <c r="BQ58" s="250"/>
      <c r="BR58" s="250"/>
      <c r="BS58" s="189"/>
      <c r="BT58" s="189"/>
      <c r="BU58" s="189"/>
      <c r="BV58" s="189"/>
      <c r="BW58" s="189"/>
      <c r="BX58" s="189"/>
      <c r="BY58" s="30"/>
      <c r="BZ58" s="30"/>
      <c r="CA58" s="30"/>
      <c r="CB58" s="30"/>
      <c r="CC58" s="30"/>
    </row>
    <row r="59" spans="1:81" s="40" customFormat="1">
      <c r="A59" s="30">
        <v>9</v>
      </c>
      <c r="B59" s="382">
        <f t="shared" si="17"/>
        <v>1.7630714558437057</v>
      </c>
      <c r="C59" s="382">
        <f t="shared" si="0"/>
        <v>2.4475139045856262</v>
      </c>
      <c r="D59" s="382">
        <f t="shared" si="1"/>
        <v>2.9444184282023151</v>
      </c>
      <c r="E59" s="382">
        <f t="shared" si="2"/>
        <v>3.341690015643461</v>
      </c>
      <c r="F59" s="382">
        <f t="shared" si="3"/>
        <v>3.6742527558880917</v>
      </c>
      <c r="G59" s="382">
        <f t="shared" si="4"/>
        <v>3.960426042687899</v>
      </c>
      <c r="H59" s="382">
        <f t="shared" si="5"/>
        <v>4.2113106153175357</v>
      </c>
      <c r="I59" s="382">
        <f t="shared" si="6"/>
        <v>4.4342645137273555</v>
      </c>
      <c r="J59" s="382">
        <f t="shared" si="7"/>
        <v>4.6344736596837999</v>
      </c>
      <c r="K59" s="382">
        <f t="shared" si="8"/>
        <v>4.8157598287781882</v>
      </c>
      <c r="L59" s="382">
        <f t="shared" si="9"/>
        <v>4.98103650404608</v>
      </c>
      <c r="M59" s="382">
        <f t="shared" si="10"/>
        <v>5.1325845385341919</v>
      </c>
      <c r="N59" s="382"/>
      <c r="O59" s="382"/>
      <c r="P59" s="382"/>
      <c r="Q59" s="382"/>
      <c r="R59" s="382"/>
      <c r="S59" s="382"/>
      <c r="T59" s="382"/>
      <c r="U59" s="382"/>
      <c r="V59" s="382"/>
      <c r="W59" s="29">
        <v>2</v>
      </c>
      <c r="X59" s="591" t="s">
        <v>226</v>
      </c>
      <c r="Y59" s="597">
        <f>IF(Smart!$P$13,Smart!U14,0)</f>
        <v>0</v>
      </c>
      <c r="Z59" s="601">
        <f>Smart!AX38</f>
        <v>5.6000000000000001E-2</v>
      </c>
      <c r="AA59" s="602">
        <f>Smart!D103+Smart!$E$35-IF(Smart!V$11,IF(Smart!Z$4,Fl,0),0)</f>
        <v>0.62145000000000006</v>
      </c>
      <c r="AB59" s="382">
        <f t="shared" si="18"/>
        <v>0.29176056338028172</v>
      </c>
      <c r="AC59" s="524"/>
      <c r="AD59" s="524"/>
      <c r="AE59" s="526">
        <f t="shared" si="19"/>
        <v>6.4000000000000001E-2</v>
      </c>
      <c r="AF59" s="527">
        <f t="shared" si="11"/>
        <v>11.352257388571694</v>
      </c>
      <c r="AG59" s="527">
        <f t="shared" si="12"/>
        <v>1.8</v>
      </c>
      <c r="AH59" s="524">
        <f t="shared" si="13"/>
        <v>9.0880000000000002E-2</v>
      </c>
      <c r="AI59" s="524">
        <f t="shared" si="14"/>
        <v>8.0617023486330014E-2</v>
      </c>
      <c r="AJ59" s="524"/>
      <c r="AK59" s="524"/>
      <c r="AL59" s="524"/>
      <c r="AM59" s="524"/>
      <c r="AN59" s="524"/>
      <c r="AO59" s="524"/>
      <c r="AP59" s="524"/>
      <c r="AQ59" s="524"/>
      <c r="AR59" s="527">
        <f t="shared" si="20"/>
        <v>10.948653902301064</v>
      </c>
      <c r="AS59" s="524">
        <f t="shared" si="21"/>
        <v>0.73599999999999999</v>
      </c>
      <c r="AT59" s="524">
        <f t="shared" si="15"/>
        <v>1.0451199999999998</v>
      </c>
      <c r="AU59" s="524"/>
      <c r="AV59" s="524">
        <f t="shared" si="16"/>
        <v>0.9270957700927952</v>
      </c>
      <c r="AW59" s="382"/>
      <c r="AX59" s="382"/>
      <c r="AY59" s="382"/>
      <c r="AZ59" s="37"/>
      <c r="BA59" s="37"/>
      <c r="BB59" s="37"/>
      <c r="BC59" s="37"/>
      <c r="BD59" s="37"/>
      <c r="BE59" s="37"/>
      <c r="BF59" s="37"/>
      <c r="BG59" s="37"/>
      <c r="BH59" s="37"/>
      <c r="BI59" s="37"/>
      <c r="BJ59" s="37"/>
      <c r="BK59" s="37"/>
      <c r="BL59" s="252"/>
      <c r="BM59" s="37"/>
      <c r="BN59" s="37"/>
      <c r="BO59" s="189"/>
      <c r="BP59" s="251"/>
      <c r="BR59" s="250"/>
      <c r="BS59" s="189"/>
      <c r="BT59" s="189"/>
      <c r="BU59" s="189"/>
      <c r="BV59" s="189"/>
      <c r="BW59" s="189"/>
      <c r="BX59" s="189"/>
      <c r="BY59" s="30"/>
      <c r="BZ59" s="30"/>
      <c r="CA59" s="30"/>
      <c r="CB59" s="30"/>
      <c r="CC59" s="30"/>
    </row>
    <row r="60" spans="1:81" s="40" customFormat="1">
      <c r="A60" s="30">
        <v>10</v>
      </c>
      <c r="B60" s="382">
        <f t="shared" si="17"/>
        <v>1.6725964434285274</v>
      </c>
      <c r="C60" s="382">
        <f t="shared" si="0"/>
        <v>2.3219155630267827</v>
      </c>
      <c r="D60" s="382">
        <f t="shared" si="1"/>
        <v>2.7933205853076823</v>
      </c>
      <c r="E60" s="382">
        <f t="shared" si="2"/>
        <v>3.1702055051031115</v>
      </c>
      <c r="F60" s="382">
        <f t="shared" si="3"/>
        <v>3.4857022223271037</v>
      </c>
      <c r="G60" s="382">
        <f t="shared" si="4"/>
        <v>3.757190039862301</v>
      </c>
      <c r="H60" s="382">
        <f t="shared" si="5"/>
        <v>3.9952000436545787</v>
      </c>
      <c r="I60" s="382">
        <f t="shared" si="6"/>
        <v>4.2067126833112258</v>
      </c>
      <c r="J60" s="382">
        <f t="shared" si="7"/>
        <v>4.3966477561970621</v>
      </c>
      <c r="K60" s="382">
        <f t="shared" si="8"/>
        <v>4.5686309169844694</v>
      </c>
      <c r="L60" s="382">
        <f t="shared" si="9"/>
        <v>4.7254261383684364</v>
      </c>
      <c r="M60" s="382">
        <f t="shared" si="10"/>
        <v>4.8691972275396909</v>
      </c>
      <c r="N60" s="382"/>
      <c r="O60" s="382"/>
      <c r="P60" s="382"/>
      <c r="Q60" s="382"/>
      <c r="R60" s="382"/>
      <c r="S60" s="382"/>
      <c r="T60" s="382"/>
      <c r="U60" s="382"/>
      <c r="V60" s="382"/>
      <c r="W60" s="29"/>
      <c r="X60" s="591" t="s">
        <v>228</v>
      </c>
      <c r="Y60" s="597">
        <f>IF(Smart!$P$13,Smart!U15,0)</f>
        <v>0</v>
      </c>
      <c r="Z60" s="601">
        <f>Smart!AX39</f>
        <v>6.4000000000000001E-2</v>
      </c>
      <c r="AA60" s="602">
        <f>Smart!D104+Smart!$E$35-IF(Smart!V$11,IF(Smart!Z$4,Fl,0),0)</f>
        <v>0.58545000000000003</v>
      </c>
      <c r="AB60" s="382">
        <f t="shared" si="18"/>
        <v>0.27485915492957746</v>
      </c>
      <c r="AC60" s="524"/>
      <c r="AD60" s="524"/>
      <c r="AE60" s="526">
        <f t="shared" si="19"/>
        <v>7.2000000000000008E-2</v>
      </c>
      <c r="AF60" s="527">
        <f t="shared" si="11"/>
        <v>11.347452585163706</v>
      </c>
      <c r="AG60" s="527">
        <f t="shared" si="12"/>
        <v>1.8</v>
      </c>
      <c r="AH60" s="524">
        <f t="shared" si="13"/>
        <v>0.10224000000000001</v>
      </c>
      <c r="AI60" s="524">
        <f t="shared" si="14"/>
        <v>9.0694151422121297E-2</v>
      </c>
      <c r="AJ60" s="524"/>
      <c r="AK60" s="524"/>
      <c r="AL60" s="524"/>
      <c r="AM60" s="524"/>
      <c r="AN60" s="524"/>
      <c r="AO60" s="524"/>
      <c r="AP60" s="524"/>
      <c r="AQ60" s="524"/>
      <c r="AR60" s="527">
        <f t="shared" si="20"/>
        <v>10.953458705709048</v>
      </c>
      <c r="AS60" s="524">
        <f t="shared" si="21"/>
        <v>0.72799999999999998</v>
      </c>
      <c r="AT60" s="524">
        <f t="shared" si="15"/>
        <v>1.03376</v>
      </c>
      <c r="AU60" s="524"/>
      <c r="AV60" s="524">
        <f t="shared" si="16"/>
        <v>0.91701864215700402</v>
      </c>
      <c r="AW60" s="382"/>
      <c r="AX60" s="382"/>
      <c r="AY60" s="382"/>
      <c r="AZ60" s="37"/>
      <c r="BA60" s="37"/>
      <c r="BB60" s="37"/>
      <c r="BC60" s="37"/>
      <c r="BD60" s="37"/>
      <c r="BE60" s="37"/>
      <c r="BF60" s="37"/>
      <c r="BG60" s="37"/>
      <c r="BH60" s="37"/>
      <c r="BI60" s="37"/>
      <c r="BJ60" s="37"/>
      <c r="BK60" s="37"/>
      <c r="BL60" s="252"/>
      <c r="BM60" s="37"/>
      <c r="BN60" s="37"/>
      <c r="BO60" s="189"/>
      <c r="BP60" s="251"/>
      <c r="BQ60" s="250"/>
      <c r="BR60" s="189"/>
      <c r="BS60" s="189"/>
      <c r="BT60" s="189"/>
      <c r="BU60" s="189"/>
      <c r="BV60" s="189"/>
      <c r="BW60" s="189"/>
      <c r="BX60" s="189"/>
      <c r="BY60" s="30"/>
      <c r="BZ60" s="30"/>
      <c r="CA60" s="30"/>
      <c r="CB60" s="30"/>
      <c r="CC60" s="30"/>
    </row>
    <row r="61" spans="1:81" s="40" customFormat="1" ht="15">
      <c r="A61" s="30">
        <v>11</v>
      </c>
      <c r="B61" s="382">
        <f t="shared" si="17"/>
        <v>1.5947581357143328</v>
      </c>
      <c r="C61" s="382">
        <f t="shared" si="0"/>
        <v>2.2138596247331535</v>
      </c>
      <c r="D61" s="382">
        <f t="shared" si="1"/>
        <v>2.6633266778604763</v>
      </c>
      <c r="E61" s="382">
        <f t="shared" si="2"/>
        <v>3.0226723493362435</v>
      </c>
      <c r="F61" s="382">
        <f t="shared" si="3"/>
        <v>3.3234866662391154</v>
      </c>
      <c r="G61" s="382">
        <f t="shared" si="4"/>
        <v>3.5823401436948599</v>
      </c>
      <c r="H61" s="382">
        <f t="shared" si="5"/>
        <v>3.8092737781769981</v>
      </c>
      <c r="I61" s="382">
        <f t="shared" si="6"/>
        <v>4.0109431672421945</v>
      </c>
      <c r="J61" s="382">
        <f t="shared" si="7"/>
        <v>4.1920391536244743</v>
      </c>
      <c r="K61" s="382">
        <f t="shared" si="8"/>
        <v>4.3560186634154769</v>
      </c>
      <c r="L61" s="382">
        <f t="shared" si="9"/>
        <v>4.50551704117757</v>
      </c>
      <c r="M61" s="382">
        <f t="shared" si="10"/>
        <v>4.6425973961174547</v>
      </c>
      <c r="N61" s="382"/>
      <c r="O61" s="382"/>
      <c r="P61" s="382"/>
      <c r="Q61" s="382"/>
      <c r="R61" s="382"/>
      <c r="S61" s="382"/>
      <c r="T61" s="382"/>
      <c r="U61" s="382"/>
      <c r="V61" s="382"/>
      <c r="W61" s="29"/>
      <c r="X61" s="29" t="s">
        <v>230</v>
      </c>
      <c r="Y61" s="597">
        <f>IF(Smart!$P$13,Smart!U16,0)</f>
        <v>0</v>
      </c>
      <c r="Z61" s="601">
        <f>Smart!AX40</f>
        <v>7.2000000000000008E-2</v>
      </c>
      <c r="AA61" s="602">
        <f>Smart!D105+Smart!$E$35-IF(Smart!V$11,IF(Smart!Z$4,Fl,0),0)</f>
        <v>0.51344999999999996</v>
      </c>
      <c r="AB61" s="382">
        <f t="shared" si="18"/>
        <v>0.241056338028169</v>
      </c>
      <c r="AC61" s="524"/>
      <c r="AD61" s="524"/>
      <c r="AE61" s="526">
        <f t="shared" si="19"/>
        <v>8.0000000000000016E-2</v>
      </c>
      <c r="AF61" s="527">
        <f t="shared" si="11"/>
        <v>11.342647781755725</v>
      </c>
      <c r="AG61" s="527">
        <f t="shared" si="12"/>
        <v>1.8</v>
      </c>
      <c r="AH61" s="524">
        <f t="shared" si="13"/>
        <v>0.11360000000000002</v>
      </c>
      <c r="AI61" s="524">
        <f t="shared" si="14"/>
        <v>0.10077127935791255</v>
      </c>
      <c r="AJ61" s="524"/>
      <c r="AK61" s="524"/>
      <c r="AL61" s="524"/>
      <c r="AM61" s="524"/>
      <c r="AN61" s="524"/>
      <c r="AO61" s="524"/>
      <c r="AP61" s="524"/>
      <c r="AQ61" s="524"/>
      <c r="AR61" s="527">
        <f t="shared" si="20"/>
        <v>10.95826350911703</v>
      </c>
      <c r="AS61" s="524">
        <f t="shared" si="21"/>
        <v>0.72</v>
      </c>
      <c r="AT61" s="524">
        <f t="shared" si="15"/>
        <v>1.0224</v>
      </c>
      <c r="AU61" s="524"/>
      <c r="AV61" s="524">
        <f t="shared" si="16"/>
        <v>0.90694151422121272</v>
      </c>
      <c r="AW61" s="382"/>
      <c r="AX61" s="382"/>
      <c r="AY61" s="382"/>
      <c r="AZ61" s="37"/>
      <c r="BA61" s="37"/>
      <c r="BB61" s="37"/>
      <c r="BC61" s="37"/>
      <c r="BD61" s="37"/>
      <c r="BE61" s="37"/>
      <c r="BF61" s="37"/>
      <c r="BG61" s="37"/>
      <c r="BH61" s="37"/>
      <c r="BI61" s="37"/>
      <c r="BJ61" s="37"/>
      <c r="BK61" s="37"/>
      <c r="BL61" s="252"/>
      <c r="BM61" s="37"/>
      <c r="BN61" s="37"/>
      <c r="BO61" s="253"/>
      <c r="BP61" s="251"/>
      <c r="BQ61" s="250"/>
      <c r="BR61" s="189"/>
      <c r="BS61" s="189"/>
      <c r="BT61" s="189"/>
      <c r="BU61" s="189"/>
      <c r="BV61" s="189"/>
      <c r="BW61" s="189"/>
      <c r="BX61" s="189"/>
      <c r="BY61" s="30"/>
      <c r="BZ61" s="30"/>
      <c r="CA61" s="30"/>
      <c r="CB61" s="30"/>
      <c r="CC61" s="30"/>
    </row>
    <row r="62" spans="1:81" s="40" customFormat="1" ht="15">
      <c r="A62" s="37">
        <v>12</v>
      </c>
      <c r="B62" s="37">
        <f t="shared" si="17"/>
        <v>1.5268646694478631</v>
      </c>
      <c r="C62" s="37">
        <f t="shared" si="0"/>
        <v>2.1196092174867949</v>
      </c>
      <c r="D62" s="37">
        <f t="shared" si="1"/>
        <v>2.5499411581942524</v>
      </c>
      <c r="E62" s="37">
        <f t="shared" si="2"/>
        <v>2.8939884451200553</v>
      </c>
      <c r="F62" s="37">
        <f t="shared" si="3"/>
        <v>3.1819962265240709</v>
      </c>
      <c r="G62" s="37">
        <f t="shared" si="4"/>
        <v>3.429829562777194</v>
      </c>
      <c r="H62" s="37">
        <f t="shared" si="5"/>
        <v>3.647101976092062</v>
      </c>
      <c r="I62" s="37">
        <f t="shared" si="6"/>
        <v>3.8401857159877406</v>
      </c>
      <c r="J62" s="37">
        <f t="shared" si="7"/>
        <v>4.0135719224560082</v>
      </c>
      <c r="K62" s="37">
        <f t="shared" si="8"/>
        <v>4.1705703502465097</v>
      </c>
      <c r="L62" s="37">
        <f t="shared" si="9"/>
        <v>4.3137041496815351</v>
      </c>
      <c r="M62" s="37">
        <f t="shared" si="10"/>
        <v>4.4449485974418401</v>
      </c>
      <c r="N62" s="37"/>
      <c r="O62" s="37"/>
      <c r="P62" s="37"/>
      <c r="Q62" s="37"/>
      <c r="R62" s="37"/>
      <c r="S62" s="37"/>
      <c r="T62" s="37"/>
      <c r="U62" s="37"/>
      <c r="V62" s="37"/>
      <c r="W62" s="186"/>
      <c r="X62" s="254" t="s">
        <v>231</v>
      </c>
      <c r="Y62" s="599">
        <f>IF(Smart!$P$13,IF(Smart!U17&gt;40,40,Smart!U17),0)</f>
        <v>0</v>
      </c>
      <c r="Z62" s="255">
        <f>Smart!AX41</f>
        <v>8.0000000000000016E-2</v>
      </c>
      <c r="AA62" s="576">
        <f>Smart!D106+Smart!$E$35</f>
        <v>0.44145000000000001</v>
      </c>
      <c r="AB62" s="37">
        <f t="shared" si="18"/>
        <v>0.20725352112676057</v>
      </c>
      <c r="AC62" s="38"/>
      <c r="AD62" s="38"/>
      <c r="AE62" s="256">
        <f t="shared" si="19"/>
        <v>8.8000000000000023E-2</v>
      </c>
      <c r="AF62" s="39">
        <f t="shared" si="11"/>
        <v>11.337842978347743</v>
      </c>
      <c r="AG62" s="39">
        <f t="shared" si="12"/>
        <v>1.8</v>
      </c>
      <c r="AH62" s="38">
        <f t="shared" si="13"/>
        <v>0.12496000000000003</v>
      </c>
      <c r="AI62" s="38">
        <f t="shared" si="14"/>
        <v>0.11084840729370381</v>
      </c>
      <c r="AJ62" s="38"/>
      <c r="AK62" s="38"/>
      <c r="AL62" s="38"/>
      <c r="AM62" s="38"/>
      <c r="AN62" s="38"/>
      <c r="AO62" s="38"/>
      <c r="AP62" s="38"/>
      <c r="AQ62" s="38"/>
      <c r="AR62" s="39">
        <f t="shared" si="20"/>
        <v>10.963068312525015</v>
      </c>
      <c r="AS62" s="38">
        <f t="shared" si="21"/>
        <v>0.71199999999999997</v>
      </c>
      <c r="AT62" s="38">
        <f t="shared" si="15"/>
        <v>1.0110399999999999</v>
      </c>
      <c r="AU62" s="38"/>
      <c r="AV62" s="38">
        <f t="shared" si="16"/>
        <v>0.89686438628542142</v>
      </c>
      <c r="AW62" s="37"/>
      <c r="AX62" s="37"/>
      <c r="AY62" s="325"/>
      <c r="AZ62" s="37"/>
      <c r="BA62" s="37"/>
      <c r="BB62" s="37"/>
      <c r="BC62" s="37"/>
      <c r="BD62" s="37"/>
      <c r="BE62" s="37"/>
      <c r="BF62" s="37"/>
      <c r="BG62" s="37"/>
      <c r="BH62" s="37"/>
      <c r="BI62" s="37"/>
      <c r="BJ62" s="37"/>
      <c r="BK62" s="37"/>
      <c r="BM62" s="37"/>
      <c r="BN62" s="37"/>
      <c r="BO62" s="257"/>
      <c r="BP62" s="251"/>
      <c r="BQ62" s="250"/>
      <c r="BR62" s="258"/>
      <c r="BS62" s="189"/>
      <c r="BT62" s="189"/>
      <c r="BU62" s="189"/>
      <c r="BV62" s="189"/>
      <c r="BW62" s="189"/>
      <c r="BX62" s="189"/>
      <c r="BY62" s="30"/>
      <c r="BZ62" s="30"/>
      <c r="CA62" s="30"/>
      <c r="CB62" s="30"/>
      <c r="CC62" s="30"/>
    </row>
    <row r="63" spans="1:81" s="40" customFormat="1" ht="15">
      <c r="A63" s="37">
        <v>13</v>
      </c>
      <c r="B63" s="37">
        <f t="shared" si="17"/>
        <v>1.4669641237734059</v>
      </c>
      <c r="C63" s="37">
        <f t="shared" si="0"/>
        <v>2.0364546647064352</v>
      </c>
      <c r="D63" s="37">
        <f t="shared" si="1"/>
        <v>2.4499042198395071</v>
      </c>
      <c r="E63" s="37">
        <f t="shared" si="2"/>
        <v>2.7804541611019746</v>
      </c>
      <c r="F63" s="37">
        <f t="shared" si="3"/>
        <v>3.0571630870083197</v>
      </c>
      <c r="G63" s="37">
        <f t="shared" si="4"/>
        <v>3.2952736545217278</v>
      </c>
      <c r="H63" s="37">
        <f t="shared" si="5"/>
        <v>3.5040222370230412</v>
      </c>
      <c r="I63" s="37">
        <f t="shared" si="6"/>
        <v>3.6895310938187014</v>
      </c>
      <c r="J63" s="37">
        <f t="shared" si="7"/>
        <v>3.8561151726408895</v>
      </c>
      <c r="K63" s="37">
        <f t="shared" si="8"/>
        <v>4.0069543829952554</v>
      </c>
      <c r="L63" s="37">
        <f t="shared" si="9"/>
        <v>4.1444728892990845</v>
      </c>
      <c r="M63" s="37">
        <f t="shared" si="10"/>
        <v>4.2705684760012401</v>
      </c>
      <c r="N63" s="37"/>
      <c r="O63" s="37"/>
      <c r="P63" s="37"/>
      <c r="Q63" s="37"/>
      <c r="R63" s="37"/>
      <c r="S63" s="37"/>
      <c r="T63" s="37"/>
      <c r="U63" s="37"/>
      <c r="V63" s="37"/>
      <c r="W63" s="186"/>
      <c r="X63" s="259" t="s">
        <v>233</v>
      </c>
      <c r="Y63" s="260">
        <f>Smart!H35</f>
        <v>0</v>
      </c>
      <c r="Z63" s="255">
        <f>Smart!AX42</f>
        <v>0.08</v>
      </c>
      <c r="AA63" s="576">
        <f>Y56</f>
        <v>0.44145000000000006</v>
      </c>
      <c r="AB63" s="37">
        <f t="shared" si="18"/>
        <v>0.2072535211267606</v>
      </c>
      <c r="AC63" s="38"/>
      <c r="AD63" s="38"/>
      <c r="AE63" s="256">
        <f t="shared" si="19"/>
        <v>9.600000000000003E-2</v>
      </c>
      <c r="AF63" s="39">
        <f t="shared" si="11"/>
        <v>11.333038174939757</v>
      </c>
      <c r="AG63" s="39">
        <f t="shared" si="12"/>
        <v>1.8</v>
      </c>
      <c r="AH63" s="38">
        <f t="shared" si="13"/>
        <v>0.13632000000000002</v>
      </c>
      <c r="AI63" s="38">
        <f t="shared" si="14"/>
        <v>0.12092553522949506</v>
      </c>
      <c r="AJ63" s="38"/>
      <c r="AK63" s="38"/>
      <c r="AL63" s="38"/>
      <c r="AM63" s="38"/>
      <c r="AN63" s="38"/>
      <c r="AO63" s="38"/>
      <c r="AP63" s="38"/>
      <c r="AQ63" s="38"/>
      <c r="AR63" s="39">
        <f t="shared" si="20"/>
        <v>10.967873115932997</v>
      </c>
      <c r="AS63" s="38">
        <f t="shared" si="21"/>
        <v>0.70399999999999996</v>
      </c>
      <c r="AT63" s="38">
        <f t="shared" si="15"/>
        <v>0.9996799999999999</v>
      </c>
      <c r="AU63" s="38"/>
      <c r="AV63" s="38">
        <f t="shared" si="16"/>
        <v>0.88678725834963013</v>
      </c>
      <c r="AW63" s="37"/>
      <c r="AX63" s="37"/>
      <c r="AY63" s="325"/>
      <c r="AZ63" s="37"/>
      <c r="BA63" s="37"/>
      <c r="BB63" s="37"/>
      <c r="BC63" s="37"/>
      <c r="BD63" s="37"/>
      <c r="BE63" s="37"/>
      <c r="BF63" s="37"/>
      <c r="BG63" s="37"/>
      <c r="BH63" s="37"/>
      <c r="BI63" s="37"/>
      <c r="BJ63" s="37"/>
      <c r="BK63" s="37"/>
      <c r="BM63" s="37"/>
      <c r="BN63" s="37"/>
      <c r="BO63" s="261"/>
      <c r="BP63" s="251"/>
      <c r="BQ63" s="250"/>
      <c r="BR63" s="189"/>
      <c r="BS63" s="189"/>
      <c r="BT63" s="189"/>
      <c r="BU63" s="189"/>
      <c r="BV63" s="189"/>
      <c r="BW63" s="189"/>
      <c r="BX63" s="189"/>
      <c r="BY63" s="30"/>
      <c r="BZ63" s="30"/>
      <c r="CA63" s="30"/>
      <c r="CB63" s="30"/>
      <c r="CC63" s="30"/>
    </row>
    <row r="64" spans="1:81" s="40" customFormat="1" ht="15">
      <c r="A64" s="37">
        <v>14</v>
      </c>
      <c r="B64" s="37">
        <f t="shared" si="17"/>
        <v>1.4136020006074046</v>
      </c>
      <c r="C64" s="37">
        <f t="shared" si="0"/>
        <v>1.9623768172124441</v>
      </c>
      <c r="D64" s="37">
        <f t="shared" si="1"/>
        <v>2.3607867774935376</v>
      </c>
      <c r="E64" s="37">
        <f t="shared" si="2"/>
        <v>2.6793126710016604</v>
      </c>
      <c r="F64" s="37">
        <f t="shared" si="3"/>
        <v>2.9459560639163973</v>
      </c>
      <c r="G64" s="37">
        <f t="shared" si="4"/>
        <v>3.1754051480132284</v>
      </c>
      <c r="H64" s="37">
        <f t="shared" si="5"/>
        <v>3.3765603153862225</v>
      </c>
      <c r="I64" s="37">
        <f t="shared" si="6"/>
        <v>3.5553211227208967</v>
      </c>
      <c r="J64" s="37">
        <f t="shared" si="7"/>
        <v>3.715845557692532</v>
      </c>
      <c r="K64" s="37">
        <f t="shared" si="8"/>
        <v>3.8611978577736683</v>
      </c>
      <c r="L64" s="37">
        <f t="shared" si="9"/>
        <v>3.9937140062474277</v>
      </c>
      <c r="M64" s="37">
        <f t="shared" si="10"/>
        <v>4.1152227539674664</v>
      </c>
      <c r="N64" s="37"/>
      <c r="O64" s="37"/>
      <c r="P64" s="37"/>
      <c r="Q64" s="37"/>
      <c r="R64" s="37"/>
      <c r="S64" s="37"/>
      <c r="T64" s="37"/>
      <c r="U64" s="37"/>
      <c r="V64" s="37"/>
      <c r="W64" s="186"/>
      <c r="X64" s="259" t="s">
        <v>235</v>
      </c>
      <c r="Y64" s="260">
        <f>Smart!I35</f>
        <v>0</v>
      </c>
      <c r="Z64" s="255">
        <f>Smart!AX43</f>
        <v>0.625</v>
      </c>
      <c r="AA64" s="576">
        <f>Y56</f>
        <v>0.44145000000000006</v>
      </c>
      <c r="AB64" s="37">
        <f t="shared" ref="AB64:AB157" si="22">AA64/$M$31</f>
        <v>0.2072535211267606</v>
      </c>
      <c r="AC64" s="38"/>
      <c r="AD64" s="38"/>
      <c r="AE64" s="256">
        <f>AE63+AD$57/100</f>
        <v>0.10400000000000004</v>
      </c>
      <c r="AF64" s="39">
        <f t="shared" si="11"/>
        <v>11.328233371531775</v>
      </c>
      <c r="AG64" s="39">
        <f t="shared" si="12"/>
        <v>1.8</v>
      </c>
      <c r="AH64" s="38">
        <f t="shared" si="13"/>
        <v>0.14768000000000003</v>
      </c>
      <c r="AI64" s="38">
        <f t="shared" si="14"/>
        <v>0.13100266316528633</v>
      </c>
      <c r="AJ64" s="38"/>
      <c r="AK64" s="38"/>
      <c r="AL64" s="38"/>
      <c r="AM64" s="38"/>
      <c r="AN64" s="38"/>
      <c r="AO64" s="38"/>
      <c r="AP64" s="38"/>
      <c r="AQ64" s="38"/>
      <c r="AR64" s="39">
        <f t="shared" si="20"/>
        <v>10.972677919340981</v>
      </c>
      <c r="AS64" s="38">
        <f t="shared" si="21"/>
        <v>0.69599999999999995</v>
      </c>
      <c r="AT64" s="38">
        <f t="shared" si="15"/>
        <v>0.98831999999999987</v>
      </c>
      <c r="AU64" s="38"/>
      <c r="AV64" s="38">
        <f t="shared" si="16"/>
        <v>0.87671013041383894</v>
      </c>
      <c r="AW64" s="37"/>
      <c r="AX64" s="37"/>
      <c r="AY64" s="325"/>
      <c r="AZ64" s="37"/>
      <c r="BA64" s="37"/>
      <c r="BB64" s="37"/>
      <c r="BC64" s="37"/>
      <c r="BD64" s="37"/>
      <c r="BE64" s="37"/>
      <c r="BF64" s="37"/>
      <c r="BG64" s="37"/>
      <c r="BH64" s="37"/>
      <c r="BI64" s="37"/>
      <c r="BJ64" s="37"/>
      <c r="BK64" s="37"/>
      <c r="BM64" s="37"/>
      <c r="BN64" s="37"/>
      <c r="BO64" s="253"/>
      <c r="BP64" s="251"/>
      <c r="BQ64" s="250"/>
      <c r="BR64" s="189"/>
      <c r="BS64" s="189"/>
      <c r="BT64" s="189"/>
      <c r="BU64" s="189"/>
      <c r="BV64" s="189"/>
      <c r="BW64" s="189"/>
      <c r="BX64" s="189"/>
      <c r="BY64" s="30"/>
      <c r="BZ64" s="30"/>
      <c r="CA64" s="30"/>
      <c r="CB64" s="30"/>
      <c r="CC64" s="30"/>
    </row>
    <row r="65" spans="1:81" s="40" customFormat="1" ht="15">
      <c r="A65" s="37">
        <v>15</v>
      </c>
      <c r="B65" s="37">
        <f t="shared" si="17"/>
        <v>1.3656692773312673</v>
      </c>
      <c r="C65" s="37">
        <f t="shared" si="0"/>
        <v>1.8958361184142438</v>
      </c>
      <c r="D65" s="37">
        <f t="shared" si="1"/>
        <v>2.280736707338757</v>
      </c>
      <c r="E65" s="37">
        <f t="shared" si="2"/>
        <v>2.5884619557549451</v>
      </c>
      <c r="F65" s="37">
        <f t="shared" si="3"/>
        <v>2.8460639466622566</v>
      </c>
      <c r="G65" s="37">
        <f t="shared" si="4"/>
        <v>3.0677328214432755</v>
      </c>
      <c r="H65" s="37">
        <f t="shared" si="5"/>
        <v>3.2620671757662651</v>
      </c>
      <c r="I65" s="37">
        <f t="shared" si="6"/>
        <v>3.4347665228689159</v>
      </c>
      <c r="J65" s="37">
        <f t="shared" si="7"/>
        <v>3.5898478604784594</v>
      </c>
      <c r="K65" s="37">
        <f t="shared" si="8"/>
        <v>3.7302715232385211</v>
      </c>
      <c r="L65" s="37">
        <f t="shared" si="9"/>
        <v>3.8582942854043365</v>
      </c>
      <c r="M65" s="37">
        <f t="shared" si="10"/>
        <v>3.9756828881489215</v>
      </c>
      <c r="N65" s="37"/>
      <c r="O65" s="37"/>
      <c r="P65" s="37"/>
      <c r="Q65" s="37"/>
      <c r="R65" s="37"/>
      <c r="S65" s="37"/>
      <c r="T65" s="37"/>
      <c r="U65" s="37"/>
      <c r="V65" s="37"/>
      <c r="W65" s="186"/>
      <c r="X65" s="186" t="s">
        <v>237</v>
      </c>
      <c r="Y65" s="260">
        <f>Smart!J35</f>
        <v>0</v>
      </c>
      <c r="Z65" s="255">
        <f>Smart!AX44</f>
        <v>0.625</v>
      </c>
      <c r="AA65" s="576">
        <f>Smart!E96+Smart!$E$35</f>
        <v>0.44145000000000006</v>
      </c>
      <c r="AB65" s="37">
        <f t="shared" si="22"/>
        <v>0.2072535211267606</v>
      </c>
      <c r="AC65" s="38"/>
      <c r="AD65" s="38"/>
      <c r="AE65" s="256">
        <f t="shared" si="19"/>
        <v>0.11200000000000004</v>
      </c>
      <c r="AF65" s="39">
        <f t="shared" si="11"/>
        <v>11.32342856812379</v>
      </c>
      <c r="AG65" s="39">
        <f t="shared" si="12"/>
        <v>1.8</v>
      </c>
      <c r="AH65" s="38">
        <f t="shared" si="13"/>
        <v>0.15904000000000004</v>
      </c>
      <c r="AI65" s="38">
        <f t="shared" si="14"/>
        <v>0.1410797911010776</v>
      </c>
      <c r="AJ65" s="38"/>
      <c r="AK65" s="38"/>
      <c r="AL65" s="38"/>
      <c r="AM65" s="38"/>
      <c r="AN65" s="38"/>
      <c r="AO65" s="38"/>
      <c r="AP65" s="38"/>
      <c r="AQ65" s="38"/>
      <c r="AR65" s="39">
        <f t="shared" si="20"/>
        <v>10.977482722748967</v>
      </c>
      <c r="AS65" s="38">
        <f t="shared" si="21"/>
        <v>0.68799999999999994</v>
      </c>
      <c r="AT65" s="38">
        <f t="shared" si="15"/>
        <v>0.97695999999999983</v>
      </c>
      <c r="AU65" s="38"/>
      <c r="AV65" s="38">
        <f t="shared" si="16"/>
        <v>0.86663300247804775</v>
      </c>
      <c r="AW65" s="37"/>
      <c r="AX65" s="37"/>
      <c r="AY65" s="325"/>
      <c r="AZ65" s="37"/>
      <c r="BA65" s="37"/>
      <c r="BB65" s="37"/>
      <c r="BC65" s="37"/>
      <c r="BD65" s="37"/>
      <c r="BE65" s="37"/>
      <c r="BF65" s="37"/>
      <c r="BG65" s="37"/>
      <c r="BH65" s="37"/>
      <c r="BI65" s="37"/>
      <c r="BJ65" s="37"/>
      <c r="BK65" s="325"/>
      <c r="BM65" s="37"/>
      <c r="BN65" s="37"/>
      <c r="BO65" s="262"/>
      <c r="BP65" s="263"/>
      <c r="BQ65" s="250"/>
      <c r="BR65" s="189"/>
      <c r="BS65" s="189"/>
      <c r="BT65" s="189"/>
      <c r="BU65" s="189"/>
      <c r="BV65" s="189"/>
      <c r="BW65" s="189"/>
      <c r="BX65" s="189"/>
      <c r="BY65" s="30"/>
      <c r="BZ65" s="30"/>
      <c r="CA65" s="30"/>
      <c r="CB65" s="30"/>
      <c r="CC65" s="30"/>
    </row>
    <row r="66" spans="1:81" s="40" customFormat="1">
      <c r="A66" s="37">
        <v>16</v>
      </c>
      <c r="B66" s="37">
        <f t="shared" si="17"/>
        <v>1.3223035918827792</v>
      </c>
      <c r="C66" s="37">
        <f t="shared" si="0"/>
        <v>1.8356354284392196</v>
      </c>
      <c r="D66" s="37">
        <f t="shared" si="1"/>
        <v>2.2083138211517364</v>
      </c>
      <c r="E66" s="37">
        <f t="shared" si="2"/>
        <v>2.5062675117325952</v>
      </c>
      <c r="F66" s="37">
        <f t="shared" si="3"/>
        <v>2.7556895669160681</v>
      </c>
      <c r="G66" s="37">
        <f t="shared" si="4"/>
        <v>2.9703195320159246</v>
      </c>
      <c r="H66" s="37">
        <f t="shared" si="5"/>
        <v>3.1584829614881524</v>
      </c>
      <c r="I66" s="37">
        <f t="shared" si="6"/>
        <v>3.3256983852955169</v>
      </c>
      <c r="J66" s="37">
        <f t="shared" si="7"/>
        <v>3.4758552447628501</v>
      </c>
      <c r="K66" s="37">
        <f t="shared" si="8"/>
        <v>3.6118198715836409</v>
      </c>
      <c r="L66" s="37">
        <f t="shared" si="9"/>
        <v>3.7357773780345598</v>
      </c>
      <c r="M66" s="37">
        <f t="shared" si="10"/>
        <v>3.8494384039006433</v>
      </c>
      <c r="N66" s="37"/>
      <c r="O66" s="37"/>
      <c r="P66" s="37"/>
      <c r="Q66" s="37"/>
      <c r="R66" s="37"/>
      <c r="S66" s="37"/>
      <c r="T66" s="37"/>
      <c r="U66" s="37"/>
      <c r="V66" s="37"/>
      <c r="W66" s="186"/>
      <c r="X66" s="254" t="s">
        <v>239</v>
      </c>
      <c r="Y66" s="260">
        <f>Smart!K35</f>
        <v>0</v>
      </c>
      <c r="Z66" s="255">
        <f>Smart!AX45</f>
        <v>0.63300000000000001</v>
      </c>
      <c r="AA66" s="576">
        <f>Smart!E97+Smart!$E$35-IF(Smart!V$11,IF(Smart!Z$4,Fl,0),0)</f>
        <v>0.51345000000000007</v>
      </c>
      <c r="AB66" s="37">
        <f t="shared" si="22"/>
        <v>0.24105633802816906</v>
      </c>
      <c r="AC66" s="38"/>
      <c r="AD66" s="38"/>
      <c r="AE66" s="256">
        <f t="shared" si="19"/>
        <v>0.12000000000000005</v>
      </c>
      <c r="AF66" s="39">
        <f t="shared" si="11"/>
        <v>11.318623764715808</v>
      </c>
      <c r="AG66" s="39">
        <f t="shared" si="12"/>
        <v>1.8</v>
      </c>
      <c r="AH66" s="38">
        <f t="shared" si="13"/>
        <v>0.17040000000000005</v>
      </c>
      <c r="AI66" s="38">
        <f t="shared" si="14"/>
        <v>0.15115691903686884</v>
      </c>
      <c r="AJ66" s="38"/>
      <c r="AK66" s="38"/>
      <c r="AL66" s="38"/>
      <c r="AM66" s="38"/>
      <c r="AN66" s="38"/>
      <c r="AO66" s="38"/>
      <c r="AP66" s="38"/>
      <c r="AQ66" s="38"/>
      <c r="AR66" s="39">
        <f t="shared" si="20"/>
        <v>10.98228752615695</v>
      </c>
      <c r="AS66" s="38">
        <f t="shared" si="21"/>
        <v>0.67999999999999994</v>
      </c>
      <c r="AT66" s="38">
        <f t="shared" si="15"/>
        <v>0.9655999999999999</v>
      </c>
      <c r="AU66" s="38"/>
      <c r="AV66" s="38">
        <f t="shared" si="16"/>
        <v>0.85655587454225635</v>
      </c>
      <c r="AW66" s="37"/>
      <c r="AX66" s="37"/>
      <c r="AY66" s="325"/>
      <c r="AZ66" s="37"/>
      <c r="BA66" s="37"/>
      <c r="BB66" s="37"/>
      <c r="BC66" s="37"/>
      <c r="BD66" s="37"/>
      <c r="BE66" s="37"/>
      <c r="BF66" s="37"/>
      <c r="BG66" s="37"/>
      <c r="BH66" s="37"/>
      <c r="BI66" s="37"/>
      <c r="BJ66" s="37"/>
      <c r="BK66" s="37"/>
      <c r="BL66" s="252"/>
      <c r="BM66" s="37"/>
      <c r="BN66" s="37"/>
      <c r="BO66" s="37"/>
      <c r="BP66" s="263"/>
      <c r="BQ66" s="250"/>
      <c r="BR66" s="189"/>
      <c r="BS66" s="189"/>
      <c r="BT66" s="189"/>
      <c r="BU66" s="189"/>
      <c r="BV66" s="189"/>
      <c r="BW66" s="189"/>
      <c r="BX66" s="189"/>
      <c r="BY66" s="30"/>
      <c r="BZ66" s="30"/>
      <c r="CA66" s="30"/>
      <c r="CB66" s="30"/>
      <c r="CC66" s="30"/>
    </row>
    <row r="67" spans="1:81" s="40" customFormat="1">
      <c r="A67" s="37">
        <v>17</v>
      </c>
      <c r="B67" s="37">
        <f t="shared" si="17"/>
        <v>1.2828229125803119</v>
      </c>
      <c r="C67" s="37">
        <f t="shared" si="0"/>
        <v>1.7808279439013721</v>
      </c>
      <c r="D67" s="37">
        <f t="shared" si="1"/>
        <v>2.1423790915576366</v>
      </c>
      <c r="E67" s="37">
        <f t="shared" si="2"/>
        <v>2.4314366298652801</v>
      </c>
      <c r="F67" s="37">
        <f t="shared" si="3"/>
        <v>2.6734115660723612</v>
      </c>
      <c r="G67" s="37">
        <f t="shared" si="4"/>
        <v>2.8816332170204415</v>
      </c>
      <c r="H67" s="37">
        <f t="shared" si="5"/>
        <v>3.0641785569245479</v>
      </c>
      <c r="I67" s="37">
        <f t="shared" si="6"/>
        <v>3.2264013462398862</v>
      </c>
      <c r="J67" s="37">
        <f t="shared" si="7"/>
        <v>3.3720748972974959</v>
      </c>
      <c r="K67" s="37">
        <f t="shared" si="8"/>
        <v>3.5039799602927451</v>
      </c>
      <c r="L67" s="37">
        <f t="shared" si="9"/>
        <v>3.6242364055128204</v>
      </c>
      <c r="M67" s="37">
        <f t="shared" si="10"/>
        <v>3.7345037973156261</v>
      </c>
      <c r="N67" s="37"/>
      <c r="O67" s="37"/>
      <c r="P67" s="37"/>
      <c r="Q67" s="37"/>
      <c r="R67" s="37"/>
      <c r="S67" s="37"/>
      <c r="T67" s="37"/>
      <c r="U67" s="37"/>
      <c r="V67" s="37"/>
      <c r="W67" s="186">
        <v>3</v>
      </c>
      <c r="X67" s="259" t="s">
        <v>226</v>
      </c>
      <c r="Y67" s="260">
        <f>IF(Smart!$P$21,Smart!U22,0)</f>
        <v>0</v>
      </c>
      <c r="Z67" s="255">
        <f>Smart!AX46</f>
        <v>0.64100000000000001</v>
      </c>
      <c r="AA67" s="576">
        <f>Smart!E98+Smart!$E$35-IF(Smart!V$11,IF(Smart!Z$4,Fl,0),0)</f>
        <v>0.58545000000000014</v>
      </c>
      <c r="AB67" s="37">
        <f t="shared" si="22"/>
        <v>0.27485915492957752</v>
      </c>
      <c r="AC67" s="38"/>
      <c r="AD67" s="38"/>
      <c r="AE67" s="256">
        <f t="shared" si="19"/>
        <v>0.12800000000000006</v>
      </c>
      <c r="AF67" s="39">
        <f t="shared" si="11"/>
        <v>11.313818961307822</v>
      </c>
      <c r="AG67" s="39">
        <f t="shared" si="12"/>
        <v>1.8</v>
      </c>
      <c r="AH67" s="38">
        <f t="shared" si="13"/>
        <v>0.18176000000000006</v>
      </c>
      <c r="AI67" s="38">
        <f t="shared" si="14"/>
        <v>0.16123404697266014</v>
      </c>
      <c r="AJ67" s="38"/>
      <c r="AK67" s="38"/>
      <c r="AL67" s="38"/>
      <c r="AM67" s="38"/>
      <c r="AN67" s="38"/>
      <c r="AO67" s="38"/>
      <c r="AP67" s="38"/>
      <c r="AQ67" s="38"/>
      <c r="AR67" s="39">
        <f t="shared" si="20"/>
        <v>10.987092329564934</v>
      </c>
      <c r="AS67" s="38">
        <f t="shared" si="21"/>
        <v>0.67199999999999993</v>
      </c>
      <c r="AT67" s="38">
        <f t="shared" si="15"/>
        <v>0.95423999999999987</v>
      </c>
      <c r="AU67" s="38"/>
      <c r="AV67" s="38">
        <f t="shared" si="16"/>
        <v>0.84647874660646505</v>
      </c>
      <c r="AW67" s="37"/>
      <c r="AX67" s="37"/>
      <c r="AY67" s="325"/>
      <c r="AZ67" s="37"/>
      <c r="BA67" s="37"/>
      <c r="BB67" s="37"/>
      <c r="BC67" s="37"/>
      <c r="BD67" s="37"/>
      <c r="BE67" s="37"/>
      <c r="BF67" s="37"/>
      <c r="BG67" s="37"/>
      <c r="BH67" s="37"/>
      <c r="BI67" s="37"/>
      <c r="BJ67" s="37"/>
      <c r="BK67" s="37"/>
      <c r="BL67" s="252"/>
      <c r="BM67" s="37"/>
      <c r="BN67" s="37"/>
      <c r="BO67" s="37"/>
      <c r="BP67" s="263"/>
      <c r="BR67" s="189"/>
      <c r="BS67" s="189"/>
      <c r="BT67" s="189"/>
      <c r="BU67" s="189"/>
      <c r="BV67" s="189"/>
      <c r="BW67" s="189"/>
      <c r="BX67" s="189"/>
      <c r="BY67" s="30"/>
      <c r="BZ67" s="30"/>
      <c r="CA67" s="30"/>
      <c r="CB67" s="30"/>
      <c r="CC67" s="30"/>
    </row>
    <row r="68" spans="1:81" s="40" customFormat="1">
      <c r="A68" s="37">
        <v>18</v>
      </c>
      <c r="B68" s="37">
        <f t="shared" si="17"/>
        <v>1.2466797821435229</v>
      </c>
      <c r="C68" s="37">
        <f t="shared" si="0"/>
        <v>1.7306536789808609</v>
      </c>
      <c r="D68" s="37">
        <f t="shared" si="1"/>
        <v>2.0820182372324929</v>
      </c>
      <c r="E68" s="37">
        <f t="shared" si="2"/>
        <v>2.3629316706848713</v>
      </c>
      <c r="F68" s="37">
        <f t="shared" si="3"/>
        <v>2.5980890394818301</v>
      </c>
      <c r="G68" s="37">
        <f t="shared" si="4"/>
        <v>2.8004441111724168</v>
      </c>
      <c r="H68" s="37">
        <f t="shared" si="5"/>
        <v>2.9778462937739221</v>
      </c>
      <c r="I68" s="37">
        <f t="shared" si="6"/>
        <v>3.1354985072314818</v>
      </c>
      <c r="J68" s="37">
        <f t="shared" si="7"/>
        <v>3.2770677519928508</v>
      </c>
      <c r="K68" s="37">
        <f t="shared" si="8"/>
        <v>3.4052564314948239</v>
      </c>
      <c r="L68" s="37">
        <f t="shared" si="9"/>
        <v>3.522124689348717</v>
      </c>
      <c r="M68" s="37">
        <f t="shared" si="10"/>
        <v>3.6292853322107534</v>
      </c>
      <c r="N68" s="37"/>
      <c r="O68" s="37"/>
      <c r="P68" s="37"/>
      <c r="Q68" s="37"/>
      <c r="R68" s="37"/>
      <c r="S68" s="37"/>
      <c r="T68" s="37"/>
      <c r="U68" s="37"/>
      <c r="V68" s="37"/>
      <c r="W68" s="186"/>
      <c r="X68" s="259" t="s">
        <v>228</v>
      </c>
      <c r="Y68" s="260">
        <f>IF(Smart!$P$21,Smart!U23,0)</f>
        <v>0</v>
      </c>
      <c r="Z68" s="255">
        <f>Smart!AX47</f>
        <v>0.64900000000000002</v>
      </c>
      <c r="AA68" s="576">
        <f>Smart!E99+Smart!$E$35-IF(Smart!V$11,IF(Smart!Z$4,Fl,0),0)</f>
        <v>0.62145000000000006</v>
      </c>
      <c r="AB68" s="37">
        <f t="shared" si="22"/>
        <v>0.29176056338028172</v>
      </c>
      <c r="AC68" s="38"/>
      <c r="AD68" s="38"/>
      <c r="AE68" s="256">
        <f t="shared" si="19"/>
        <v>0.13600000000000007</v>
      </c>
      <c r="AF68" s="39">
        <f t="shared" si="11"/>
        <v>11.309014157899838</v>
      </c>
      <c r="AG68" s="39">
        <f t="shared" si="12"/>
        <v>1.8</v>
      </c>
      <c r="AH68" s="38">
        <f t="shared" si="13"/>
        <v>0.19312000000000007</v>
      </c>
      <c r="AI68" s="38">
        <f t="shared" si="14"/>
        <v>0.17131117490845138</v>
      </c>
      <c r="AJ68" s="38"/>
      <c r="AK68" s="38"/>
      <c r="AL68" s="38"/>
      <c r="AM68" s="38"/>
      <c r="AN68" s="38"/>
      <c r="AO68" s="38"/>
      <c r="AP68" s="38"/>
      <c r="AQ68" s="38"/>
      <c r="AR68" s="39">
        <f t="shared" si="20"/>
        <v>10.991897132972916</v>
      </c>
      <c r="AS68" s="38">
        <f t="shared" si="21"/>
        <v>0.66399999999999992</v>
      </c>
      <c r="AT68" s="38">
        <f t="shared" si="15"/>
        <v>0.94287999999999983</v>
      </c>
      <c r="AU68" s="38"/>
      <c r="AV68" s="38">
        <f t="shared" si="16"/>
        <v>0.83640161867067386</v>
      </c>
      <c r="AW68" s="37"/>
      <c r="AX68" s="37"/>
      <c r="AY68" s="325"/>
      <c r="AZ68" s="37"/>
      <c r="BA68" s="37"/>
      <c r="BB68" s="37"/>
      <c r="BC68" s="37"/>
      <c r="BD68" s="37"/>
      <c r="BE68" s="37"/>
      <c r="BF68" s="37"/>
      <c r="BG68" s="37"/>
      <c r="BH68" s="37"/>
      <c r="BI68" s="37"/>
      <c r="BJ68" s="37"/>
      <c r="BK68" s="37"/>
      <c r="BL68" s="189"/>
      <c r="BM68" s="37"/>
      <c r="BN68" s="37"/>
      <c r="BO68" s="37"/>
      <c r="BP68" s="263"/>
      <c r="BQ68" s="250"/>
      <c r="BR68" s="189"/>
      <c r="BS68" s="189"/>
      <c r="BT68" s="189"/>
      <c r="BU68" s="189"/>
      <c r="BV68" s="189"/>
      <c r="BW68" s="189"/>
      <c r="BX68" s="189"/>
      <c r="BY68" s="30"/>
      <c r="BZ68" s="30"/>
      <c r="CA68" s="30"/>
      <c r="CB68" s="30"/>
      <c r="CC68" s="30"/>
    </row>
    <row r="69" spans="1:81" s="40" customFormat="1">
      <c r="A69" s="37">
        <v>19</v>
      </c>
      <c r="B69" s="37">
        <f t="shared" si="17"/>
        <v>1.2134289957258704</v>
      </c>
      <c r="C69" s="37">
        <f t="shared" si="0"/>
        <v>1.6844945957367465</v>
      </c>
      <c r="D69" s="37">
        <f t="shared" si="1"/>
        <v>2.0264877435841204</v>
      </c>
      <c r="E69" s="37">
        <f t="shared" si="2"/>
        <v>2.2999088019203202</v>
      </c>
      <c r="F69" s="37">
        <f t="shared" si="3"/>
        <v>2.5287941772540012</v>
      </c>
      <c r="G69" s="37">
        <f t="shared" si="4"/>
        <v>2.7257521410699872</v>
      </c>
      <c r="H69" s="37">
        <f t="shared" si="5"/>
        <v>2.8984227461098788</v>
      </c>
      <c r="I69" s="37">
        <f t="shared" si="6"/>
        <v>3.0518701427788528</v>
      </c>
      <c r="J69" s="37">
        <f t="shared" si="7"/>
        <v>3.189663527220441</v>
      </c>
      <c r="K69" s="37">
        <f t="shared" si="8"/>
        <v>3.3144332257905567</v>
      </c>
      <c r="L69" s="37">
        <f t="shared" si="9"/>
        <v>3.4281844350353663</v>
      </c>
      <c r="M69" s="37">
        <f t="shared" si="10"/>
        <v>3.5324869456815611</v>
      </c>
      <c r="N69" s="37"/>
      <c r="O69" s="37"/>
      <c r="P69" s="37"/>
      <c r="Q69" s="37"/>
      <c r="R69" s="37"/>
      <c r="S69" s="37"/>
      <c r="T69" s="37"/>
      <c r="U69" s="37"/>
      <c r="V69" s="37"/>
      <c r="W69" s="186"/>
      <c r="X69" s="186" t="s">
        <v>230</v>
      </c>
      <c r="Y69" s="260">
        <f>IF(Smart!$P$21,Smart!U24,0)</f>
        <v>0</v>
      </c>
      <c r="Z69" s="255">
        <f>Smart!AX48</f>
        <v>0.65700000000000003</v>
      </c>
      <c r="AA69" s="576">
        <f>Smart!E100+Smart!$E$35-IF(Smart!V$11,IF(Smart!Z$4,Fl,0),0)</f>
        <v>0.62145000000000006</v>
      </c>
      <c r="AB69" s="37">
        <f t="shared" si="22"/>
        <v>0.29176056338028172</v>
      </c>
      <c r="AC69" s="38"/>
      <c r="AD69" s="38"/>
      <c r="AE69" s="256">
        <f t="shared" si="19"/>
        <v>0.14400000000000007</v>
      </c>
      <c r="AF69" s="39">
        <f t="shared" si="11"/>
        <v>11.304209354491856</v>
      </c>
      <c r="AG69" s="39">
        <f t="shared" si="12"/>
        <v>1.8</v>
      </c>
      <c r="AH69" s="38">
        <f t="shared" si="13"/>
        <v>0.20448000000000011</v>
      </c>
      <c r="AI69" s="38">
        <f t="shared" si="14"/>
        <v>0.18138830284424265</v>
      </c>
      <c r="AJ69" s="38"/>
      <c r="AK69" s="38"/>
      <c r="AL69" s="38"/>
      <c r="AM69" s="38"/>
      <c r="AN69" s="38"/>
      <c r="AO69" s="38"/>
      <c r="AP69" s="38"/>
      <c r="AQ69" s="38"/>
      <c r="AR69" s="39">
        <f t="shared" si="20"/>
        <v>10.9967019363809</v>
      </c>
      <c r="AS69" s="38">
        <f t="shared" si="21"/>
        <v>0.65599999999999992</v>
      </c>
      <c r="AT69" s="38">
        <f t="shared" si="15"/>
        <v>0.93151999999999979</v>
      </c>
      <c r="AU69" s="38"/>
      <c r="AV69" s="38">
        <f t="shared" si="16"/>
        <v>0.82632449073488268</v>
      </c>
      <c r="AW69" s="37"/>
      <c r="AX69" s="37"/>
      <c r="AY69" s="325"/>
      <c r="AZ69" s="37"/>
      <c r="BA69" s="37"/>
      <c r="BB69" s="37"/>
      <c r="BC69" s="37"/>
      <c r="BD69" s="37"/>
      <c r="BE69" s="37"/>
      <c r="BF69" s="37"/>
      <c r="BG69" s="37"/>
      <c r="BH69" s="37"/>
      <c r="BI69" s="37"/>
      <c r="BJ69" s="37"/>
      <c r="BK69" s="37"/>
      <c r="BL69" s="189"/>
      <c r="BM69" s="37"/>
      <c r="BN69" s="37"/>
      <c r="BO69" s="37"/>
      <c r="BP69" s="263"/>
      <c r="BQ69" s="250"/>
      <c r="BR69" s="189"/>
      <c r="BS69" s="189"/>
      <c r="BT69" s="189"/>
      <c r="BU69" s="189"/>
      <c r="BV69" s="189"/>
      <c r="BW69" s="189"/>
      <c r="BX69" s="189"/>
      <c r="BY69" s="30"/>
      <c r="BZ69" s="30"/>
      <c r="CA69" s="30"/>
      <c r="CB69" s="30"/>
      <c r="CC69" s="30"/>
    </row>
    <row r="70" spans="1:81" s="40" customFormat="1">
      <c r="A70" s="37">
        <v>20</v>
      </c>
      <c r="B70" s="37">
        <f t="shared" si="17"/>
        <v>1.1827042873368134</v>
      </c>
      <c r="C70" s="37">
        <f t="shared" si="0"/>
        <v>1.6418422399588182</v>
      </c>
      <c r="D70" s="37">
        <f t="shared" si="1"/>
        <v>1.9751759278990382</v>
      </c>
      <c r="E70" s="37">
        <f t="shared" si="2"/>
        <v>2.2416738104133342</v>
      </c>
      <c r="F70" s="37">
        <f t="shared" si="3"/>
        <v>2.4647636786045135</v>
      </c>
      <c r="G70" s="37">
        <f t="shared" si="4"/>
        <v>2.6567345553931876</v>
      </c>
      <c r="H70" s="37">
        <f t="shared" si="5"/>
        <v>2.8250330430649431</v>
      </c>
      <c r="I70" s="37">
        <f t="shared" si="6"/>
        <v>2.9745950648728252</v>
      </c>
      <c r="J70" s="37">
        <f t="shared" si="7"/>
        <v>3.1088994428955607</v>
      </c>
      <c r="K70" s="37">
        <f t="shared" si="8"/>
        <v>3.2305099021382331</v>
      </c>
      <c r="L70" s="37">
        <f t="shared" si="9"/>
        <v>3.3413808664364826</v>
      </c>
      <c r="M70" s="37">
        <f t="shared" si="10"/>
        <v>3.4430423785280526</v>
      </c>
      <c r="N70" s="37"/>
      <c r="O70" s="37"/>
      <c r="P70" s="37"/>
      <c r="Q70" s="37"/>
      <c r="R70" s="37"/>
      <c r="S70" s="37"/>
      <c r="T70" s="37"/>
      <c r="U70" s="37"/>
      <c r="V70" s="37"/>
      <c r="W70" s="186"/>
      <c r="X70" s="254" t="s">
        <v>231</v>
      </c>
      <c r="Y70" s="260">
        <f>IF(Smart!$P$21,IF(Smart!U25&gt;40,40,Smart!U25),0)</f>
        <v>0</v>
      </c>
      <c r="Z70" s="255">
        <f>Smart!AX49</f>
        <v>0.66500000000000004</v>
      </c>
      <c r="AA70" s="576">
        <f>Smart!E101+Smart!$E$35-IF(Smart!V$11,IF(Smart!Z$4,Fl,0),0)</f>
        <v>0.62145000000000006</v>
      </c>
      <c r="AB70" s="37">
        <f t="shared" si="22"/>
        <v>0.29176056338028172</v>
      </c>
      <c r="AC70" s="38"/>
      <c r="AD70" s="38"/>
      <c r="AE70" s="256">
        <f t="shared" si="19"/>
        <v>0.15200000000000008</v>
      </c>
      <c r="AF70" s="39">
        <f>IF(M$31*(AF$49-(SQRT(AH70^2+AI70^2)))/$AD$51&lt;$M$29,M$31*(AF$49-(SQRT(AH70^2+AI70^2)))/$AD$51,$M$29)</f>
        <v>11.299404551083871</v>
      </c>
      <c r="AG70" s="39">
        <f t="shared" si="12"/>
        <v>1.8</v>
      </c>
      <c r="AH70" s="38">
        <f t="shared" si="13"/>
        <v>0.21584000000000012</v>
      </c>
      <c r="AI70" s="38">
        <f t="shared" si="14"/>
        <v>0.19146543078003392</v>
      </c>
      <c r="AJ70" s="38"/>
      <c r="AK70" s="38"/>
      <c r="AL70" s="38"/>
      <c r="AM70" s="38"/>
      <c r="AN70" s="38"/>
      <c r="AO70" s="38"/>
      <c r="AP70" s="38"/>
      <c r="AQ70" s="38"/>
      <c r="AR70" s="39">
        <f t="shared" si="20"/>
        <v>11.001506739788883</v>
      </c>
      <c r="AS70" s="38">
        <f t="shared" si="21"/>
        <v>0.64799999999999991</v>
      </c>
      <c r="AT70" s="38">
        <f t="shared" si="15"/>
        <v>0.92015999999999987</v>
      </c>
      <c r="AU70" s="38"/>
      <c r="AV70" s="38">
        <f t="shared" si="16"/>
        <v>0.81624736279909138</v>
      </c>
      <c r="AW70" s="37"/>
      <c r="AX70" s="37"/>
      <c r="AY70" s="325"/>
      <c r="AZ70" s="37"/>
      <c r="BA70" s="37"/>
      <c r="BB70" s="37"/>
      <c r="BC70" s="37"/>
      <c r="BD70" s="37"/>
      <c r="BE70" s="37"/>
      <c r="BF70" s="37"/>
      <c r="BG70" s="37"/>
      <c r="BH70" s="37"/>
      <c r="BI70" s="37"/>
      <c r="BJ70" s="37"/>
      <c r="BK70" s="37"/>
      <c r="BL70" s="189"/>
      <c r="BM70" s="37"/>
      <c r="BN70" s="37"/>
      <c r="BO70" s="37"/>
      <c r="BP70" s="263"/>
      <c r="BQ70" s="250"/>
      <c r="BR70" s="189"/>
      <c r="BS70" s="189"/>
      <c r="BT70" s="189"/>
      <c r="BU70" s="189"/>
      <c r="BV70" s="189"/>
      <c r="BW70" s="189"/>
      <c r="BX70" s="189"/>
      <c r="BY70" s="30"/>
      <c r="BZ70" s="30"/>
      <c r="CA70" s="30"/>
      <c r="CB70" s="30"/>
      <c r="CC70" s="30"/>
    </row>
    <row r="71" spans="1:81" s="40" customFormat="1">
      <c r="A71" s="37">
        <v>21</v>
      </c>
      <c r="B71" s="37">
        <f t="shared" si="17"/>
        <v>1.1542012002885393</v>
      </c>
      <c r="C71" s="37">
        <f t="shared" si="0"/>
        <v>1.602273961745794</v>
      </c>
      <c r="D71" s="37">
        <f t="shared" si="1"/>
        <v>1.927574332122858</v>
      </c>
      <c r="E71" s="37">
        <f t="shared" si="2"/>
        <v>2.1876496351091892</v>
      </c>
      <c r="F71" s="37">
        <f t="shared" si="3"/>
        <v>2.40536305375104</v>
      </c>
      <c r="G71" s="37">
        <f t="shared" si="4"/>
        <v>2.5927074464131006</v>
      </c>
      <c r="H71" s="37">
        <f t="shared" si="5"/>
        <v>2.7569499528090948</v>
      </c>
      <c r="I71" s="37">
        <f t="shared" si="6"/>
        <v>2.9029075408017371</v>
      </c>
      <c r="J71" s="37">
        <f t="shared" si="7"/>
        <v>3.0339751931114325</v>
      </c>
      <c r="K71" s="37">
        <f t="shared" si="8"/>
        <v>3.1526548491576603</v>
      </c>
      <c r="L71" s="37">
        <f t="shared" si="9"/>
        <v>3.2608538313041961</v>
      </c>
      <c r="M71" s="37">
        <f t="shared" si="10"/>
        <v>3.3600653083704177</v>
      </c>
      <c r="N71" s="37"/>
      <c r="O71" s="37"/>
      <c r="P71" s="37"/>
      <c r="Q71" s="37"/>
      <c r="R71" s="37"/>
      <c r="S71" s="37"/>
      <c r="T71" s="37"/>
      <c r="U71" s="37"/>
      <c r="V71" s="37"/>
      <c r="W71" s="186"/>
      <c r="X71" s="259" t="s">
        <v>233</v>
      </c>
      <c r="Y71" s="260">
        <f>Smart!L35</f>
        <v>0</v>
      </c>
      <c r="Z71" s="255">
        <f>Smart!AX50</f>
        <v>0.67300000000000004</v>
      </c>
      <c r="AA71" s="576">
        <f>Smart!E102+Smart!$E$35-IF(Smart!V$11,IF(Smart!Z$4,Fl,0),0)</f>
        <v>0.62145000000000006</v>
      </c>
      <c r="AB71" s="37">
        <f t="shared" si="22"/>
        <v>0.29176056338028172</v>
      </c>
      <c r="AC71" s="38"/>
      <c r="AD71" s="38"/>
      <c r="AE71" s="256">
        <f t="shared" si="19"/>
        <v>0.16000000000000009</v>
      </c>
      <c r="AF71" s="39">
        <f t="shared" si="11"/>
        <v>11.294599747675889</v>
      </c>
      <c r="AG71" s="39">
        <f t="shared" si="12"/>
        <v>1.8</v>
      </c>
      <c r="AH71" s="38">
        <f t="shared" si="13"/>
        <v>0.22720000000000012</v>
      </c>
      <c r="AI71" s="38">
        <f t="shared" si="14"/>
        <v>0.20154255871582516</v>
      </c>
      <c r="AJ71" s="38"/>
      <c r="AK71" s="38"/>
      <c r="AL71" s="38"/>
      <c r="AM71" s="38"/>
      <c r="AN71" s="38"/>
      <c r="AO71" s="38"/>
      <c r="AP71" s="38"/>
      <c r="AQ71" s="38"/>
      <c r="AR71" s="39">
        <f t="shared" si="20"/>
        <v>11.006311543196869</v>
      </c>
      <c r="AS71" s="38">
        <f t="shared" si="21"/>
        <v>0.6399999999999999</v>
      </c>
      <c r="AT71" s="38">
        <f t="shared" si="15"/>
        <v>0.90879999999999983</v>
      </c>
      <c r="AU71" s="38"/>
      <c r="AV71" s="38">
        <f t="shared" si="16"/>
        <v>0.80617023486330008</v>
      </c>
      <c r="AW71" s="37"/>
      <c r="AX71" s="37"/>
      <c r="AY71" s="325"/>
      <c r="AZ71" s="37"/>
      <c r="BA71" s="37"/>
      <c r="BB71" s="37"/>
      <c r="BC71" s="37"/>
      <c r="BD71" s="37"/>
      <c r="BE71" s="37"/>
      <c r="BF71" s="37"/>
      <c r="BG71" s="37"/>
      <c r="BH71" s="37"/>
      <c r="BI71" s="37"/>
      <c r="BJ71" s="37"/>
      <c r="BK71" s="37"/>
      <c r="BL71" s="189"/>
      <c r="BM71" s="37"/>
      <c r="BN71" s="37"/>
      <c r="BO71" s="37"/>
      <c r="BP71" s="263"/>
      <c r="BQ71" s="250"/>
      <c r="BR71" s="189"/>
      <c r="BS71" s="189"/>
      <c r="BT71" s="189"/>
      <c r="BU71" s="189"/>
      <c r="BV71" s="189"/>
      <c r="BW71" s="189"/>
      <c r="BX71" s="189"/>
      <c r="BY71" s="30"/>
      <c r="BZ71" s="30"/>
      <c r="CA71" s="30"/>
      <c r="CB71" s="30"/>
      <c r="CC71" s="30"/>
    </row>
    <row r="72" spans="1:81" s="40" customFormat="1">
      <c r="A72" s="37">
        <v>22</v>
      </c>
      <c r="B72" s="37">
        <f t="shared" si="17"/>
        <v>1.1276642921160211</v>
      </c>
      <c r="C72" s="37">
        <f t="shared" si="0"/>
        <v>1.5654351532439179</v>
      </c>
      <c r="D72" s="37">
        <f t="shared" si="1"/>
        <v>1.8832563544301824</v>
      </c>
      <c r="E72" s="37">
        <f t="shared" si="2"/>
        <v>2.1373521155207307</v>
      </c>
      <c r="F72" s="37">
        <f t="shared" si="3"/>
        <v>2.3500599588807507</v>
      </c>
      <c r="G72" s="37">
        <f t="shared" si="4"/>
        <v>2.5330970081234265</v>
      </c>
      <c r="H72" s="37">
        <f t="shared" si="5"/>
        <v>2.6935633199450559</v>
      </c>
      <c r="I72" s="37">
        <f t="shared" si="6"/>
        <v>2.8361651125108045</v>
      </c>
      <c r="J72" s="37">
        <f t="shared" si="7"/>
        <v>2.9642193125273812</v>
      </c>
      <c r="K72" s="37">
        <f t="shared" si="8"/>
        <v>3.0801703358762444</v>
      </c>
      <c r="L72" s="37">
        <f t="shared" si="9"/>
        <v>3.185881652568209</v>
      </c>
      <c r="M72" s="37">
        <f t="shared" si="10"/>
        <v>3.28281210111366</v>
      </c>
      <c r="N72" s="37"/>
      <c r="O72" s="37"/>
      <c r="P72" s="37"/>
      <c r="Q72" s="37"/>
      <c r="R72" s="37"/>
      <c r="S72" s="37"/>
      <c r="T72" s="37"/>
      <c r="U72" s="37"/>
      <c r="V72" s="37"/>
      <c r="W72" s="186"/>
      <c r="X72" s="259" t="s">
        <v>235</v>
      </c>
      <c r="Y72" s="260">
        <f>Smart!M35</f>
        <v>0</v>
      </c>
      <c r="Z72" s="255">
        <f>Smart!AX51</f>
        <v>0.68100000000000005</v>
      </c>
      <c r="AA72" s="576">
        <f>Smart!E103+Smart!$E$35-IF(Smart!V$11,IF(Smart!Z$4,Fl,0),0)</f>
        <v>0.62145000000000006</v>
      </c>
      <c r="AB72" s="37">
        <f t="shared" si="22"/>
        <v>0.29176056338028172</v>
      </c>
      <c r="AC72" s="38"/>
      <c r="AD72" s="38"/>
      <c r="AE72" s="256">
        <f t="shared" si="19"/>
        <v>0.16800000000000009</v>
      </c>
      <c r="AF72" s="39">
        <f t="shared" si="11"/>
        <v>11.289794944267905</v>
      </c>
      <c r="AG72" s="39">
        <f t="shared" si="12"/>
        <v>1.8</v>
      </c>
      <c r="AH72" s="38">
        <f t="shared" si="13"/>
        <v>0.23856000000000013</v>
      </c>
      <c r="AI72" s="38">
        <f t="shared" si="14"/>
        <v>0.21161968665161643</v>
      </c>
      <c r="AJ72" s="38"/>
      <c r="AK72" s="38"/>
      <c r="AL72" s="38"/>
      <c r="AM72" s="38"/>
      <c r="AN72" s="38"/>
      <c r="AO72" s="38"/>
      <c r="AP72" s="38"/>
      <c r="AQ72" s="38"/>
      <c r="AR72" s="39">
        <f>M$31*(AF$49-(SQRT((AT72^2+AV72^2))))/AD$51</f>
        <v>11.011116346604853</v>
      </c>
      <c r="AS72" s="38">
        <f t="shared" si="21"/>
        <v>0.6319999999999999</v>
      </c>
      <c r="AT72" s="38">
        <f t="shared" si="15"/>
        <v>0.89743999999999979</v>
      </c>
      <c r="AU72" s="38"/>
      <c r="AV72" s="38">
        <f t="shared" si="16"/>
        <v>0.79609310692750879</v>
      </c>
      <c r="AW72" s="37"/>
      <c r="AX72" s="37"/>
      <c r="AY72" s="325"/>
      <c r="AZ72" s="37"/>
      <c r="BA72" s="37"/>
      <c r="BB72" s="37"/>
      <c r="BC72" s="37"/>
      <c r="BD72" s="37"/>
      <c r="BE72" s="37"/>
      <c r="BF72" s="37"/>
      <c r="BG72" s="37"/>
      <c r="BH72" s="37"/>
      <c r="BI72" s="37"/>
      <c r="BJ72" s="37"/>
      <c r="BK72" s="37"/>
      <c r="BL72" s="189"/>
      <c r="BM72" s="37"/>
      <c r="BN72" s="37"/>
      <c r="BO72" s="37"/>
      <c r="BP72" s="263"/>
      <c r="BQ72" s="250"/>
      <c r="BR72" s="189"/>
      <c r="BS72" s="189"/>
      <c r="BT72" s="189"/>
      <c r="BU72" s="189"/>
      <c r="BV72" s="189"/>
      <c r="BW72" s="189"/>
      <c r="BX72" s="189"/>
      <c r="BY72" s="30"/>
      <c r="BZ72" s="30"/>
      <c r="CA72" s="30"/>
      <c r="CB72" s="30"/>
      <c r="CC72" s="30"/>
    </row>
    <row r="73" spans="1:81" s="40" customFormat="1">
      <c r="A73" s="37">
        <v>23</v>
      </c>
      <c r="B73" s="37">
        <f t="shared" si="17"/>
        <v>1.1028774346680121</v>
      </c>
      <c r="C73" s="37">
        <f t="shared" si="0"/>
        <v>1.5310257831336449</v>
      </c>
      <c r="D73" s="37">
        <f t="shared" si="1"/>
        <v>1.8418610498863766</v>
      </c>
      <c r="E73" s="37">
        <f t="shared" si="2"/>
        <v>2.0903716067168197</v>
      </c>
      <c r="F73" s="37">
        <f t="shared" si="3"/>
        <v>2.2984039814747925</v>
      </c>
      <c r="G73" s="37">
        <f t="shared" si="4"/>
        <v>2.4774177471223395</v>
      </c>
      <c r="H73" s="37">
        <f t="shared" si="5"/>
        <v>2.634356896095825</v>
      </c>
      <c r="I73" s="37">
        <f t="shared" si="6"/>
        <v>2.7738242005618177</v>
      </c>
      <c r="J73" s="37">
        <f t="shared" si="7"/>
        <v>2.8990636788357436</v>
      </c>
      <c r="K73" s="37">
        <f t="shared" si="8"/>
        <v>3.0124660168118478</v>
      </c>
      <c r="L73" s="37">
        <f t="shared" si="9"/>
        <v>3.115853724114205</v>
      </c>
      <c r="M73" s="37">
        <f t="shared" si="10"/>
        <v>3.2106535729525754</v>
      </c>
      <c r="N73" s="37"/>
      <c r="O73" s="37"/>
      <c r="P73" s="37"/>
      <c r="Q73" s="37"/>
      <c r="R73" s="37"/>
      <c r="S73" s="37"/>
      <c r="T73" s="37"/>
      <c r="U73" s="37"/>
      <c r="V73" s="37"/>
      <c r="W73" s="186"/>
      <c r="X73" s="186" t="s">
        <v>237</v>
      </c>
      <c r="Y73" s="260">
        <f>Smart!N35</f>
        <v>0</v>
      </c>
      <c r="Z73" s="255">
        <f>Smart!AX52</f>
        <v>0.68900000000000006</v>
      </c>
      <c r="AA73" s="576">
        <f>Smart!E104+Smart!$E$35-IF(Smart!V$11,IF(Smart!Z$4,Fl,0),0)</f>
        <v>0.58545000000000003</v>
      </c>
      <c r="AB73" s="37">
        <f t="shared" si="22"/>
        <v>0.27485915492957746</v>
      </c>
      <c r="AC73" s="38"/>
      <c r="AD73" s="38"/>
      <c r="AE73" s="256">
        <f t="shared" si="19"/>
        <v>0.1760000000000001</v>
      </c>
      <c r="AF73" s="39">
        <f t="shared" si="11"/>
        <v>11.284990140859922</v>
      </c>
      <c r="AG73" s="39">
        <f t="shared" si="12"/>
        <v>1.8</v>
      </c>
      <c r="AH73" s="38">
        <f t="shared" si="13"/>
        <v>0.24992000000000014</v>
      </c>
      <c r="AI73" s="38">
        <f t="shared" si="14"/>
        <v>0.2216968145874077</v>
      </c>
      <c r="AJ73" s="38"/>
      <c r="AK73" s="38"/>
      <c r="AL73" s="38"/>
      <c r="AM73" s="38"/>
      <c r="AN73" s="38"/>
      <c r="AO73" s="38"/>
      <c r="AP73" s="38"/>
      <c r="AQ73" s="38"/>
      <c r="AR73" s="39">
        <f t="shared" si="20"/>
        <v>11.015921150012836</v>
      </c>
      <c r="AS73" s="38">
        <f t="shared" si="21"/>
        <v>0.62399999999999989</v>
      </c>
      <c r="AT73" s="38">
        <f t="shared" si="15"/>
        <v>0.88607999999999976</v>
      </c>
      <c r="AU73" s="38"/>
      <c r="AV73" s="38">
        <f t="shared" si="16"/>
        <v>0.7860159789917176</v>
      </c>
      <c r="AW73" s="37"/>
      <c r="AX73" s="37"/>
      <c r="AY73" s="325"/>
      <c r="AZ73" s="37"/>
      <c r="BA73" s="37"/>
      <c r="BB73" s="37"/>
      <c r="BC73" s="37"/>
      <c r="BD73" s="37"/>
      <c r="BE73" s="37"/>
      <c r="BF73" s="37"/>
      <c r="BG73" s="37"/>
      <c r="BH73" s="37"/>
      <c r="BI73" s="37"/>
      <c r="BJ73" s="37"/>
      <c r="BK73" s="37"/>
      <c r="BL73" s="189"/>
      <c r="BM73" s="37"/>
      <c r="BN73" s="37"/>
      <c r="BO73" s="37"/>
      <c r="BP73" s="263"/>
      <c r="BQ73" s="250"/>
      <c r="BR73" s="189"/>
      <c r="BS73" s="189"/>
      <c r="BT73" s="189"/>
      <c r="BU73" s="189"/>
      <c r="BV73" s="189"/>
      <c r="BW73" s="189"/>
      <c r="BX73" s="189"/>
      <c r="BY73" s="30"/>
      <c r="BZ73" s="30"/>
      <c r="CA73" s="30"/>
      <c r="CB73" s="30"/>
      <c r="CC73" s="30"/>
    </row>
    <row r="74" spans="1:81" s="40" customFormat="1">
      <c r="A74" s="37">
        <v>24</v>
      </c>
      <c r="B74" s="37">
        <f t="shared" si="17"/>
        <v>1.0796563617207404</v>
      </c>
      <c r="C74" s="37">
        <f t="shared" si="0"/>
        <v>1.4987900511504242</v>
      </c>
      <c r="D74" s="37">
        <f t="shared" si="1"/>
        <v>1.8030806845858347</v>
      </c>
      <c r="E74" s="37">
        <f t="shared" si="2"/>
        <v>2.0463588542199038</v>
      </c>
      <c r="F74" s="37">
        <f t="shared" si="3"/>
        <v>2.2500111094851758</v>
      </c>
      <c r="G74" s="37">
        <f t="shared" si="4"/>
        <v>2.4252557421538454</v>
      </c>
      <c r="H74" s="37">
        <f t="shared" si="5"/>
        <v>2.578890538973555</v>
      </c>
      <c r="I74" s="37">
        <f t="shared" si="6"/>
        <v>2.715421360790649</v>
      </c>
      <c r="J74" s="37">
        <f t="shared" si="7"/>
        <v>2.8380239231485715</v>
      </c>
      <c r="K74" s="37">
        <f t="shared" si="8"/>
        <v>2.9490385760748614</v>
      </c>
      <c r="L74" s="37">
        <f t="shared" si="9"/>
        <v>3.0502494562723634</v>
      </c>
      <c r="M74" s="37">
        <f t="shared" si="10"/>
        <v>3.1430532952767587</v>
      </c>
      <c r="N74" s="37"/>
      <c r="O74" s="37"/>
      <c r="P74" s="37"/>
      <c r="Q74" s="37"/>
      <c r="R74" s="37"/>
      <c r="S74" s="37"/>
      <c r="T74" s="37"/>
      <c r="U74" s="37"/>
      <c r="V74" s="37"/>
      <c r="W74" s="186"/>
      <c r="X74" s="254" t="s">
        <v>239</v>
      </c>
      <c r="Y74" s="260">
        <f>Smart!O35</f>
        <v>0</v>
      </c>
      <c r="Z74" s="255">
        <f>Smart!AX53</f>
        <v>0.69700000000000006</v>
      </c>
      <c r="AA74" s="576">
        <f>Smart!E105+Smart!$E$35-IF(Smart!V$11,IF(Smart!Z$4,Fl,0),0)</f>
        <v>0.51344999999999996</v>
      </c>
      <c r="AB74" s="37">
        <f t="shared" si="22"/>
        <v>0.241056338028169</v>
      </c>
      <c r="AC74" s="38"/>
      <c r="AD74" s="38"/>
      <c r="AE74" s="256">
        <f t="shared" si="19"/>
        <v>0.18400000000000011</v>
      </c>
      <c r="AF74" s="39">
        <f t="shared" si="11"/>
        <v>11.280185337451936</v>
      </c>
      <c r="AG74" s="39">
        <f t="shared" si="12"/>
        <v>1.8</v>
      </c>
      <c r="AH74" s="38">
        <f t="shared" si="13"/>
        <v>0.26128000000000012</v>
      </c>
      <c r="AI74" s="38">
        <f t="shared" si="14"/>
        <v>0.23177394252319897</v>
      </c>
      <c r="AJ74" s="38"/>
      <c r="AK74" s="38"/>
      <c r="AL74" s="38"/>
      <c r="AM74" s="38"/>
      <c r="AN74" s="38"/>
      <c r="AO74" s="38"/>
      <c r="AP74" s="38"/>
      <c r="AQ74" s="38"/>
      <c r="AR74" s="39">
        <f t="shared" si="20"/>
        <v>11.020725953420818</v>
      </c>
      <c r="AS74" s="38">
        <f t="shared" si="21"/>
        <v>0.61599999999999988</v>
      </c>
      <c r="AT74" s="38">
        <f t="shared" si="15"/>
        <v>0.87471999999999983</v>
      </c>
      <c r="AU74" s="38"/>
      <c r="AV74" s="38">
        <f t="shared" si="16"/>
        <v>0.7759388510559263</v>
      </c>
      <c r="AW74" s="37"/>
      <c r="AX74" s="37"/>
      <c r="AY74" s="325"/>
      <c r="AZ74" s="37"/>
      <c r="BA74" s="37"/>
      <c r="BB74" s="37"/>
      <c r="BC74" s="37"/>
      <c r="BD74" s="37"/>
      <c r="BE74" s="37"/>
      <c r="BF74" s="37"/>
      <c r="BG74" s="37"/>
      <c r="BH74" s="37"/>
      <c r="BI74" s="37"/>
      <c r="BJ74" s="37"/>
      <c r="BK74" s="37"/>
      <c r="BL74" s="189"/>
      <c r="BM74" s="37"/>
      <c r="BN74" s="37"/>
      <c r="BO74" s="37"/>
      <c r="BP74" s="263"/>
      <c r="BQ74" s="250"/>
      <c r="BR74" s="189"/>
      <c r="BS74" s="189"/>
      <c r="BT74" s="189"/>
      <c r="BU74" s="189"/>
      <c r="BV74" s="189"/>
      <c r="BW74" s="189"/>
      <c r="BX74" s="189"/>
      <c r="BY74" s="30"/>
      <c r="BZ74" s="30"/>
      <c r="CA74" s="30"/>
      <c r="CB74" s="30"/>
      <c r="CC74" s="30"/>
    </row>
    <row r="75" spans="1:81" s="40" customFormat="1">
      <c r="A75" s="37">
        <v>25</v>
      </c>
      <c r="B75" s="37">
        <f t="shared" si="17"/>
        <v>1.0578428735062233</v>
      </c>
      <c r="C75" s="37">
        <f t="shared" si="0"/>
        <v>1.4685083427513757</v>
      </c>
      <c r="D75" s="37">
        <f t="shared" si="1"/>
        <v>1.7666510569213891</v>
      </c>
      <c r="E75" s="37">
        <f t="shared" si="2"/>
        <v>2.0050140093860764</v>
      </c>
      <c r="F75" s="37">
        <f t="shared" si="3"/>
        <v>2.2045516535328549</v>
      </c>
      <c r="G75" s="37">
        <f t="shared" si="4"/>
        <v>2.3762556256127394</v>
      </c>
      <c r="H75" s="37">
        <f t="shared" si="5"/>
        <v>2.5267863691905212</v>
      </c>
      <c r="I75" s="37">
        <f t="shared" si="6"/>
        <v>2.6605587082364135</v>
      </c>
      <c r="J75" s="37">
        <f t="shared" si="7"/>
        <v>2.7806841958102799</v>
      </c>
      <c r="K75" s="37">
        <f t="shared" si="8"/>
        <v>2.8894558972669131</v>
      </c>
      <c r="L75" s="37">
        <f t="shared" si="9"/>
        <v>2.9886219024276479</v>
      </c>
      <c r="M75" s="37">
        <f t="shared" si="10"/>
        <v>3.0795507231205153</v>
      </c>
      <c r="N75" s="37"/>
      <c r="O75" s="37"/>
      <c r="P75" s="37"/>
      <c r="Q75" s="37"/>
      <c r="R75" s="37"/>
      <c r="S75" s="37"/>
      <c r="T75" s="37"/>
      <c r="U75" s="37"/>
      <c r="V75" s="37"/>
      <c r="W75" s="186">
        <v>4</v>
      </c>
      <c r="X75" s="259" t="s">
        <v>226</v>
      </c>
      <c r="Y75" s="260">
        <f>IF(Smart!$AG$5,Smart!AL6,0)</f>
        <v>0</v>
      </c>
      <c r="Z75" s="255">
        <f>Smart!AX54</f>
        <v>0.70500000000000007</v>
      </c>
      <c r="AA75" s="576">
        <f>Smart!E106+Smart!$E$35-IF(Smart!V$11,IF(Smart!Z$4,Fl,0),0)</f>
        <v>0.44145000000000001</v>
      </c>
      <c r="AB75" s="37">
        <f t="shared" si="22"/>
        <v>0.20725352112676057</v>
      </c>
      <c r="AC75" s="38"/>
      <c r="AD75" s="38"/>
      <c r="AE75" s="256">
        <f t="shared" si="19"/>
        <v>0.19200000000000012</v>
      </c>
      <c r="AF75" s="39">
        <f t="shared" si="11"/>
        <v>11.275380534043952</v>
      </c>
      <c r="AG75" s="39">
        <f t="shared" si="12"/>
        <v>1.8</v>
      </c>
      <c r="AH75" s="38">
        <f t="shared" si="13"/>
        <v>0.27264000000000016</v>
      </c>
      <c r="AI75" s="38">
        <f t="shared" si="14"/>
        <v>0.24185107045899024</v>
      </c>
      <c r="AJ75" s="38"/>
      <c r="AK75" s="38"/>
      <c r="AL75" s="38"/>
      <c r="AM75" s="38"/>
      <c r="AN75" s="38"/>
      <c r="AO75" s="38"/>
      <c r="AP75" s="38"/>
      <c r="AQ75" s="38"/>
      <c r="AR75" s="39">
        <f t="shared" si="20"/>
        <v>11.025530756828804</v>
      </c>
      <c r="AS75" s="38">
        <f t="shared" si="21"/>
        <v>0.60799999999999987</v>
      </c>
      <c r="AT75" s="38">
        <f t="shared" si="15"/>
        <v>0.86335999999999979</v>
      </c>
      <c r="AU75" s="38"/>
      <c r="AV75" s="38">
        <f t="shared" si="16"/>
        <v>0.76586172312013512</v>
      </c>
      <c r="AW75" s="37"/>
      <c r="AX75" s="37"/>
      <c r="AY75" s="325"/>
      <c r="AZ75" s="37"/>
      <c r="BA75" s="37"/>
      <c r="BB75" s="37"/>
      <c r="BC75" s="37"/>
      <c r="BD75" s="37"/>
      <c r="BE75" s="37"/>
      <c r="BF75" s="37"/>
      <c r="BG75" s="37"/>
      <c r="BH75" s="37"/>
      <c r="BI75" s="37"/>
      <c r="BJ75" s="37"/>
      <c r="BK75" s="189"/>
      <c r="BL75" s="189"/>
      <c r="BM75" s="189"/>
      <c r="BN75" s="189"/>
      <c r="BO75" s="37"/>
      <c r="BP75" s="263"/>
      <c r="BQ75" s="250"/>
      <c r="BR75" s="189"/>
      <c r="BS75" s="189"/>
      <c r="BT75" s="189"/>
      <c r="BU75" s="189"/>
      <c r="BV75" s="189"/>
      <c r="BW75" s="189"/>
      <c r="BX75" s="189"/>
      <c r="BY75" s="30"/>
      <c r="BZ75" s="30"/>
      <c r="CA75" s="30"/>
      <c r="CB75" s="30"/>
      <c r="CC75" s="30"/>
    </row>
    <row r="76" spans="1:81" s="40" customFormat="1">
      <c r="A76" s="37">
        <v>26</v>
      </c>
      <c r="B76" s="37">
        <f t="shared" si="17"/>
        <v>1.0373002796775572</v>
      </c>
      <c r="C76" s="37">
        <f t="shared" si="0"/>
        <v>1.4399909029928972</v>
      </c>
      <c r="D76" s="37">
        <f t="shared" si="1"/>
        <v>1.7323438871060539</v>
      </c>
      <c r="E76" s="37">
        <f t="shared" si="2"/>
        <v>1.9660779920935598</v>
      </c>
      <c r="F76" s="37">
        <f t="shared" si="3"/>
        <v>2.161740750016782</v>
      </c>
      <c r="G76" s="37">
        <f t="shared" si="4"/>
        <v>2.33011034697769</v>
      </c>
      <c r="H76" s="37">
        <f t="shared" si="5"/>
        <v>2.4777178852274484</v>
      </c>
      <c r="I76" s="37">
        <f t="shared" si="6"/>
        <v>2.6088924558378239</v>
      </c>
      <c r="J76" s="37">
        <f t="shared" si="7"/>
        <v>2.7266851876107072</v>
      </c>
      <c r="K76" s="37">
        <f t="shared" si="8"/>
        <v>2.8333446161211033</v>
      </c>
      <c r="L76" s="37">
        <f t="shared" si="9"/>
        <v>2.9305848844671862</v>
      </c>
      <c r="M76" s="37">
        <f t="shared" si="10"/>
        <v>3.0197479289019764</v>
      </c>
      <c r="N76" s="37"/>
      <c r="O76" s="37"/>
      <c r="P76" s="37"/>
      <c r="Q76" s="37"/>
      <c r="R76" s="37"/>
      <c r="S76" s="37"/>
      <c r="T76" s="37"/>
      <c r="U76" s="37"/>
      <c r="V76" s="37"/>
      <c r="W76" s="186"/>
      <c r="X76" s="259" t="s">
        <v>228</v>
      </c>
      <c r="Y76" s="260">
        <f>IF(Smart!$AG$5,Smart!AL7,0)</f>
        <v>0</v>
      </c>
      <c r="Z76" s="255">
        <f>Smart!AX55</f>
        <v>0.70499999999999996</v>
      </c>
      <c r="AA76" s="576">
        <f>Y58</f>
        <v>0</v>
      </c>
      <c r="AB76" s="37">
        <f t="shared" si="22"/>
        <v>0</v>
      </c>
      <c r="AC76" s="38"/>
      <c r="AD76" s="38"/>
      <c r="AE76" s="256">
        <f t="shared" si="19"/>
        <v>0.20000000000000012</v>
      </c>
      <c r="AF76" s="39">
        <f t="shared" si="11"/>
        <v>11.270575730635969</v>
      </c>
      <c r="AG76" s="39">
        <f t="shared" si="12"/>
        <v>1.8</v>
      </c>
      <c r="AH76" s="38">
        <f t="shared" si="13"/>
        <v>0.28400000000000014</v>
      </c>
      <c r="AI76" s="38">
        <f t="shared" si="14"/>
        <v>0.25192819839478148</v>
      </c>
      <c r="AJ76" s="38"/>
      <c r="AK76" s="38"/>
      <c r="AL76" s="38"/>
      <c r="AM76" s="38"/>
      <c r="AN76" s="38"/>
      <c r="AO76" s="38"/>
      <c r="AP76" s="38"/>
      <c r="AQ76" s="38"/>
      <c r="AR76" s="39">
        <f t="shared" si="20"/>
        <v>11.030335560236786</v>
      </c>
      <c r="AS76" s="38">
        <f t="shared" si="21"/>
        <v>0.59999999999999987</v>
      </c>
      <c r="AT76" s="38">
        <f t="shared" si="15"/>
        <v>0.85199999999999976</v>
      </c>
      <c r="AU76" s="38"/>
      <c r="AV76" s="38">
        <f t="shared" si="16"/>
        <v>0.75578459518434371</v>
      </c>
      <c r="AW76" s="37"/>
      <c r="AX76" s="37"/>
      <c r="AY76" s="325"/>
      <c r="AZ76" s="37"/>
      <c r="BA76" s="37"/>
      <c r="BB76" s="37"/>
      <c r="BC76" s="37"/>
      <c r="BD76" s="37"/>
      <c r="BE76" s="37"/>
      <c r="BF76" s="37"/>
      <c r="BG76" s="37"/>
      <c r="BH76" s="37"/>
      <c r="BI76" s="37"/>
      <c r="BJ76" s="37"/>
      <c r="BK76" s="189"/>
      <c r="BL76" s="189"/>
      <c r="BM76" s="189"/>
      <c r="BN76" s="189"/>
      <c r="BO76" s="37"/>
      <c r="BP76" s="263"/>
      <c r="BQ76" s="250"/>
      <c r="BR76" s="189"/>
      <c r="BS76" s="189"/>
      <c r="BT76" s="189"/>
      <c r="BU76" s="189"/>
      <c r="BV76" s="189"/>
      <c r="BW76" s="189"/>
      <c r="BX76" s="189"/>
      <c r="BY76" s="30"/>
      <c r="BZ76" s="30"/>
      <c r="CA76" s="30"/>
      <c r="CB76" s="30"/>
      <c r="CC76" s="30"/>
    </row>
    <row r="77" spans="1:81" s="40" customFormat="1">
      <c r="A77" s="37">
        <v>27</v>
      </c>
      <c r="B77" s="37">
        <f t="shared" si="17"/>
        <v>1.0179097796319088</v>
      </c>
      <c r="C77" s="37">
        <f t="shared" si="0"/>
        <v>1.4130728116578632</v>
      </c>
      <c r="D77" s="37">
        <f t="shared" si="1"/>
        <v>1.6999607721295016</v>
      </c>
      <c r="E77" s="37">
        <f t="shared" si="2"/>
        <v>1.9293256300800368</v>
      </c>
      <c r="F77" s="37">
        <f t="shared" si="3"/>
        <v>2.1213308176827139</v>
      </c>
      <c r="G77" s="37">
        <f t="shared" si="4"/>
        <v>2.2865530418514628</v>
      </c>
      <c r="H77" s="37">
        <f t="shared" si="5"/>
        <v>2.4314013173947076</v>
      </c>
      <c r="I77" s="37">
        <f t="shared" si="6"/>
        <v>2.560123810658494</v>
      </c>
      <c r="J77" s="37">
        <f t="shared" si="7"/>
        <v>2.6757146149706719</v>
      </c>
      <c r="K77" s="37">
        <f t="shared" si="8"/>
        <v>2.7803802334976728</v>
      </c>
      <c r="L77" s="37">
        <f t="shared" si="9"/>
        <v>2.8758027664543562</v>
      </c>
      <c r="M77" s="37">
        <f t="shared" si="10"/>
        <v>2.9632990649612267</v>
      </c>
      <c r="N77" s="37"/>
      <c r="O77" s="37"/>
      <c r="P77" s="37"/>
      <c r="Q77" s="37"/>
      <c r="R77" s="37"/>
      <c r="S77" s="37"/>
      <c r="T77" s="37"/>
      <c r="U77" s="37"/>
      <c r="V77" s="37"/>
      <c r="W77" s="186"/>
      <c r="X77" s="186" t="s">
        <v>230</v>
      </c>
      <c r="Y77" s="260">
        <f>IF(Smart!$AG$5,Smart!AL8,0)</f>
        <v>0</v>
      </c>
      <c r="Z77" s="255">
        <f>Smart!AX56</f>
        <v>40.704999999999998</v>
      </c>
      <c r="AA77" s="576">
        <f>AA76</f>
        <v>0</v>
      </c>
      <c r="AB77" s="37">
        <f t="shared" si="22"/>
        <v>0</v>
      </c>
      <c r="AC77" s="38"/>
      <c r="AD77" s="38"/>
      <c r="AE77" s="256">
        <f t="shared" si="19"/>
        <v>0.20800000000000013</v>
      </c>
      <c r="AF77" s="39">
        <f t="shared" si="11"/>
        <v>11.265770927227987</v>
      </c>
      <c r="AG77" s="39">
        <f t="shared" si="12"/>
        <v>1.8</v>
      </c>
      <c r="AH77" s="38">
        <f t="shared" si="13"/>
        <v>0.29536000000000018</v>
      </c>
      <c r="AI77" s="38">
        <f t="shared" si="14"/>
        <v>0.26200532633057277</v>
      </c>
      <c r="AJ77" s="38"/>
      <c r="AK77" s="38"/>
      <c r="AL77" s="38"/>
      <c r="AM77" s="38"/>
      <c r="AN77" s="38"/>
      <c r="AO77" s="38"/>
      <c r="AP77" s="38"/>
      <c r="AQ77" s="38"/>
      <c r="AR77" s="39">
        <f t="shared" si="20"/>
        <v>11.03514036364477</v>
      </c>
      <c r="AS77" s="38">
        <f t="shared" si="21"/>
        <v>0.59199999999999986</v>
      </c>
      <c r="AT77" s="38">
        <f t="shared" si="15"/>
        <v>0.84063999999999972</v>
      </c>
      <c r="AU77" s="38"/>
      <c r="AV77" s="38">
        <f t="shared" si="16"/>
        <v>0.74570746724855241</v>
      </c>
      <c r="AW77" s="37"/>
      <c r="AX77" s="37"/>
      <c r="AY77" s="325"/>
      <c r="AZ77" s="37"/>
      <c r="BA77" s="37"/>
      <c r="BB77" s="37"/>
      <c r="BC77" s="37"/>
      <c r="BD77" s="37"/>
      <c r="BE77" s="37"/>
      <c r="BF77" s="37"/>
      <c r="BG77" s="37"/>
      <c r="BH77" s="37"/>
      <c r="BI77" s="37"/>
      <c r="BJ77" s="37"/>
      <c r="BK77" s="189"/>
      <c r="BL77" s="189"/>
      <c r="BM77" s="189"/>
      <c r="BN77" s="189"/>
      <c r="BO77" s="38" t="s">
        <v>47</v>
      </c>
      <c r="BP77" s="264">
        <f>IF(Smart!AB36&gt;Smart!AE32/1000,Smart!AB36,Smart!AE32/1000)</f>
        <v>0.3</v>
      </c>
      <c r="BQ77" s="263">
        <f>Smart!AE32/1000</f>
        <v>2.4000000000000001E-5</v>
      </c>
      <c r="BS77" s="189"/>
      <c r="BT77" s="189"/>
      <c r="BU77" s="189"/>
      <c r="BV77" s="189"/>
      <c r="BW77" s="189"/>
      <c r="BX77" s="189"/>
      <c r="BY77" s="30"/>
      <c r="BZ77" s="30"/>
      <c r="CA77" s="30"/>
      <c r="CB77" s="30"/>
      <c r="CC77" s="30"/>
    </row>
    <row r="78" spans="1:81" s="40" customFormat="1">
      <c r="A78" s="37">
        <v>28</v>
      </c>
      <c r="B78" s="37">
        <f t="shared" si="17"/>
        <v>0.99956756052836582</v>
      </c>
      <c r="C78" s="37">
        <f t="shared" si="0"/>
        <v>1.3876099546941933</v>
      </c>
      <c r="D78" s="37">
        <f t="shared" si="1"/>
        <v>1.6693283393012177</v>
      </c>
      <c r="E78" s="37">
        <f t="shared" si="2"/>
        <v>1.8945601585843155</v>
      </c>
      <c r="F78" s="37">
        <f t="shared" si="3"/>
        <v>2.0831055098729148</v>
      </c>
      <c r="G78" s="37">
        <f t="shared" si="4"/>
        <v>2.2453505131748268</v>
      </c>
      <c r="H78" s="37">
        <f t="shared" si="5"/>
        <v>2.3875886960949853</v>
      </c>
      <c r="I78" s="37">
        <f t="shared" si="6"/>
        <v>2.5139916751717157</v>
      </c>
      <c r="J78" s="37">
        <f t="shared" si="7"/>
        <v>2.627499591686298</v>
      </c>
      <c r="K78" s="37">
        <f t="shared" si="8"/>
        <v>2.7302791887347313</v>
      </c>
      <c r="L78" s="37">
        <f t="shared" si="9"/>
        <v>2.8239822559372501</v>
      </c>
      <c r="M78" s="37">
        <f t="shared" si="10"/>
        <v>2.9099019154235752</v>
      </c>
      <c r="N78" s="37"/>
      <c r="O78" s="37"/>
      <c r="P78" s="37"/>
      <c r="Q78" s="37"/>
      <c r="R78" s="37"/>
      <c r="S78" s="37"/>
      <c r="T78" s="37"/>
      <c r="U78" s="37"/>
      <c r="V78" s="37"/>
      <c r="W78" s="186"/>
      <c r="X78" s="254" t="s">
        <v>231</v>
      </c>
      <c r="Y78" s="260">
        <f>IF(Smart!$AG$5,IF(Smart!AL9&gt;40,40,Smart!AL9),0)</f>
        <v>0</v>
      </c>
      <c r="Z78" s="255">
        <f>Smart!AX57</f>
        <v>40.704999999999998</v>
      </c>
      <c r="AA78" s="576" t="e">
        <f>Smart!F96+Smart!$I$35</f>
        <v>#DIV/0!</v>
      </c>
      <c r="AB78" s="37" t="e">
        <f t="shared" si="22"/>
        <v>#DIV/0!</v>
      </c>
      <c r="AC78" s="38"/>
      <c r="AD78" s="38"/>
      <c r="AE78" s="256">
        <f t="shared" si="19"/>
        <v>0.21600000000000014</v>
      </c>
      <c r="AF78" s="39">
        <f t="shared" si="11"/>
        <v>11.260966123820003</v>
      </c>
      <c r="AG78" s="39">
        <f t="shared" si="12"/>
        <v>1.8</v>
      </c>
      <c r="AH78" s="38">
        <f t="shared" si="13"/>
        <v>0.30672000000000016</v>
      </c>
      <c r="AI78" s="38">
        <f t="shared" si="14"/>
        <v>0.27208245426636402</v>
      </c>
      <c r="AJ78" s="38"/>
      <c r="AK78" s="38"/>
      <c r="AL78" s="38"/>
      <c r="AM78" s="38"/>
      <c r="AN78" s="38"/>
      <c r="AO78" s="38"/>
      <c r="AP78" s="38"/>
      <c r="AQ78" s="38"/>
      <c r="AR78" s="39">
        <f t="shared" si="20"/>
        <v>11.039945167052755</v>
      </c>
      <c r="AS78" s="38">
        <f t="shared" si="21"/>
        <v>0.58399999999999985</v>
      </c>
      <c r="AT78" s="38">
        <f t="shared" si="15"/>
        <v>0.8292799999999998</v>
      </c>
      <c r="AU78" s="38"/>
      <c r="AV78" s="38">
        <f t="shared" si="16"/>
        <v>0.73563033931276134</v>
      </c>
      <c r="AW78" s="37"/>
      <c r="AX78" s="37"/>
      <c r="AY78" s="325"/>
      <c r="AZ78" s="37"/>
      <c r="BA78" s="37"/>
      <c r="BB78" s="37"/>
      <c r="BC78" s="37"/>
      <c r="BD78" s="37"/>
      <c r="BE78" s="37"/>
      <c r="BF78" s="37"/>
      <c r="BG78" s="37"/>
      <c r="BH78" s="37"/>
      <c r="BI78" s="37"/>
      <c r="BJ78" s="37"/>
      <c r="BK78" s="189"/>
      <c r="BL78" s="189"/>
      <c r="BM78" s="189"/>
      <c r="BN78" s="189"/>
      <c r="BO78" s="38" t="s">
        <v>137</v>
      </c>
      <c r="BP78" s="264">
        <f>Smart!AE35</f>
        <v>0.58768269128344741</v>
      </c>
      <c r="BQ78" s="263">
        <f>((Smart!AA41*2)/Z156)*100</f>
        <v>0.39307210416410759</v>
      </c>
      <c r="BS78" s="189"/>
      <c r="BT78" s="189"/>
      <c r="BU78" s="189"/>
      <c r="BV78" s="189"/>
      <c r="BW78" s="189"/>
      <c r="BX78" s="189"/>
      <c r="BY78" s="30"/>
      <c r="BZ78" s="30"/>
      <c r="CA78" s="30"/>
      <c r="CB78" s="30"/>
      <c r="CC78" s="30"/>
    </row>
    <row r="79" spans="1:81" s="40" customFormat="1">
      <c r="A79" s="37">
        <v>29</v>
      </c>
      <c r="B79" s="37">
        <f t="shared" si="17"/>
        <v>0.98218245066961218</v>
      </c>
      <c r="C79" s="37">
        <f t="shared" si="0"/>
        <v>1.3634757666151935</v>
      </c>
      <c r="D79" s="37">
        <f t="shared" si="1"/>
        <v>1.6402943272793173</v>
      </c>
      <c r="E79" s="37">
        <f t="shared" si="2"/>
        <v>1.8616087726133705</v>
      </c>
      <c r="F79" s="37">
        <f t="shared" si="3"/>
        <v>2.0468748241578116</v>
      </c>
      <c r="G79" s="37">
        <f t="shared" si="4"/>
        <v>2.2062979599663981</v>
      </c>
      <c r="H79" s="37">
        <f t="shared" si="5"/>
        <v>2.3460622466399945</v>
      </c>
      <c r="I79" s="37">
        <f t="shared" si="6"/>
        <v>2.4702667453293059</v>
      </c>
      <c r="J79" s="37">
        <f t="shared" si="7"/>
        <v>2.5818004605228673</v>
      </c>
      <c r="K79" s="37">
        <f t="shared" si="8"/>
        <v>2.6827924499532814</v>
      </c>
      <c r="L79" s="37">
        <f t="shared" si="9"/>
        <v>2.774865774273231</v>
      </c>
      <c r="M79" s="37">
        <f t="shared" si="10"/>
        <v>2.8592910648162433</v>
      </c>
      <c r="N79" s="37"/>
      <c r="O79" s="37"/>
      <c r="P79" s="37"/>
      <c r="Q79" s="37"/>
      <c r="R79" s="37"/>
      <c r="S79" s="37"/>
      <c r="T79" s="37"/>
      <c r="U79" s="37"/>
      <c r="V79" s="37"/>
      <c r="W79" s="186"/>
      <c r="X79" s="259" t="s">
        <v>233</v>
      </c>
      <c r="Y79" s="260">
        <f>Smart!P35</f>
        <v>0</v>
      </c>
      <c r="Z79" s="255">
        <f>Smart!AX58</f>
        <v>40.704999999999998</v>
      </c>
      <c r="AA79" s="576" t="e">
        <f>Smart!F97+Smart!$I$35</f>
        <v>#DIV/0!</v>
      </c>
      <c r="AB79" s="37" t="e">
        <f t="shared" si="22"/>
        <v>#DIV/0!</v>
      </c>
      <c r="AC79" s="38"/>
      <c r="AD79" s="38"/>
      <c r="AE79" s="256">
        <f t="shared" si="19"/>
        <v>0.22400000000000014</v>
      </c>
      <c r="AF79" s="39">
        <f t="shared" si="11"/>
        <v>11.256161320412019</v>
      </c>
      <c r="AG79" s="39">
        <f t="shared" si="12"/>
        <v>1.8</v>
      </c>
      <c r="AH79" s="38">
        <f t="shared" si="13"/>
        <v>0.3180800000000002</v>
      </c>
      <c r="AI79" s="38">
        <f t="shared" si="14"/>
        <v>0.28215958220215526</v>
      </c>
      <c r="AJ79" s="38"/>
      <c r="AK79" s="38"/>
      <c r="AL79" s="38"/>
      <c r="AM79" s="38"/>
      <c r="AN79" s="38"/>
      <c r="AO79" s="38"/>
      <c r="AP79" s="38"/>
      <c r="AQ79" s="38"/>
      <c r="AR79" s="39">
        <f t="shared" si="20"/>
        <v>11.044749970460737</v>
      </c>
      <c r="AS79" s="38">
        <f t="shared" si="21"/>
        <v>0.57599999999999985</v>
      </c>
      <c r="AT79" s="38">
        <f t="shared" si="15"/>
        <v>0.81791999999999976</v>
      </c>
      <c r="AU79" s="38"/>
      <c r="AV79" s="38">
        <f t="shared" si="16"/>
        <v>0.72555321137697004</v>
      </c>
      <c r="AW79" s="37"/>
      <c r="AX79" s="37"/>
      <c r="AY79" s="325"/>
      <c r="AZ79" s="37"/>
      <c r="BA79" s="37"/>
      <c r="BB79" s="37"/>
      <c r="BC79" s="37"/>
      <c r="BD79" s="37"/>
      <c r="BE79" s="37"/>
      <c r="BF79" s="37"/>
      <c r="BG79" s="37"/>
      <c r="BH79" s="37"/>
      <c r="BI79" s="37"/>
      <c r="BJ79" s="37"/>
      <c r="BK79" s="189"/>
      <c r="BL79" s="189"/>
      <c r="BM79" s="189"/>
      <c r="BN79" s="189"/>
      <c r="BO79" s="37" t="s">
        <v>77</v>
      </c>
      <c r="BP79" s="263">
        <f>Smart!AC35</f>
        <v>5.8815750660816686E-2</v>
      </c>
      <c r="BQ79" s="263">
        <f>Smart!AC32/1000</f>
        <v>2.9739069157746715E-3</v>
      </c>
      <c r="BS79" s="189"/>
      <c r="BT79" s="189"/>
      <c r="BU79" s="189"/>
      <c r="BV79" s="189"/>
      <c r="BW79" s="189"/>
      <c r="BX79" s="189"/>
      <c r="BY79" s="30"/>
      <c r="BZ79" s="30"/>
      <c r="CA79" s="30"/>
      <c r="CB79" s="30"/>
      <c r="CC79" s="30"/>
    </row>
    <row r="80" spans="1:81" s="40" customFormat="1">
      <c r="A80" s="37">
        <v>30</v>
      </c>
      <c r="B80" s="37">
        <f t="shared" si="17"/>
        <v>0.9656740068590709</v>
      </c>
      <c r="C80" s="37">
        <f t="shared" si="0"/>
        <v>1.3405585753490943</v>
      </c>
      <c r="D80" s="37">
        <f t="shared" si="1"/>
        <v>1.6127243918603134</v>
      </c>
      <c r="E80" s="37">
        <f t="shared" si="2"/>
        <v>1.8303190017577149</v>
      </c>
      <c r="F80" s="37">
        <f t="shared" si="3"/>
        <v>2.0124711163754303</v>
      </c>
      <c r="G80" s="37">
        <f t="shared" si="4"/>
        <v>2.1692146809110802</v>
      </c>
      <c r="H80" s="37">
        <f t="shared" si="5"/>
        <v>2.3066298206703753</v>
      </c>
      <c r="I80" s="37">
        <f t="shared" si="6"/>
        <v>2.4287467001131491</v>
      </c>
      <c r="J80" s="37">
        <f t="shared" si="7"/>
        <v>2.5384057655723375</v>
      </c>
      <c r="K80" s="37">
        <f t="shared" si="8"/>
        <v>2.6377002897490303</v>
      </c>
      <c r="L80" s="37">
        <f t="shared" si="9"/>
        <v>2.7282260530227109</v>
      </c>
      <c r="M80" s="37">
        <f t="shared" si="10"/>
        <v>2.8112323300574205</v>
      </c>
      <c r="N80" s="37"/>
      <c r="O80" s="37"/>
      <c r="P80" s="37"/>
      <c r="Q80" s="37"/>
      <c r="R80" s="37"/>
      <c r="S80" s="37"/>
      <c r="T80" s="37"/>
      <c r="U80" s="37"/>
      <c r="V80" s="37"/>
      <c r="W80" s="186"/>
      <c r="X80" s="259" t="s">
        <v>235</v>
      </c>
      <c r="Y80" s="260">
        <f>Smart!Q35</f>
        <v>0</v>
      </c>
      <c r="Z80" s="255">
        <f>Smart!AX59</f>
        <v>40.704999999999998</v>
      </c>
      <c r="AA80" s="576" t="e">
        <f>Smart!F98+Smart!$I$35</f>
        <v>#DIV/0!</v>
      </c>
      <c r="AB80" s="37" t="e">
        <f t="shared" si="22"/>
        <v>#DIV/0!</v>
      </c>
      <c r="AC80" s="38"/>
      <c r="AD80" s="38"/>
      <c r="AE80" s="256">
        <f t="shared" si="19"/>
        <v>0.23200000000000015</v>
      </c>
      <c r="AF80" s="39">
        <f t="shared" si="11"/>
        <v>11.251356517004035</v>
      </c>
      <c r="AG80" s="39">
        <f t="shared" si="12"/>
        <v>1.8</v>
      </c>
      <c r="AH80" s="38">
        <f t="shared" si="13"/>
        <v>0.32944000000000018</v>
      </c>
      <c r="AI80" s="38">
        <f t="shared" si="14"/>
        <v>0.29223671013794655</v>
      </c>
      <c r="AJ80" s="38"/>
      <c r="AK80" s="38"/>
      <c r="AL80" s="38"/>
      <c r="AM80" s="38"/>
      <c r="AN80" s="38"/>
      <c r="AO80" s="38"/>
      <c r="AP80" s="38"/>
      <c r="AQ80" s="38"/>
      <c r="AR80" s="39">
        <f t="shared" si="20"/>
        <v>11.049554773868723</v>
      </c>
      <c r="AS80" s="38">
        <f t="shared" si="21"/>
        <v>0.56799999999999984</v>
      </c>
      <c r="AT80" s="38">
        <f t="shared" si="15"/>
        <v>0.80655999999999972</v>
      </c>
      <c r="AU80" s="38"/>
      <c r="AV80" s="38">
        <f t="shared" si="16"/>
        <v>0.71547608344117875</v>
      </c>
      <c r="AW80" s="37"/>
      <c r="AX80" s="37"/>
      <c r="AY80" s="325"/>
      <c r="AZ80" s="37"/>
      <c r="BA80" s="37"/>
      <c r="BB80" s="37"/>
      <c r="BC80" s="37"/>
      <c r="BD80" s="37"/>
      <c r="BE80" s="37"/>
      <c r="BF80" s="37"/>
      <c r="BG80" s="37"/>
      <c r="BH80" s="37"/>
      <c r="BI80" s="37"/>
      <c r="BJ80" s="37"/>
      <c r="BK80" s="189"/>
      <c r="BL80" s="189"/>
      <c r="BM80" s="189"/>
      <c r="BN80" s="189"/>
      <c r="BP80" s="219"/>
      <c r="BQ80" s="251"/>
      <c r="BR80" s="189"/>
      <c r="BS80" s="189"/>
      <c r="BT80" s="189"/>
      <c r="BU80" s="189"/>
      <c r="BV80" s="189"/>
      <c r="BW80" s="189"/>
      <c r="BX80" s="189"/>
      <c r="BY80" s="30"/>
      <c r="BZ80" s="30"/>
      <c r="CA80" s="30"/>
      <c r="CB80" s="30"/>
      <c r="CC80" s="30"/>
    </row>
    <row r="81" spans="1:81" s="40" customFormat="1">
      <c r="A81" s="37">
        <v>31</v>
      </c>
      <c r="B81" s="37">
        <f t="shared" si="17"/>
        <v>0.94997094396478343</v>
      </c>
      <c r="C81" s="37">
        <f t="shared" si="0"/>
        <v>1.3187594221434975</v>
      </c>
      <c r="D81" s="37">
        <f t="shared" si="1"/>
        <v>1.5864994832714359</v>
      </c>
      <c r="E81" s="37">
        <f t="shared" si="2"/>
        <v>1.8005557336185058</v>
      </c>
      <c r="F81" s="37">
        <f t="shared" si="3"/>
        <v>1.9797458278319717</v>
      </c>
      <c r="G81" s="37">
        <f t="shared" si="4"/>
        <v>2.133940546654995</v>
      </c>
      <c r="H81" s="37">
        <f t="shared" si="5"/>
        <v>2.269121144978008</v>
      </c>
      <c r="I81" s="37">
        <f t="shared" si="6"/>
        <v>2.3892522517638359</v>
      </c>
      <c r="J81" s="37">
        <f t="shared" si="7"/>
        <v>2.4971281241479248</v>
      </c>
      <c r="K81" s="37">
        <f t="shared" si="8"/>
        <v>2.594807995608349</v>
      </c>
      <c r="L81" s="37">
        <f t="shared" si="9"/>
        <v>2.683861697146761</v>
      </c>
      <c r="M81" s="37">
        <f t="shared" si="10"/>
        <v>2.7655181886641662</v>
      </c>
      <c r="N81" s="37"/>
      <c r="O81" s="37"/>
      <c r="P81" s="37"/>
      <c r="Q81" s="37"/>
      <c r="R81" s="37"/>
      <c r="S81" s="37"/>
      <c r="T81" s="37"/>
      <c r="U81" s="37"/>
      <c r="V81" s="37"/>
      <c r="W81" s="186"/>
      <c r="X81" s="186" t="s">
        <v>237</v>
      </c>
      <c r="Y81" s="260">
        <f>Smart!R35</f>
        <v>0</v>
      </c>
      <c r="Z81" s="255">
        <f>Smart!AX60</f>
        <v>40.704999999999998</v>
      </c>
      <c r="AA81" s="576">
        <f>Smart!F99+Smart!$I$35</f>
        <v>0</v>
      </c>
      <c r="AB81" s="37">
        <f t="shared" si="22"/>
        <v>0</v>
      </c>
      <c r="AC81" s="38"/>
      <c r="AD81" s="38"/>
      <c r="AE81" s="256">
        <f t="shared" si="19"/>
        <v>0.24000000000000016</v>
      </c>
      <c r="AF81" s="39">
        <f t="shared" si="11"/>
        <v>11.24655171359605</v>
      </c>
      <c r="AG81" s="39">
        <f t="shared" si="12"/>
        <v>1.8</v>
      </c>
      <c r="AH81" s="38">
        <f t="shared" si="13"/>
        <v>0.34080000000000021</v>
      </c>
      <c r="AI81" s="38">
        <f t="shared" si="14"/>
        <v>0.30231383807373774</v>
      </c>
      <c r="AJ81" s="38"/>
      <c r="AK81" s="38"/>
      <c r="AL81" s="38"/>
      <c r="AM81" s="38"/>
      <c r="AN81" s="38"/>
      <c r="AO81" s="38"/>
      <c r="AP81" s="38"/>
      <c r="AQ81" s="38"/>
      <c r="AR81" s="39">
        <f t="shared" si="20"/>
        <v>11.054359577276704</v>
      </c>
      <c r="AS81" s="38">
        <f t="shared" si="21"/>
        <v>0.55999999999999983</v>
      </c>
      <c r="AT81" s="38">
        <f t="shared" si="15"/>
        <v>0.79519999999999968</v>
      </c>
      <c r="AU81" s="38"/>
      <c r="AV81" s="38">
        <f t="shared" si="16"/>
        <v>0.70539895550538745</v>
      </c>
      <c r="AW81" s="37"/>
      <c r="AX81" s="37"/>
      <c r="AY81" s="325"/>
      <c r="AZ81" s="37"/>
      <c r="BA81" s="37"/>
      <c r="BB81" s="37"/>
      <c r="BC81" s="37"/>
      <c r="BD81" s="37"/>
      <c r="BE81" s="37"/>
      <c r="BF81" s="37"/>
      <c r="BG81" s="37"/>
      <c r="BH81" s="37"/>
      <c r="BI81" s="37"/>
      <c r="BJ81" s="37"/>
      <c r="BK81" s="189"/>
      <c r="BL81" s="189"/>
      <c r="BM81" s="189"/>
      <c r="BN81" s="189"/>
      <c r="BO81" s="37"/>
      <c r="BP81" s="263"/>
      <c r="BQ81" s="251"/>
      <c r="BR81" s="189"/>
      <c r="BS81" s="189"/>
      <c r="BT81" s="189"/>
      <c r="BU81" s="189"/>
      <c r="BV81" s="189"/>
      <c r="BW81" s="189"/>
      <c r="BX81" s="189"/>
      <c r="BY81" s="30"/>
      <c r="BZ81" s="30"/>
      <c r="CA81" s="30"/>
      <c r="CB81" s="30"/>
      <c r="CC81" s="30"/>
    </row>
    <row r="82" spans="1:81" s="40" customFormat="1">
      <c r="A82" s="37">
        <v>32</v>
      </c>
      <c r="B82" s="37">
        <f t="shared" si="17"/>
        <v>0.93500983660764214</v>
      </c>
      <c r="C82" s="37">
        <f t="shared" si="0"/>
        <v>1.2979902592356456</v>
      </c>
      <c r="D82" s="37">
        <f t="shared" si="1"/>
        <v>1.5615136779243695</v>
      </c>
      <c r="E82" s="37">
        <f t="shared" si="2"/>
        <v>1.7721987530136534</v>
      </c>
      <c r="F82" s="37">
        <f t="shared" si="3"/>
        <v>1.9485667796113721</v>
      </c>
      <c r="G82" s="37">
        <f t="shared" si="4"/>
        <v>2.1003330833793123</v>
      </c>
      <c r="H82" s="37">
        <f t="shared" si="5"/>
        <v>2.2333847203304411</v>
      </c>
      <c r="I82" s="37">
        <f t="shared" si="6"/>
        <v>2.3516238804236114</v>
      </c>
      <c r="J82" s="37">
        <f t="shared" si="7"/>
        <v>2.4578008139946381</v>
      </c>
      <c r="K82" s="37">
        <f t="shared" si="8"/>
        <v>2.5539423236211181</v>
      </c>
      <c r="L82" s="37">
        <f t="shared" si="9"/>
        <v>2.6415935170115379</v>
      </c>
      <c r="M82" s="37">
        <f t="shared" si="10"/>
        <v>2.7219639991580653</v>
      </c>
      <c r="N82" s="37"/>
      <c r="O82" s="37"/>
      <c r="P82" s="37"/>
      <c r="Q82" s="37"/>
      <c r="R82" s="37"/>
      <c r="S82" s="37"/>
      <c r="T82" s="37"/>
      <c r="U82" s="37"/>
      <c r="V82" s="37"/>
      <c r="W82" s="186"/>
      <c r="X82" s="254" t="s">
        <v>239</v>
      </c>
      <c r="Y82" s="260">
        <f>Smart!S35</f>
        <v>0</v>
      </c>
      <c r="Z82" s="255">
        <f>Smart!AX61</f>
        <v>40.704999999999998</v>
      </c>
      <c r="AA82" s="576">
        <f>Smart!F100+Smart!$I$35</f>
        <v>0</v>
      </c>
      <c r="AB82" s="37">
        <f t="shared" si="22"/>
        <v>0</v>
      </c>
      <c r="AC82" s="38"/>
      <c r="AD82" s="38"/>
      <c r="AE82" s="256">
        <f t="shared" si="19"/>
        <v>0.24800000000000016</v>
      </c>
      <c r="AF82" s="39">
        <f t="shared" si="11"/>
        <v>11.241746910188068</v>
      </c>
      <c r="AG82" s="39">
        <f t="shared" si="12"/>
        <v>1.8</v>
      </c>
      <c r="AH82" s="38">
        <f t="shared" si="13"/>
        <v>0.3521600000000002</v>
      </c>
      <c r="AI82" s="38">
        <f t="shared" si="14"/>
        <v>0.31239096600952904</v>
      </c>
      <c r="AJ82" s="38"/>
      <c r="AK82" s="38"/>
      <c r="AL82" s="38"/>
      <c r="AM82" s="38"/>
      <c r="AN82" s="38"/>
      <c r="AO82" s="38"/>
      <c r="AP82" s="38"/>
      <c r="AQ82" s="38"/>
      <c r="AR82" s="39">
        <f t="shared" si="20"/>
        <v>11.05916438068469</v>
      </c>
      <c r="AS82" s="38">
        <f t="shared" si="21"/>
        <v>0.55199999999999982</v>
      </c>
      <c r="AT82" s="38">
        <f t="shared" si="15"/>
        <v>0.78383999999999976</v>
      </c>
      <c r="AU82" s="38"/>
      <c r="AV82" s="38">
        <f t="shared" si="16"/>
        <v>0.69532182756959615</v>
      </c>
      <c r="AW82" s="37"/>
      <c r="AX82" s="37"/>
      <c r="AY82" s="325"/>
      <c r="AZ82" s="37"/>
      <c r="BA82" s="37"/>
      <c r="BB82" s="37"/>
      <c r="BC82" s="37"/>
      <c r="BD82" s="37"/>
      <c r="BE82" s="37"/>
      <c r="BF82" s="37"/>
      <c r="BG82" s="37"/>
      <c r="BH82" s="37"/>
      <c r="BI82" s="37"/>
      <c r="BJ82" s="37"/>
      <c r="BK82" s="189"/>
      <c r="BL82" s="189"/>
      <c r="BM82" s="189"/>
      <c r="BN82" s="189"/>
      <c r="BO82" s="189"/>
      <c r="BP82" s="251"/>
      <c r="BQ82" s="251"/>
      <c r="BR82" s="189"/>
      <c r="BS82" s="189"/>
      <c r="BT82" s="189"/>
      <c r="BU82" s="189"/>
      <c r="BV82" s="189"/>
      <c r="BW82" s="189"/>
      <c r="BX82" s="189"/>
      <c r="BY82" s="30"/>
      <c r="BZ82" s="30"/>
      <c r="CA82" s="30"/>
      <c r="CB82" s="30"/>
      <c r="CC82" s="30"/>
    </row>
    <row r="83" spans="1:81" s="40" customFormat="1">
      <c r="A83" s="37">
        <v>33</v>
      </c>
      <c r="B83" s="37">
        <f t="shared" ref="B83:B114" si="23">(M$31*SQRT(10/(O$39*(M$33+(M$33*0.00393*10))*($A83*0.01))))</f>
        <v>0.92073403894701566</v>
      </c>
      <c r="C83" s="37">
        <f t="shared" ref="C83:C114" si="24">(M$31*SQRT(20/(O$39*(M$33+(M$33*0.00393*20))*($A83*0.01))))</f>
        <v>1.2781724502877301</v>
      </c>
      <c r="D83" s="37">
        <f t="shared" ref="D83:D114" si="25">(M$31*SQRT(30/(O$39*(M$33+(M$33*0.00393*30))*($A83*0.01))))</f>
        <v>1.5376723744026575</v>
      </c>
      <c r="E83" s="37">
        <f t="shared" ref="E83:E114" si="26">$M$31*SQRT(40/($O$39*($M$33+($M$33*0.00393*40))*($A83*0.01)))</f>
        <v>1.7451406945613186</v>
      </c>
      <c r="F83" s="37">
        <f t="shared" ref="F83:F114" si="27">$M$31*SQRT(50/($O$39*($M$33+($M$33*0.00393*50))*($A83*0.01)))</f>
        <v>1.9188159214012852</v>
      </c>
      <c r="G83" s="37">
        <f t="shared" ref="G83:G114" si="28">$M$31*SQRT(60/($O$39*($M$33+($M$33*0.00393*60))*($A83*0.01)))</f>
        <v>2.0682650462910299</v>
      </c>
      <c r="H83" s="37">
        <f t="shared" ref="H83:H114" si="29">$M$31*SQRT(70/($O$39*($M$33+($M$33*0.00393*70))*($A83*0.01)))</f>
        <v>2.1992852412474728</v>
      </c>
      <c r="I83" s="37">
        <f t="shared" ref="I83:I114" si="30">$M$31*SQRT(80/($O$39*($M$33+($M$33*0.00393*80))*($A83*0.01)))</f>
        <v>2.3157191173115712</v>
      </c>
      <c r="J83" s="37">
        <f t="shared" ref="J83:J114" si="31">$M$31*SQRT(90/($O$39*($M$33+($M$33*0.00393*90))*($A83*0.01)))</f>
        <v>2.4202749337985412</v>
      </c>
      <c r="K83" s="37">
        <f t="shared" ref="K83:K114" si="32">$M$31*SQRT(100/($O$39*($M$33+($M$33*0.00393*100))*($A83*0.01)))</f>
        <v>2.5149485479179594</v>
      </c>
      <c r="L83" s="37">
        <f t="shared" ref="L83:L114" si="33">$M$31*SQRT(110/($O$39*($M$33+($M$33*0.00393*110))*($A83*0.01)))</f>
        <v>2.6012614765623163</v>
      </c>
      <c r="M83" s="37">
        <f t="shared" ref="M83:M114" si="34">$M$31*SQRT(120/($O$39*($M$33+($M$33*0.00393*120))*($A83*0.01)))</f>
        <v>2.6804048563874678</v>
      </c>
      <c r="N83" s="37"/>
      <c r="O83" s="37"/>
      <c r="P83" s="37"/>
      <c r="Q83" s="37"/>
      <c r="R83" s="37"/>
      <c r="S83" s="37"/>
      <c r="T83" s="37"/>
      <c r="U83" s="37"/>
      <c r="V83" s="37"/>
      <c r="W83" s="186">
        <v>5</v>
      </c>
      <c r="X83" s="259" t="s">
        <v>226</v>
      </c>
      <c r="Y83" s="260">
        <f>IF(Smart!$AG$13,Smart!AL14,0)</f>
        <v>0</v>
      </c>
      <c r="Z83" s="255">
        <f>Smart!AX62</f>
        <v>40.704999999999998</v>
      </c>
      <c r="AA83" s="576">
        <f>Smart!F101+Smart!$I$35</f>
        <v>0</v>
      </c>
      <c r="AB83" s="37">
        <f t="shared" si="22"/>
        <v>0</v>
      </c>
      <c r="AC83" s="38"/>
      <c r="AD83" s="38"/>
      <c r="AE83" s="256">
        <f t="shared" si="19"/>
        <v>0.25600000000000017</v>
      </c>
      <c r="AF83" s="39">
        <f t="shared" ref="AF83:AF114" si="35">IF(M$31*(AF$49-(SQRT(AH83^2+AI83^2)))/$AD$51&lt;$M$29,M$31*(AF$49-(SQRT(AH83^2+AI83^2)))/$AD$51,$M$29)</f>
        <v>11.236942106780083</v>
      </c>
      <c r="AG83" s="39">
        <f t="shared" ref="AG83:AG114" si="36">IF(M$31*(AF$49-(SQRT(AH83^2+AI83^2)))/AD$51&gt;M$27,M$27,M$31*(AF$49-(SQRT(AH83^2+AI83^2)))/AD$51)</f>
        <v>1.8</v>
      </c>
      <c r="AH83" s="38">
        <f t="shared" ref="AH83:AH114" si="37">M$32*AE83</f>
        <v>0.36352000000000023</v>
      </c>
      <c r="AI83" s="38">
        <f t="shared" ref="AI83:AI114" si="38">7.695 * AE83 * $M$34 * $M$30 / $M$35</f>
        <v>0.32246809394532033</v>
      </c>
      <c r="AJ83" s="38"/>
      <c r="AK83" s="38"/>
      <c r="AL83" s="38"/>
      <c r="AM83" s="38"/>
      <c r="AN83" s="38"/>
      <c r="AO83" s="38"/>
      <c r="AP83" s="38"/>
      <c r="AQ83" s="38"/>
      <c r="AR83" s="39">
        <f t="shared" ref="AR83:AR114" si="39">M$31*(AF$49-(SQRT((AT83^2+AV83^2))))/AD$51</f>
        <v>11.063969184092672</v>
      </c>
      <c r="AS83" s="38">
        <f t="shared" si="21"/>
        <v>0.54399999999999982</v>
      </c>
      <c r="AT83" s="38">
        <f t="shared" ref="AT83:AT114" si="40">M$32*AS83</f>
        <v>0.77247999999999972</v>
      </c>
      <c r="AU83" s="38"/>
      <c r="AV83" s="38">
        <f t="shared" ref="AV83:AV114" si="41">7.695 * AS83 * $M$34 * $M$30 / $M$35</f>
        <v>0.68524469963380497</v>
      </c>
      <c r="AW83" s="37"/>
      <c r="AX83" s="37"/>
      <c r="AY83" s="37"/>
      <c r="AZ83" s="37"/>
      <c r="BA83" s="37"/>
      <c r="BB83" s="37"/>
      <c r="BC83" s="37"/>
      <c r="BD83" s="37"/>
      <c r="BE83" s="37"/>
      <c r="BF83" s="37"/>
      <c r="BG83" s="37"/>
      <c r="BH83" s="37"/>
      <c r="BI83" s="37"/>
      <c r="BJ83" s="37"/>
      <c r="BK83" s="189"/>
      <c r="BL83" s="189"/>
      <c r="BM83" s="189"/>
      <c r="BN83" s="189"/>
      <c r="BO83" s="189"/>
      <c r="BP83" s="251"/>
      <c r="BQ83" s="251"/>
      <c r="BR83" s="189"/>
      <c r="BS83" s="189"/>
      <c r="BT83" s="189"/>
      <c r="BU83" s="189"/>
      <c r="BV83" s="189"/>
      <c r="BW83" s="189"/>
      <c r="BX83" s="189"/>
      <c r="BY83" s="30"/>
      <c r="BZ83" s="30"/>
      <c r="CA83" s="30"/>
      <c r="CB83" s="30"/>
      <c r="CC83" s="30"/>
    </row>
    <row r="84" spans="1:81" s="40" customFormat="1">
      <c r="A84" s="37">
        <v>34</v>
      </c>
      <c r="B84" s="37">
        <f t="shared" si="23"/>
        <v>0.90709278054701625</v>
      </c>
      <c r="C84" s="37">
        <f t="shared" si="24"/>
        <v>1.2592355152591568</v>
      </c>
      <c r="D84" s="37">
        <f t="shared" si="25"/>
        <v>1.5148907835126804</v>
      </c>
      <c r="E84" s="37">
        <f t="shared" si="26"/>
        <v>1.7192853290031052</v>
      </c>
      <c r="F84" s="37">
        <f t="shared" si="27"/>
        <v>1.8903874472723146</v>
      </c>
      <c r="G84" s="37">
        <f t="shared" si="28"/>
        <v>2.0376223886475602</v>
      </c>
      <c r="H84" s="37">
        <f t="shared" si="29"/>
        <v>2.1667014363677572</v>
      </c>
      <c r="I84" s="37">
        <f t="shared" si="30"/>
        <v>2.2814102707556296</v>
      </c>
      <c r="J84" s="37">
        <f t="shared" si="31"/>
        <v>2.38441702654799</v>
      </c>
      <c r="K84" s="37">
        <f t="shared" si="32"/>
        <v>2.4776879910647698</v>
      </c>
      <c r="L84" s="37">
        <f t="shared" si="33"/>
        <v>2.5627221389612731</v>
      </c>
      <c r="M84" s="37">
        <f t="shared" si="34"/>
        <v>2.6406929594487911</v>
      </c>
      <c r="N84" s="37"/>
      <c r="O84" s="37"/>
      <c r="P84" s="37"/>
      <c r="Q84" s="37"/>
      <c r="R84" s="37"/>
      <c r="S84" s="37"/>
      <c r="T84" s="37"/>
      <c r="U84" s="37"/>
      <c r="V84" s="37"/>
      <c r="W84" s="186"/>
      <c r="X84" s="259" t="s">
        <v>228</v>
      </c>
      <c r="Y84" s="260">
        <f>IF(Smart!$AG$13,Smart!AL15,0)</f>
        <v>0</v>
      </c>
      <c r="Z84" s="255">
        <f>Smart!AX63</f>
        <v>40.704999999999998</v>
      </c>
      <c r="AA84" s="576">
        <f>Smart!F102+Smart!$I$35</f>
        <v>0</v>
      </c>
      <c r="AB84" s="37">
        <f t="shared" si="22"/>
        <v>0</v>
      </c>
      <c r="AC84" s="38"/>
      <c r="AD84" s="38"/>
      <c r="AE84" s="256">
        <f t="shared" ref="AE84:AE115" si="42">AE83+AD$57/100</f>
        <v>0.26400000000000018</v>
      </c>
      <c r="AF84" s="39">
        <f t="shared" si="35"/>
        <v>11.232137303372101</v>
      </c>
      <c r="AG84" s="39">
        <f t="shared" si="36"/>
        <v>1.8</v>
      </c>
      <c r="AH84" s="38">
        <f t="shared" si="37"/>
        <v>0.37488000000000021</v>
      </c>
      <c r="AI84" s="38">
        <f t="shared" si="38"/>
        <v>0.33254522188111157</v>
      </c>
      <c r="AJ84" s="38"/>
      <c r="AK84" s="38"/>
      <c r="AL84" s="38"/>
      <c r="AM84" s="38"/>
      <c r="AN84" s="38"/>
      <c r="AO84" s="38"/>
      <c r="AP84" s="38"/>
      <c r="AQ84" s="38"/>
      <c r="AR84" s="39">
        <f t="shared" si="39"/>
        <v>11.068773987500654</v>
      </c>
      <c r="AS84" s="38">
        <f t="shared" si="21"/>
        <v>0.53599999999999981</v>
      </c>
      <c r="AT84" s="38">
        <f t="shared" si="40"/>
        <v>0.76111999999999969</v>
      </c>
      <c r="AU84" s="38"/>
      <c r="AV84" s="38">
        <f t="shared" si="41"/>
        <v>0.67516757169801367</v>
      </c>
      <c r="AW84" s="37"/>
      <c r="AX84" s="37"/>
      <c r="AY84" s="37"/>
      <c r="AZ84" s="37"/>
      <c r="BA84" s="37"/>
      <c r="BB84" s="37"/>
      <c r="BC84" s="37"/>
      <c r="BD84" s="37"/>
      <c r="BE84" s="37"/>
      <c r="BF84" s="37"/>
      <c r="BG84" s="37"/>
      <c r="BH84" s="37"/>
      <c r="BI84" s="37"/>
      <c r="BJ84" s="37"/>
      <c r="BK84" s="189"/>
      <c r="BL84" s="189"/>
      <c r="BM84" s="189"/>
      <c r="BN84" s="189"/>
      <c r="BO84" s="189"/>
      <c r="BP84" s="251"/>
      <c r="BQ84" s="251"/>
      <c r="BR84" s="189"/>
      <c r="BS84" s="189"/>
      <c r="BT84" s="189"/>
      <c r="BU84" s="189"/>
      <c r="BV84" s="189"/>
      <c r="BW84" s="189"/>
      <c r="BX84" s="189"/>
      <c r="BY84" s="30"/>
      <c r="BZ84" s="30"/>
      <c r="CA84" s="30"/>
      <c r="CB84" s="30"/>
      <c r="CC84" s="30"/>
    </row>
    <row r="85" spans="1:81" s="40" customFormat="1">
      <c r="A85" s="37">
        <v>35</v>
      </c>
      <c r="B85" s="37">
        <f t="shared" si="23"/>
        <v>0.89404040537802465</v>
      </c>
      <c r="C85" s="37">
        <f t="shared" si="24"/>
        <v>1.2411160739806479</v>
      </c>
      <c r="D85" s="37">
        <f t="shared" si="25"/>
        <v>1.4930926573777425</v>
      </c>
      <c r="E85" s="37">
        <f t="shared" si="26"/>
        <v>1.6945461208229242</v>
      </c>
      <c r="F85" s="37">
        <f t="shared" si="27"/>
        <v>1.8631862097520788</v>
      </c>
      <c r="G85" s="37">
        <f t="shared" si="28"/>
        <v>2.0083025523091798</v>
      </c>
      <c r="H85" s="37">
        <f t="shared" si="29"/>
        <v>2.1355242507113896</v>
      </c>
      <c r="I85" s="37">
        <f t="shared" si="30"/>
        <v>2.2485825122210108</v>
      </c>
      <c r="J85" s="37">
        <f t="shared" si="31"/>
        <v>2.3501070791454017</v>
      </c>
      <c r="K85" s="37">
        <f t="shared" si="32"/>
        <v>2.4420359454255349</v>
      </c>
      <c r="L85" s="37">
        <f t="shared" si="33"/>
        <v>2.5258465166115598</v>
      </c>
      <c r="M85" s="37">
        <f t="shared" si="34"/>
        <v>2.602695396297583</v>
      </c>
      <c r="N85" s="37"/>
      <c r="O85" s="37"/>
      <c r="P85" s="37"/>
      <c r="Q85" s="37"/>
      <c r="R85" s="37"/>
      <c r="S85" s="37"/>
      <c r="T85" s="37"/>
      <c r="U85" s="37"/>
      <c r="V85" s="37"/>
      <c r="W85" s="186"/>
      <c r="X85" s="186" t="s">
        <v>230</v>
      </c>
      <c r="Y85" s="260">
        <f>IF(Smart!$AG$13,Smart!AL16,0)</f>
        <v>0</v>
      </c>
      <c r="Z85" s="255">
        <f>Smart!AX64</f>
        <v>40.704999999999998</v>
      </c>
      <c r="AA85" s="576">
        <f>Smart!F103+Smart!$I$35</f>
        <v>0</v>
      </c>
      <c r="AB85" s="37">
        <f t="shared" si="22"/>
        <v>0</v>
      </c>
      <c r="AC85" s="38"/>
      <c r="AD85" s="38"/>
      <c r="AE85" s="256">
        <f t="shared" si="42"/>
        <v>0.27200000000000019</v>
      </c>
      <c r="AF85" s="39">
        <f t="shared" si="35"/>
        <v>11.227332499964117</v>
      </c>
      <c r="AG85" s="39">
        <f t="shared" si="36"/>
        <v>1.8</v>
      </c>
      <c r="AH85" s="38">
        <f t="shared" si="37"/>
        <v>0.38624000000000025</v>
      </c>
      <c r="AI85" s="38">
        <f t="shared" si="38"/>
        <v>0.34262234981690287</v>
      </c>
      <c r="AJ85" s="38"/>
      <c r="AK85" s="38"/>
      <c r="AL85" s="38"/>
      <c r="AM85" s="38"/>
      <c r="AN85" s="38"/>
      <c r="AO85" s="38"/>
      <c r="AP85" s="38"/>
      <c r="AQ85" s="38"/>
      <c r="AR85" s="39">
        <f t="shared" si="39"/>
        <v>11.073578790908641</v>
      </c>
      <c r="AS85" s="38">
        <f t="shared" si="21"/>
        <v>0.5279999999999998</v>
      </c>
      <c r="AT85" s="38">
        <f t="shared" si="40"/>
        <v>0.74975999999999965</v>
      </c>
      <c r="AU85" s="38"/>
      <c r="AV85" s="38">
        <f t="shared" si="41"/>
        <v>0.66509044376222248</v>
      </c>
      <c r="AW85" s="37"/>
      <c r="AX85" s="37"/>
      <c r="AY85" s="37"/>
      <c r="AZ85" s="37"/>
      <c r="BA85" s="37"/>
      <c r="BB85" s="37"/>
      <c r="BC85" s="37"/>
      <c r="BD85" s="37"/>
      <c r="BE85" s="37"/>
      <c r="BF85" s="37"/>
      <c r="BG85" s="37"/>
      <c r="BH85" s="37"/>
      <c r="BI85" s="37"/>
      <c r="BJ85" s="37"/>
      <c r="BK85" s="189"/>
      <c r="BL85" s="189"/>
      <c r="BM85" s="189"/>
      <c r="BN85" s="189"/>
      <c r="BO85" s="189"/>
      <c r="BP85" s="251"/>
      <c r="BQ85" s="251"/>
      <c r="BR85" s="189"/>
      <c r="BS85" s="189"/>
      <c r="BT85" s="189"/>
      <c r="BU85" s="189"/>
      <c r="BV85" s="189"/>
      <c r="BW85" s="189"/>
      <c r="BX85" s="189"/>
      <c r="BY85" s="30"/>
      <c r="BZ85" s="30"/>
      <c r="CA85" s="30"/>
      <c r="CB85" s="30"/>
      <c r="CC85" s="30"/>
    </row>
    <row r="86" spans="1:81" s="40" customFormat="1">
      <c r="A86" s="37">
        <v>36</v>
      </c>
      <c r="B86" s="37">
        <f t="shared" si="23"/>
        <v>0.88153572792185286</v>
      </c>
      <c r="C86" s="37">
        <f t="shared" si="24"/>
        <v>1.2237569522928131</v>
      </c>
      <c r="D86" s="37">
        <f t="shared" si="25"/>
        <v>1.4722092141011576</v>
      </c>
      <c r="E86" s="37">
        <f t="shared" si="26"/>
        <v>1.6708450078217305</v>
      </c>
      <c r="F86" s="37">
        <f t="shared" si="27"/>
        <v>1.8371263779440459</v>
      </c>
      <c r="G86" s="37">
        <f t="shared" si="28"/>
        <v>1.9802130213439495</v>
      </c>
      <c r="H86" s="37">
        <f t="shared" si="29"/>
        <v>2.1056553076587678</v>
      </c>
      <c r="I86" s="37">
        <f t="shared" si="30"/>
        <v>2.2171322568636778</v>
      </c>
      <c r="J86" s="37">
        <f t="shared" si="31"/>
        <v>2.3172368298418999</v>
      </c>
      <c r="K86" s="37">
        <f t="shared" si="32"/>
        <v>2.4078799143890941</v>
      </c>
      <c r="L86" s="37">
        <f t="shared" si="33"/>
        <v>2.49051825202304</v>
      </c>
      <c r="M86" s="37">
        <f t="shared" si="34"/>
        <v>2.566292269267096</v>
      </c>
      <c r="N86" s="37"/>
      <c r="O86" s="37"/>
      <c r="P86" s="37"/>
      <c r="Q86" s="37"/>
      <c r="R86" s="37"/>
      <c r="S86" s="37"/>
      <c r="T86" s="37"/>
      <c r="U86" s="37"/>
      <c r="V86" s="37"/>
      <c r="W86" s="186"/>
      <c r="X86" s="254" t="s">
        <v>231</v>
      </c>
      <c r="Y86" s="260">
        <f>IF(Smart!$AG$13,IF(Smart!AL17&gt;40,40,Smart!AL17),0)</f>
        <v>0</v>
      </c>
      <c r="Z86" s="255">
        <f>Smart!AX65</f>
        <v>40.704999999999998</v>
      </c>
      <c r="AA86" s="576" t="e">
        <f>Smart!F104+Smart!$I$35</f>
        <v>#DIV/0!</v>
      </c>
      <c r="AB86" s="37" t="e">
        <f t="shared" si="22"/>
        <v>#DIV/0!</v>
      </c>
      <c r="AC86" s="38"/>
      <c r="AD86" s="38"/>
      <c r="AE86" s="256">
        <f t="shared" si="42"/>
        <v>0.28000000000000019</v>
      </c>
      <c r="AF86" s="39">
        <f t="shared" si="35"/>
        <v>11.222527696556133</v>
      </c>
      <c r="AG86" s="39">
        <f t="shared" si="36"/>
        <v>1.8</v>
      </c>
      <c r="AH86" s="38">
        <f t="shared" si="37"/>
        <v>0.39760000000000023</v>
      </c>
      <c r="AI86" s="38">
        <f t="shared" si="38"/>
        <v>0.35269947775269406</v>
      </c>
      <c r="AJ86" s="38"/>
      <c r="AK86" s="38"/>
      <c r="AL86" s="38"/>
      <c r="AM86" s="38"/>
      <c r="AN86" s="38"/>
      <c r="AO86" s="38"/>
      <c r="AP86" s="38"/>
      <c r="AQ86" s="38"/>
      <c r="AR86" s="39">
        <f t="shared" si="39"/>
        <v>11.078383594316623</v>
      </c>
      <c r="AS86" s="38">
        <f t="shared" si="21"/>
        <v>0.5199999999999998</v>
      </c>
      <c r="AT86" s="38">
        <f t="shared" si="40"/>
        <v>0.73839999999999972</v>
      </c>
      <c r="AU86" s="38"/>
      <c r="AV86" s="38">
        <f t="shared" si="41"/>
        <v>0.65501331582643119</v>
      </c>
      <c r="AW86" s="37"/>
      <c r="AX86" s="37"/>
      <c r="AY86" s="37"/>
      <c r="AZ86" s="37"/>
      <c r="BA86" s="37"/>
      <c r="BB86" s="37"/>
      <c r="BC86" s="37"/>
      <c r="BD86" s="37"/>
      <c r="BE86" s="37"/>
      <c r="BF86" s="37"/>
      <c r="BG86" s="37"/>
      <c r="BH86" s="37"/>
      <c r="BI86" s="37"/>
      <c r="BJ86" s="37"/>
      <c r="BK86" s="189"/>
      <c r="BL86" s="189"/>
      <c r="BM86" s="189"/>
      <c r="BN86" s="189"/>
      <c r="BO86" s="189"/>
      <c r="BP86" s="251"/>
      <c r="BQ86" s="251"/>
      <c r="BR86" s="189"/>
      <c r="BS86" s="189"/>
      <c r="BT86" s="189"/>
      <c r="BU86" s="189"/>
      <c r="BV86" s="189"/>
      <c r="BW86" s="189"/>
      <c r="BX86" s="189"/>
      <c r="BY86" s="30"/>
      <c r="BZ86" s="30"/>
      <c r="CA86" s="30"/>
      <c r="CB86" s="30"/>
      <c r="CC86" s="30"/>
    </row>
    <row r="87" spans="1:81" s="40" customFormat="1">
      <c r="A87" s="37">
        <v>37</v>
      </c>
      <c r="B87" s="37">
        <f t="shared" si="23"/>
        <v>0.86954148566306144</v>
      </c>
      <c r="C87" s="37">
        <f t="shared" si="24"/>
        <v>1.2071064219889736</v>
      </c>
      <c r="D87" s="37">
        <f t="shared" si="25"/>
        <v>1.4521782233990774</v>
      </c>
      <c r="E87" s="37">
        <f t="shared" si="26"/>
        <v>1.6481113633806255</v>
      </c>
      <c r="F87" s="37">
        <f t="shared" si="27"/>
        <v>1.8121302965157611</v>
      </c>
      <c r="G87" s="37">
        <f t="shared" si="28"/>
        <v>1.953270092146963</v>
      </c>
      <c r="H87" s="37">
        <f t="shared" si="29"/>
        <v>2.0770056011595122</v>
      </c>
      <c r="I87" s="37">
        <f t="shared" si="30"/>
        <v>2.1869657865025798</v>
      </c>
      <c r="J87" s="37">
        <f t="shared" si="31"/>
        <v>2.2857083290361095</v>
      </c>
      <c r="K87" s="37">
        <f t="shared" si="32"/>
        <v>2.3751181168708646</v>
      </c>
      <c r="L87" s="37">
        <f t="shared" si="33"/>
        <v>2.4566320709885785</v>
      </c>
      <c r="M87" s="37">
        <f t="shared" si="34"/>
        <v>2.531375101182467</v>
      </c>
      <c r="N87" s="37"/>
      <c r="O87" s="37"/>
      <c r="P87" s="37"/>
      <c r="Q87" s="37"/>
      <c r="R87" s="37"/>
      <c r="S87" s="37"/>
      <c r="T87" s="37"/>
      <c r="U87" s="37"/>
      <c r="V87" s="37"/>
      <c r="W87" s="186"/>
      <c r="X87" s="259" t="s">
        <v>233</v>
      </c>
      <c r="Y87" s="260">
        <f>Smart!T35</f>
        <v>0</v>
      </c>
      <c r="Z87" s="255">
        <f>Smart!AX66</f>
        <v>40.704999999999998</v>
      </c>
      <c r="AA87" s="576" t="e">
        <f>Smart!F105+Smart!$I$35</f>
        <v>#DIV/0!</v>
      </c>
      <c r="AB87" s="37" t="e">
        <f t="shared" si="22"/>
        <v>#DIV/0!</v>
      </c>
      <c r="AC87" s="38"/>
      <c r="AD87" s="38"/>
      <c r="AE87" s="256">
        <f t="shared" si="42"/>
        <v>0.2880000000000002</v>
      </c>
      <c r="AF87" s="39">
        <f t="shared" si="35"/>
        <v>11.217722893148151</v>
      </c>
      <c r="AG87" s="39">
        <f t="shared" si="36"/>
        <v>1.8</v>
      </c>
      <c r="AH87" s="38">
        <f t="shared" si="37"/>
        <v>0.40896000000000027</v>
      </c>
      <c r="AI87" s="38">
        <f t="shared" si="38"/>
        <v>0.36277660568848535</v>
      </c>
      <c r="AJ87" s="38"/>
      <c r="AK87" s="38"/>
      <c r="AL87" s="38"/>
      <c r="AM87" s="38"/>
      <c r="AN87" s="38"/>
      <c r="AO87" s="38"/>
      <c r="AP87" s="38"/>
      <c r="AQ87" s="38"/>
      <c r="AR87" s="39">
        <f t="shared" si="39"/>
        <v>11.083188397724609</v>
      </c>
      <c r="AS87" s="38">
        <f t="shared" si="21"/>
        <v>0.51199999999999979</v>
      </c>
      <c r="AT87" s="38">
        <f t="shared" si="40"/>
        <v>0.72703999999999969</v>
      </c>
      <c r="AU87" s="38"/>
      <c r="AV87" s="38">
        <f t="shared" si="41"/>
        <v>0.64493618789063978</v>
      </c>
      <c r="AW87" s="37"/>
      <c r="AX87" s="37"/>
      <c r="AY87" s="37"/>
      <c r="AZ87" s="37"/>
      <c r="BA87" s="37"/>
      <c r="BB87" s="37"/>
      <c r="BC87" s="37"/>
      <c r="BD87" s="37"/>
      <c r="BE87" s="37"/>
      <c r="BF87" s="37"/>
      <c r="BG87" s="37"/>
      <c r="BH87" s="37"/>
      <c r="BI87" s="37"/>
      <c r="BJ87" s="37"/>
      <c r="BK87" s="189"/>
      <c r="BL87" s="189"/>
      <c r="BM87" s="189"/>
      <c r="BN87" s="189"/>
      <c r="BO87" s="189"/>
      <c r="BP87" s="251"/>
      <c r="BQ87" s="251"/>
      <c r="BR87" s="189"/>
      <c r="BS87" s="189"/>
      <c r="BT87" s="189"/>
      <c r="BU87" s="189"/>
      <c r="BV87" s="189"/>
      <c r="BW87" s="189"/>
      <c r="BX87" s="189"/>
      <c r="BY87" s="30"/>
      <c r="BZ87" s="30"/>
      <c r="CA87" s="30"/>
      <c r="CB87" s="30"/>
      <c r="CC87" s="30"/>
    </row>
    <row r="88" spans="1:81" s="40" customFormat="1">
      <c r="A88" s="37">
        <v>38</v>
      </c>
      <c r="B88" s="37">
        <f t="shared" si="23"/>
        <v>0.85802387136614511</v>
      </c>
      <c r="C88" s="37">
        <f t="shared" si="24"/>
        <v>1.1911175515175456</v>
      </c>
      <c r="D88" s="37">
        <f t="shared" si="25"/>
        <v>1.4329432254797569</v>
      </c>
      <c r="E88" s="37">
        <f t="shared" si="26"/>
        <v>1.6262811099484868</v>
      </c>
      <c r="F88" s="37">
        <f t="shared" si="27"/>
        <v>1.7881275109613608</v>
      </c>
      <c r="G88" s="37">
        <f t="shared" si="28"/>
        <v>1.9273978227843389</v>
      </c>
      <c r="H88" s="37">
        <f t="shared" si="29"/>
        <v>2.04949437851963</v>
      </c>
      <c r="I88" s="37">
        <f t="shared" si="30"/>
        <v>2.1579980732596837</v>
      </c>
      <c r="J88" s="37">
        <f t="shared" si="31"/>
        <v>2.2554327098009757</v>
      </c>
      <c r="K88" s="37">
        <f t="shared" si="32"/>
        <v>2.343658209746506</v>
      </c>
      <c r="L88" s="37">
        <f t="shared" si="33"/>
        <v>2.4240924611716808</v>
      </c>
      <c r="M88" s="37">
        <f t="shared" si="34"/>
        <v>2.4978454737443871</v>
      </c>
      <c r="N88" s="37"/>
      <c r="O88" s="37"/>
      <c r="P88" s="37"/>
      <c r="Q88" s="37"/>
      <c r="R88" s="37"/>
      <c r="S88" s="37"/>
      <c r="T88" s="37"/>
      <c r="U88" s="37"/>
      <c r="V88" s="37"/>
      <c r="W88" s="186"/>
      <c r="X88" s="259" t="s">
        <v>235</v>
      </c>
      <c r="Y88" s="260">
        <f>Smart!U35</f>
        <v>0</v>
      </c>
      <c r="Z88" s="255">
        <f>Smart!AX67</f>
        <v>40.704999999999998</v>
      </c>
      <c r="AA88" s="576" t="e">
        <f>Smart!F106+Smart!$I$35</f>
        <v>#DIV/0!</v>
      </c>
      <c r="AB88" s="37" t="e">
        <f t="shared" si="22"/>
        <v>#DIV/0!</v>
      </c>
      <c r="AC88" s="38"/>
      <c r="AD88" s="38"/>
      <c r="AE88" s="256">
        <f t="shared" si="42"/>
        <v>0.29600000000000021</v>
      </c>
      <c r="AF88" s="39">
        <f t="shared" si="35"/>
        <v>11.212918089740164</v>
      </c>
      <c r="AG88" s="39">
        <f t="shared" si="36"/>
        <v>1.8</v>
      </c>
      <c r="AH88" s="38">
        <f t="shared" si="37"/>
        <v>0.42032000000000025</v>
      </c>
      <c r="AI88" s="38">
        <f t="shared" si="38"/>
        <v>0.37285373362427665</v>
      </c>
      <c r="AJ88" s="38"/>
      <c r="AK88" s="38"/>
      <c r="AL88" s="38"/>
      <c r="AM88" s="38"/>
      <c r="AN88" s="38"/>
      <c r="AO88" s="38"/>
      <c r="AP88" s="38"/>
      <c r="AQ88" s="38"/>
      <c r="AR88" s="39">
        <f t="shared" si="39"/>
        <v>11.087993201132591</v>
      </c>
      <c r="AS88" s="38">
        <f t="shared" si="21"/>
        <v>0.50399999999999978</v>
      </c>
      <c r="AT88" s="38">
        <f t="shared" si="40"/>
        <v>0.71567999999999965</v>
      </c>
      <c r="AU88" s="38"/>
      <c r="AV88" s="38">
        <f t="shared" si="41"/>
        <v>0.6348590599548487</v>
      </c>
      <c r="AW88" s="37"/>
      <c r="AX88" s="37"/>
      <c r="AY88" s="37"/>
      <c r="AZ88" s="37"/>
      <c r="BA88" s="37"/>
      <c r="BB88" s="37"/>
      <c r="BC88" s="37"/>
      <c r="BD88" s="37"/>
      <c r="BE88" s="37"/>
      <c r="BF88" s="37"/>
      <c r="BG88" s="37"/>
      <c r="BH88" s="37"/>
      <c r="BI88" s="37"/>
      <c r="BJ88" s="37"/>
      <c r="BK88" s="189"/>
      <c r="BL88" s="189"/>
      <c r="BM88" s="189"/>
      <c r="BN88" s="189"/>
      <c r="BO88" s="189"/>
      <c r="BP88" s="251"/>
      <c r="BQ88" s="251"/>
      <c r="BR88" s="189"/>
      <c r="BS88" s="189"/>
      <c r="BT88" s="189"/>
      <c r="BU88" s="189"/>
      <c r="BV88" s="189"/>
      <c r="BW88" s="189"/>
      <c r="BX88" s="189"/>
      <c r="BY88" s="30"/>
      <c r="BZ88" s="30"/>
      <c r="CA88" s="30"/>
      <c r="CB88" s="30"/>
      <c r="CC88" s="30"/>
    </row>
    <row r="89" spans="1:81" s="40" customFormat="1">
      <c r="A89" s="37">
        <v>39</v>
      </c>
      <c r="B89" s="37">
        <f t="shared" si="23"/>
        <v>0.84695213175209927</v>
      </c>
      <c r="C89" s="37">
        <f t="shared" si="24"/>
        <v>1.1757476488607295</v>
      </c>
      <c r="D89" s="37">
        <f t="shared" si="25"/>
        <v>1.4144528608131397</v>
      </c>
      <c r="E89" s="37">
        <f t="shared" si="26"/>
        <v>1.6052959583816404</v>
      </c>
      <c r="F89" s="37">
        <f t="shared" si="27"/>
        <v>1.7650539312408406</v>
      </c>
      <c r="G89" s="37">
        <f t="shared" si="28"/>
        <v>1.9025271314916015</v>
      </c>
      <c r="H89" s="37">
        <f t="shared" si="29"/>
        <v>2.0230481817916877</v>
      </c>
      <c r="I89" s="37">
        <f t="shared" si="30"/>
        <v>2.1301517701997219</v>
      </c>
      <c r="J89" s="37">
        <f t="shared" si="31"/>
        <v>2.2263291329504176</v>
      </c>
      <c r="K89" s="37">
        <f t="shared" si="32"/>
        <v>2.3134161916528617</v>
      </c>
      <c r="L89" s="37">
        <f t="shared" si="33"/>
        <v>2.3928125382859324</v>
      </c>
      <c r="M89" s="37">
        <f t="shared" si="34"/>
        <v>2.4656138592120458</v>
      </c>
      <c r="N89" s="37"/>
      <c r="O89" s="37"/>
      <c r="P89" s="37"/>
      <c r="Q89" s="37"/>
      <c r="R89" s="37"/>
      <c r="S89" s="37"/>
      <c r="T89" s="37"/>
      <c r="U89" s="37"/>
      <c r="V89" s="37"/>
      <c r="W89" s="186"/>
      <c r="X89" s="186" t="s">
        <v>237</v>
      </c>
      <c r="Y89" s="260">
        <f>Smart!V35</f>
        <v>0</v>
      </c>
      <c r="Z89" s="255">
        <f>Smart!AX68</f>
        <v>40.704999999999998</v>
      </c>
      <c r="AA89" s="576">
        <f>Y64</f>
        <v>0</v>
      </c>
      <c r="AB89" s="37">
        <f t="shared" si="22"/>
        <v>0</v>
      </c>
      <c r="AC89" s="38"/>
      <c r="AD89" s="38"/>
      <c r="AE89" s="256">
        <f t="shared" si="42"/>
        <v>0.30400000000000021</v>
      </c>
      <c r="AF89" s="39">
        <f t="shared" si="35"/>
        <v>11.208113286332182</v>
      </c>
      <c r="AG89" s="39">
        <f t="shared" si="36"/>
        <v>1.8</v>
      </c>
      <c r="AH89" s="38">
        <f t="shared" si="37"/>
        <v>0.43168000000000029</v>
      </c>
      <c r="AI89" s="38">
        <f t="shared" si="38"/>
        <v>0.38293086156006789</v>
      </c>
      <c r="AJ89" s="38"/>
      <c r="AK89" s="38"/>
      <c r="AL89" s="38"/>
      <c r="AM89" s="38"/>
      <c r="AN89" s="38"/>
      <c r="AO89" s="38"/>
      <c r="AP89" s="38"/>
      <c r="AQ89" s="38"/>
      <c r="AR89" s="39">
        <f t="shared" si="39"/>
        <v>11.092798004540574</v>
      </c>
      <c r="AS89" s="38">
        <f t="shared" si="21"/>
        <v>0.49599999999999977</v>
      </c>
      <c r="AT89" s="38">
        <f t="shared" si="40"/>
        <v>0.70431999999999961</v>
      </c>
      <c r="AU89" s="38"/>
      <c r="AV89" s="38">
        <f t="shared" si="41"/>
        <v>0.62478193201905741</v>
      </c>
      <c r="AW89" s="37"/>
      <c r="AX89" s="37"/>
      <c r="AY89" s="37"/>
      <c r="AZ89" s="37"/>
      <c r="BA89" s="37"/>
      <c r="BB89" s="37"/>
      <c r="BC89" s="37"/>
      <c r="BD89" s="37"/>
      <c r="BE89" s="37"/>
      <c r="BF89" s="37"/>
      <c r="BG89" s="37"/>
      <c r="BH89" s="37"/>
      <c r="BI89" s="37"/>
      <c r="BJ89" s="37"/>
      <c r="BK89" s="189"/>
      <c r="BL89" s="189"/>
      <c r="BM89" s="189"/>
      <c r="BN89" s="189"/>
      <c r="BO89" s="189"/>
      <c r="BP89" s="251"/>
      <c r="BQ89" s="251"/>
      <c r="BR89" s="189"/>
      <c r="BS89" s="189"/>
      <c r="BT89" s="189"/>
      <c r="BU89" s="189"/>
      <c r="BV89" s="189"/>
      <c r="BW89" s="189"/>
      <c r="BX89" s="189"/>
      <c r="BY89" s="30"/>
      <c r="BZ89" s="30"/>
      <c r="CA89" s="30"/>
      <c r="CB89" s="30"/>
      <c r="CC89" s="30"/>
    </row>
    <row r="90" spans="1:81" s="40" customFormat="1">
      <c r="A90" s="37">
        <v>40</v>
      </c>
      <c r="B90" s="37">
        <f t="shared" si="23"/>
        <v>0.83629822171426371</v>
      </c>
      <c r="C90" s="37">
        <f t="shared" si="24"/>
        <v>1.1609577815133914</v>
      </c>
      <c r="D90" s="37">
        <f t="shared" si="25"/>
        <v>1.3966602926538412</v>
      </c>
      <c r="E90" s="37">
        <f t="shared" si="26"/>
        <v>1.5851027525515557</v>
      </c>
      <c r="F90" s="37">
        <f t="shared" si="27"/>
        <v>1.7428511111635518</v>
      </c>
      <c r="G90" s="37">
        <f t="shared" si="28"/>
        <v>1.8785950199311505</v>
      </c>
      <c r="H90" s="37">
        <f t="shared" si="29"/>
        <v>1.9976000218272894</v>
      </c>
      <c r="I90" s="37">
        <f t="shared" si="30"/>
        <v>2.1033563416556129</v>
      </c>
      <c r="J90" s="37">
        <f t="shared" si="31"/>
        <v>2.198323878098531</v>
      </c>
      <c r="K90" s="37">
        <f t="shared" si="32"/>
        <v>2.2843154584922347</v>
      </c>
      <c r="L90" s="37">
        <f t="shared" si="33"/>
        <v>2.3627130691842182</v>
      </c>
      <c r="M90" s="37">
        <f t="shared" si="34"/>
        <v>2.4345986137698454</v>
      </c>
      <c r="N90" s="37"/>
      <c r="O90" s="37"/>
      <c r="P90" s="37"/>
      <c r="Q90" s="37"/>
      <c r="R90" s="37"/>
      <c r="S90" s="37"/>
      <c r="T90" s="37"/>
      <c r="U90" s="37"/>
      <c r="V90" s="37"/>
      <c r="W90" s="186"/>
      <c r="X90" s="254" t="s">
        <v>239</v>
      </c>
      <c r="Y90" s="260">
        <f>Smart!W35</f>
        <v>0</v>
      </c>
      <c r="Z90" s="255">
        <f>Smart!AX69</f>
        <v>40.704999999999998</v>
      </c>
      <c r="AA90" s="576">
        <f>AA89</f>
        <v>0</v>
      </c>
      <c r="AB90" s="37">
        <f t="shared" si="22"/>
        <v>0</v>
      </c>
      <c r="AC90" s="38"/>
      <c r="AD90" s="38"/>
      <c r="AE90" s="256">
        <f t="shared" si="42"/>
        <v>0.31200000000000022</v>
      </c>
      <c r="AF90" s="39">
        <f t="shared" si="35"/>
        <v>11.203308482924196</v>
      </c>
      <c r="AG90" s="39">
        <f t="shared" si="36"/>
        <v>1.8</v>
      </c>
      <c r="AH90" s="38">
        <f t="shared" si="37"/>
        <v>0.44304000000000027</v>
      </c>
      <c r="AI90" s="38">
        <f t="shared" si="38"/>
        <v>0.39300798949585919</v>
      </c>
      <c r="AJ90" s="38"/>
      <c r="AK90" s="38"/>
      <c r="AL90" s="38"/>
      <c r="AM90" s="38"/>
      <c r="AN90" s="38"/>
      <c r="AO90" s="38"/>
      <c r="AP90" s="38"/>
      <c r="AQ90" s="38"/>
      <c r="AR90" s="39">
        <f t="shared" si="39"/>
        <v>11.097602807948558</v>
      </c>
      <c r="AS90" s="38">
        <f t="shared" si="21"/>
        <v>0.48799999999999977</v>
      </c>
      <c r="AT90" s="38">
        <f t="shared" si="40"/>
        <v>0.69295999999999969</v>
      </c>
      <c r="AU90" s="38"/>
      <c r="AV90" s="38">
        <f t="shared" si="41"/>
        <v>0.61470480408326611</v>
      </c>
      <c r="AW90" s="37"/>
      <c r="AX90" s="37"/>
      <c r="AY90" s="37"/>
      <c r="AZ90" s="37"/>
      <c r="BA90" s="37"/>
      <c r="BB90" s="37"/>
      <c r="BC90" s="37"/>
      <c r="BD90" s="37"/>
      <c r="BE90" s="37"/>
      <c r="BF90" s="37"/>
      <c r="BG90" s="37"/>
      <c r="BH90" s="37"/>
      <c r="BI90" s="37"/>
      <c r="BJ90" s="37"/>
      <c r="BK90" s="189"/>
      <c r="BL90" s="189"/>
      <c r="BM90" s="189"/>
      <c r="BN90" s="189"/>
      <c r="BO90" s="189"/>
      <c r="BP90" s="251"/>
      <c r="BQ90" s="251"/>
      <c r="BR90" s="189"/>
      <c r="BS90" s="189"/>
      <c r="BT90" s="189"/>
      <c r="BU90" s="189"/>
      <c r="BV90" s="189"/>
      <c r="BW90" s="189"/>
      <c r="BX90" s="189"/>
      <c r="BY90" s="30"/>
      <c r="BZ90" s="30"/>
      <c r="CA90" s="30"/>
      <c r="CB90" s="30"/>
      <c r="CC90" s="30"/>
    </row>
    <row r="91" spans="1:81" s="40" customFormat="1">
      <c r="A91" s="37">
        <v>41</v>
      </c>
      <c r="B91" s="37">
        <f t="shared" si="23"/>
        <v>0.82603650521259875</v>
      </c>
      <c r="C91" s="37">
        <f t="shared" si="24"/>
        <v>1.1467123612614243</v>
      </c>
      <c r="D91" s="37">
        <f t="shared" si="25"/>
        <v>1.3795227075194765</v>
      </c>
      <c r="E91" s="37">
        <f t="shared" si="26"/>
        <v>1.5656529024259023</v>
      </c>
      <c r="F91" s="37">
        <f t="shared" si="27"/>
        <v>1.7214656250498641</v>
      </c>
      <c r="G91" s="37">
        <f t="shared" si="28"/>
        <v>1.8555439013045232</v>
      </c>
      <c r="H91" s="37">
        <f t="shared" si="29"/>
        <v>1.9730886638266798</v>
      </c>
      <c r="I91" s="37">
        <f t="shared" si="30"/>
        <v>2.0775473109538547</v>
      </c>
      <c r="J91" s="37">
        <f t="shared" si="31"/>
        <v>2.1713495574194233</v>
      </c>
      <c r="K91" s="37">
        <f t="shared" si="32"/>
        <v>2.2562859864369571</v>
      </c>
      <c r="L91" s="37">
        <f t="shared" si="33"/>
        <v>2.3337216268240417</v>
      </c>
      <c r="M91" s="37">
        <f t="shared" si="34"/>
        <v>2.4047251067825397</v>
      </c>
      <c r="N91" s="37"/>
      <c r="O91" s="37"/>
      <c r="P91" s="37"/>
      <c r="Q91" s="37"/>
      <c r="R91" s="37"/>
      <c r="S91" s="37"/>
      <c r="T91" s="37"/>
      <c r="U91" s="37"/>
      <c r="V91" s="37"/>
      <c r="W91" s="186">
        <v>6</v>
      </c>
      <c r="X91" s="259" t="s">
        <v>226</v>
      </c>
      <c r="Y91" s="260">
        <f>IF(Smart!$AG$21,Smart!AL22,0)</f>
        <v>0</v>
      </c>
      <c r="Z91" s="255">
        <f>Smart!AX70</f>
        <v>40.704999999999998</v>
      </c>
      <c r="AA91" s="576" t="e">
        <f>Smart!G106+Smart!$I$35</f>
        <v>#DIV/0!</v>
      </c>
      <c r="AB91" s="37" t="e">
        <f t="shared" si="22"/>
        <v>#DIV/0!</v>
      </c>
      <c r="AC91" s="38"/>
      <c r="AD91" s="38"/>
      <c r="AE91" s="256">
        <f t="shared" si="42"/>
        <v>0.32000000000000023</v>
      </c>
      <c r="AF91" s="39">
        <f t="shared" si="35"/>
        <v>11.198503679516215</v>
      </c>
      <c r="AG91" s="39">
        <f t="shared" si="36"/>
        <v>1.8</v>
      </c>
      <c r="AH91" s="38">
        <f t="shared" si="37"/>
        <v>0.4544000000000003</v>
      </c>
      <c r="AI91" s="38">
        <f t="shared" si="38"/>
        <v>0.40308511743165037</v>
      </c>
      <c r="AJ91" s="38"/>
      <c r="AK91" s="38"/>
      <c r="AL91" s="38"/>
      <c r="AM91" s="38"/>
      <c r="AN91" s="38"/>
      <c r="AO91" s="38"/>
      <c r="AP91" s="38"/>
      <c r="AQ91" s="38"/>
      <c r="AR91" s="39">
        <f t="shared" si="39"/>
        <v>11.10240761135654</v>
      </c>
      <c r="AS91" s="38">
        <f t="shared" si="21"/>
        <v>0.47999999999999976</v>
      </c>
      <c r="AT91" s="38">
        <f t="shared" si="40"/>
        <v>0.68159999999999965</v>
      </c>
      <c r="AU91" s="38"/>
      <c r="AV91" s="38">
        <f t="shared" si="41"/>
        <v>0.60462767614747481</v>
      </c>
      <c r="AW91" s="37"/>
      <c r="AX91" s="37"/>
      <c r="AY91" s="37"/>
      <c r="AZ91" s="37"/>
      <c r="BA91" s="37"/>
      <c r="BB91" s="37"/>
      <c r="BC91" s="37"/>
      <c r="BD91" s="37"/>
      <c r="BE91" s="37"/>
      <c r="BF91" s="37"/>
      <c r="BG91" s="37"/>
      <c r="BH91" s="37"/>
      <c r="BI91" s="37"/>
      <c r="BJ91" s="37"/>
      <c r="BK91" s="189"/>
      <c r="BL91" s="189"/>
      <c r="BM91" s="189"/>
      <c r="BN91" s="189"/>
      <c r="BO91" s="189"/>
      <c r="BP91" s="251"/>
      <c r="BQ91" s="251"/>
      <c r="BR91" s="189"/>
      <c r="BS91" s="189"/>
      <c r="BT91" s="189"/>
      <c r="BU91" s="189"/>
      <c r="BV91" s="189"/>
      <c r="BW91" s="189"/>
      <c r="BX91" s="189"/>
      <c r="BY91" s="30"/>
      <c r="BZ91" s="30"/>
      <c r="CA91" s="30"/>
      <c r="CB91" s="30"/>
      <c r="CC91" s="30"/>
    </row>
    <row r="92" spans="1:81" s="40" customFormat="1">
      <c r="A92" s="37">
        <v>42</v>
      </c>
      <c r="B92" s="37">
        <f t="shared" si="23"/>
        <v>0.81614349557767862</v>
      </c>
      <c r="C92" s="37">
        <f t="shared" si="24"/>
        <v>1.1329787836690857</v>
      </c>
      <c r="D92" s="37">
        <f t="shared" si="25"/>
        <v>1.3630008814852033</v>
      </c>
      <c r="E92" s="37">
        <f t="shared" si="26"/>
        <v>1.546901891845984</v>
      </c>
      <c r="F92" s="37">
        <f t="shared" si="27"/>
        <v>1.7008485265229425</v>
      </c>
      <c r="G92" s="37">
        <f t="shared" si="28"/>
        <v>1.833321016991561</v>
      </c>
      <c r="H92" s="37">
        <f t="shared" si="29"/>
        <v>1.9494580070232432</v>
      </c>
      <c r="I92" s="37">
        <f t="shared" si="30"/>
        <v>2.0526656072584726</v>
      </c>
      <c r="J92" s="37">
        <f t="shared" si="31"/>
        <v>2.1453444330008589</v>
      </c>
      <c r="K92" s="37">
        <f t="shared" si="32"/>
        <v>2.2292636225800337</v>
      </c>
      <c r="L92" s="37">
        <f t="shared" si="33"/>
        <v>2.3057718565733309</v>
      </c>
      <c r="M92" s="37">
        <f t="shared" si="34"/>
        <v>2.3759249647783904</v>
      </c>
      <c r="N92" s="37"/>
      <c r="O92" s="37"/>
      <c r="P92" s="37"/>
      <c r="Q92" s="37"/>
      <c r="R92" s="37"/>
      <c r="S92" s="37"/>
      <c r="T92" s="37"/>
      <c r="U92" s="37"/>
      <c r="V92" s="37"/>
      <c r="W92" s="186"/>
      <c r="X92" s="259" t="s">
        <v>228</v>
      </c>
      <c r="Y92" s="260">
        <f>IF(Smart!$AG$21,Smart!AL23,0)</f>
        <v>0</v>
      </c>
      <c r="Z92" s="255">
        <f>Smart!AX71</f>
        <v>40.704999999999998</v>
      </c>
      <c r="AA92" s="576" t="e">
        <f>Smart!G105+Smart!$I$35</f>
        <v>#DIV/0!</v>
      </c>
      <c r="AB92" s="37" t="e">
        <f t="shared" si="22"/>
        <v>#DIV/0!</v>
      </c>
      <c r="AC92" s="38"/>
      <c r="AD92" s="38"/>
      <c r="AE92" s="256">
        <f t="shared" si="42"/>
        <v>0.32800000000000024</v>
      </c>
      <c r="AF92" s="39">
        <f t="shared" si="35"/>
        <v>11.193698876108233</v>
      </c>
      <c r="AG92" s="39">
        <f t="shared" si="36"/>
        <v>1.8</v>
      </c>
      <c r="AH92" s="38">
        <f t="shared" si="37"/>
        <v>0.46576000000000028</v>
      </c>
      <c r="AI92" s="38">
        <f t="shared" si="38"/>
        <v>0.41316224536744167</v>
      </c>
      <c r="AJ92" s="38"/>
      <c r="AK92" s="38"/>
      <c r="AL92" s="38"/>
      <c r="AM92" s="38"/>
      <c r="AN92" s="38"/>
      <c r="AO92" s="38"/>
      <c r="AP92" s="38"/>
      <c r="AQ92" s="38"/>
      <c r="AR92" s="39">
        <f t="shared" si="39"/>
        <v>11.107212414764527</v>
      </c>
      <c r="AS92" s="38">
        <f t="shared" si="21"/>
        <v>0.47199999999999975</v>
      </c>
      <c r="AT92" s="38">
        <f t="shared" si="40"/>
        <v>0.67023999999999961</v>
      </c>
      <c r="AU92" s="38"/>
      <c r="AV92" s="38">
        <f t="shared" si="41"/>
        <v>0.59455054821168352</v>
      </c>
      <c r="AW92" s="37"/>
      <c r="AX92" s="37"/>
      <c r="AY92" s="37"/>
      <c r="AZ92" s="37"/>
      <c r="BA92" s="37"/>
      <c r="BB92" s="37"/>
      <c r="BC92" s="37"/>
      <c r="BD92" s="37"/>
      <c r="BE92" s="37"/>
      <c r="BF92" s="37"/>
      <c r="BG92" s="37"/>
      <c r="BH92" s="37"/>
      <c r="BI92" s="37"/>
      <c r="BJ92" s="37"/>
      <c r="BK92" s="189"/>
      <c r="BL92" s="189"/>
      <c r="BM92" s="189"/>
      <c r="BN92" s="189"/>
      <c r="BO92" s="189"/>
      <c r="BP92" s="251"/>
      <c r="BQ92" s="251"/>
      <c r="BR92" s="189"/>
      <c r="BS92" s="189"/>
      <c r="BT92" s="189"/>
      <c r="BU92" s="189"/>
      <c r="BV92" s="189"/>
      <c r="BW92" s="189"/>
      <c r="BX92" s="189"/>
      <c r="BY92" s="30"/>
      <c r="BZ92" s="30"/>
      <c r="CA92" s="30"/>
      <c r="CB92" s="30"/>
      <c r="CC92" s="30"/>
    </row>
    <row r="93" spans="1:81" s="40" customFormat="1">
      <c r="A93" s="37">
        <v>43</v>
      </c>
      <c r="B93" s="37">
        <f t="shared" si="23"/>
        <v>0.80659762923116718</v>
      </c>
      <c r="C93" s="37">
        <f t="shared" si="24"/>
        <v>1.119727113955437</v>
      </c>
      <c r="D93" s="37">
        <f t="shared" si="25"/>
        <v>1.3470588022854841</v>
      </c>
      <c r="E93" s="37">
        <f t="shared" si="26"/>
        <v>1.5288088496411014</v>
      </c>
      <c r="F93" s="37">
        <f t="shared" si="27"/>
        <v>1.6809548769406999</v>
      </c>
      <c r="G93" s="37">
        <f t="shared" si="28"/>
        <v>1.8118779282537594</v>
      </c>
      <c r="H93" s="37">
        <f t="shared" si="29"/>
        <v>1.9266565441873378</v>
      </c>
      <c r="I93" s="37">
        <f t="shared" si="30"/>
        <v>2.0286569964600729</v>
      </c>
      <c r="J93" s="37">
        <f t="shared" si="31"/>
        <v>2.1202518220376811</v>
      </c>
      <c r="K93" s="37">
        <f t="shared" si="32"/>
        <v>2.2031894668615886</v>
      </c>
      <c r="L93" s="37">
        <f t="shared" si="33"/>
        <v>2.2788028369246272</v>
      </c>
      <c r="M93" s="37">
        <f t="shared" si="34"/>
        <v>2.3481354127130873</v>
      </c>
      <c r="N93" s="37"/>
      <c r="O93" s="37"/>
      <c r="P93" s="37"/>
      <c r="Q93" s="37"/>
      <c r="R93" s="37"/>
      <c r="S93" s="37"/>
      <c r="T93" s="37"/>
      <c r="U93" s="37"/>
      <c r="V93" s="37"/>
      <c r="W93" s="186"/>
      <c r="X93" s="186" t="s">
        <v>230</v>
      </c>
      <c r="Y93" s="260">
        <f>IF(Smart!$AG$21,Smart!AL24,0)</f>
        <v>0</v>
      </c>
      <c r="Z93" s="255">
        <f>Smart!AX72</f>
        <v>40.704999999999998</v>
      </c>
      <c r="AA93" s="576" t="e">
        <f>Smart!G104+Smart!$I$35</f>
        <v>#DIV/0!</v>
      </c>
      <c r="AB93" s="37" t="e">
        <f t="shared" si="22"/>
        <v>#DIV/0!</v>
      </c>
      <c r="AC93" s="38"/>
      <c r="AD93" s="38"/>
      <c r="AE93" s="256">
        <f t="shared" si="42"/>
        <v>0.33600000000000024</v>
      </c>
      <c r="AF93" s="39">
        <f t="shared" si="35"/>
        <v>11.188894072700247</v>
      </c>
      <c r="AG93" s="39">
        <f t="shared" si="36"/>
        <v>1.8</v>
      </c>
      <c r="AH93" s="38">
        <f t="shared" si="37"/>
        <v>0.47712000000000032</v>
      </c>
      <c r="AI93" s="38">
        <f t="shared" si="38"/>
        <v>0.42323937330323297</v>
      </c>
      <c r="AJ93" s="38"/>
      <c r="AK93" s="38"/>
      <c r="AL93" s="38"/>
      <c r="AM93" s="38"/>
      <c r="AN93" s="38"/>
      <c r="AO93" s="38"/>
      <c r="AP93" s="38"/>
      <c r="AQ93" s="38"/>
      <c r="AR93" s="39">
        <f t="shared" si="39"/>
        <v>11.112017218172509</v>
      </c>
      <c r="AS93" s="38">
        <f t="shared" si="21"/>
        <v>0.46399999999999975</v>
      </c>
      <c r="AT93" s="38">
        <f t="shared" si="40"/>
        <v>0.65887999999999958</v>
      </c>
      <c r="AU93" s="38"/>
      <c r="AV93" s="38">
        <f t="shared" si="41"/>
        <v>0.58447342027589244</v>
      </c>
      <c r="AW93" s="37"/>
      <c r="AX93" s="37"/>
      <c r="AY93" s="37"/>
      <c r="AZ93" s="37"/>
      <c r="BA93" s="37"/>
      <c r="BB93" s="37"/>
      <c r="BC93" s="37"/>
      <c r="BD93" s="37"/>
      <c r="BE93" s="37"/>
      <c r="BF93" s="37"/>
      <c r="BG93" s="37"/>
      <c r="BH93" s="37"/>
      <c r="BI93" s="37"/>
      <c r="BJ93" s="37"/>
      <c r="BK93" s="189"/>
      <c r="BL93" s="189"/>
      <c r="BM93" s="189"/>
      <c r="BN93" s="189"/>
      <c r="BO93" s="189"/>
      <c r="BP93" s="251"/>
      <c r="BQ93" s="251"/>
      <c r="BR93" s="189"/>
      <c r="BS93" s="189"/>
      <c r="BT93" s="189"/>
      <c r="BU93" s="189"/>
      <c r="BV93" s="189"/>
      <c r="BW93" s="189"/>
      <c r="BX93" s="189"/>
      <c r="BY93" s="30"/>
      <c r="BZ93" s="30"/>
      <c r="CA93" s="30"/>
      <c r="CB93" s="30"/>
      <c r="CC93" s="30"/>
    </row>
    <row r="94" spans="1:81" s="40" customFormat="1">
      <c r="A94" s="37">
        <v>44</v>
      </c>
      <c r="B94" s="37">
        <f t="shared" si="23"/>
        <v>0.79737906785716639</v>
      </c>
      <c r="C94" s="37">
        <f t="shared" si="24"/>
        <v>1.1069298123665767</v>
      </c>
      <c r="D94" s="37">
        <f t="shared" si="25"/>
        <v>1.3316633389302381</v>
      </c>
      <c r="E94" s="37">
        <f t="shared" si="26"/>
        <v>1.5113361746681218</v>
      </c>
      <c r="F94" s="37">
        <f t="shared" si="27"/>
        <v>1.6617433331195577</v>
      </c>
      <c r="G94" s="37">
        <f t="shared" si="28"/>
        <v>1.7911700718474299</v>
      </c>
      <c r="H94" s="37">
        <f t="shared" si="29"/>
        <v>1.904636889088499</v>
      </c>
      <c r="I94" s="37">
        <f t="shared" si="30"/>
        <v>2.0054715836210972</v>
      </c>
      <c r="J94" s="37">
        <f t="shared" si="31"/>
        <v>2.0960195768122372</v>
      </c>
      <c r="K94" s="37">
        <f t="shared" si="32"/>
        <v>2.1780093317077385</v>
      </c>
      <c r="L94" s="37">
        <f t="shared" si="33"/>
        <v>2.252758520588785</v>
      </c>
      <c r="M94" s="37">
        <f t="shared" si="34"/>
        <v>2.3212986980587274</v>
      </c>
      <c r="N94" s="37"/>
      <c r="O94" s="37"/>
      <c r="P94" s="37"/>
      <c r="Q94" s="37"/>
      <c r="R94" s="37"/>
      <c r="S94" s="37"/>
      <c r="T94" s="37"/>
      <c r="U94" s="37"/>
      <c r="V94" s="37"/>
      <c r="W94" s="186"/>
      <c r="X94" s="254" t="s">
        <v>231</v>
      </c>
      <c r="Y94" s="260">
        <f>IF(Smart!$AG$21,IF(Smart!AL25&gt;40,40,Smart!AL25),0)</f>
        <v>0</v>
      </c>
      <c r="Z94" s="255">
        <f>Smart!AX73</f>
        <v>40.704999999999998</v>
      </c>
      <c r="AA94" s="576">
        <f>Smart!G103+Smart!$I$35</f>
        <v>0</v>
      </c>
      <c r="AB94" s="37">
        <f t="shared" si="22"/>
        <v>0</v>
      </c>
      <c r="AC94" s="38"/>
      <c r="AD94" s="38"/>
      <c r="AE94" s="256">
        <f t="shared" si="42"/>
        <v>0.34400000000000025</v>
      </c>
      <c r="AF94" s="39">
        <f t="shared" si="35"/>
        <v>11.184089269292265</v>
      </c>
      <c r="AG94" s="39">
        <f t="shared" si="36"/>
        <v>1.8</v>
      </c>
      <c r="AH94" s="38">
        <f t="shared" si="37"/>
        <v>0.4884800000000003</v>
      </c>
      <c r="AI94" s="38">
        <f t="shared" si="38"/>
        <v>0.43331650123902421</v>
      </c>
      <c r="AJ94" s="38"/>
      <c r="AK94" s="38"/>
      <c r="AL94" s="38"/>
      <c r="AM94" s="38"/>
      <c r="AN94" s="38"/>
      <c r="AO94" s="38"/>
      <c r="AP94" s="38"/>
      <c r="AQ94" s="38"/>
      <c r="AR94" s="39">
        <f t="shared" si="39"/>
        <v>11.116822021580493</v>
      </c>
      <c r="AS94" s="38">
        <f t="shared" si="21"/>
        <v>0.45599999999999974</v>
      </c>
      <c r="AT94" s="38">
        <f t="shared" si="40"/>
        <v>0.64751999999999965</v>
      </c>
      <c r="AU94" s="38"/>
      <c r="AV94" s="38">
        <f t="shared" si="41"/>
        <v>0.57439629234010103</v>
      </c>
      <c r="AW94" s="37"/>
      <c r="AX94" s="37"/>
      <c r="AY94" s="37"/>
      <c r="AZ94" s="37"/>
      <c r="BA94" s="37"/>
      <c r="BB94" s="37"/>
      <c r="BC94" s="37"/>
      <c r="BD94" s="37"/>
      <c r="BE94" s="37"/>
      <c r="BF94" s="37"/>
      <c r="BG94" s="37"/>
      <c r="BH94" s="37"/>
      <c r="BI94" s="37"/>
      <c r="BJ94" s="37"/>
      <c r="BK94" s="189"/>
      <c r="BL94" s="189"/>
      <c r="BM94" s="189"/>
      <c r="BN94" s="189"/>
      <c r="BO94" s="189"/>
      <c r="BP94" s="251"/>
      <c r="BQ94" s="251"/>
      <c r="BR94" s="189"/>
      <c r="BS94" s="189"/>
      <c r="BT94" s="189"/>
      <c r="BU94" s="189"/>
      <c r="BV94" s="189"/>
      <c r="BW94" s="189"/>
      <c r="BX94" s="189"/>
      <c r="BY94" s="30"/>
      <c r="BZ94" s="30"/>
      <c r="CA94" s="30"/>
      <c r="CB94" s="30"/>
      <c r="CC94" s="30"/>
    </row>
    <row r="95" spans="1:81" s="40" customFormat="1">
      <c r="A95" s="37">
        <v>45</v>
      </c>
      <c r="B95" s="37">
        <f t="shared" si="23"/>
        <v>0.78846952489120892</v>
      </c>
      <c r="C95" s="37">
        <f t="shared" si="24"/>
        <v>1.0945614933058787</v>
      </c>
      <c r="D95" s="37">
        <f t="shared" si="25"/>
        <v>1.316783951932692</v>
      </c>
      <c r="E95" s="37">
        <f t="shared" si="26"/>
        <v>1.4944492069422228</v>
      </c>
      <c r="F95" s="37">
        <f t="shared" si="27"/>
        <v>1.6431757857363425</v>
      </c>
      <c r="G95" s="37">
        <f t="shared" si="28"/>
        <v>1.7711563702621251</v>
      </c>
      <c r="H95" s="37">
        <f t="shared" si="29"/>
        <v>1.8833553620432955</v>
      </c>
      <c r="I95" s="37">
        <f t="shared" si="30"/>
        <v>1.9830633765818833</v>
      </c>
      <c r="J95" s="37">
        <f t="shared" si="31"/>
        <v>2.0725996285970405</v>
      </c>
      <c r="K95" s="37">
        <f t="shared" si="32"/>
        <v>2.1536732680921555</v>
      </c>
      <c r="L95" s="37">
        <f t="shared" si="33"/>
        <v>2.2275872442909881</v>
      </c>
      <c r="M95" s="37">
        <f t="shared" si="34"/>
        <v>2.2953615856853684</v>
      </c>
      <c r="N95" s="37"/>
      <c r="O95" s="37"/>
      <c r="P95" s="37"/>
      <c r="Q95" s="37"/>
      <c r="R95" s="37"/>
      <c r="S95" s="37"/>
      <c r="T95" s="37"/>
      <c r="U95" s="37"/>
      <c r="V95" s="37"/>
      <c r="W95" s="186"/>
      <c r="X95" s="259" t="s">
        <v>233</v>
      </c>
      <c r="Y95" s="260">
        <f>Smart!X35</f>
        <v>0</v>
      </c>
      <c r="Z95" s="255">
        <f>Smart!AX74</f>
        <v>40.704999999999998</v>
      </c>
      <c r="AA95" s="576">
        <f>Smart!G102+Smart!$I$35</f>
        <v>0</v>
      </c>
      <c r="AB95" s="37">
        <f t="shared" si="22"/>
        <v>0</v>
      </c>
      <c r="AC95" s="38"/>
      <c r="AD95" s="38"/>
      <c r="AE95" s="256">
        <f t="shared" si="42"/>
        <v>0.35200000000000026</v>
      </c>
      <c r="AF95" s="39">
        <f t="shared" si="35"/>
        <v>11.179284465884278</v>
      </c>
      <c r="AG95" s="39">
        <f t="shared" si="36"/>
        <v>1.8</v>
      </c>
      <c r="AH95" s="38">
        <f t="shared" si="37"/>
        <v>0.49984000000000034</v>
      </c>
      <c r="AI95" s="38">
        <f t="shared" si="38"/>
        <v>0.44339362917481545</v>
      </c>
      <c r="AJ95" s="38"/>
      <c r="AK95" s="38"/>
      <c r="AL95" s="38"/>
      <c r="AM95" s="38"/>
      <c r="AN95" s="38"/>
      <c r="AO95" s="38"/>
      <c r="AP95" s="38"/>
      <c r="AQ95" s="38"/>
      <c r="AR95" s="39">
        <f t="shared" si="39"/>
        <v>11.121626824988477</v>
      </c>
      <c r="AS95" s="38">
        <f t="shared" si="21"/>
        <v>0.44799999999999973</v>
      </c>
      <c r="AT95" s="38">
        <f t="shared" si="40"/>
        <v>0.63615999999999961</v>
      </c>
      <c r="AU95" s="38"/>
      <c r="AV95" s="38">
        <f t="shared" si="41"/>
        <v>0.56431916440430985</v>
      </c>
      <c r="AW95" s="37"/>
      <c r="AX95" s="37"/>
      <c r="AY95" s="37"/>
      <c r="AZ95" s="37"/>
      <c r="BA95" s="37"/>
      <c r="BB95" s="37"/>
      <c r="BC95" s="37"/>
      <c r="BD95" s="37"/>
      <c r="BE95" s="37"/>
      <c r="BF95" s="37"/>
      <c r="BG95" s="37"/>
      <c r="BH95" s="37"/>
      <c r="BI95" s="37"/>
      <c r="BJ95" s="37"/>
      <c r="BK95" s="189"/>
      <c r="BL95" s="189"/>
      <c r="BM95" s="189"/>
      <c r="BN95" s="189"/>
      <c r="BO95" s="189"/>
      <c r="BP95" s="251"/>
      <c r="BQ95" s="251"/>
      <c r="BR95" s="189"/>
      <c r="BS95" s="189"/>
      <c r="BT95" s="189"/>
      <c r="BU95" s="189"/>
      <c r="BV95" s="189"/>
      <c r="BW95" s="189"/>
      <c r="BX95" s="189"/>
      <c r="BY95" s="30"/>
      <c r="BZ95" s="30"/>
      <c r="CA95" s="30"/>
      <c r="CB95" s="30"/>
      <c r="CC95" s="30"/>
    </row>
    <row r="96" spans="1:81" s="40" customFormat="1">
      <c r="A96" s="37">
        <v>46</v>
      </c>
      <c r="B96" s="37">
        <f t="shared" si="23"/>
        <v>0.7798521128713749</v>
      </c>
      <c r="C96" s="37">
        <f t="shared" si="24"/>
        <v>1.0825987134252448</v>
      </c>
      <c r="D96" s="37">
        <f t="shared" si="25"/>
        <v>1.3023924383780305</v>
      </c>
      <c r="E96" s="37">
        <f t="shared" si="26"/>
        <v>1.4781159383092821</v>
      </c>
      <c r="F96" s="37">
        <f t="shared" si="27"/>
        <v>1.6252170412069857</v>
      </c>
      <c r="G96" s="37">
        <f t="shared" si="28"/>
        <v>1.7517988888221059</v>
      </c>
      <c r="H96" s="37">
        <f t="shared" si="29"/>
        <v>1.8627716252949031</v>
      </c>
      <c r="I96" s="37">
        <f t="shared" si="30"/>
        <v>1.9613899020366152</v>
      </c>
      <c r="J96" s="37">
        <f t="shared" si="31"/>
        <v>2.0499475863963736</v>
      </c>
      <c r="K96" s="37">
        <f t="shared" si="32"/>
        <v>2.1301351485816857</v>
      </c>
      <c r="L96" s="37">
        <f t="shared" si="33"/>
        <v>2.2032412975065125</v>
      </c>
      <c r="M96" s="37">
        <f t="shared" si="34"/>
        <v>2.2702749134755837</v>
      </c>
      <c r="N96" s="37"/>
      <c r="O96" s="37"/>
      <c r="P96" s="37"/>
      <c r="Q96" s="37"/>
      <c r="R96" s="37"/>
      <c r="S96" s="37"/>
      <c r="T96" s="37"/>
      <c r="U96" s="37"/>
      <c r="V96" s="37"/>
      <c r="W96" s="186"/>
      <c r="X96" s="259" t="s">
        <v>235</v>
      </c>
      <c r="Y96" s="260">
        <f>Smart!Y35</f>
        <v>0</v>
      </c>
      <c r="Z96" s="255">
        <f>Smart!AX75</f>
        <v>40.704999999999998</v>
      </c>
      <c r="AA96" s="576">
        <f>Smart!G101+Smart!$I$35</f>
        <v>0</v>
      </c>
      <c r="AB96" s="37">
        <f t="shared" si="22"/>
        <v>0</v>
      </c>
      <c r="AC96" s="38"/>
      <c r="AD96" s="38"/>
      <c r="AE96" s="256">
        <f t="shared" si="42"/>
        <v>0.36000000000000026</v>
      </c>
      <c r="AF96" s="39">
        <f t="shared" si="35"/>
        <v>11.174479662476296</v>
      </c>
      <c r="AG96" s="39">
        <f t="shared" si="36"/>
        <v>1.8</v>
      </c>
      <c r="AH96" s="38">
        <f t="shared" si="37"/>
        <v>0.51120000000000032</v>
      </c>
      <c r="AI96" s="38">
        <f t="shared" si="38"/>
        <v>0.45347075711060669</v>
      </c>
      <c r="AJ96" s="38"/>
      <c r="AK96" s="38"/>
      <c r="AL96" s="38"/>
      <c r="AM96" s="38"/>
      <c r="AN96" s="38"/>
      <c r="AO96" s="38"/>
      <c r="AP96" s="38"/>
      <c r="AQ96" s="38"/>
      <c r="AR96" s="39">
        <f t="shared" si="39"/>
        <v>11.12643162839646</v>
      </c>
      <c r="AS96" s="38">
        <f t="shared" si="21"/>
        <v>0.43999999999999972</v>
      </c>
      <c r="AT96" s="38">
        <f t="shared" si="40"/>
        <v>0.62479999999999958</v>
      </c>
      <c r="AU96" s="38"/>
      <c r="AV96" s="38">
        <f t="shared" si="41"/>
        <v>0.55424203646851855</v>
      </c>
      <c r="AW96" s="37"/>
      <c r="AX96" s="37"/>
      <c r="AY96" s="37"/>
      <c r="AZ96" s="37"/>
      <c r="BA96" s="37"/>
      <c r="BB96" s="37"/>
      <c r="BC96" s="37"/>
      <c r="BD96" s="37"/>
      <c r="BE96" s="37"/>
      <c r="BF96" s="37"/>
      <c r="BG96" s="37"/>
      <c r="BH96" s="37"/>
      <c r="BI96" s="37"/>
      <c r="BJ96" s="37"/>
      <c r="BK96" s="189"/>
      <c r="BL96" s="189"/>
      <c r="BM96" s="189"/>
      <c r="BN96" s="189"/>
      <c r="BO96" s="189"/>
      <c r="BP96" s="251"/>
      <c r="BQ96" s="251"/>
      <c r="BR96" s="189"/>
      <c r="BS96" s="189"/>
      <c r="BT96" s="189"/>
      <c r="BU96" s="189"/>
      <c r="BV96" s="189"/>
      <c r="BW96" s="189"/>
      <c r="BX96" s="189"/>
      <c r="BY96" s="30"/>
      <c r="BZ96" s="30"/>
      <c r="CA96" s="30"/>
      <c r="CB96" s="30"/>
      <c r="CC96" s="30"/>
    </row>
    <row r="97" spans="1:81" s="40" customFormat="1">
      <c r="A97" s="37">
        <v>47</v>
      </c>
      <c r="B97" s="37">
        <f t="shared" si="23"/>
        <v>0.77151120875046819</v>
      </c>
      <c r="C97" s="37">
        <f t="shared" si="24"/>
        <v>1.0710197846500833</v>
      </c>
      <c r="D97" s="37">
        <f t="shared" si="25"/>
        <v>1.2884627069879244</v>
      </c>
      <c r="E97" s="37">
        <f t="shared" si="26"/>
        <v>1.4623067571612978</v>
      </c>
      <c r="F97" s="37">
        <f t="shared" si="27"/>
        <v>1.607834540996196</v>
      </c>
      <c r="G97" s="37">
        <f t="shared" si="28"/>
        <v>1.7330625331341316</v>
      </c>
      <c r="H97" s="37">
        <f t="shared" si="29"/>
        <v>1.8428483612948563</v>
      </c>
      <c r="I97" s="37">
        <f t="shared" si="30"/>
        <v>1.9404118667827688</v>
      </c>
      <c r="J97" s="37">
        <f t="shared" si="31"/>
        <v>2.0280223829009811</v>
      </c>
      <c r="K97" s="37">
        <f t="shared" si="32"/>
        <v>2.1073522994418976</v>
      </c>
      <c r="L97" s="37">
        <f t="shared" si="33"/>
        <v>2.1796765419401516</v>
      </c>
      <c r="M97" s="37">
        <f t="shared" si="34"/>
        <v>2.2459932002265446</v>
      </c>
      <c r="N97" s="37"/>
      <c r="O97" s="37"/>
      <c r="P97" s="37"/>
      <c r="Q97" s="37"/>
      <c r="R97" s="37"/>
      <c r="S97" s="37"/>
      <c r="T97" s="37"/>
      <c r="U97" s="37"/>
      <c r="V97" s="37"/>
      <c r="W97" s="186"/>
      <c r="X97" s="186" t="s">
        <v>237</v>
      </c>
      <c r="Y97" s="260">
        <f>Smart!Z35</f>
        <v>0</v>
      </c>
      <c r="Z97" s="255">
        <f>Smart!AX76</f>
        <v>40.704999999999998</v>
      </c>
      <c r="AA97" s="576">
        <f>Smart!G100+Smart!$I$35</f>
        <v>0</v>
      </c>
      <c r="AB97" s="37">
        <f t="shared" si="22"/>
        <v>0</v>
      </c>
      <c r="AC97" s="38"/>
      <c r="AD97" s="38"/>
      <c r="AE97" s="256">
        <f t="shared" si="42"/>
        <v>0.36800000000000027</v>
      </c>
      <c r="AF97" s="39">
        <f t="shared" si="35"/>
        <v>11.169674859068312</v>
      </c>
      <c r="AG97" s="39">
        <f t="shared" si="36"/>
        <v>1.8</v>
      </c>
      <c r="AH97" s="38">
        <f t="shared" si="37"/>
        <v>0.52256000000000036</v>
      </c>
      <c r="AI97" s="38">
        <f t="shared" si="38"/>
        <v>0.46354788504639799</v>
      </c>
      <c r="AJ97" s="38"/>
      <c r="AK97" s="38"/>
      <c r="AL97" s="38"/>
      <c r="AM97" s="38"/>
      <c r="AN97" s="38"/>
      <c r="AO97" s="38"/>
      <c r="AP97" s="38"/>
      <c r="AQ97" s="38"/>
      <c r="AR97" s="39">
        <f t="shared" si="39"/>
        <v>11.131236431804444</v>
      </c>
      <c r="AS97" s="38">
        <f t="shared" si="21"/>
        <v>0.43199999999999972</v>
      </c>
      <c r="AT97" s="38">
        <f t="shared" si="40"/>
        <v>0.61343999999999954</v>
      </c>
      <c r="AU97" s="38"/>
      <c r="AV97" s="38">
        <f t="shared" si="41"/>
        <v>0.54416490853272714</v>
      </c>
      <c r="AW97" s="37"/>
      <c r="AX97" s="37"/>
      <c r="AY97" s="37"/>
      <c r="AZ97" s="37"/>
      <c r="BA97" s="37"/>
      <c r="BB97" s="37"/>
      <c r="BC97" s="37"/>
      <c r="BD97" s="37"/>
      <c r="BE97" s="37"/>
      <c r="BF97" s="37"/>
      <c r="BG97" s="37"/>
      <c r="BH97" s="37"/>
      <c r="BI97" s="37"/>
      <c r="BJ97" s="37"/>
      <c r="BK97" s="189"/>
      <c r="BL97" s="189"/>
      <c r="BM97" s="189"/>
      <c r="BN97" s="189"/>
      <c r="BO97" s="189"/>
      <c r="BP97" s="251"/>
      <c r="BQ97" s="251"/>
      <c r="BR97" s="189"/>
      <c r="BS97" s="189"/>
      <c r="BT97" s="189"/>
      <c r="BU97" s="189"/>
      <c r="BV97" s="189"/>
      <c r="BW97" s="189"/>
      <c r="BX97" s="189"/>
      <c r="BY97" s="30"/>
      <c r="BZ97" s="30"/>
      <c r="CA97" s="30"/>
      <c r="CB97" s="30"/>
      <c r="CC97" s="30"/>
    </row>
    <row r="98" spans="1:81" s="40" customFormat="1">
      <c r="A98" s="37">
        <v>48</v>
      </c>
      <c r="B98" s="37">
        <f t="shared" si="23"/>
        <v>0.76343233472393157</v>
      </c>
      <c r="C98" s="37">
        <f t="shared" si="24"/>
        <v>1.0598046087433974</v>
      </c>
      <c r="D98" s="37">
        <f t="shared" si="25"/>
        <v>1.2749705790971262</v>
      </c>
      <c r="E98" s="37">
        <f t="shared" si="26"/>
        <v>1.4469942225600276</v>
      </c>
      <c r="F98" s="37">
        <f t="shared" si="27"/>
        <v>1.5909981132620354</v>
      </c>
      <c r="G98" s="37">
        <f t="shared" si="28"/>
        <v>1.714914781388597</v>
      </c>
      <c r="H98" s="37">
        <f t="shared" si="29"/>
        <v>1.823550988046031</v>
      </c>
      <c r="I98" s="37">
        <f t="shared" si="30"/>
        <v>1.9200928579938703</v>
      </c>
      <c r="J98" s="37">
        <f t="shared" si="31"/>
        <v>2.0067859612280041</v>
      </c>
      <c r="K98" s="37">
        <f t="shared" si="32"/>
        <v>2.0852851751232548</v>
      </c>
      <c r="L98" s="37">
        <f t="shared" si="33"/>
        <v>2.1568520748407676</v>
      </c>
      <c r="M98" s="37">
        <f t="shared" si="34"/>
        <v>2.2224742987209201</v>
      </c>
      <c r="N98" s="37"/>
      <c r="O98" s="37"/>
      <c r="P98" s="37"/>
      <c r="Q98" s="37"/>
      <c r="R98" s="37"/>
      <c r="S98" s="37"/>
      <c r="T98" s="37"/>
      <c r="U98" s="37"/>
      <c r="V98" s="37"/>
      <c r="W98" s="186"/>
      <c r="X98" s="254" t="s">
        <v>239</v>
      </c>
      <c r="Y98" s="260">
        <f>Smart!AA35</f>
        <v>0</v>
      </c>
      <c r="Z98" s="255">
        <f>Smart!AX77</f>
        <v>40.704999999999998</v>
      </c>
      <c r="AA98" s="576">
        <f>Smart!G99+Smart!$I$35</f>
        <v>0</v>
      </c>
      <c r="AB98" s="37">
        <f t="shared" si="22"/>
        <v>0</v>
      </c>
      <c r="AC98" s="38"/>
      <c r="AD98" s="38"/>
      <c r="AE98" s="256">
        <f t="shared" si="42"/>
        <v>0.37600000000000028</v>
      </c>
      <c r="AF98" s="39">
        <f t="shared" si="35"/>
        <v>11.164870055660328</v>
      </c>
      <c r="AG98" s="39">
        <f t="shared" si="36"/>
        <v>1.8</v>
      </c>
      <c r="AH98" s="38">
        <f t="shared" si="37"/>
        <v>0.53392000000000039</v>
      </c>
      <c r="AI98" s="38">
        <f t="shared" si="38"/>
        <v>0.47362501298218923</v>
      </c>
      <c r="AJ98" s="38"/>
      <c r="AK98" s="38"/>
      <c r="AL98" s="38"/>
      <c r="AM98" s="38"/>
      <c r="AN98" s="38"/>
      <c r="AO98" s="38"/>
      <c r="AP98" s="38"/>
      <c r="AQ98" s="38"/>
      <c r="AR98" s="39">
        <f t="shared" si="39"/>
        <v>11.136041235212426</v>
      </c>
      <c r="AS98" s="38">
        <f t="shared" si="21"/>
        <v>0.42399999999999971</v>
      </c>
      <c r="AT98" s="38">
        <f t="shared" si="40"/>
        <v>0.6020799999999995</v>
      </c>
      <c r="AU98" s="38"/>
      <c r="AV98" s="38">
        <f t="shared" si="41"/>
        <v>0.53408778059693607</v>
      </c>
      <c r="AW98" s="37"/>
      <c r="AX98" s="37"/>
      <c r="AY98" s="37"/>
      <c r="AZ98" s="37"/>
      <c r="BA98" s="37"/>
      <c r="BB98" s="37"/>
      <c r="BC98" s="37"/>
      <c r="BD98" s="37"/>
      <c r="BE98" s="37"/>
      <c r="BF98" s="37"/>
      <c r="BG98" s="37"/>
      <c r="BH98" s="37"/>
      <c r="BI98" s="37"/>
      <c r="BJ98" s="37"/>
      <c r="BK98" s="189"/>
      <c r="BL98" s="189"/>
      <c r="BM98" s="189"/>
      <c r="BN98" s="189"/>
      <c r="BO98" s="189"/>
      <c r="BP98" s="251"/>
      <c r="BQ98" s="251"/>
      <c r="BR98" s="189"/>
      <c r="BS98" s="189"/>
      <c r="BT98" s="189"/>
      <c r="BU98" s="189"/>
      <c r="BV98" s="189"/>
      <c r="BW98" s="189"/>
      <c r="BX98" s="189"/>
      <c r="BY98" s="30"/>
      <c r="BZ98" s="30"/>
      <c r="CA98" s="30"/>
      <c r="CB98" s="30"/>
      <c r="CC98" s="30"/>
    </row>
    <row r="99" spans="1:81" s="40" customFormat="1">
      <c r="A99" s="37">
        <v>49</v>
      </c>
      <c r="B99" s="37">
        <f t="shared" si="23"/>
        <v>0.75560205250444534</v>
      </c>
      <c r="C99" s="37">
        <f t="shared" si="24"/>
        <v>1.0489345305366968</v>
      </c>
      <c r="D99" s="37">
        <f t="shared" si="25"/>
        <v>1.2618936120867066</v>
      </c>
      <c r="E99" s="37">
        <f t="shared" si="26"/>
        <v>1.4321528638471974</v>
      </c>
      <c r="F99" s="37">
        <f t="shared" si="27"/>
        <v>1.5746797525234679</v>
      </c>
      <c r="G99" s="37">
        <f t="shared" si="28"/>
        <v>1.6973254468662426</v>
      </c>
      <c r="H99" s="37">
        <f t="shared" si="29"/>
        <v>1.8048474065646583</v>
      </c>
      <c r="I99" s="37">
        <f t="shared" si="30"/>
        <v>1.9003990773117241</v>
      </c>
      <c r="J99" s="37">
        <f t="shared" si="31"/>
        <v>1.9862029970073429</v>
      </c>
      <c r="K99" s="37">
        <f t="shared" si="32"/>
        <v>2.0638970694763663</v>
      </c>
      <c r="L99" s="37">
        <f t="shared" si="33"/>
        <v>2.1347299303054625</v>
      </c>
      <c r="M99" s="37">
        <f t="shared" si="34"/>
        <v>2.1996790879432249</v>
      </c>
      <c r="N99" s="37"/>
      <c r="O99" s="37"/>
      <c r="P99" s="37"/>
      <c r="Q99" s="37"/>
      <c r="R99" s="37"/>
      <c r="S99" s="37"/>
      <c r="T99" s="37"/>
      <c r="U99" s="37"/>
      <c r="V99" s="37"/>
      <c r="W99" s="37"/>
      <c r="X99" s="37"/>
      <c r="Y99" s="37"/>
      <c r="Z99" s="255">
        <f>Smart!AX78</f>
        <v>40.704999999999998</v>
      </c>
      <c r="AA99" s="576" t="e">
        <f>Smart!G98+Smart!$I$35</f>
        <v>#DIV/0!</v>
      </c>
      <c r="AB99" s="37" t="e">
        <f t="shared" si="22"/>
        <v>#DIV/0!</v>
      </c>
      <c r="AC99" s="38"/>
      <c r="AD99" s="38"/>
      <c r="AE99" s="256">
        <f t="shared" si="42"/>
        <v>0.38400000000000029</v>
      </c>
      <c r="AF99" s="39">
        <f t="shared" si="35"/>
        <v>11.160065252252346</v>
      </c>
      <c r="AG99" s="39">
        <f t="shared" si="36"/>
        <v>1.8</v>
      </c>
      <c r="AH99" s="38">
        <f t="shared" si="37"/>
        <v>0.54528000000000043</v>
      </c>
      <c r="AI99" s="38">
        <f t="shared" si="38"/>
        <v>0.48370214091798047</v>
      </c>
      <c r="AJ99" s="38"/>
      <c r="AK99" s="38"/>
      <c r="AL99" s="38"/>
      <c r="AM99" s="38"/>
      <c r="AN99" s="38"/>
      <c r="AO99" s="38"/>
      <c r="AP99" s="38"/>
      <c r="AQ99" s="38"/>
      <c r="AR99" s="39">
        <f t="shared" si="39"/>
        <v>11.14084603862041</v>
      </c>
      <c r="AS99" s="38">
        <f t="shared" si="21"/>
        <v>0.4159999999999997</v>
      </c>
      <c r="AT99" s="38">
        <f t="shared" si="40"/>
        <v>0.59071999999999958</v>
      </c>
      <c r="AU99" s="38"/>
      <c r="AV99" s="38">
        <f t="shared" si="41"/>
        <v>0.52401065266114477</v>
      </c>
      <c r="AW99" s="37"/>
      <c r="AX99" s="37"/>
      <c r="AY99" s="37"/>
      <c r="AZ99" s="37"/>
      <c r="BA99" s="37"/>
      <c r="BB99" s="37"/>
      <c r="BC99" s="37"/>
      <c r="BD99" s="37"/>
      <c r="BE99" s="37"/>
      <c r="BF99" s="37"/>
      <c r="BG99" s="37"/>
      <c r="BH99" s="37"/>
      <c r="BI99" s="37"/>
      <c r="BJ99" s="37"/>
      <c r="BK99" s="189"/>
      <c r="BL99" s="189"/>
      <c r="BM99" s="189"/>
      <c r="BN99" s="189"/>
      <c r="BO99" s="189"/>
      <c r="BP99" s="251"/>
      <c r="BQ99" s="251"/>
      <c r="BR99" s="189"/>
      <c r="BS99" s="189"/>
      <c r="BT99" s="189"/>
      <c r="BU99" s="189"/>
      <c r="BV99" s="189"/>
      <c r="BW99" s="189"/>
      <c r="BX99" s="189"/>
      <c r="BY99" s="30"/>
      <c r="BZ99" s="30"/>
      <c r="CA99" s="30"/>
      <c r="CB99" s="30"/>
      <c r="CC99" s="30"/>
    </row>
    <row r="100" spans="1:81" s="40" customFormat="1">
      <c r="A100" s="37">
        <v>50</v>
      </c>
      <c r="B100" s="37">
        <f t="shared" si="23"/>
        <v>0.74800786928611374</v>
      </c>
      <c r="C100" s="37">
        <f t="shared" si="24"/>
        <v>1.0383922073885166</v>
      </c>
      <c r="D100" s="37">
        <f t="shared" si="25"/>
        <v>1.2492109423394955</v>
      </c>
      <c r="E100" s="37">
        <f t="shared" si="26"/>
        <v>1.4177590024109228</v>
      </c>
      <c r="F100" s="37">
        <f t="shared" si="27"/>
        <v>1.5588534236890981</v>
      </c>
      <c r="G100" s="37">
        <f t="shared" si="28"/>
        <v>1.6802664667034499</v>
      </c>
      <c r="H100" s="37">
        <f t="shared" si="29"/>
        <v>1.7867077762643531</v>
      </c>
      <c r="I100" s="37">
        <f t="shared" si="30"/>
        <v>1.8812991043388891</v>
      </c>
      <c r="J100" s="37">
        <f t="shared" si="31"/>
        <v>1.9662406511957105</v>
      </c>
      <c r="K100" s="37">
        <f t="shared" si="32"/>
        <v>2.0431538588968943</v>
      </c>
      <c r="L100" s="37">
        <f t="shared" si="33"/>
        <v>2.1132748136092303</v>
      </c>
      <c r="M100" s="37">
        <f t="shared" si="34"/>
        <v>2.1775711993264526</v>
      </c>
      <c r="N100" s="37"/>
      <c r="O100" s="37"/>
      <c r="P100" s="37"/>
      <c r="Q100" s="37"/>
      <c r="R100" s="37"/>
      <c r="S100" s="37"/>
      <c r="T100" s="37"/>
      <c r="U100" s="37"/>
      <c r="V100" s="37"/>
      <c r="W100" s="37"/>
      <c r="X100" s="37"/>
      <c r="Y100" s="37"/>
      <c r="Z100" s="255">
        <f>Smart!AX79</f>
        <v>40.704999999999998</v>
      </c>
      <c r="AA100" s="576" t="e">
        <f>Smart!G97+Smart!$I$35</f>
        <v>#DIV/0!</v>
      </c>
      <c r="AB100" s="37" t="e">
        <f t="shared" si="22"/>
        <v>#DIV/0!</v>
      </c>
      <c r="AC100" s="38"/>
      <c r="AD100" s="38"/>
      <c r="AE100" s="256">
        <f t="shared" si="42"/>
        <v>0.39200000000000029</v>
      </c>
      <c r="AF100" s="39">
        <f t="shared" si="35"/>
        <v>11.155260448844361</v>
      </c>
      <c r="AG100" s="39">
        <f t="shared" si="36"/>
        <v>1.8</v>
      </c>
      <c r="AH100" s="38">
        <f t="shared" si="37"/>
        <v>0.55664000000000036</v>
      </c>
      <c r="AI100" s="38">
        <f t="shared" si="38"/>
        <v>0.49377926885377177</v>
      </c>
      <c r="AJ100" s="38"/>
      <c r="AK100" s="38"/>
      <c r="AL100" s="38"/>
      <c r="AM100" s="38"/>
      <c r="AN100" s="38"/>
      <c r="AO100" s="38"/>
      <c r="AP100" s="38"/>
      <c r="AQ100" s="38"/>
      <c r="AR100" s="39">
        <f t="shared" si="39"/>
        <v>11.145650842028395</v>
      </c>
      <c r="AS100" s="38">
        <f t="shared" si="21"/>
        <v>0.4079999999999997</v>
      </c>
      <c r="AT100" s="38">
        <f t="shared" si="40"/>
        <v>0.57935999999999954</v>
      </c>
      <c r="AU100" s="38"/>
      <c r="AV100" s="38">
        <f t="shared" si="41"/>
        <v>0.51393352472535347</v>
      </c>
      <c r="AW100" s="37"/>
      <c r="AX100" s="37"/>
      <c r="AY100" s="37"/>
      <c r="AZ100" s="37"/>
      <c r="BA100" s="37"/>
      <c r="BB100" s="37"/>
      <c r="BC100" s="37"/>
      <c r="BD100" s="37"/>
      <c r="BE100" s="37"/>
      <c r="BF100" s="37"/>
      <c r="BG100" s="37"/>
      <c r="BH100" s="37"/>
      <c r="BI100" s="37"/>
      <c r="BJ100" s="37"/>
      <c r="BK100" s="189"/>
      <c r="BL100" s="189"/>
      <c r="BM100" s="189"/>
      <c r="BN100" s="189"/>
      <c r="BO100" s="189"/>
      <c r="BP100" s="251"/>
      <c r="BQ100" s="251"/>
      <c r="BR100" s="189"/>
      <c r="BS100" s="189"/>
      <c r="BT100" s="189"/>
      <c r="BU100" s="189"/>
      <c r="BV100" s="189"/>
      <c r="BW100" s="189"/>
      <c r="BX100" s="189"/>
      <c r="BY100" s="30"/>
      <c r="BZ100" s="30"/>
      <c r="CA100" s="30"/>
      <c r="CB100" s="30"/>
      <c r="CC100" s="30"/>
    </row>
    <row r="101" spans="1:81" s="40" customFormat="1">
      <c r="A101" s="37">
        <v>51</v>
      </c>
      <c r="B101" s="37">
        <f t="shared" si="23"/>
        <v>0.74063815390086296</v>
      </c>
      <c r="C101" s="37">
        <f t="shared" si="24"/>
        <v>1.0281614927918648</v>
      </c>
      <c r="D101" s="37">
        <f t="shared" si="25"/>
        <v>1.2369031452170276</v>
      </c>
      <c r="E101" s="37">
        <f t="shared" si="26"/>
        <v>1.4037905927702359</v>
      </c>
      <c r="F101" s="37">
        <f t="shared" si="27"/>
        <v>1.5434948873265368</v>
      </c>
      <c r="G101" s="37">
        <f t="shared" si="28"/>
        <v>1.663711713552519</v>
      </c>
      <c r="H101" s="37">
        <f t="shared" si="29"/>
        <v>1.7691043146854668</v>
      </c>
      <c r="I101" s="37">
        <f t="shared" si="30"/>
        <v>1.8627636857653691</v>
      </c>
      <c r="J101" s="37">
        <f t="shared" si="31"/>
        <v>1.9468683496822887</v>
      </c>
      <c r="K101" s="37">
        <f t="shared" si="32"/>
        <v>2.0230237733100704</v>
      </c>
      <c r="L101" s="37">
        <f t="shared" si="33"/>
        <v>2.0924538643296686</v>
      </c>
      <c r="M101" s="37">
        <f t="shared" si="34"/>
        <v>2.1561167726698569</v>
      </c>
      <c r="N101" s="37"/>
      <c r="O101" s="37"/>
      <c r="P101" s="37"/>
      <c r="Q101" s="37"/>
      <c r="R101" s="37"/>
      <c r="S101" s="37"/>
      <c r="T101" s="37"/>
      <c r="U101" s="37"/>
      <c r="V101" s="37"/>
      <c r="W101" s="37"/>
      <c r="X101" s="37"/>
      <c r="Y101" s="37"/>
      <c r="Z101" s="255">
        <f>Smart!AX80</f>
        <v>40.704999999999998</v>
      </c>
      <c r="AA101" s="576" t="e">
        <f>Smart!G96+Smart!$I$35</f>
        <v>#DIV/0!</v>
      </c>
      <c r="AB101" s="37" t="e">
        <f t="shared" si="22"/>
        <v>#DIV/0!</v>
      </c>
      <c r="AC101" s="38"/>
      <c r="AD101" s="38"/>
      <c r="AE101" s="256">
        <f t="shared" si="42"/>
        <v>0.4000000000000003</v>
      </c>
      <c r="AF101" s="39">
        <f t="shared" si="35"/>
        <v>11.150455645436379</v>
      </c>
      <c r="AG101" s="39">
        <f t="shared" si="36"/>
        <v>1.8</v>
      </c>
      <c r="AH101" s="38">
        <f t="shared" si="37"/>
        <v>0.56800000000000039</v>
      </c>
      <c r="AI101" s="38">
        <f t="shared" si="38"/>
        <v>0.50385639678956307</v>
      </c>
      <c r="AJ101" s="38"/>
      <c r="AK101" s="38"/>
      <c r="AL101" s="38"/>
      <c r="AM101" s="38"/>
      <c r="AN101" s="38"/>
      <c r="AO101" s="38"/>
      <c r="AP101" s="38"/>
      <c r="AQ101" s="38"/>
      <c r="AR101" s="39">
        <f t="shared" si="39"/>
        <v>11.150455645436379</v>
      </c>
      <c r="AS101" s="38">
        <f t="shared" si="21"/>
        <v>0.39999999999999969</v>
      </c>
      <c r="AT101" s="38">
        <f t="shared" si="40"/>
        <v>0.56799999999999951</v>
      </c>
      <c r="AU101" s="38"/>
      <c r="AV101" s="38">
        <f t="shared" si="41"/>
        <v>0.50385639678956218</v>
      </c>
      <c r="AW101" s="37"/>
      <c r="AX101" s="37"/>
      <c r="AY101" s="37"/>
      <c r="AZ101" s="37"/>
      <c r="BA101" s="37"/>
      <c r="BB101" s="37"/>
      <c r="BC101" s="37"/>
      <c r="BD101" s="37"/>
      <c r="BE101" s="37"/>
      <c r="BF101" s="37"/>
      <c r="BG101" s="37"/>
      <c r="BH101" s="37"/>
      <c r="BI101" s="37"/>
      <c r="BJ101" s="37"/>
      <c r="BK101" s="189"/>
      <c r="BL101" s="189"/>
      <c r="BM101" s="189"/>
      <c r="BN101" s="189"/>
      <c r="BO101" s="189"/>
      <c r="BP101" s="251"/>
      <c r="BQ101" s="251"/>
      <c r="BR101" s="189"/>
      <c r="BS101" s="189"/>
      <c r="BT101" s="189"/>
      <c r="BU101" s="189"/>
      <c r="BV101" s="189"/>
      <c r="BW101" s="189"/>
      <c r="BX101" s="189"/>
      <c r="BY101" s="30"/>
      <c r="BZ101" s="30"/>
      <c r="CA101" s="30"/>
      <c r="CB101" s="30"/>
      <c r="CC101" s="30"/>
    </row>
    <row r="102" spans="1:81" s="40" customFormat="1">
      <c r="A102" s="37">
        <v>52</v>
      </c>
      <c r="B102" s="37">
        <f t="shared" si="23"/>
        <v>0.73348206188670295</v>
      </c>
      <c r="C102" s="37">
        <f t="shared" si="24"/>
        <v>1.0182273323532176</v>
      </c>
      <c r="D102" s="37">
        <f t="shared" si="25"/>
        <v>1.2249521099197536</v>
      </c>
      <c r="E102" s="37">
        <f t="shared" si="26"/>
        <v>1.3902270805509873</v>
      </c>
      <c r="F102" s="37">
        <f t="shared" si="27"/>
        <v>1.5285815435041599</v>
      </c>
      <c r="G102" s="37">
        <f t="shared" si="28"/>
        <v>1.6476368272608639</v>
      </c>
      <c r="H102" s="37">
        <f t="shared" si="29"/>
        <v>1.7520111185115206</v>
      </c>
      <c r="I102" s="37">
        <f t="shared" si="30"/>
        <v>1.8447655469093507</v>
      </c>
      <c r="J102" s="37">
        <f t="shared" si="31"/>
        <v>1.9280575863204448</v>
      </c>
      <c r="K102" s="37">
        <f t="shared" si="32"/>
        <v>2.0034771914976277</v>
      </c>
      <c r="L102" s="37">
        <f t="shared" si="33"/>
        <v>2.0722364446495423</v>
      </c>
      <c r="M102" s="37">
        <f t="shared" si="34"/>
        <v>2.1352842380006201</v>
      </c>
      <c r="N102" s="37"/>
      <c r="O102" s="37"/>
      <c r="P102" s="37"/>
      <c r="Q102" s="37"/>
      <c r="R102" s="37"/>
      <c r="S102" s="37"/>
      <c r="T102" s="37"/>
      <c r="U102" s="37"/>
      <c r="V102" s="37"/>
      <c r="W102" s="37"/>
      <c r="X102" s="37"/>
      <c r="Y102" s="37"/>
      <c r="Z102" s="255">
        <f>Smart!AX81</f>
        <v>40.704999999999998</v>
      </c>
      <c r="AA102" s="576">
        <f>Y66</f>
        <v>0</v>
      </c>
      <c r="AB102" s="37">
        <f t="shared" si="22"/>
        <v>0</v>
      </c>
      <c r="AC102" s="38"/>
      <c r="AD102" s="38"/>
      <c r="AE102" s="256">
        <f t="shared" si="42"/>
        <v>0.40800000000000031</v>
      </c>
      <c r="AF102" s="39">
        <f t="shared" si="35"/>
        <v>11.145650842028395</v>
      </c>
      <c r="AG102" s="39">
        <f t="shared" si="36"/>
        <v>1.8</v>
      </c>
      <c r="AH102" s="38">
        <f t="shared" si="37"/>
        <v>0.57936000000000043</v>
      </c>
      <c r="AI102" s="38">
        <f t="shared" si="38"/>
        <v>0.51393352472535425</v>
      </c>
      <c r="AJ102" s="38"/>
      <c r="AK102" s="38"/>
      <c r="AL102" s="38"/>
      <c r="AM102" s="38"/>
      <c r="AN102" s="38"/>
      <c r="AO102" s="38"/>
      <c r="AP102" s="38"/>
      <c r="AQ102" s="38"/>
      <c r="AR102" s="39">
        <f t="shared" si="39"/>
        <v>11.155260448844363</v>
      </c>
      <c r="AS102" s="38">
        <f t="shared" si="21"/>
        <v>0.39199999999999968</v>
      </c>
      <c r="AT102" s="38">
        <f t="shared" si="40"/>
        <v>0.55663999999999947</v>
      </c>
      <c r="AU102" s="38"/>
      <c r="AV102" s="38">
        <f t="shared" si="41"/>
        <v>0.49377926885377094</v>
      </c>
      <c r="AW102" s="37"/>
      <c r="AX102" s="37"/>
      <c r="AY102" s="37"/>
      <c r="AZ102" s="37"/>
      <c r="BA102" s="37"/>
      <c r="BB102" s="37"/>
      <c r="BC102" s="37"/>
      <c r="BD102" s="37"/>
      <c r="BE102" s="37"/>
      <c r="BF102" s="37"/>
      <c r="BG102" s="37"/>
      <c r="BH102" s="37"/>
      <c r="BI102" s="37"/>
      <c r="BJ102" s="37"/>
      <c r="BK102" s="189"/>
      <c r="BL102" s="189"/>
      <c r="BM102" s="189"/>
      <c r="BN102" s="189"/>
      <c r="BO102" s="189"/>
      <c r="BP102" s="251"/>
      <c r="BQ102" s="251"/>
      <c r="BR102" s="189"/>
      <c r="BS102" s="189"/>
      <c r="BT102" s="189"/>
      <c r="BU102" s="189"/>
      <c r="BV102" s="189"/>
      <c r="BW102" s="189"/>
      <c r="BX102" s="189"/>
      <c r="BY102" s="30"/>
      <c r="BZ102" s="30"/>
      <c r="CA102" s="30"/>
      <c r="CB102" s="30"/>
      <c r="CC102" s="30"/>
    </row>
    <row r="103" spans="1:81" s="40" customFormat="1">
      <c r="A103" s="37">
        <v>53</v>
      </c>
      <c r="B103" s="37">
        <f t="shared" si="23"/>
        <v>0.72652946836958276</v>
      </c>
      <c r="C103" s="37">
        <f t="shared" si="24"/>
        <v>1.0085756706184184</v>
      </c>
      <c r="D103" s="37">
        <f t="shared" si="25"/>
        <v>1.2133409273963476</v>
      </c>
      <c r="E103" s="37">
        <f t="shared" si="26"/>
        <v>1.3770492752714678</v>
      </c>
      <c r="F103" s="37">
        <f t="shared" si="27"/>
        <v>1.514092291916439</v>
      </c>
      <c r="G103" s="37">
        <f t="shared" si="28"/>
        <v>1.6320190641020536</v>
      </c>
      <c r="H103" s="37">
        <f t="shared" si="29"/>
        <v>1.7354040032493521</v>
      </c>
      <c r="I103" s="37">
        <f t="shared" si="30"/>
        <v>1.8272792229097465</v>
      </c>
      <c r="J103" s="37">
        <f t="shared" si="31"/>
        <v>1.9097817464985343</v>
      </c>
      <c r="K103" s="37">
        <f t="shared" si="32"/>
        <v>1.9844864577672421</v>
      </c>
      <c r="L103" s="37">
        <f t="shared" si="33"/>
        <v>2.052593949734328</v>
      </c>
      <c r="M103" s="37">
        <f t="shared" si="34"/>
        <v>2.1150441201821351</v>
      </c>
      <c r="N103" s="37"/>
      <c r="O103" s="37"/>
      <c r="P103" s="37"/>
      <c r="Q103" s="37"/>
      <c r="R103" s="37"/>
      <c r="S103" s="37"/>
      <c r="T103" s="37"/>
      <c r="U103" s="37"/>
      <c r="V103" s="37"/>
      <c r="W103" s="37"/>
      <c r="X103" s="37"/>
      <c r="Y103" s="37"/>
      <c r="Z103" s="255">
        <f>Smart!AX82</f>
        <v>40.704999999999998</v>
      </c>
      <c r="AA103" s="576">
        <f>Y66</f>
        <v>0</v>
      </c>
      <c r="AB103" s="37">
        <f t="shared" si="22"/>
        <v>0</v>
      </c>
      <c r="AC103" s="38"/>
      <c r="AD103" s="38"/>
      <c r="AE103" s="256">
        <f t="shared" si="42"/>
        <v>0.41600000000000031</v>
      </c>
      <c r="AF103" s="39">
        <f t="shared" si="35"/>
        <v>11.14084603862041</v>
      </c>
      <c r="AG103" s="39">
        <f t="shared" si="36"/>
        <v>1.8</v>
      </c>
      <c r="AH103" s="38">
        <f t="shared" si="37"/>
        <v>0.59072000000000047</v>
      </c>
      <c r="AI103" s="38">
        <f t="shared" si="38"/>
        <v>0.52401065266114555</v>
      </c>
      <c r="AJ103" s="38"/>
      <c r="AK103" s="38"/>
      <c r="AL103" s="38"/>
      <c r="AM103" s="38"/>
      <c r="AN103" s="38"/>
      <c r="AO103" s="38"/>
      <c r="AP103" s="38"/>
      <c r="AQ103" s="38"/>
      <c r="AR103" s="39">
        <f t="shared" si="39"/>
        <v>11.160065252252346</v>
      </c>
      <c r="AS103" s="38">
        <f t="shared" si="21"/>
        <v>0.38399999999999967</v>
      </c>
      <c r="AT103" s="38">
        <f t="shared" si="40"/>
        <v>0.54527999999999954</v>
      </c>
      <c r="AU103" s="38"/>
      <c r="AV103" s="38">
        <f t="shared" si="41"/>
        <v>0.48370214091797975</v>
      </c>
      <c r="AW103" s="37"/>
      <c r="AX103" s="37"/>
      <c r="AY103" s="37"/>
      <c r="AZ103" s="37"/>
      <c r="BA103" s="37"/>
      <c r="BB103" s="37"/>
      <c r="BC103" s="37"/>
      <c r="BD103" s="37"/>
      <c r="BE103" s="37"/>
      <c r="BF103" s="37"/>
      <c r="BG103" s="37"/>
      <c r="BH103" s="37"/>
      <c r="BI103" s="37"/>
      <c r="BJ103" s="37"/>
      <c r="BK103" s="189"/>
      <c r="BL103" s="189"/>
      <c r="BM103" s="189"/>
      <c r="BN103" s="189"/>
      <c r="BO103" s="189"/>
      <c r="BP103" s="251"/>
      <c r="BQ103" s="251"/>
      <c r="BR103" s="189"/>
      <c r="BS103" s="189"/>
      <c r="BT103" s="189"/>
      <c r="BU103" s="189"/>
      <c r="BV103" s="189"/>
      <c r="BW103" s="189"/>
      <c r="BX103" s="189"/>
      <c r="BY103" s="30"/>
      <c r="BZ103" s="30"/>
      <c r="CA103" s="30"/>
      <c r="CB103" s="30"/>
      <c r="CC103" s="30"/>
    </row>
    <row r="104" spans="1:81" s="40" customFormat="1">
      <c r="A104" s="37">
        <v>54</v>
      </c>
      <c r="B104" s="37">
        <f t="shared" si="23"/>
        <v>0.71977090781382702</v>
      </c>
      <c r="C104" s="37">
        <f t="shared" si="24"/>
        <v>0.99919336743361609</v>
      </c>
      <c r="D104" s="37">
        <f t="shared" si="25"/>
        <v>1.2020537897238897</v>
      </c>
      <c r="E104" s="37">
        <f t="shared" si="26"/>
        <v>1.3642392361466027</v>
      </c>
      <c r="F104" s="37">
        <f t="shared" si="27"/>
        <v>1.5000074063234505</v>
      </c>
      <c r="G104" s="37">
        <f t="shared" si="28"/>
        <v>1.616837161435897</v>
      </c>
      <c r="H104" s="37">
        <f t="shared" si="29"/>
        <v>1.719260359315703</v>
      </c>
      <c r="I104" s="37">
        <f t="shared" si="30"/>
        <v>1.8102809071937658</v>
      </c>
      <c r="J104" s="37">
        <f t="shared" si="31"/>
        <v>1.8920159487657142</v>
      </c>
      <c r="K104" s="37">
        <f t="shared" si="32"/>
        <v>1.9660257173832409</v>
      </c>
      <c r="L104" s="37">
        <f t="shared" si="33"/>
        <v>2.0334996375149088</v>
      </c>
      <c r="M104" s="37">
        <f t="shared" si="34"/>
        <v>2.0953688635178387</v>
      </c>
      <c r="N104" s="37"/>
      <c r="O104" s="37"/>
      <c r="P104" s="37"/>
      <c r="Q104" s="37"/>
      <c r="R104" s="37"/>
      <c r="S104" s="37"/>
      <c r="T104" s="37"/>
      <c r="U104" s="37"/>
      <c r="V104" s="37"/>
      <c r="W104" s="37"/>
      <c r="X104" s="37"/>
      <c r="Y104" s="37"/>
      <c r="Z104" s="255">
        <f>Smart!AX83</f>
        <v>40.704999999999998</v>
      </c>
      <c r="AA104" s="576" t="e">
        <f>Smart!H96+$Y$72</f>
        <v>#DIV/0!</v>
      </c>
      <c r="AB104" s="37" t="e">
        <f t="shared" si="22"/>
        <v>#DIV/0!</v>
      </c>
      <c r="AC104" s="38"/>
      <c r="AD104" s="38"/>
      <c r="AE104" s="256">
        <f t="shared" si="42"/>
        <v>0.42400000000000032</v>
      </c>
      <c r="AF104" s="39">
        <f t="shared" si="35"/>
        <v>11.136041235212426</v>
      </c>
      <c r="AG104" s="39">
        <f t="shared" si="36"/>
        <v>1.8</v>
      </c>
      <c r="AH104" s="38">
        <f t="shared" si="37"/>
        <v>0.60208000000000039</v>
      </c>
      <c r="AI104" s="38">
        <f t="shared" si="38"/>
        <v>0.53408778059693673</v>
      </c>
      <c r="AJ104" s="38"/>
      <c r="AK104" s="38"/>
      <c r="AL104" s="38"/>
      <c r="AM104" s="38"/>
      <c r="AN104" s="38"/>
      <c r="AO104" s="38"/>
      <c r="AP104" s="38"/>
      <c r="AQ104" s="38"/>
      <c r="AR104" s="39">
        <f t="shared" si="39"/>
        <v>11.164870055660328</v>
      </c>
      <c r="AS104" s="38">
        <f t="shared" si="21"/>
        <v>0.37599999999999967</v>
      </c>
      <c r="AT104" s="38">
        <f t="shared" si="40"/>
        <v>0.53391999999999951</v>
      </c>
      <c r="AU104" s="38"/>
      <c r="AV104" s="38">
        <f t="shared" si="41"/>
        <v>0.47362501298218845</v>
      </c>
      <c r="AW104" s="37"/>
      <c r="AX104" s="37"/>
      <c r="AY104" s="37"/>
      <c r="AZ104" s="37"/>
      <c r="BA104" s="37"/>
      <c r="BB104" s="37"/>
      <c r="BC104" s="37"/>
      <c r="BD104" s="37"/>
      <c r="BE104" s="37"/>
      <c r="BF104" s="37"/>
      <c r="BG104" s="37"/>
      <c r="BH104" s="37"/>
      <c r="BI104" s="37"/>
      <c r="BJ104" s="37"/>
      <c r="BK104" s="189"/>
      <c r="BL104" s="189"/>
      <c r="BM104" s="189"/>
      <c r="BN104" s="189"/>
      <c r="BO104" s="189"/>
      <c r="BP104" s="251"/>
      <c r="BQ104" s="251"/>
      <c r="BR104" s="189"/>
      <c r="BS104" s="189"/>
      <c r="BT104" s="189"/>
      <c r="BU104" s="189"/>
      <c r="BV104" s="189"/>
      <c r="BW104" s="189"/>
      <c r="BX104" s="189"/>
      <c r="BY104" s="30"/>
      <c r="BZ104" s="30"/>
      <c r="CA104" s="30"/>
      <c r="CB104" s="30"/>
      <c r="CC104" s="30"/>
    </row>
    <row r="105" spans="1:81" s="40" customFormat="1">
      <c r="A105" s="37">
        <v>55</v>
      </c>
      <c r="B105" s="37">
        <f t="shared" si="23"/>
        <v>0.71319751982561652</v>
      </c>
      <c r="C105" s="37">
        <f t="shared" si="24"/>
        <v>0.99006812270910105</v>
      </c>
      <c r="D105" s="37">
        <f t="shared" si="25"/>
        <v>1.1910758995969417</v>
      </c>
      <c r="E105" s="37">
        <f t="shared" si="26"/>
        <v>1.3517801693649663</v>
      </c>
      <c r="F105" s="37">
        <f t="shared" si="27"/>
        <v>1.4863084216049636</v>
      </c>
      <c r="G105" s="37">
        <f t="shared" si="28"/>
        <v>1.6020712159656143</v>
      </c>
      <c r="H105" s="37">
        <f t="shared" si="29"/>
        <v>1.7035590225822443</v>
      </c>
      <c r="I105" s="37">
        <f t="shared" si="30"/>
        <v>1.7937483151683709</v>
      </c>
      <c r="J105" s="37">
        <f t="shared" si="31"/>
        <v>1.8747369023690015</v>
      </c>
      <c r="K105" s="37">
        <f t="shared" si="32"/>
        <v>1.9480707685309564</v>
      </c>
      <c r="L105" s="37">
        <f t="shared" si="33"/>
        <v>2.0149284755713532</v>
      </c>
      <c r="M105" s="37">
        <f t="shared" si="34"/>
        <v>2.076232673976429</v>
      </c>
      <c r="N105" s="37"/>
      <c r="O105" s="37"/>
      <c r="P105" s="37"/>
      <c r="Q105" s="37"/>
      <c r="R105" s="37"/>
      <c r="S105" s="37"/>
      <c r="T105" s="37"/>
      <c r="U105" s="37"/>
      <c r="V105" s="37"/>
      <c r="W105" s="37"/>
      <c r="X105" s="37"/>
      <c r="Y105" s="37"/>
      <c r="Z105" s="255">
        <f>Smart!AX84</f>
        <v>40.704999999999998</v>
      </c>
      <c r="AA105" s="576" t="e">
        <f>Smart!H97+$Y$72</f>
        <v>#DIV/0!</v>
      </c>
      <c r="AB105" s="37" t="e">
        <f t="shared" si="22"/>
        <v>#DIV/0!</v>
      </c>
      <c r="AC105" s="38"/>
      <c r="AD105" s="38"/>
      <c r="AE105" s="256">
        <f t="shared" si="42"/>
        <v>0.43200000000000033</v>
      </c>
      <c r="AF105" s="39">
        <f t="shared" si="35"/>
        <v>11.131236431804442</v>
      </c>
      <c r="AG105" s="39">
        <f t="shared" si="36"/>
        <v>1.8</v>
      </c>
      <c r="AH105" s="38">
        <f t="shared" si="37"/>
        <v>0.61344000000000043</v>
      </c>
      <c r="AI105" s="38">
        <f t="shared" si="38"/>
        <v>0.54416490853272803</v>
      </c>
      <c r="AJ105" s="38"/>
      <c r="AK105" s="38"/>
      <c r="AL105" s="38"/>
      <c r="AM105" s="38"/>
      <c r="AN105" s="38"/>
      <c r="AO105" s="38"/>
      <c r="AP105" s="38"/>
      <c r="AQ105" s="38"/>
      <c r="AR105" s="39">
        <f t="shared" si="39"/>
        <v>11.169674859068312</v>
      </c>
      <c r="AS105" s="38">
        <f t="shared" si="21"/>
        <v>0.36799999999999966</v>
      </c>
      <c r="AT105" s="38">
        <f t="shared" si="40"/>
        <v>0.52255999999999947</v>
      </c>
      <c r="AU105" s="38"/>
      <c r="AV105" s="38">
        <f t="shared" si="41"/>
        <v>0.46354788504639716</v>
      </c>
      <c r="AW105" s="37"/>
      <c r="AX105" s="37"/>
      <c r="AY105" s="37"/>
      <c r="AZ105" s="37"/>
      <c r="BA105" s="37"/>
      <c r="BB105" s="37"/>
      <c r="BC105" s="37"/>
      <c r="BD105" s="37"/>
      <c r="BE105" s="37"/>
      <c r="BF105" s="37"/>
      <c r="BG105" s="37"/>
      <c r="BH105" s="37"/>
      <c r="BI105" s="37"/>
      <c r="BJ105" s="37"/>
      <c r="BK105" s="189"/>
      <c r="BL105" s="189"/>
      <c r="BM105" s="189"/>
      <c r="BN105" s="189"/>
      <c r="BO105" s="189"/>
      <c r="BP105" s="251"/>
      <c r="BQ105" s="251"/>
      <c r="BR105" s="189"/>
      <c r="BS105" s="189"/>
      <c r="BT105" s="189"/>
      <c r="BU105" s="189"/>
      <c r="BV105" s="189"/>
      <c r="BW105" s="189"/>
      <c r="BX105" s="189"/>
      <c r="BY105" s="30"/>
      <c r="BZ105" s="30"/>
      <c r="CA105" s="30"/>
      <c r="CB105" s="30"/>
      <c r="CC105" s="30"/>
    </row>
    <row r="106" spans="1:81" s="40" customFormat="1">
      <c r="A106" s="37">
        <v>56</v>
      </c>
      <c r="B106" s="37">
        <f t="shared" si="23"/>
        <v>0.7068010003037023</v>
      </c>
      <c r="C106" s="37">
        <f t="shared" si="24"/>
        <v>0.98118840860622203</v>
      </c>
      <c r="D106" s="37">
        <f t="shared" si="25"/>
        <v>1.1803933887467688</v>
      </c>
      <c r="E106" s="37">
        <f t="shared" si="26"/>
        <v>1.3396563355008302</v>
      </c>
      <c r="F106" s="37">
        <f t="shared" si="27"/>
        <v>1.4729780319581987</v>
      </c>
      <c r="G106" s="37">
        <f t="shared" si="28"/>
        <v>1.5877025740066142</v>
      </c>
      <c r="H106" s="37">
        <f t="shared" si="29"/>
        <v>1.6882801576931112</v>
      </c>
      <c r="I106" s="37">
        <f t="shared" si="30"/>
        <v>1.7776605613604484</v>
      </c>
      <c r="J106" s="37">
        <f t="shared" si="31"/>
        <v>1.857922778846266</v>
      </c>
      <c r="K106" s="37">
        <f t="shared" si="32"/>
        <v>1.9305989288868342</v>
      </c>
      <c r="L106" s="37">
        <f t="shared" si="33"/>
        <v>1.9968570031237138</v>
      </c>
      <c r="M106" s="37">
        <f t="shared" si="34"/>
        <v>2.0576113769837332</v>
      </c>
      <c r="N106" s="37"/>
      <c r="O106" s="37"/>
      <c r="P106" s="37"/>
      <c r="Q106" s="37"/>
      <c r="R106" s="37"/>
      <c r="S106" s="37"/>
      <c r="T106" s="37"/>
      <c r="U106" s="37"/>
      <c r="V106" s="37"/>
      <c r="W106" s="37"/>
      <c r="X106" s="37"/>
      <c r="Y106" s="37"/>
      <c r="Z106" s="255">
        <f>Smart!AX85</f>
        <v>40.704999999999998</v>
      </c>
      <c r="AA106" s="576" t="e">
        <f>Smart!H98+$Y$72</f>
        <v>#DIV/0!</v>
      </c>
      <c r="AB106" s="37" t="e">
        <f t="shared" si="22"/>
        <v>#DIV/0!</v>
      </c>
      <c r="AC106" s="38"/>
      <c r="AD106" s="38"/>
      <c r="AE106" s="256">
        <f t="shared" si="42"/>
        <v>0.44000000000000034</v>
      </c>
      <c r="AF106" s="39">
        <f t="shared" si="35"/>
        <v>11.12643162839646</v>
      </c>
      <c r="AG106" s="39">
        <f t="shared" si="36"/>
        <v>1.8</v>
      </c>
      <c r="AH106" s="38">
        <f t="shared" si="37"/>
        <v>0.62480000000000047</v>
      </c>
      <c r="AI106" s="38">
        <f t="shared" si="38"/>
        <v>0.55424203646851933</v>
      </c>
      <c r="AJ106" s="38"/>
      <c r="AK106" s="38"/>
      <c r="AL106" s="38"/>
      <c r="AM106" s="38"/>
      <c r="AN106" s="38"/>
      <c r="AO106" s="38"/>
      <c r="AP106" s="38"/>
      <c r="AQ106" s="38"/>
      <c r="AR106" s="39">
        <f t="shared" si="39"/>
        <v>11.174479662476296</v>
      </c>
      <c r="AS106" s="38">
        <f t="shared" si="21"/>
        <v>0.35999999999999965</v>
      </c>
      <c r="AT106" s="38">
        <f t="shared" si="40"/>
        <v>0.51119999999999943</v>
      </c>
      <c r="AU106" s="38"/>
      <c r="AV106" s="38">
        <f t="shared" si="41"/>
        <v>0.45347075711060592</v>
      </c>
      <c r="AW106" s="37"/>
      <c r="AX106" s="37"/>
      <c r="AY106" s="37"/>
      <c r="AZ106" s="37"/>
      <c r="BA106" s="37"/>
      <c r="BB106" s="37"/>
      <c r="BC106" s="37"/>
      <c r="BD106" s="37"/>
      <c r="BE106" s="37"/>
      <c r="BF106" s="37"/>
      <c r="BG106" s="37"/>
      <c r="BH106" s="37"/>
      <c r="BI106" s="37"/>
      <c r="BJ106" s="37"/>
      <c r="BK106" s="189"/>
      <c r="BL106" s="189"/>
      <c r="BM106" s="189"/>
      <c r="BN106" s="189"/>
      <c r="BO106" s="189"/>
      <c r="BP106" s="251"/>
      <c r="BQ106" s="251"/>
      <c r="BR106" s="189"/>
      <c r="BS106" s="189"/>
      <c r="BT106" s="189"/>
      <c r="BU106" s="189"/>
      <c r="BV106" s="189"/>
      <c r="BW106" s="189"/>
      <c r="BX106" s="189"/>
      <c r="BY106" s="30"/>
      <c r="BZ106" s="30"/>
      <c r="CA106" s="30"/>
      <c r="CB106" s="30"/>
      <c r="CC106" s="30"/>
    </row>
    <row r="107" spans="1:81" s="40" customFormat="1">
      <c r="A107" s="37">
        <v>57</v>
      </c>
      <c r="B107" s="37">
        <f t="shared" si="23"/>
        <v>0.70057355732482851</v>
      </c>
      <c r="C107" s="37">
        <f t="shared" si="24"/>
        <v>0.97254340829708041</v>
      </c>
      <c r="D107" s="37">
        <f t="shared" si="25"/>
        <v>1.1699932442677692</v>
      </c>
      <c r="E107" s="37">
        <f t="shared" si="26"/>
        <v>1.3278529659002869</v>
      </c>
      <c r="F107" s="37">
        <f t="shared" si="27"/>
        <v>1.4599999989627557</v>
      </c>
      <c r="G107" s="37">
        <f t="shared" si="28"/>
        <v>1.573713732390956</v>
      </c>
      <c r="H107" s="37">
        <f t="shared" si="29"/>
        <v>1.6734051526918727</v>
      </c>
      <c r="I107" s="37">
        <f t="shared" si="30"/>
        <v>1.7619980484651525</v>
      </c>
      <c r="J107" s="37">
        <f t="shared" si="31"/>
        <v>1.8415530960650528</v>
      </c>
      <c r="K107" s="37">
        <f t="shared" si="32"/>
        <v>1.9135889151212175</v>
      </c>
      <c r="L107" s="37">
        <f t="shared" si="33"/>
        <v>1.9792632063993538</v>
      </c>
      <c r="M107" s="37">
        <f t="shared" si="34"/>
        <v>2.0394822889980877</v>
      </c>
      <c r="N107" s="37"/>
      <c r="O107" s="37"/>
      <c r="P107" s="37"/>
      <c r="Q107" s="37"/>
      <c r="R107" s="37"/>
      <c r="S107" s="37"/>
      <c r="T107" s="37"/>
      <c r="U107" s="37"/>
      <c r="V107" s="37"/>
      <c r="W107" s="37"/>
      <c r="X107" s="37"/>
      <c r="Y107" s="37"/>
      <c r="Z107" s="255">
        <f>Smart!AX86</f>
        <v>40.704999999999998</v>
      </c>
      <c r="AA107" s="576">
        <f>Smart!H99+$Y$72</f>
        <v>0</v>
      </c>
      <c r="AB107" s="37">
        <f t="shared" si="22"/>
        <v>0</v>
      </c>
      <c r="AC107" s="38"/>
      <c r="AD107" s="38"/>
      <c r="AE107" s="256">
        <f t="shared" si="42"/>
        <v>0.44800000000000034</v>
      </c>
      <c r="AF107" s="39">
        <f t="shared" si="35"/>
        <v>11.121626824988477</v>
      </c>
      <c r="AG107" s="39">
        <f t="shared" si="36"/>
        <v>1.8</v>
      </c>
      <c r="AH107" s="38">
        <f t="shared" si="37"/>
        <v>0.6361600000000005</v>
      </c>
      <c r="AI107" s="38">
        <f t="shared" si="38"/>
        <v>0.56431916440431062</v>
      </c>
      <c r="AJ107" s="38"/>
      <c r="AK107" s="38"/>
      <c r="AL107" s="38"/>
      <c r="AM107" s="38"/>
      <c r="AN107" s="38"/>
      <c r="AO107" s="38"/>
      <c r="AP107" s="38"/>
      <c r="AQ107" s="38"/>
      <c r="AR107" s="39">
        <f t="shared" si="39"/>
        <v>11.179284465884281</v>
      </c>
      <c r="AS107" s="38">
        <f t="shared" si="21"/>
        <v>0.35199999999999965</v>
      </c>
      <c r="AT107" s="38">
        <f t="shared" si="40"/>
        <v>0.49983999999999945</v>
      </c>
      <c r="AU107" s="38"/>
      <c r="AV107" s="38">
        <f t="shared" si="41"/>
        <v>0.44339362917481467</v>
      </c>
      <c r="AW107" s="37"/>
      <c r="AX107" s="37"/>
      <c r="AY107" s="37"/>
      <c r="AZ107" s="37"/>
      <c r="BA107" s="37"/>
      <c r="BB107" s="37"/>
      <c r="BC107" s="37"/>
      <c r="BD107" s="37"/>
      <c r="BE107" s="37"/>
      <c r="BF107" s="37"/>
      <c r="BG107" s="37"/>
      <c r="BH107" s="37"/>
      <c r="BI107" s="37"/>
      <c r="BJ107" s="37"/>
      <c r="BK107" s="189"/>
      <c r="BL107" s="189"/>
      <c r="BM107" s="189"/>
      <c r="BN107" s="189"/>
      <c r="BO107" s="189"/>
      <c r="BP107" s="251"/>
      <c r="BQ107" s="251"/>
      <c r="BR107" s="189"/>
      <c r="BS107" s="189"/>
      <c r="BT107" s="189"/>
      <c r="BU107" s="189"/>
      <c r="BV107" s="189"/>
      <c r="BW107" s="189"/>
      <c r="BX107" s="189"/>
      <c r="BY107" s="30"/>
      <c r="BZ107" s="30"/>
      <c r="CA107" s="30"/>
      <c r="CB107" s="30"/>
      <c r="CC107" s="30"/>
    </row>
    <row r="108" spans="1:81" s="40" customFormat="1">
      <c r="A108" s="37">
        <v>58</v>
      </c>
      <c r="B108" s="37">
        <f t="shared" si="23"/>
        <v>0.69450787123090452</v>
      </c>
      <c r="C108" s="37">
        <f t="shared" si="24"/>
        <v>0.96412296055712987</v>
      </c>
      <c r="D108" s="37">
        <f t="shared" si="25"/>
        <v>1.1598632419610315</v>
      </c>
      <c r="E108" s="37">
        <f t="shared" si="26"/>
        <v>1.3163561870312799</v>
      </c>
      <c r="F108" s="37">
        <f t="shared" si="27"/>
        <v>1.4473590684020106</v>
      </c>
      <c r="G108" s="37">
        <f t="shared" si="28"/>
        <v>1.5600882488102861</v>
      </c>
      <c r="H108" s="37">
        <f t="shared" si="29"/>
        <v>1.6589165236848868</v>
      </c>
      <c r="I108" s="37">
        <f t="shared" si="30"/>
        <v>1.7467423669619742</v>
      </c>
      <c r="J108" s="37">
        <f t="shared" si="31"/>
        <v>1.8256086133062708</v>
      </c>
      <c r="K108" s="37">
        <f t="shared" si="32"/>
        <v>1.8970207338780365</v>
      </c>
      <c r="L108" s="37">
        <f t="shared" si="33"/>
        <v>1.9621264058710615</v>
      </c>
      <c r="M108" s="37">
        <f t="shared" si="34"/>
        <v>2.0218241013176699</v>
      </c>
      <c r="N108" s="37"/>
      <c r="O108" s="37"/>
      <c r="P108" s="37"/>
      <c r="Q108" s="37"/>
      <c r="R108" s="37"/>
      <c r="S108" s="37"/>
      <c r="T108" s="37"/>
      <c r="U108" s="37"/>
      <c r="V108" s="37"/>
      <c r="W108" s="37"/>
      <c r="X108" s="37"/>
      <c r="Y108" s="37"/>
      <c r="Z108" s="255">
        <f>Smart!AX87</f>
        <v>40.704999999999998</v>
      </c>
      <c r="AA108" s="576">
        <f>Smart!H100+$Y$72</f>
        <v>0</v>
      </c>
      <c r="AB108" s="37">
        <f t="shared" si="22"/>
        <v>0</v>
      </c>
      <c r="AC108" s="38"/>
      <c r="AD108" s="38"/>
      <c r="AE108" s="256">
        <f t="shared" si="42"/>
        <v>0.45600000000000035</v>
      </c>
      <c r="AF108" s="39">
        <f t="shared" si="35"/>
        <v>11.116822021580493</v>
      </c>
      <c r="AG108" s="39">
        <f t="shared" si="36"/>
        <v>1.8</v>
      </c>
      <c r="AH108" s="38">
        <f t="shared" si="37"/>
        <v>0.64752000000000043</v>
      </c>
      <c r="AI108" s="38">
        <f t="shared" si="38"/>
        <v>0.57439629234010192</v>
      </c>
      <c r="AJ108" s="38"/>
      <c r="AK108" s="38"/>
      <c r="AL108" s="38"/>
      <c r="AM108" s="38"/>
      <c r="AN108" s="38"/>
      <c r="AO108" s="38"/>
      <c r="AP108" s="38"/>
      <c r="AQ108" s="38"/>
      <c r="AR108" s="39">
        <f t="shared" si="39"/>
        <v>11.184089269292265</v>
      </c>
      <c r="AS108" s="38">
        <f t="shared" si="21"/>
        <v>0.34399999999999964</v>
      </c>
      <c r="AT108" s="38">
        <f t="shared" si="40"/>
        <v>0.48847999999999947</v>
      </c>
      <c r="AU108" s="38"/>
      <c r="AV108" s="38">
        <f t="shared" si="41"/>
        <v>0.43331650123902338</v>
      </c>
      <c r="AW108" s="37"/>
      <c r="AX108" s="37"/>
      <c r="AY108" s="37"/>
      <c r="AZ108" s="37"/>
      <c r="BA108" s="37"/>
      <c r="BB108" s="37"/>
      <c r="BC108" s="37"/>
      <c r="BD108" s="37"/>
      <c r="BE108" s="37"/>
      <c r="BF108" s="37"/>
      <c r="BG108" s="37"/>
      <c r="BH108" s="37"/>
      <c r="BI108" s="37"/>
      <c r="BJ108" s="37"/>
      <c r="BK108" s="189"/>
      <c r="BL108" s="189"/>
      <c r="BM108" s="189"/>
      <c r="BN108" s="189"/>
      <c r="BO108" s="189"/>
      <c r="BP108" s="251"/>
      <c r="BQ108" s="251"/>
      <c r="BR108" s="189"/>
      <c r="BS108" s="189"/>
      <c r="BT108" s="189"/>
      <c r="BU108" s="189"/>
      <c r="BV108" s="189"/>
      <c r="BW108" s="189"/>
      <c r="BX108" s="189"/>
      <c r="BY108" s="30"/>
      <c r="BZ108" s="30"/>
      <c r="CA108" s="30"/>
      <c r="CB108" s="30"/>
      <c r="CC108" s="30"/>
    </row>
    <row r="109" spans="1:81" s="40" customFormat="1">
      <c r="A109" s="37">
        <v>59</v>
      </c>
      <c r="B109" s="37">
        <f t="shared" si="23"/>
        <v>0.68859705845300323</v>
      </c>
      <c r="C109" s="37">
        <f t="shared" si="24"/>
        <v>0.95591750954528021</v>
      </c>
      <c r="D109" s="37">
        <f t="shared" si="25"/>
        <v>1.1499918859185858</v>
      </c>
      <c r="E109" s="37">
        <f t="shared" si="26"/>
        <v>1.3051529519163434</v>
      </c>
      <c r="F109" s="37">
        <f t="shared" si="27"/>
        <v>1.4350408948720845</v>
      </c>
      <c r="G109" s="37">
        <f t="shared" si="28"/>
        <v>1.5468106605528944</v>
      </c>
      <c r="H109" s="37">
        <f t="shared" si="29"/>
        <v>1.64479782843052</v>
      </c>
      <c r="I109" s="37">
        <f t="shared" si="30"/>
        <v>1.7318762041292308</v>
      </c>
      <c r="J109" s="37">
        <f t="shared" si="31"/>
        <v>1.8100712361706419</v>
      </c>
      <c r="K109" s="37">
        <f t="shared" si="32"/>
        <v>1.8808755829614934</v>
      </c>
      <c r="L109" s="37">
        <f t="shared" si="33"/>
        <v>1.9454271540524679</v>
      </c>
      <c r="M109" s="37">
        <f t="shared" si="34"/>
        <v>2.0046167747663426</v>
      </c>
      <c r="N109" s="37"/>
      <c r="O109" s="37"/>
      <c r="P109" s="37"/>
      <c r="Q109" s="37"/>
      <c r="R109" s="37"/>
      <c r="S109" s="37"/>
      <c r="T109" s="37"/>
      <c r="U109" s="37"/>
      <c r="V109" s="37"/>
      <c r="W109" s="37"/>
      <c r="X109" s="37"/>
      <c r="Y109" s="37"/>
      <c r="Z109" s="255">
        <f>Smart!AX88</f>
        <v>40.704999999999998</v>
      </c>
      <c r="AA109" s="576">
        <f>Smart!H101+$Y$72</f>
        <v>0</v>
      </c>
      <c r="AB109" s="37">
        <f t="shared" si="22"/>
        <v>0</v>
      </c>
      <c r="AC109" s="38"/>
      <c r="AD109" s="38"/>
      <c r="AE109" s="256">
        <f t="shared" si="42"/>
        <v>0.46400000000000036</v>
      </c>
      <c r="AF109" s="39">
        <f t="shared" si="35"/>
        <v>11.112017218172509</v>
      </c>
      <c r="AG109" s="39">
        <f t="shared" si="36"/>
        <v>1.8</v>
      </c>
      <c r="AH109" s="38">
        <f t="shared" si="37"/>
        <v>0.65888000000000047</v>
      </c>
      <c r="AI109" s="38">
        <f t="shared" si="38"/>
        <v>0.58447342027589311</v>
      </c>
      <c r="AJ109" s="38"/>
      <c r="AK109" s="38"/>
      <c r="AL109" s="38"/>
      <c r="AM109" s="38"/>
      <c r="AN109" s="38"/>
      <c r="AO109" s="38"/>
      <c r="AP109" s="38"/>
      <c r="AQ109" s="38"/>
      <c r="AR109" s="39">
        <f t="shared" si="39"/>
        <v>11.188894072700247</v>
      </c>
      <c r="AS109" s="38">
        <f t="shared" si="21"/>
        <v>0.33599999999999963</v>
      </c>
      <c r="AT109" s="38">
        <f t="shared" si="40"/>
        <v>0.47711999999999943</v>
      </c>
      <c r="AU109" s="38"/>
      <c r="AV109" s="38">
        <f t="shared" si="41"/>
        <v>0.42323937330323214</v>
      </c>
      <c r="AW109" s="37"/>
      <c r="AX109" s="37"/>
      <c r="AY109" s="37"/>
      <c r="AZ109" s="37"/>
      <c r="BA109" s="37"/>
      <c r="BB109" s="37"/>
      <c r="BC109" s="37"/>
      <c r="BD109" s="37"/>
      <c r="BE109" s="37"/>
      <c r="BF109" s="37"/>
      <c r="BG109" s="37"/>
      <c r="BH109" s="37"/>
      <c r="BI109" s="37"/>
      <c r="BJ109" s="37"/>
      <c r="BK109" s="189"/>
      <c r="BL109" s="189"/>
      <c r="BM109" s="189"/>
      <c r="BN109" s="189"/>
      <c r="BO109" s="189"/>
      <c r="BP109" s="251"/>
      <c r="BQ109" s="251"/>
      <c r="BR109" s="189"/>
      <c r="BS109" s="189"/>
      <c r="BT109" s="189"/>
      <c r="BU109" s="189"/>
      <c r="BV109" s="189"/>
      <c r="BW109" s="189"/>
      <c r="BX109" s="189"/>
      <c r="BY109" s="30"/>
      <c r="BZ109" s="30"/>
      <c r="CA109" s="30"/>
      <c r="CB109" s="30"/>
      <c r="CC109" s="30"/>
    </row>
    <row r="110" spans="1:81" s="40" customFormat="1">
      <c r="A110" s="37">
        <v>60</v>
      </c>
      <c r="B110" s="37">
        <f t="shared" si="23"/>
        <v>0.68283463866563365</v>
      </c>
      <c r="C110" s="37">
        <f t="shared" si="24"/>
        <v>0.94791805920712191</v>
      </c>
      <c r="D110" s="37">
        <f t="shared" si="25"/>
        <v>1.1403683536693785</v>
      </c>
      <c r="E110" s="37">
        <f t="shared" si="26"/>
        <v>1.2942309778774725</v>
      </c>
      <c r="F110" s="37">
        <f t="shared" si="27"/>
        <v>1.4230319733311283</v>
      </c>
      <c r="G110" s="37">
        <f t="shared" si="28"/>
        <v>1.5338664107216378</v>
      </c>
      <c r="H110" s="37">
        <f t="shared" si="29"/>
        <v>1.6310335878831326</v>
      </c>
      <c r="I110" s="37">
        <f t="shared" si="30"/>
        <v>1.717383261434458</v>
      </c>
      <c r="J110" s="37">
        <f t="shared" si="31"/>
        <v>1.7949239302392297</v>
      </c>
      <c r="K110" s="37">
        <f t="shared" si="32"/>
        <v>1.8651357616192605</v>
      </c>
      <c r="L110" s="37">
        <f t="shared" si="33"/>
        <v>1.9291471427021682</v>
      </c>
      <c r="M110" s="37">
        <f t="shared" si="34"/>
        <v>1.9878414440744607</v>
      </c>
      <c r="N110" s="37"/>
      <c r="O110" s="37"/>
      <c r="P110" s="37"/>
      <c r="Q110" s="37"/>
      <c r="R110" s="37"/>
      <c r="S110" s="37"/>
      <c r="T110" s="37"/>
      <c r="U110" s="37"/>
      <c r="V110" s="37"/>
      <c r="W110" s="37"/>
      <c r="X110" s="37"/>
      <c r="Y110" s="37"/>
      <c r="Z110" s="255">
        <f>Smart!AX89</f>
        <v>40.704999999999998</v>
      </c>
      <c r="AA110" s="576">
        <f>Smart!H102+$Y$72</f>
        <v>0</v>
      </c>
      <c r="AB110" s="37">
        <f t="shared" si="22"/>
        <v>0</v>
      </c>
      <c r="AC110" s="38"/>
      <c r="AD110" s="38"/>
      <c r="AE110" s="256">
        <f t="shared" si="42"/>
        <v>0.47200000000000036</v>
      </c>
      <c r="AF110" s="39">
        <f t="shared" si="35"/>
        <v>11.107212414764524</v>
      </c>
      <c r="AG110" s="39">
        <f t="shared" si="36"/>
        <v>1.8</v>
      </c>
      <c r="AH110" s="38">
        <f t="shared" si="37"/>
        <v>0.6702400000000005</v>
      </c>
      <c r="AI110" s="38">
        <f t="shared" si="38"/>
        <v>0.59455054821168429</v>
      </c>
      <c r="AJ110" s="38"/>
      <c r="AK110" s="38"/>
      <c r="AL110" s="38"/>
      <c r="AM110" s="38"/>
      <c r="AN110" s="38"/>
      <c r="AO110" s="38"/>
      <c r="AP110" s="38"/>
      <c r="AQ110" s="38"/>
      <c r="AR110" s="39">
        <f t="shared" si="39"/>
        <v>11.193698876108233</v>
      </c>
      <c r="AS110" s="38">
        <f t="shared" si="21"/>
        <v>0.32799999999999963</v>
      </c>
      <c r="AT110" s="38">
        <f t="shared" si="40"/>
        <v>0.46575999999999945</v>
      </c>
      <c r="AU110" s="38"/>
      <c r="AV110" s="38">
        <f t="shared" si="41"/>
        <v>0.41316224536744084</v>
      </c>
      <c r="AW110" s="37"/>
      <c r="AX110" s="37"/>
      <c r="AY110" s="37"/>
      <c r="AZ110" s="37"/>
      <c r="BA110" s="37"/>
      <c r="BB110" s="37"/>
      <c r="BC110" s="37"/>
      <c r="BD110" s="37"/>
      <c r="BE110" s="37"/>
      <c r="BF110" s="37"/>
      <c r="BG110" s="37"/>
      <c r="BH110" s="37"/>
      <c r="BI110" s="37"/>
      <c r="BJ110" s="37"/>
      <c r="BK110" s="189"/>
      <c r="BL110" s="189"/>
      <c r="BM110" s="189"/>
      <c r="BN110" s="189"/>
      <c r="BO110" s="189"/>
      <c r="BP110" s="251"/>
      <c r="BQ110" s="251"/>
      <c r="BR110" s="189"/>
      <c r="BS110" s="189"/>
      <c r="BT110" s="189"/>
      <c r="BU110" s="189"/>
      <c r="BV110" s="189"/>
      <c r="BW110" s="189"/>
      <c r="BX110" s="189"/>
      <c r="BY110" s="30"/>
      <c r="BZ110" s="30"/>
      <c r="CA110" s="30"/>
      <c r="CB110" s="30"/>
      <c r="CC110" s="30"/>
    </row>
    <row r="111" spans="1:81" s="40" customFormat="1">
      <c r="A111" s="37">
        <v>61</v>
      </c>
      <c r="B111" s="37">
        <f t="shared" si="23"/>
        <v>0.67721450491492985</v>
      </c>
      <c r="C111" s="37">
        <f t="shared" si="24"/>
        <v>0.94011613180656972</v>
      </c>
      <c r="D111" s="37">
        <f t="shared" si="25"/>
        <v>1.1309824462918383</v>
      </c>
      <c r="E111" s="37">
        <f t="shared" si="26"/>
        <v>1.2835786899176971</v>
      </c>
      <c r="F111" s="37">
        <f t="shared" si="27"/>
        <v>1.4113195768462672</v>
      </c>
      <c r="G111" s="37">
        <f t="shared" si="28"/>
        <v>1.5212417811322347</v>
      </c>
      <c r="H111" s="37">
        <f t="shared" si="29"/>
        <v>1.6176092148406249</v>
      </c>
      <c r="I111" s="37">
        <f t="shared" si="30"/>
        <v>1.7032481794044325</v>
      </c>
      <c r="J111" s="37">
        <f t="shared" si="31"/>
        <v>1.7801506425513112</v>
      </c>
      <c r="K111" s="37">
        <f t="shared" si="32"/>
        <v>1.8497845889488096</v>
      </c>
      <c r="L111" s="37">
        <f t="shared" si="33"/>
        <v>1.9132691184297594</v>
      </c>
      <c r="M111" s="37">
        <f t="shared" si="34"/>
        <v>1.9714803309172217</v>
      </c>
      <c r="N111" s="37"/>
      <c r="O111" s="37"/>
      <c r="P111" s="37"/>
      <c r="Q111" s="37"/>
      <c r="R111" s="37"/>
      <c r="S111" s="37"/>
      <c r="T111" s="37"/>
      <c r="U111" s="37"/>
      <c r="V111" s="37"/>
      <c r="W111" s="37"/>
      <c r="X111" s="37"/>
      <c r="Y111" s="37"/>
      <c r="Z111" s="255">
        <f>Smart!AX90</f>
        <v>40.704999999999998</v>
      </c>
      <c r="AA111" s="576">
        <f>Smart!H103+$Y$72</f>
        <v>0</v>
      </c>
      <c r="AB111" s="37">
        <f t="shared" si="22"/>
        <v>0</v>
      </c>
      <c r="AC111" s="38"/>
      <c r="AD111" s="38"/>
      <c r="AE111" s="256">
        <f t="shared" si="42"/>
        <v>0.48000000000000037</v>
      </c>
      <c r="AF111" s="39">
        <f t="shared" si="35"/>
        <v>11.10240761135654</v>
      </c>
      <c r="AG111" s="39">
        <f t="shared" si="36"/>
        <v>1.8</v>
      </c>
      <c r="AH111" s="38">
        <f t="shared" si="37"/>
        <v>0.68160000000000054</v>
      </c>
      <c r="AI111" s="38">
        <f t="shared" si="38"/>
        <v>0.6046276761474757</v>
      </c>
      <c r="AJ111" s="38"/>
      <c r="AK111" s="38"/>
      <c r="AL111" s="38"/>
      <c r="AM111" s="38"/>
      <c r="AN111" s="38"/>
      <c r="AO111" s="38"/>
      <c r="AP111" s="38"/>
      <c r="AQ111" s="38"/>
      <c r="AR111" s="39">
        <f t="shared" si="39"/>
        <v>11.198503679516215</v>
      </c>
      <c r="AS111" s="38">
        <f t="shared" si="21"/>
        <v>0.31999999999999962</v>
      </c>
      <c r="AT111" s="38">
        <f t="shared" si="40"/>
        <v>0.45439999999999942</v>
      </c>
      <c r="AU111" s="38"/>
      <c r="AV111" s="38">
        <f t="shared" si="41"/>
        <v>0.4030851174316496</v>
      </c>
      <c r="AW111" s="37"/>
      <c r="AX111" s="37"/>
      <c r="AY111" s="37"/>
      <c r="AZ111" s="37"/>
      <c r="BA111" s="37"/>
      <c r="BB111" s="37"/>
      <c r="BC111" s="37"/>
      <c r="BD111" s="37"/>
      <c r="BE111" s="37"/>
      <c r="BF111" s="37"/>
      <c r="BG111" s="37"/>
      <c r="BH111" s="37"/>
      <c r="BI111" s="37"/>
      <c r="BJ111" s="37"/>
      <c r="BK111" s="189"/>
      <c r="BL111" s="189"/>
      <c r="BM111" s="189"/>
      <c r="BN111" s="189"/>
      <c r="BO111" s="189"/>
      <c r="BP111" s="251"/>
      <c r="BQ111" s="251"/>
      <c r="BR111" s="189"/>
      <c r="BS111" s="189"/>
      <c r="BT111" s="189"/>
      <c r="BU111" s="189"/>
      <c r="BV111" s="189"/>
      <c r="BW111" s="189"/>
      <c r="BX111" s="189"/>
      <c r="BY111" s="30"/>
      <c r="BZ111" s="30"/>
      <c r="CA111" s="30"/>
      <c r="CB111" s="30"/>
      <c r="CC111" s="30"/>
    </row>
    <row r="112" spans="1:81" s="40" customFormat="1">
      <c r="A112" s="37">
        <v>62</v>
      </c>
      <c r="B112" s="37">
        <f t="shared" si="23"/>
        <v>0.67173089640768413</v>
      </c>
      <c r="C112" s="37">
        <f t="shared" si="24"/>
        <v>0.93250373015131993</v>
      </c>
      <c r="D112" s="37">
        <f t="shared" si="25"/>
        <v>1.1218245429701861</v>
      </c>
      <c r="E112" s="37">
        <f t="shared" si="26"/>
        <v>1.2731851691459644</v>
      </c>
      <c r="F112" s="37">
        <f t="shared" si="27"/>
        <v>1.3998916998857625</v>
      </c>
      <c r="G112" s="37">
        <f t="shared" si="28"/>
        <v>1.5089238311886752</v>
      </c>
      <c r="H112" s="37">
        <f t="shared" si="29"/>
        <v>1.6045109489477325</v>
      </c>
      <c r="I112" s="37">
        <f t="shared" si="30"/>
        <v>1.6894564691874365</v>
      </c>
      <c r="J112" s="37">
        <f t="shared" si="31"/>
        <v>1.7657362300766408</v>
      </c>
      <c r="K112" s="37">
        <f t="shared" si="32"/>
        <v>1.8348063295717367</v>
      </c>
      <c r="L112" s="37">
        <f t="shared" si="33"/>
        <v>1.897776805819311</v>
      </c>
      <c r="M112" s="37">
        <f t="shared" si="34"/>
        <v>1.9555166646991697</v>
      </c>
      <c r="N112" s="37"/>
      <c r="O112" s="37"/>
      <c r="P112" s="37"/>
      <c r="Q112" s="37"/>
      <c r="R112" s="37"/>
      <c r="S112" s="37"/>
      <c r="T112" s="37"/>
      <c r="U112" s="37"/>
      <c r="V112" s="37"/>
      <c r="W112" s="37"/>
      <c r="X112" s="37"/>
      <c r="Y112" s="37"/>
      <c r="Z112" s="255">
        <f>Smart!AX91</f>
        <v>40.704999999999998</v>
      </c>
      <c r="AA112" s="576" t="e">
        <f>Smart!H104+$Y$72</f>
        <v>#DIV/0!</v>
      </c>
      <c r="AB112" s="37" t="e">
        <f t="shared" si="22"/>
        <v>#DIV/0!</v>
      </c>
      <c r="AC112" s="38"/>
      <c r="AD112" s="38"/>
      <c r="AE112" s="256">
        <f t="shared" si="42"/>
        <v>0.48800000000000038</v>
      </c>
      <c r="AF112" s="39">
        <f t="shared" si="35"/>
        <v>11.097602807948558</v>
      </c>
      <c r="AG112" s="39">
        <f t="shared" si="36"/>
        <v>1.8</v>
      </c>
      <c r="AH112" s="38">
        <f t="shared" si="37"/>
        <v>0.69296000000000046</v>
      </c>
      <c r="AI112" s="38">
        <f t="shared" si="38"/>
        <v>0.614704804083267</v>
      </c>
      <c r="AJ112" s="38"/>
      <c r="AK112" s="38"/>
      <c r="AL112" s="38"/>
      <c r="AM112" s="38"/>
      <c r="AN112" s="38"/>
      <c r="AO112" s="38"/>
      <c r="AP112" s="38"/>
      <c r="AQ112" s="38"/>
      <c r="AR112" s="39">
        <f t="shared" si="39"/>
        <v>11.203308482924198</v>
      </c>
      <c r="AS112" s="38">
        <f t="shared" si="21"/>
        <v>0.31199999999999961</v>
      </c>
      <c r="AT112" s="38">
        <f t="shared" si="40"/>
        <v>0.44303999999999943</v>
      </c>
      <c r="AU112" s="38"/>
      <c r="AV112" s="38">
        <f t="shared" si="41"/>
        <v>0.39300798949585836</v>
      </c>
      <c r="AW112" s="37"/>
      <c r="AX112" s="37"/>
      <c r="AY112" s="37"/>
      <c r="AZ112" s="37"/>
      <c r="BA112" s="37"/>
      <c r="BB112" s="37"/>
      <c r="BC112" s="37"/>
      <c r="BD112" s="37"/>
      <c r="BE112" s="37"/>
      <c r="BF112" s="37"/>
      <c r="BG112" s="37"/>
      <c r="BH112" s="37"/>
      <c r="BI112" s="37"/>
      <c r="BJ112" s="37"/>
      <c r="BK112" s="189"/>
      <c r="BL112" s="189"/>
      <c r="BM112" s="189"/>
      <c r="BN112" s="189"/>
      <c r="BO112" s="189"/>
      <c r="BP112" s="251"/>
      <c r="BQ112" s="251"/>
      <c r="BR112" s="189"/>
      <c r="BS112" s="189"/>
      <c r="BT112" s="189"/>
      <c r="BU112" s="189"/>
      <c r="BV112" s="189"/>
      <c r="BW112" s="189"/>
      <c r="BX112" s="189"/>
      <c r="BY112" s="30"/>
      <c r="BZ112" s="30"/>
      <c r="CA112" s="30"/>
      <c r="CB112" s="30"/>
      <c r="CC112" s="30"/>
    </row>
    <row r="113" spans="1:81" s="40" customFormat="1">
      <c r="A113" s="37">
        <v>63</v>
      </c>
      <c r="B113" s="37">
        <f t="shared" si="23"/>
        <v>0.66637837368557717</v>
      </c>
      <c r="C113" s="37">
        <f t="shared" si="24"/>
        <v>0.92507330312946223</v>
      </c>
      <c r="D113" s="37">
        <f t="shared" si="25"/>
        <v>1.1128855595341451</v>
      </c>
      <c r="E113" s="37">
        <f t="shared" si="26"/>
        <v>1.2630401057228768</v>
      </c>
      <c r="F113" s="37">
        <f t="shared" si="27"/>
        <v>1.3887370065819431</v>
      </c>
      <c r="G113" s="37">
        <f t="shared" si="28"/>
        <v>1.496900342116551</v>
      </c>
      <c r="H113" s="37">
        <f t="shared" si="29"/>
        <v>1.5917257973966568</v>
      </c>
      <c r="I113" s="37">
        <f t="shared" si="30"/>
        <v>1.6759944501144775</v>
      </c>
      <c r="J113" s="37">
        <f t="shared" si="31"/>
        <v>1.7516663944575324</v>
      </c>
      <c r="K113" s="37">
        <f t="shared" si="32"/>
        <v>1.8201861258231542</v>
      </c>
      <c r="L113" s="37">
        <f t="shared" si="33"/>
        <v>1.8826548372915002</v>
      </c>
      <c r="M113" s="37">
        <f t="shared" si="34"/>
        <v>1.9399346102823836</v>
      </c>
      <c r="N113" s="37"/>
      <c r="O113" s="37"/>
      <c r="P113" s="37"/>
      <c r="Q113" s="37"/>
      <c r="R113" s="37"/>
      <c r="S113" s="37"/>
      <c r="T113" s="37"/>
      <c r="U113" s="37"/>
      <c r="V113" s="37"/>
      <c r="W113" s="37"/>
      <c r="X113" s="37"/>
      <c r="Y113" s="37"/>
      <c r="Z113" s="255">
        <f>Smart!AX92</f>
        <v>40.704999999999998</v>
      </c>
      <c r="AA113" s="576" t="e">
        <f>Smart!H105+$Y$72</f>
        <v>#DIV/0!</v>
      </c>
      <c r="AB113" s="37" t="e">
        <f t="shared" si="22"/>
        <v>#DIV/0!</v>
      </c>
      <c r="AC113" s="38"/>
      <c r="AD113" s="38"/>
      <c r="AE113" s="256">
        <f t="shared" si="42"/>
        <v>0.49600000000000039</v>
      </c>
      <c r="AF113" s="39">
        <f t="shared" si="35"/>
        <v>11.092798004540574</v>
      </c>
      <c r="AG113" s="39">
        <f t="shared" si="36"/>
        <v>1.8</v>
      </c>
      <c r="AH113" s="38">
        <f t="shared" si="37"/>
        <v>0.7043200000000005</v>
      </c>
      <c r="AI113" s="38">
        <f t="shared" si="38"/>
        <v>0.62478193201905818</v>
      </c>
      <c r="AJ113" s="38"/>
      <c r="AK113" s="38"/>
      <c r="AL113" s="38"/>
      <c r="AM113" s="38"/>
      <c r="AN113" s="38"/>
      <c r="AO113" s="38"/>
      <c r="AP113" s="38"/>
      <c r="AQ113" s="38"/>
      <c r="AR113" s="39">
        <f t="shared" si="39"/>
        <v>11.208113286332182</v>
      </c>
      <c r="AS113" s="38">
        <f t="shared" si="21"/>
        <v>0.3039999999999996</v>
      </c>
      <c r="AT113" s="38">
        <f t="shared" si="40"/>
        <v>0.4316799999999994</v>
      </c>
      <c r="AU113" s="38"/>
      <c r="AV113" s="38">
        <f t="shared" si="41"/>
        <v>0.38293086156006712</v>
      </c>
      <c r="AW113" s="37"/>
      <c r="AX113" s="37"/>
      <c r="AY113" s="37"/>
      <c r="AZ113" s="37"/>
      <c r="BA113" s="37"/>
      <c r="BB113" s="37"/>
      <c r="BC113" s="37"/>
      <c r="BD113" s="37"/>
      <c r="BE113" s="37"/>
      <c r="BF113" s="37"/>
      <c r="BG113" s="37"/>
      <c r="BH113" s="37"/>
      <c r="BI113" s="37"/>
      <c r="BJ113" s="37"/>
      <c r="BK113" s="189"/>
      <c r="BL113" s="189"/>
      <c r="BM113" s="189"/>
      <c r="BN113" s="189"/>
      <c r="BO113" s="189"/>
      <c r="BP113" s="251"/>
      <c r="BQ113" s="251"/>
      <c r="BR113" s="189"/>
      <c r="BS113" s="189"/>
      <c r="BT113" s="189"/>
      <c r="BU113" s="189"/>
      <c r="BV113" s="189"/>
      <c r="BW113" s="189"/>
      <c r="BX113" s="189"/>
      <c r="BY113" s="30"/>
      <c r="BZ113" s="30"/>
      <c r="CA113" s="30"/>
      <c r="CB113" s="30"/>
      <c r="CC113" s="30"/>
    </row>
    <row r="114" spans="1:81" s="40" customFormat="1">
      <c r="A114" s="37">
        <v>64</v>
      </c>
      <c r="B114" s="37">
        <f t="shared" si="23"/>
        <v>0.66115179594138962</v>
      </c>
      <c r="C114" s="37">
        <f t="shared" si="24"/>
        <v>0.91781771421960978</v>
      </c>
      <c r="D114" s="37">
        <f t="shared" si="25"/>
        <v>1.1041569105758682</v>
      </c>
      <c r="E114" s="37">
        <f t="shared" si="26"/>
        <v>1.2531337558662976</v>
      </c>
      <c r="F114" s="37">
        <f t="shared" si="27"/>
        <v>1.3778447834580341</v>
      </c>
      <c r="G114" s="37">
        <f t="shared" si="28"/>
        <v>1.4851597660079623</v>
      </c>
      <c r="H114" s="37">
        <f t="shared" si="29"/>
        <v>1.5792414807440762</v>
      </c>
      <c r="I114" s="37">
        <f t="shared" si="30"/>
        <v>1.6628491926477584</v>
      </c>
      <c r="J114" s="37">
        <f t="shared" si="31"/>
        <v>1.7379276223814251</v>
      </c>
      <c r="K114" s="37">
        <f t="shared" si="32"/>
        <v>1.8059099357918205</v>
      </c>
      <c r="L114" s="37">
        <f t="shared" si="33"/>
        <v>1.8678886890172799</v>
      </c>
      <c r="M114" s="37">
        <f t="shared" si="34"/>
        <v>1.9247192019503216</v>
      </c>
      <c r="N114" s="37"/>
      <c r="O114" s="37"/>
      <c r="P114" s="37"/>
      <c r="Q114" s="37"/>
      <c r="R114" s="37"/>
      <c r="S114" s="37"/>
      <c r="T114" s="37"/>
      <c r="U114" s="37"/>
      <c r="V114" s="37"/>
      <c r="W114" s="37"/>
      <c r="X114" s="37"/>
      <c r="Y114" s="37"/>
      <c r="Z114" s="255">
        <f>Smart!AX93</f>
        <v>40.704999999999998</v>
      </c>
      <c r="AA114" s="576" t="e">
        <f>Smart!H106+$Y$72</f>
        <v>#DIV/0!</v>
      </c>
      <c r="AB114" s="37" t="e">
        <f t="shared" si="22"/>
        <v>#DIV/0!</v>
      </c>
      <c r="AC114" s="38"/>
      <c r="AD114" s="38"/>
      <c r="AE114" s="256">
        <f t="shared" si="42"/>
        <v>0.50400000000000034</v>
      </c>
      <c r="AF114" s="39">
        <f t="shared" si="35"/>
        <v>11.087993201132591</v>
      </c>
      <c r="AG114" s="39">
        <f t="shared" si="36"/>
        <v>1.8</v>
      </c>
      <c r="AH114" s="38">
        <f t="shared" si="37"/>
        <v>0.71568000000000043</v>
      </c>
      <c r="AI114" s="38">
        <f t="shared" si="38"/>
        <v>0.63485905995484937</v>
      </c>
      <c r="AJ114" s="38"/>
      <c r="AK114" s="38"/>
      <c r="AL114" s="38"/>
      <c r="AM114" s="38"/>
      <c r="AN114" s="38"/>
      <c r="AO114" s="38"/>
      <c r="AP114" s="38"/>
      <c r="AQ114" s="38"/>
      <c r="AR114" s="39">
        <f t="shared" si="39"/>
        <v>11.212918089740164</v>
      </c>
      <c r="AS114" s="38">
        <f t="shared" si="21"/>
        <v>0.2959999999999996</v>
      </c>
      <c r="AT114" s="38">
        <f t="shared" si="40"/>
        <v>0.42031999999999942</v>
      </c>
      <c r="AU114" s="38"/>
      <c r="AV114" s="38">
        <f t="shared" si="41"/>
        <v>0.37285373362427582</v>
      </c>
      <c r="AW114" s="37"/>
      <c r="AX114" s="37"/>
      <c r="AY114" s="37"/>
      <c r="AZ114" s="37"/>
      <c r="BA114" s="37"/>
      <c r="BB114" s="37"/>
      <c r="BC114" s="37"/>
      <c r="BD114" s="37"/>
      <c r="BE114" s="37"/>
      <c r="BF114" s="37"/>
      <c r="BG114" s="37"/>
      <c r="BH114" s="37"/>
      <c r="BI114" s="37"/>
      <c r="BJ114" s="37"/>
      <c r="BK114" s="189"/>
      <c r="BL114" s="189"/>
      <c r="BM114" s="189"/>
      <c r="BN114" s="189"/>
      <c r="BO114" s="189"/>
      <c r="BP114" s="251"/>
      <c r="BQ114" s="251"/>
      <c r="BR114" s="189"/>
      <c r="BS114" s="189"/>
      <c r="BT114" s="189"/>
      <c r="BU114" s="189"/>
      <c r="BV114" s="189"/>
      <c r="BW114" s="189"/>
      <c r="BX114" s="189"/>
      <c r="BY114" s="30"/>
      <c r="BZ114" s="30"/>
      <c r="CA114" s="30"/>
      <c r="CB114" s="30"/>
      <c r="CC114" s="30"/>
    </row>
    <row r="115" spans="1:81" s="40" customFormat="1">
      <c r="A115" s="37">
        <v>65</v>
      </c>
      <c r="B115" s="37">
        <f t="shared" ref="B115:B150" si="43">(M$31*SQRT(10/(O$39*(M$33+(M$33*0.00393*10))*($A115*0.01))))</f>
        <v>0.65604630026215016</v>
      </c>
      <c r="C115" s="37">
        <f t="shared" ref="C115:C150" si="44">(M$31*SQRT(20/(O$39*(M$33+(M$33*0.00393*20))*($A115*0.01))))</f>
        <v>0.91073021267602616</v>
      </c>
      <c r="D115" s="37">
        <f t="shared" ref="D115:D150" si="45">(M$31*SQRT(30/(O$39*(M$33+(M$33*0.00393*30))*($A115*0.01))))</f>
        <v>1.0956304747849457</v>
      </c>
      <c r="E115" s="37">
        <f t="shared" ref="E115:E150" si="46">$M$31*SQRT(40/($O$39*($M$33+($M$33*0.00393*40))*($A115*0.01)))</f>
        <v>1.2434569025092335</v>
      </c>
      <c r="F115" s="37">
        <f t="shared" ref="F115:F150" si="47">$M$31*SQRT(50/($O$39*($M$33+($M$33*0.00393*50))*($A115*0.01)))</f>
        <v>1.3672048961707415</v>
      </c>
      <c r="G115" s="37">
        <f t="shared" ref="G115:G150" si="48">$M$31*SQRT(60/($O$39*($M$33+($M$33*0.00393*60))*($A115*0.01)))</f>
        <v>1.4736911791949481</v>
      </c>
      <c r="H115" s="37">
        <f t="shared" ref="H115:H150" si="49">$M$31*SQRT(70/($O$39*($M$33+($M$33*0.00393*70))*($A115*0.01)))</f>
        <v>1.5670463833308801</v>
      </c>
      <c r="I115" s="37">
        <f t="shared" ref="I115:I150" si="50">$M$31*SQRT(80/($O$39*($M$33+($M$33*0.00393*80))*($A115*0.01)))</f>
        <v>1.6500084661755543</v>
      </c>
      <c r="J115" s="37">
        <f t="shared" ref="J115:J150" si="51">$M$31*SQRT(90/($O$39*($M$33+($M$33*0.00393*90))*($A115*0.01)))</f>
        <v>1.7245071310186733</v>
      </c>
      <c r="K115" s="37">
        <f t="shared" ref="K115:K150" si="52">$M$31*SQRT(100/($O$39*($M$33+($M$33*0.00393*100))*($A115*0.01)))</f>
        <v>1.7919644766236236</v>
      </c>
      <c r="L115" s="37">
        <f t="shared" ref="L115:L150" si="53">$M$31*SQRT(110/($O$39*($M$33+($M$33*0.00393*110))*($A115*0.01)))</f>
        <v>1.8534646222755427</v>
      </c>
      <c r="M115" s="37">
        <f t="shared" ref="M115:M150" si="54">$M$31*SQRT(120/($O$39*($M$33+($M$33*0.00393*120))*($A115*0.01)))</f>
        <v>1.9098562829812906</v>
      </c>
      <c r="N115" s="37"/>
      <c r="O115" s="37"/>
      <c r="P115" s="37"/>
      <c r="Q115" s="37"/>
      <c r="R115" s="37"/>
      <c r="S115" s="37"/>
      <c r="T115" s="37"/>
      <c r="U115" s="37"/>
      <c r="V115" s="37"/>
      <c r="W115" s="37"/>
      <c r="X115" s="37"/>
      <c r="Y115" s="37"/>
      <c r="Z115" s="255">
        <f>Smart!AX94</f>
        <v>40.704999999999998</v>
      </c>
      <c r="AA115" s="576">
        <f>Y72</f>
        <v>0</v>
      </c>
      <c r="AB115" s="37">
        <f t="shared" si="22"/>
        <v>0</v>
      </c>
      <c r="AC115" s="38"/>
      <c r="AD115" s="38"/>
      <c r="AE115" s="256">
        <f t="shared" si="42"/>
        <v>0.51200000000000034</v>
      </c>
      <c r="AF115" s="39">
        <f t="shared" ref="AF115:AF150" si="55">IF(M$31*(AF$49-(SQRT(AH115^2+AI115^2)))/$AD$51&lt;$M$29,M$31*(AF$49-(SQRT(AH115^2+AI115^2)))/$AD$51,$M$29)</f>
        <v>11.083188397724607</v>
      </c>
      <c r="AG115" s="39">
        <f t="shared" ref="AG115:AG146" si="56">IF(M$31*(AF$49-(SQRT(AH115^2+AI115^2)))/AD$51&gt;M$27,M$27,M$31*(AF$49-(SQRT(AH115^2+AI115^2)))/AD$51)</f>
        <v>1.8</v>
      </c>
      <c r="AH115" s="38">
        <f t="shared" ref="AH115:AH151" si="57">M$32*AE115</f>
        <v>0.72704000000000046</v>
      </c>
      <c r="AI115" s="38">
        <f t="shared" ref="AI115:AI151" si="58">7.695 * AE115 * $M$34 * $M$30 / $M$35</f>
        <v>0.64493618789064067</v>
      </c>
      <c r="AJ115" s="38"/>
      <c r="AK115" s="38"/>
      <c r="AL115" s="38"/>
      <c r="AM115" s="38"/>
      <c r="AN115" s="38"/>
      <c r="AO115" s="38"/>
      <c r="AP115" s="38"/>
      <c r="AQ115" s="38"/>
      <c r="AR115" s="39">
        <f t="shared" ref="AR115:AR125" si="59">M$31*(AF$49-(SQRT((AT115^2+AV115^2))))/AD$51</f>
        <v>11.217722893148151</v>
      </c>
      <c r="AS115" s="38">
        <f t="shared" si="21"/>
        <v>0.28799999999999959</v>
      </c>
      <c r="AT115" s="38">
        <f t="shared" ref="AT115:AT125" si="60">M$32*AS115</f>
        <v>0.40895999999999938</v>
      </c>
      <c r="AU115" s="38"/>
      <c r="AV115" s="38">
        <f t="shared" ref="AV115:AV125" si="61">7.695 * AS115 * $M$34 * $M$30 / $M$35</f>
        <v>0.36277660568848452</v>
      </c>
      <c r="AW115" s="37"/>
      <c r="AX115" s="37"/>
      <c r="AY115" s="37"/>
      <c r="AZ115" s="37"/>
      <c r="BA115" s="37"/>
      <c r="BB115" s="37"/>
      <c r="BC115" s="37"/>
      <c r="BD115" s="37"/>
      <c r="BE115" s="37"/>
      <c r="BF115" s="37"/>
      <c r="BG115" s="37"/>
      <c r="BH115" s="37"/>
      <c r="BI115" s="37"/>
      <c r="BJ115" s="37"/>
      <c r="BK115" s="189"/>
      <c r="BL115" s="189"/>
      <c r="BM115" s="189"/>
      <c r="BN115" s="189"/>
      <c r="BO115" s="189"/>
      <c r="BP115" s="251"/>
      <c r="BQ115" s="251"/>
      <c r="BR115" s="189"/>
      <c r="BS115" s="189"/>
      <c r="BT115" s="189"/>
      <c r="BU115" s="189"/>
      <c r="BV115" s="189"/>
      <c r="BW115" s="189"/>
      <c r="BX115" s="189"/>
      <c r="BY115" s="30"/>
      <c r="BZ115" s="30"/>
      <c r="CA115" s="30"/>
      <c r="CB115" s="30"/>
      <c r="CC115" s="30"/>
    </row>
    <row r="116" spans="1:81" s="40" customFormat="1">
      <c r="A116" s="37">
        <v>66</v>
      </c>
      <c r="B116" s="37">
        <f t="shared" si="43"/>
        <v>0.65105728260871354</v>
      </c>
      <c r="C116" s="37">
        <f t="shared" si="44"/>
        <v>0.90380440712427912</v>
      </c>
      <c r="D116" s="37">
        <f t="shared" si="45"/>
        <v>1.087298563183339</v>
      </c>
      <c r="E116" s="37">
        <f t="shared" si="46"/>
        <v>1.2340008192489098</v>
      </c>
      <c r="F116" s="37">
        <f t="shared" si="47"/>
        <v>1.3568077498715623</v>
      </c>
      <c r="G116" s="37">
        <f t="shared" si="48"/>
        <v>1.4624842395234958</v>
      </c>
      <c r="H116" s="37">
        <f t="shared" si="49"/>
        <v>1.5551295078495799</v>
      </c>
      <c r="I116" s="37">
        <f t="shared" si="50"/>
        <v>1.6374606911743381</v>
      </c>
      <c r="J116" s="37">
        <f t="shared" si="51"/>
        <v>1.7113928180247708</v>
      </c>
      <c r="K116" s="37">
        <f t="shared" si="52"/>
        <v>1.7783371725680499</v>
      </c>
      <c r="L116" s="37">
        <f t="shared" si="53"/>
        <v>1.8393696297165452</v>
      </c>
      <c r="M116" s="37">
        <f t="shared" si="54"/>
        <v>1.8953324502769324</v>
      </c>
      <c r="N116" s="37"/>
      <c r="O116" s="37"/>
      <c r="P116" s="37"/>
      <c r="Q116" s="37"/>
      <c r="R116" s="37"/>
      <c r="S116" s="37"/>
      <c r="T116" s="37"/>
      <c r="U116" s="37"/>
      <c r="V116" s="37"/>
      <c r="W116" s="37"/>
      <c r="X116" s="37"/>
      <c r="Y116" s="37"/>
      <c r="Z116" s="255">
        <f>Smart!AX95</f>
        <v>40.704999999999998</v>
      </c>
      <c r="AA116" s="576">
        <f>Y72</f>
        <v>0</v>
      </c>
      <c r="AB116" s="37">
        <f t="shared" si="22"/>
        <v>0</v>
      </c>
      <c r="AC116" s="38"/>
      <c r="AD116" s="38"/>
      <c r="AE116" s="256">
        <f t="shared" ref="AE116:AE147" si="62">AE115+AD$57/100</f>
        <v>0.52000000000000035</v>
      </c>
      <c r="AF116" s="39">
        <f t="shared" si="55"/>
        <v>11.078383594316623</v>
      </c>
      <c r="AG116" s="39">
        <f t="shared" si="56"/>
        <v>1.8</v>
      </c>
      <c r="AH116" s="38">
        <f t="shared" si="57"/>
        <v>0.7384000000000005</v>
      </c>
      <c r="AI116" s="38">
        <f t="shared" si="58"/>
        <v>0.65501331582643185</v>
      </c>
      <c r="AJ116" s="38"/>
      <c r="AK116" s="38"/>
      <c r="AL116" s="38"/>
      <c r="AM116" s="38"/>
      <c r="AN116" s="38"/>
      <c r="AO116" s="38"/>
      <c r="AP116" s="38"/>
      <c r="AQ116" s="38"/>
      <c r="AR116" s="39">
        <f t="shared" si="59"/>
        <v>11.222527696556133</v>
      </c>
      <c r="AS116" s="38">
        <f t="shared" si="21"/>
        <v>0.27999999999999958</v>
      </c>
      <c r="AT116" s="38">
        <f t="shared" si="60"/>
        <v>0.3975999999999994</v>
      </c>
      <c r="AU116" s="38"/>
      <c r="AV116" s="38">
        <f t="shared" si="61"/>
        <v>0.35269947775269334</v>
      </c>
      <c r="AW116" s="37"/>
      <c r="AX116" s="37"/>
      <c r="AY116" s="37"/>
      <c r="AZ116" s="37"/>
      <c r="BA116" s="37"/>
      <c r="BB116" s="37"/>
      <c r="BC116" s="37"/>
      <c r="BD116" s="37"/>
      <c r="BE116" s="37"/>
      <c r="BF116" s="37"/>
      <c r="BG116" s="37"/>
      <c r="BH116" s="37"/>
      <c r="BI116" s="37"/>
      <c r="BJ116" s="37"/>
      <c r="BK116" s="189"/>
      <c r="BL116" s="189"/>
      <c r="BM116" s="189"/>
      <c r="BN116" s="189"/>
      <c r="BO116" s="189"/>
      <c r="BP116" s="251"/>
      <c r="BQ116" s="251"/>
      <c r="BR116" s="189"/>
      <c r="BS116" s="189"/>
      <c r="BT116" s="189"/>
      <c r="BU116" s="189"/>
      <c r="BV116" s="189"/>
      <c r="BW116" s="189"/>
      <c r="BX116" s="189"/>
      <c r="BY116" s="30"/>
      <c r="BZ116" s="30"/>
      <c r="CA116" s="30"/>
      <c r="CB116" s="30"/>
      <c r="CC116" s="30"/>
    </row>
    <row r="117" spans="1:81" s="40" customFormat="1">
      <c r="A117" s="37">
        <v>67</v>
      </c>
      <c r="B117" s="37">
        <f t="shared" si="43"/>
        <v>0.6461803803626629</v>
      </c>
      <c r="C117" s="37">
        <f t="shared" si="44"/>
        <v>0.89703424133267096</v>
      </c>
      <c r="D117" s="37">
        <f t="shared" si="45"/>
        <v>1.0791538899778275</v>
      </c>
      <c r="E117" s="37">
        <f t="shared" si="46"/>
        <v>1.2247572372665234</v>
      </c>
      <c r="F117" s="37">
        <f t="shared" si="47"/>
        <v>1.3466442528344138</v>
      </c>
      <c r="G117" s="37">
        <f t="shared" si="48"/>
        <v>1.4515291471482641</v>
      </c>
      <c r="H117" s="37">
        <f t="shared" si="49"/>
        <v>1.5434804336554597</v>
      </c>
      <c r="I117" s="37">
        <f t="shared" si="50"/>
        <v>1.625194895312859</v>
      </c>
      <c r="J117" s="37">
        <f t="shared" si="51"/>
        <v>1.6985732156625069</v>
      </c>
      <c r="K117" s="37">
        <f t="shared" si="52"/>
        <v>1.7650161073057407</v>
      </c>
      <c r="L117" s="37">
        <f t="shared" si="53"/>
        <v>1.8255913860533481</v>
      </c>
      <c r="M117" s="37">
        <f t="shared" si="54"/>
        <v>1.8811350035534562</v>
      </c>
      <c r="N117" s="37"/>
      <c r="O117" s="37"/>
      <c r="P117" s="37"/>
      <c r="Q117" s="37"/>
      <c r="R117" s="37"/>
      <c r="S117" s="37"/>
      <c r="T117" s="37"/>
      <c r="U117" s="37"/>
      <c r="V117" s="37"/>
      <c r="W117" s="37"/>
      <c r="X117" s="37"/>
      <c r="Y117" s="37"/>
      <c r="Z117" s="255">
        <f>Smart!AX96</f>
        <v>40.704999999999998</v>
      </c>
      <c r="AA117" s="576" t="e">
        <f>Smart!I106+$Y$72</f>
        <v>#DIV/0!</v>
      </c>
      <c r="AB117" s="37" t="e">
        <f>AA117/$M$31</f>
        <v>#DIV/0!</v>
      </c>
      <c r="AC117" s="38"/>
      <c r="AD117" s="38"/>
      <c r="AE117" s="256">
        <f t="shared" si="62"/>
        <v>0.52800000000000036</v>
      </c>
      <c r="AF117" s="39">
        <f t="shared" si="55"/>
        <v>11.073578790908641</v>
      </c>
      <c r="AG117" s="39">
        <f t="shared" si="56"/>
        <v>1.8</v>
      </c>
      <c r="AH117" s="38">
        <f t="shared" si="57"/>
        <v>0.74976000000000043</v>
      </c>
      <c r="AI117" s="38">
        <f t="shared" si="58"/>
        <v>0.66509044376222315</v>
      </c>
      <c r="AJ117" s="38"/>
      <c r="AK117" s="38"/>
      <c r="AL117" s="38"/>
      <c r="AM117" s="38"/>
      <c r="AN117" s="38"/>
      <c r="AO117" s="38"/>
      <c r="AP117" s="38"/>
      <c r="AQ117" s="38"/>
      <c r="AR117" s="39">
        <f t="shared" si="59"/>
        <v>11.227332499964119</v>
      </c>
      <c r="AS117" s="38">
        <f t="shared" ref="AS117:AS125" si="63">AS116-$AS$50</f>
        <v>0.27199999999999958</v>
      </c>
      <c r="AT117" s="38">
        <f t="shared" si="60"/>
        <v>0.38623999999999936</v>
      </c>
      <c r="AU117" s="38"/>
      <c r="AV117" s="38">
        <f t="shared" si="61"/>
        <v>0.34262234981690204</v>
      </c>
      <c r="AW117" s="37"/>
      <c r="AX117" s="37"/>
      <c r="AY117" s="37"/>
      <c r="AZ117" s="37"/>
      <c r="BA117" s="37"/>
      <c r="BB117" s="37"/>
      <c r="BC117" s="37"/>
      <c r="BD117" s="37"/>
      <c r="BE117" s="37"/>
      <c r="BF117" s="37"/>
      <c r="BG117" s="37"/>
      <c r="BH117" s="37"/>
      <c r="BI117" s="37"/>
      <c r="BJ117" s="37"/>
      <c r="BK117" s="189"/>
      <c r="BL117" s="189"/>
      <c r="BM117" s="189"/>
      <c r="BN117" s="189"/>
      <c r="BO117" s="189"/>
      <c r="BP117" s="251"/>
      <c r="BQ117" s="251"/>
      <c r="BR117" s="189"/>
      <c r="BS117" s="189"/>
      <c r="BU117" s="189"/>
      <c r="BV117" s="189"/>
      <c r="BW117" s="189"/>
      <c r="BX117" s="189"/>
      <c r="BY117" s="30"/>
      <c r="BZ117" s="30"/>
      <c r="CA117" s="30"/>
      <c r="CB117" s="30"/>
      <c r="CC117" s="30"/>
    </row>
    <row r="118" spans="1:81" s="40" customFormat="1">
      <c r="A118" s="37">
        <v>68</v>
      </c>
      <c r="B118" s="37">
        <f t="shared" si="43"/>
        <v>0.64141145629015595</v>
      </c>
      <c r="C118" s="37">
        <f t="shared" si="44"/>
        <v>0.89041397195068606</v>
      </c>
      <c r="D118" s="37">
        <f t="shared" si="45"/>
        <v>1.0711895457788183</v>
      </c>
      <c r="E118" s="37">
        <f t="shared" si="46"/>
        <v>1.21571831493264</v>
      </c>
      <c r="F118" s="37">
        <f t="shared" si="47"/>
        <v>1.3367057830361806</v>
      </c>
      <c r="G118" s="37">
        <f t="shared" si="48"/>
        <v>1.4408166085102208</v>
      </c>
      <c r="H118" s="37">
        <f t="shared" si="49"/>
        <v>1.5320892784622739</v>
      </c>
      <c r="I118" s="37">
        <f t="shared" si="50"/>
        <v>1.6132006731199431</v>
      </c>
      <c r="J118" s="37">
        <f t="shared" si="51"/>
        <v>1.6860374486487479</v>
      </c>
      <c r="K118" s="37">
        <f t="shared" si="52"/>
        <v>1.7519899801463725</v>
      </c>
      <c r="L118" s="37">
        <f t="shared" si="53"/>
        <v>1.8121182027564102</v>
      </c>
      <c r="M118" s="37">
        <f t="shared" si="54"/>
        <v>1.867251898657813</v>
      </c>
      <c r="N118" s="37"/>
      <c r="O118" s="37"/>
      <c r="P118" s="37"/>
      <c r="Q118" s="37"/>
      <c r="R118" s="37"/>
      <c r="S118" s="37"/>
      <c r="T118" s="37"/>
      <c r="U118" s="37"/>
      <c r="V118" s="37"/>
      <c r="W118" s="37"/>
      <c r="X118" s="37"/>
      <c r="Y118" s="37"/>
      <c r="Z118" s="255">
        <f>Smart!AX97</f>
        <v>40.704999999999998</v>
      </c>
      <c r="AA118" s="576" t="e">
        <f>Smart!I105+$Y$72</f>
        <v>#DIV/0!</v>
      </c>
      <c r="AB118" s="37" t="e">
        <f t="shared" ref="AB118:AB127" si="64">AA118/$M$31</f>
        <v>#DIV/0!</v>
      </c>
      <c r="AC118" s="38"/>
      <c r="AD118" s="38"/>
      <c r="AE118" s="256">
        <f t="shared" si="62"/>
        <v>0.53600000000000037</v>
      </c>
      <c r="AF118" s="39">
        <f t="shared" si="55"/>
        <v>11.068773987500654</v>
      </c>
      <c r="AG118" s="39">
        <f t="shared" si="56"/>
        <v>1.8</v>
      </c>
      <c r="AH118" s="38">
        <f t="shared" si="57"/>
        <v>0.76112000000000046</v>
      </c>
      <c r="AI118" s="38">
        <f t="shared" si="58"/>
        <v>0.67516757169801445</v>
      </c>
      <c r="AJ118" s="38"/>
      <c r="AK118" s="38"/>
      <c r="AL118" s="38"/>
      <c r="AM118" s="38"/>
      <c r="AN118" s="38"/>
      <c r="AO118" s="38"/>
      <c r="AP118" s="38"/>
      <c r="AQ118" s="38"/>
      <c r="AR118" s="39">
        <f t="shared" si="59"/>
        <v>11.232137303372101</v>
      </c>
      <c r="AS118" s="38">
        <f t="shared" si="63"/>
        <v>0.26399999999999957</v>
      </c>
      <c r="AT118" s="38">
        <f t="shared" si="60"/>
        <v>0.37487999999999938</v>
      </c>
      <c r="AU118" s="38"/>
      <c r="AV118" s="38">
        <f t="shared" si="61"/>
        <v>0.3325452218811108</v>
      </c>
      <c r="AW118" s="37"/>
      <c r="AX118" s="37"/>
      <c r="AY118" s="37"/>
      <c r="AZ118" s="37"/>
      <c r="BA118" s="37"/>
      <c r="BB118" s="37"/>
      <c r="BC118" s="37"/>
      <c r="BD118" s="37"/>
      <c r="BE118" s="37"/>
      <c r="BF118" s="37"/>
      <c r="BG118" s="37"/>
      <c r="BH118" s="37"/>
      <c r="BI118" s="37"/>
      <c r="BJ118" s="37"/>
      <c r="BK118" s="189"/>
      <c r="BL118" s="189"/>
      <c r="BM118" s="189"/>
      <c r="BN118" s="189"/>
      <c r="BO118" s="189"/>
      <c r="BP118" s="251"/>
      <c r="BQ118" s="251"/>
      <c r="BR118" s="189"/>
      <c r="BS118" s="189"/>
      <c r="BU118" s="189"/>
      <c r="BV118" s="189"/>
      <c r="BW118" s="189"/>
      <c r="BX118" s="189"/>
      <c r="BY118" s="30"/>
      <c r="BZ118" s="30"/>
      <c r="CA118" s="30"/>
      <c r="CB118" s="30"/>
      <c r="CC118" s="30"/>
    </row>
    <row r="119" spans="1:81" s="40" customFormat="1">
      <c r="A119" s="37">
        <v>69</v>
      </c>
      <c r="B119" s="37">
        <f t="shared" si="43"/>
        <v>0.63674658378874072</v>
      </c>
      <c r="C119" s="37">
        <f t="shared" si="44"/>
        <v>0.8839381480284676</v>
      </c>
      <c r="D119" s="37">
        <f t="shared" si="45"/>
        <v>1.0633989729617861</v>
      </c>
      <c r="E119" s="37">
        <f t="shared" si="46"/>
        <v>1.2068766098443062</v>
      </c>
      <c r="F119" s="37">
        <f t="shared" si="47"/>
        <v>1.3269841574109791</v>
      </c>
      <c r="G119" s="37">
        <f t="shared" si="48"/>
        <v>1.430337803196239</v>
      </c>
      <c r="H119" s="37">
        <f t="shared" si="49"/>
        <v>1.5209466631024715</v>
      </c>
      <c r="I119" s="37">
        <f t="shared" si="50"/>
        <v>1.6014681488790639</v>
      </c>
      <c r="J119" s="37">
        <f t="shared" si="51"/>
        <v>1.673775195373683</v>
      </c>
      <c r="K119" s="37">
        <f t="shared" si="52"/>
        <v>1.7392480657309199</v>
      </c>
      <c r="L119" s="37">
        <f t="shared" si="53"/>
        <v>1.7989389863728344</v>
      </c>
      <c r="M119" s="37">
        <f t="shared" si="54"/>
        <v>1.8536717046188032</v>
      </c>
      <c r="N119" s="37"/>
      <c r="O119" s="37"/>
      <c r="P119" s="37"/>
      <c r="Q119" s="37"/>
      <c r="R119" s="37"/>
      <c r="S119" s="37"/>
      <c r="T119" s="37"/>
      <c r="U119" s="37"/>
      <c r="V119" s="37"/>
      <c r="W119" s="37"/>
      <c r="X119" s="37"/>
      <c r="Y119" s="37"/>
      <c r="Z119" s="255">
        <f>Smart!AX98</f>
        <v>40.704999999999998</v>
      </c>
      <c r="AA119" s="576" t="e">
        <f>Smart!I104+$Y$72</f>
        <v>#DIV/0!</v>
      </c>
      <c r="AB119" s="37" t="e">
        <f t="shared" si="64"/>
        <v>#DIV/0!</v>
      </c>
      <c r="AC119" s="38"/>
      <c r="AD119" s="38"/>
      <c r="AE119" s="256">
        <f t="shared" si="62"/>
        <v>0.54400000000000037</v>
      </c>
      <c r="AF119" s="39">
        <f t="shared" si="55"/>
        <v>11.063969184092672</v>
      </c>
      <c r="AG119" s="39">
        <f t="shared" si="56"/>
        <v>1.8</v>
      </c>
      <c r="AH119" s="38">
        <f t="shared" si="57"/>
        <v>0.7724800000000005</v>
      </c>
      <c r="AI119" s="38">
        <f t="shared" si="58"/>
        <v>0.68524469963380574</v>
      </c>
      <c r="AJ119" s="38"/>
      <c r="AK119" s="38"/>
      <c r="AL119" s="38"/>
      <c r="AM119" s="38"/>
      <c r="AN119" s="38"/>
      <c r="AO119" s="38"/>
      <c r="AP119" s="38"/>
      <c r="AQ119" s="38"/>
      <c r="AR119" s="39">
        <f t="shared" si="59"/>
        <v>11.236942106780083</v>
      </c>
      <c r="AS119" s="38">
        <f t="shared" si="63"/>
        <v>0.25599999999999956</v>
      </c>
      <c r="AT119" s="38">
        <f t="shared" si="60"/>
        <v>0.36351999999999934</v>
      </c>
      <c r="AU119" s="38"/>
      <c r="AV119" s="38">
        <f t="shared" si="61"/>
        <v>0.32246809394531956</v>
      </c>
      <c r="AW119" s="37"/>
      <c r="AX119" s="37"/>
      <c r="AY119" s="37"/>
      <c r="AZ119" s="37"/>
      <c r="BA119" s="37"/>
      <c r="BB119" s="37"/>
      <c r="BC119" s="37"/>
      <c r="BD119" s="37"/>
      <c r="BE119" s="37"/>
      <c r="BF119" s="37"/>
      <c r="BG119" s="37"/>
      <c r="BH119" s="37"/>
      <c r="BI119" s="37"/>
      <c r="BJ119" s="37"/>
      <c r="BK119" s="189"/>
      <c r="BL119" s="189"/>
      <c r="BM119" s="189"/>
      <c r="BN119" s="189"/>
      <c r="BO119" s="189"/>
      <c r="BP119" s="251"/>
      <c r="BQ119" s="251"/>
      <c r="BR119" s="189"/>
      <c r="BS119" s="189"/>
      <c r="BU119" s="189"/>
      <c r="BV119" s="189"/>
      <c r="BW119" s="189"/>
      <c r="BX119" s="189"/>
      <c r="BY119" s="30"/>
      <c r="BZ119" s="30"/>
      <c r="CA119" s="30"/>
      <c r="CB119" s="30"/>
      <c r="CC119" s="30"/>
    </row>
    <row r="120" spans="1:81" s="40" customFormat="1">
      <c r="A120" s="37">
        <v>70</v>
      </c>
      <c r="B120" s="37">
        <f t="shared" si="43"/>
        <v>0.63218203329757106</v>
      </c>
      <c r="C120" s="37">
        <f t="shared" si="44"/>
        <v>0.87760159215134093</v>
      </c>
      <c r="D120" s="37">
        <f t="shared" si="45"/>
        <v>1.0557759429716442</v>
      </c>
      <c r="E120" s="37">
        <f t="shared" si="46"/>
        <v>1.1982250530672485</v>
      </c>
      <c r="F120" s="37">
        <f t="shared" si="47"/>
        <v>1.317471603528956</v>
      </c>
      <c r="G120" s="37">
        <f t="shared" si="48"/>
        <v>1.4200843534120717</v>
      </c>
      <c r="H120" s="37">
        <f t="shared" si="49"/>
        <v>1.5100436790663445</v>
      </c>
      <c r="I120" s="37">
        <f t="shared" si="50"/>
        <v>1.5899879424489596</v>
      </c>
      <c r="J120" s="37">
        <f t="shared" si="51"/>
        <v>1.6617766521782238</v>
      </c>
      <c r="K120" s="37">
        <f t="shared" si="52"/>
        <v>1.7267801769116973</v>
      </c>
      <c r="L120" s="37">
        <f t="shared" si="53"/>
        <v>1.7860432001324535</v>
      </c>
      <c r="M120" s="37">
        <f t="shared" si="54"/>
        <v>1.8403835640850299</v>
      </c>
      <c r="N120" s="37"/>
      <c r="O120" s="37"/>
      <c r="P120" s="37"/>
      <c r="Q120" s="37"/>
      <c r="R120" s="37"/>
      <c r="S120" s="37"/>
      <c r="T120" s="37"/>
      <c r="U120" s="37"/>
      <c r="V120" s="37"/>
      <c r="W120" s="37"/>
      <c r="X120" s="37"/>
      <c r="Y120" s="37"/>
      <c r="Z120" s="255">
        <f>Smart!AX99</f>
        <v>40.704999999999998</v>
      </c>
      <c r="AA120" s="576">
        <f>Smart!I103+$Y$72</f>
        <v>0</v>
      </c>
      <c r="AB120" s="37">
        <f t="shared" si="64"/>
        <v>0</v>
      </c>
      <c r="AC120" s="38"/>
      <c r="AD120" s="38"/>
      <c r="AE120" s="256">
        <f t="shared" si="62"/>
        <v>0.55200000000000038</v>
      </c>
      <c r="AF120" s="39">
        <f t="shared" si="55"/>
        <v>11.059164380684686</v>
      </c>
      <c r="AG120" s="39">
        <f t="shared" si="56"/>
        <v>1.8</v>
      </c>
      <c r="AH120" s="38">
        <f t="shared" si="57"/>
        <v>0.78384000000000054</v>
      </c>
      <c r="AI120" s="38">
        <f t="shared" si="58"/>
        <v>0.69532182756959693</v>
      </c>
      <c r="AJ120" s="38"/>
      <c r="AK120" s="38"/>
      <c r="AL120" s="38"/>
      <c r="AM120" s="38"/>
      <c r="AN120" s="38"/>
      <c r="AO120" s="38"/>
      <c r="AP120" s="38"/>
      <c r="AQ120" s="38"/>
      <c r="AR120" s="39">
        <f t="shared" si="59"/>
        <v>11.241746910188068</v>
      </c>
      <c r="AS120" s="38">
        <f t="shared" si="63"/>
        <v>0.24799999999999955</v>
      </c>
      <c r="AT120" s="38">
        <f t="shared" si="60"/>
        <v>0.35215999999999936</v>
      </c>
      <c r="AU120" s="38"/>
      <c r="AV120" s="38">
        <f t="shared" si="61"/>
        <v>0.31239096600952826</v>
      </c>
      <c r="AW120" s="37"/>
      <c r="AX120" s="37"/>
      <c r="AY120" s="37"/>
      <c r="AZ120" s="37"/>
      <c r="BA120" s="37"/>
      <c r="BB120" s="37"/>
      <c r="BC120" s="37"/>
      <c r="BD120" s="37"/>
      <c r="BE120" s="37"/>
      <c r="BF120" s="37"/>
      <c r="BG120" s="37"/>
      <c r="BH120" s="37"/>
      <c r="BI120" s="37"/>
      <c r="BJ120" s="37"/>
      <c r="BK120" s="189"/>
      <c r="BL120" s="189"/>
      <c r="BM120" s="189"/>
      <c r="BN120" s="189"/>
      <c r="BO120" s="189"/>
      <c r="BP120" s="251"/>
      <c r="BQ120" s="251"/>
      <c r="BR120" s="189"/>
      <c r="BS120" s="189"/>
      <c r="BU120" s="189"/>
      <c r="BV120" s="189"/>
      <c r="BW120" s="189"/>
      <c r="BX120" s="189"/>
      <c r="BY120" s="30"/>
      <c r="BZ120" s="30"/>
      <c r="CA120" s="30"/>
      <c r="CB120" s="30"/>
      <c r="CC120" s="30"/>
    </row>
    <row r="121" spans="1:81" s="40" customFormat="1">
      <c r="A121" s="37">
        <v>71</v>
      </c>
      <c r="B121" s="37">
        <f t="shared" si="43"/>
        <v>0.6277142597641332</v>
      </c>
      <c r="C121" s="37">
        <f t="shared" si="44"/>
        <v>0.87139938304099263</v>
      </c>
      <c r="D121" s="37">
        <f t="shared" si="45"/>
        <v>1.0483145353915448</v>
      </c>
      <c r="E121" s="37">
        <f t="shared" si="46"/>
        <v>1.1897569253805571</v>
      </c>
      <c r="F121" s="37">
        <f t="shared" si="47"/>
        <v>1.3081607334768615</v>
      </c>
      <c r="G121" s="37">
        <f t="shared" si="48"/>
        <v>1.4100482958285794</v>
      </c>
      <c r="H121" s="37">
        <f t="shared" si="49"/>
        <v>1.4993718585647768</v>
      </c>
      <c r="I121" s="37">
        <f t="shared" si="50"/>
        <v>1.5787511377414538</v>
      </c>
      <c r="J121" s="37">
        <f t="shared" si="51"/>
        <v>1.650032500408583</v>
      </c>
      <c r="K121" s="37">
        <f t="shared" si="52"/>
        <v>1.7145766305182177</v>
      </c>
      <c r="L121" s="37">
        <f t="shared" si="53"/>
        <v>1.7734208285387763</v>
      </c>
      <c r="M121" s="37">
        <f t="shared" si="54"/>
        <v>1.8273771568385224</v>
      </c>
      <c r="N121" s="37"/>
      <c r="O121" s="37"/>
      <c r="P121" s="37"/>
      <c r="Q121" s="37"/>
      <c r="R121" s="37"/>
      <c r="S121" s="37"/>
      <c r="T121" s="37"/>
      <c r="U121" s="37"/>
      <c r="V121" s="37"/>
      <c r="W121" s="37"/>
      <c r="X121" s="37"/>
      <c r="Y121" s="37"/>
      <c r="Z121" s="255">
        <f>Smart!AX100</f>
        <v>40.704999999999998</v>
      </c>
      <c r="AA121" s="576">
        <f>Smart!I102+$Y$72</f>
        <v>0</v>
      </c>
      <c r="AB121" s="37">
        <f t="shared" si="64"/>
        <v>0</v>
      </c>
      <c r="AC121" s="38"/>
      <c r="AD121" s="38"/>
      <c r="AE121" s="256">
        <f t="shared" si="62"/>
        <v>0.56000000000000039</v>
      </c>
      <c r="AF121" s="39">
        <f t="shared" si="55"/>
        <v>11.054359577276704</v>
      </c>
      <c r="AG121" s="39">
        <f t="shared" si="56"/>
        <v>1.8</v>
      </c>
      <c r="AH121" s="38">
        <f t="shared" si="57"/>
        <v>0.79520000000000046</v>
      </c>
      <c r="AI121" s="38">
        <f t="shared" si="58"/>
        <v>0.70539895550538811</v>
      </c>
      <c r="AJ121" s="38"/>
      <c r="AK121" s="38"/>
      <c r="AL121" s="38"/>
      <c r="AM121" s="38"/>
      <c r="AN121" s="38"/>
      <c r="AO121" s="38"/>
      <c r="AP121" s="38"/>
      <c r="AQ121" s="38"/>
      <c r="AR121" s="39">
        <f t="shared" si="59"/>
        <v>11.24655171359605</v>
      </c>
      <c r="AS121" s="38">
        <f t="shared" si="63"/>
        <v>0.23999999999999955</v>
      </c>
      <c r="AT121" s="38">
        <f t="shared" si="60"/>
        <v>0.34079999999999933</v>
      </c>
      <c r="AU121" s="38"/>
      <c r="AV121" s="38">
        <f t="shared" si="61"/>
        <v>0.30231383807373707</v>
      </c>
      <c r="AW121" s="37"/>
      <c r="AX121" s="37"/>
      <c r="AY121" s="37"/>
      <c r="AZ121" s="37"/>
      <c r="BA121" s="37"/>
      <c r="BB121" s="37"/>
      <c r="BC121" s="37"/>
      <c r="BD121" s="37"/>
      <c r="BE121" s="37"/>
      <c r="BF121" s="37"/>
      <c r="BG121" s="37"/>
      <c r="BH121" s="37"/>
      <c r="BI121" s="37"/>
      <c r="BJ121" s="37"/>
      <c r="BK121" s="189"/>
      <c r="BL121" s="189"/>
      <c r="BM121" s="189"/>
      <c r="BN121" s="189"/>
      <c r="BO121" s="189"/>
      <c r="BP121" s="251"/>
      <c r="BQ121" s="251"/>
      <c r="BR121" s="189"/>
      <c r="BS121" s="189"/>
      <c r="BU121" s="189"/>
      <c r="BV121" s="189"/>
      <c r="BW121" s="189"/>
      <c r="BX121" s="189"/>
      <c r="BY121" s="30"/>
      <c r="BZ121" s="30"/>
      <c r="CA121" s="30"/>
      <c r="CB121" s="30"/>
      <c r="CC121" s="30"/>
    </row>
    <row r="122" spans="1:81" s="40" customFormat="1">
      <c r="A122" s="37">
        <v>72</v>
      </c>
      <c r="B122" s="37">
        <f t="shared" si="43"/>
        <v>0.62333989107176146</v>
      </c>
      <c r="C122" s="37">
        <f t="shared" si="44"/>
        <v>0.86532683949043043</v>
      </c>
      <c r="D122" s="37">
        <f t="shared" si="45"/>
        <v>1.0410091186162465</v>
      </c>
      <c r="E122" s="37">
        <f t="shared" si="46"/>
        <v>1.1814658353424357</v>
      </c>
      <c r="F122" s="37">
        <f t="shared" si="47"/>
        <v>1.2990445197409151</v>
      </c>
      <c r="G122" s="37">
        <f t="shared" si="48"/>
        <v>1.4002220555862084</v>
      </c>
      <c r="H122" s="37">
        <f t="shared" si="49"/>
        <v>1.488923146886961</v>
      </c>
      <c r="I122" s="37">
        <f t="shared" si="50"/>
        <v>1.5677492536157409</v>
      </c>
      <c r="J122" s="37">
        <f t="shared" si="51"/>
        <v>1.6385338759964254</v>
      </c>
      <c r="K122" s="37">
        <f t="shared" si="52"/>
        <v>1.702628215747412</v>
      </c>
      <c r="L122" s="37">
        <f t="shared" si="53"/>
        <v>1.7610623446743585</v>
      </c>
      <c r="M122" s="37">
        <f t="shared" si="54"/>
        <v>1.8146426661053767</v>
      </c>
      <c r="N122" s="37"/>
      <c r="O122" s="37"/>
      <c r="P122" s="37"/>
      <c r="Q122" s="37"/>
      <c r="R122" s="37"/>
      <c r="S122" s="37"/>
      <c r="T122" s="37"/>
      <c r="U122" s="37"/>
      <c r="V122" s="37"/>
      <c r="W122" s="37"/>
      <c r="X122" s="37"/>
      <c r="Y122" s="37"/>
      <c r="Z122" s="255">
        <f>Smart!AX101</f>
        <v>40.704999999999998</v>
      </c>
      <c r="AA122" s="576">
        <f>Smart!I101+$Y$72</f>
        <v>0</v>
      </c>
      <c r="AB122" s="37">
        <f t="shared" si="64"/>
        <v>0</v>
      </c>
      <c r="AC122" s="38"/>
      <c r="AD122" s="38"/>
      <c r="AE122" s="256">
        <f t="shared" si="62"/>
        <v>0.56800000000000039</v>
      </c>
      <c r="AF122" s="39">
        <f t="shared" si="55"/>
        <v>11.049554773868723</v>
      </c>
      <c r="AG122" s="39">
        <f t="shared" si="56"/>
        <v>1.8</v>
      </c>
      <c r="AH122" s="38">
        <f t="shared" si="57"/>
        <v>0.8065600000000005</v>
      </c>
      <c r="AI122" s="38">
        <f t="shared" si="58"/>
        <v>0.71547608344117952</v>
      </c>
      <c r="AJ122" s="38"/>
      <c r="AK122" s="38"/>
      <c r="AL122" s="38"/>
      <c r="AM122" s="38"/>
      <c r="AN122" s="38"/>
      <c r="AO122" s="38"/>
      <c r="AP122" s="38"/>
      <c r="AQ122" s="38"/>
      <c r="AR122" s="39">
        <f t="shared" si="59"/>
        <v>11.251356517004037</v>
      </c>
      <c r="AS122" s="38">
        <f t="shared" si="63"/>
        <v>0.23199999999999954</v>
      </c>
      <c r="AT122" s="38">
        <f t="shared" si="60"/>
        <v>0.32943999999999934</v>
      </c>
      <c r="AU122" s="38"/>
      <c r="AV122" s="38">
        <f t="shared" si="61"/>
        <v>0.29223671013794578</v>
      </c>
      <c r="AW122" s="37"/>
      <c r="AX122" s="37"/>
      <c r="AY122" s="37"/>
      <c r="AZ122" s="37"/>
      <c r="BA122" s="37"/>
      <c r="BB122" s="37"/>
      <c r="BC122" s="37"/>
      <c r="BD122" s="37"/>
      <c r="BE122" s="37"/>
      <c r="BF122" s="37"/>
      <c r="BG122" s="37"/>
      <c r="BH122" s="37"/>
      <c r="BI122" s="37"/>
      <c r="BJ122" s="37"/>
      <c r="BK122" s="189"/>
      <c r="BL122" s="189"/>
      <c r="BM122" s="189"/>
      <c r="BN122" s="189"/>
      <c r="BO122" s="189"/>
      <c r="BP122" s="251"/>
      <c r="BQ122" s="251"/>
      <c r="BR122" s="189"/>
      <c r="BS122" s="189"/>
      <c r="BU122" s="189"/>
      <c r="BV122" s="189"/>
      <c r="BW122" s="189"/>
      <c r="BX122" s="189"/>
      <c r="BY122" s="30"/>
      <c r="BZ122" s="30"/>
      <c r="CA122" s="30"/>
      <c r="CB122" s="30"/>
      <c r="CC122" s="30"/>
    </row>
    <row r="123" spans="1:81" s="40" customFormat="1">
      <c r="A123" s="37">
        <v>73</v>
      </c>
      <c r="B123" s="37">
        <f t="shared" si="43"/>
        <v>0.61905571734209808</v>
      </c>
      <c r="C123" s="37">
        <f t="shared" si="44"/>
        <v>0.85937950551354769</v>
      </c>
      <c r="D123" s="37">
        <f t="shared" si="45"/>
        <v>1.0338543319866798</v>
      </c>
      <c r="E123" s="37">
        <f t="shared" si="46"/>
        <v>1.1733456990142985</v>
      </c>
      <c r="F123" s="37">
        <f t="shared" si="47"/>
        <v>1.2901162729130595</v>
      </c>
      <c r="G123" s="37">
        <f t="shared" si="48"/>
        <v>1.3905984222648697</v>
      </c>
      <c r="H123" s="37">
        <f t="shared" si="49"/>
        <v>1.4786898768480208</v>
      </c>
      <c r="I123" s="37">
        <f t="shared" si="50"/>
        <v>1.5569742169732255</v>
      </c>
      <c r="J123" s="37">
        <f t="shared" si="51"/>
        <v>1.6272723413389247</v>
      </c>
      <c r="K123" s="37">
        <f t="shared" si="52"/>
        <v>1.6909261649437213</v>
      </c>
      <c r="L123" s="37">
        <f t="shared" si="53"/>
        <v>1.7489586799780703</v>
      </c>
      <c r="M123" s="37">
        <f t="shared" si="54"/>
        <v>1.8021707474134927</v>
      </c>
      <c r="N123" s="37"/>
      <c r="O123" s="37"/>
      <c r="P123" s="37"/>
      <c r="Q123" s="37"/>
      <c r="R123" s="37"/>
      <c r="S123" s="37"/>
      <c r="T123" s="37"/>
      <c r="U123" s="37"/>
      <c r="V123" s="37"/>
      <c r="W123" s="37"/>
      <c r="X123" s="37"/>
      <c r="Y123" s="37"/>
      <c r="Z123" s="255">
        <f>Smart!AX102</f>
        <v>40.704999999999998</v>
      </c>
      <c r="AA123" s="576">
        <f>Smart!I100+$Y$72</f>
        <v>0</v>
      </c>
      <c r="AB123" s="37">
        <f t="shared" si="64"/>
        <v>0</v>
      </c>
      <c r="AC123" s="38"/>
      <c r="AD123" s="38"/>
      <c r="AE123" s="256">
        <f t="shared" si="62"/>
        <v>0.5760000000000004</v>
      </c>
      <c r="AF123" s="39">
        <f t="shared" si="55"/>
        <v>11.044749970460737</v>
      </c>
      <c r="AG123" s="39">
        <f t="shared" si="56"/>
        <v>1.8</v>
      </c>
      <c r="AH123" s="38">
        <f t="shared" si="57"/>
        <v>0.81792000000000054</v>
      </c>
      <c r="AI123" s="38">
        <f t="shared" si="58"/>
        <v>0.72555321137697071</v>
      </c>
      <c r="AJ123" s="38"/>
      <c r="AK123" s="38"/>
      <c r="AL123" s="38"/>
      <c r="AM123" s="38"/>
      <c r="AN123" s="38"/>
      <c r="AO123" s="38"/>
      <c r="AP123" s="38"/>
      <c r="AQ123" s="38"/>
      <c r="AR123" s="39">
        <f t="shared" si="59"/>
        <v>11.256161320412019</v>
      </c>
      <c r="AS123" s="38">
        <f t="shared" si="63"/>
        <v>0.22399999999999953</v>
      </c>
      <c r="AT123" s="38">
        <f t="shared" si="60"/>
        <v>0.31807999999999931</v>
      </c>
      <c r="AU123" s="38"/>
      <c r="AV123" s="38">
        <f t="shared" si="61"/>
        <v>0.28215958220215448</v>
      </c>
      <c r="AW123" s="37"/>
      <c r="AX123" s="37"/>
      <c r="AY123" s="37"/>
      <c r="AZ123" s="37"/>
      <c r="BA123" s="37"/>
      <c r="BB123" s="37"/>
      <c r="BC123" s="37"/>
      <c r="BD123" s="37"/>
      <c r="BE123" s="37"/>
      <c r="BF123" s="37"/>
      <c r="BG123" s="37"/>
      <c r="BH123" s="37"/>
      <c r="BI123" s="37"/>
      <c r="BJ123" s="37"/>
      <c r="BK123" s="189"/>
      <c r="BL123" s="189"/>
      <c r="BM123" s="189"/>
      <c r="BN123" s="189"/>
      <c r="BO123" s="189"/>
      <c r="BP123" s="251"/>
      <c r="BQ123" s="251"/>
      <c r="BR123" s="189"/>
      <c r="BS123" s="189"/>
      <c r="BU123" s="189"/>
      <c r="BV123" s="189"/>
      <c r="BW123" s="189"/>
      <c r="BX123" s="189"/>
      <c r="BY123" s="30"/>
      <c r="BZ123" s="30"/>
      <c r="CA123" s="30"/>
      <c r="CB123" s="30"/>
      <c r="CC123" s="30"/>
    </row>
    <row r="124" spans="1:81" s="40" customFormat="1">
      <c r="A124" s="37">
        <v>74</v>
      </c>
      <c r="B124" s="37">
        <f t="shared" si="43"/>
        <v>0.61485868103537589</v>
      </c>
      <c r="C124" s="37">
        <f t="shared" si="44"/>
        <v>0.85355313660223342</v>
      </c>
      <c r="D124" s="37">
        <f t="shared" si="45"/>
        <v>1.0268450692569207</v>
      </c>
      <c r="E124" s="37">
        <f t="shared" si="46"/>
        <v>1.1653907211970465</v>
      </c>
      <c r="F124" s="37">
        <f t="shared" si="47"/>
        <v>1.2813696210598837</v>
      </c>
      <c r="G124" s="37">
        <f t="shared" si="48"/>
        <v>1.38117052764599</v>
      </c>
      <c r="H124" s="37">
        <f t="shared" si="49"/>
        <v>1.4686647451423327</v>
      </c>
      <c r="I124" s="37">
        <f t="shared" si="50"/>
        <v>1.5464183378589456</v>
      </c>
      <c r="J124" s="37">
        <f t="shared" si="51"/>
        <v>1.6162398592760054</v>
      </c>
      <c r="K124" s="37">
        <f t="shared" si="52"/>
        <v>1.6794621265584115</v>
      </c>
      <c r="L124" s="37">
        <f t="shared" si="53"/>
        <v>1.7371011962763756</v>
      </c>
      <c r="M124" s="37">
        <f t="shared" si="54"/>
        <v>1.7899524997729053</v>
      </c>
      <c r="N124" s="37"/>
      <c r="O124" s="37"/>
      <c r="P124" s="37"/>
      <c r="Q124" s="37"/>
      <c r="R124" s="37"/>
      <c r="S124" s="37"/>
      <c r="T124" s="37"/>
      <c r="U124" s="37"/>
      <c r="V124" s="37"/>
      <c r="W124" s="37"/>
      <c r="X124" s="37"/>
      <c r="Y124" s="37"/>
      <c r="Z124" s="255">
        <f>Smart!AX103</f>
        <v>40.704999999999998</v>
      </c>
      <c r="AA124" s="576">
        <f>Smart!I99+$Y$72</f>
        <v>0</v>
      </c>
      <c r="AB124" s="37">
        <f t="shared" si="64"/>
        <v>0</v>
      </c>
      <c r="AC124" s="38"/>
      <c r="AD124" s="38"/>
      <c r="AE124" s="256">
        <f t="shared" si="62"/>
        <v>0.58400000000000041</v>
      </c>
      <c r="AF124" s="39">
        <f t="shared" si="55"/>
        <v>11.039945167052755</v>
      </c>
      <c r="AG124" s="39">
        <f t="shared" si="56"/>
        <v>1.8</v>
      </c>
      <c r="AH124" s="38">
        <f t="shared" si="57"/>
        <v>0.82928000000000057</v>
      </c>
      <c r="AI124" s="38">
        <f t="shared" si="58"/>
        <v>0.735630339312762</v>
      </c>
      <c r="AJ124" s="38"/>
      <c r="AK124" s="38"/>
      <c r="AL124" s="38"/>
      <c r="AM124" s="38"/>
      <c r="AN124" s="38"/>
      <c r="AO124" s="38"/>
      <c r="AP124" s="38"/>
      <c r="AQ124" s="38"/>
      <c r="AR124" s="39">
        <f t="shared" si="59"/>
        <v>11.260966123820003</v>
      </c>
      <c r="AS124" s="38">
        <f t="shared" si="63"/>
        <v>0.21599999999999953</v>
      </c>
      <c r="AT124" s="38">
        <f t="shared" si="60"/>
        <v>0.30671999999999933</v>
      </c>
      <c r="AU124" s="38"/>
      <c r="AV124" s="38">
        <f t="shared" si="61"/>
        <v>0.27208245426636324</v>
      </c>
      <c r="AW124" s="37"/>
      <c r="AX124" s="37"/>
      <c r="AY124" s="37"/>
      <c r="AZ124" s="37"/>
      <c r="BA124" s="37"/>
      <c r="BB124" s="37"/>
      <c r="BC124" s="37"/>
      <c r="BD124" s="37"/>
      <c r="BE124" s="37"/>
      <c r="BF124" s="37"/>
      <c r="BG124" s="37"/>
      <c r="BH124" s="37"/>
      <c r="BI124" s="37"/>
      <c r="BJ124" s="37"/>
      <c r="BK124" s="189"/>
      <c r="BL124" s="189"/>
      <c r="BM124" s="189"/>
      <c r="BN124" s="189"/>
      <c r="BO124" s="189"/>
      <c r="BP124" s="251"/>
      <c r="BQ124" s="251"/>
      <c r="BR124" s="189"/>
      <c r="BS124" s="189"/>
      <c r="BU124" s="189"/>
      <c r="BX124" s="30"/>
      <c r="BY124" s="30"/>
      <c r="BZ124" s="30"/>
      <c r="CA124" s="30"/>
      <c r="CB124" s="30"/>
      <c r="CC124" s="30"/>
    </row>
    <row r="125" spans="1:81" s="40" customFormat="1">
      <c r="A125" s="37">
        <v>75</v>
      </c>
      <c r="B125" s="37">
        <f t="shared" si="43"/>
        <v>0.6107458677791453</v>
      </c>
      <c r="C125" s="37">
        <f t="shared" si="44"/>
        <v>0.8478436869947179</v>
      </c>
      <c r="D125" s="37">
        <f t="shared" si="45"/>
        <v>1.0199764632777009</v>
      </c>
      <c r="E125" s="37">
        <f t="shared" si="46"/>
        <v>1.1575953780480221</v>
      </c>
      <c r="F125" s="37">
        <f t="shared" si="47"/>
        <v>1.2727984906096281</v>
      </c>
      <c r="G125" s="37">
        <f t="shared" si="48"/>
        <v>1.3719318251108776</v>
      </c>
      <c r="H125" s="37">
        <f t="shared" si="49"/>
        <v>1.4588407904368248</v>
      </c>
      <c r="I125" s="37">
        <f t="shared" si="50"/>
        <v>1.5360742863950962</v>
      </c>
      <c r="J125" s="37">
        <f t="shared" si="51"/>
        <v>1.6054287689824032</v>
      </c>
      <c r="K125" s="37">
        <f t="shared" si="52"/>
        <v>1.6682281400986039</v>
      </c>
      <c r="L125" s="37">
        <f t="shared" si="53"/>
        <v>1.7254816598726141</v>
      </c>
      <c r="M125" s="37">
        <f t="shared" si="54"/>
        <v>1.7779794389767363</v>
      </c>
      <c r="N125" s="37"/>
      <c r="O125" s="37"/>
      <c r="P125" s="37"/>
      <c r="Q125" s="37"/>
      <c r="R125" s="37"/>
      <c r="S125" s="37"/>
      <c r="T125" s="37"/>
      <c r="U125" s="37"/>
      <c r="V125" s="37"/>
      <c r="W125" s="37"/>
      <c r="X125" s="37"/>
      <c r="Y125" s="37"/>
      <c r="Z125" s="255">
        <f>Smart!AX104</f>
        <v>40.704999999999998</v>
      </c>
      <c r="AA125" s="576" t="e">
        <f>Smart!I98+$Y$72</f>
        <v>#DIV/0!</v>
      </c>
      <c r="AB125" s="37" t="e">
        <f t="shared" si="64"/>
        <v>#DIV/0!</v>
      </c>
      <c r="AC125" s="38"/>
      <c r="AD125" s="38"/>
      <c r="AE125" s="256">
        <f t="shared" si="62"/>
        <v>0.59200000000000041</v>
      </c>
      <c r="AF125" s="39">
        <f t="shared" si="55"/>
        <v>11.035140363644768</v>
      </c>
      <c r="AG125" s="39">
        <f t="shared" si="56"/>
        <v>1.8</v>
      </c>
      <c r="AH125" s="38">
        <f t="shared" si="57"/>
        <v>0.8406400000000005</v>
      </c>
      <c r="AI125" s="38">
        <f t="shared" si="58"/>
        <v>0.7457074672485533</v>
      </c>
      <c r="AJ125" s="38"/>
      <c r="AK125" s="38"/>
      <c r="AL125" s="38"/>
      <c r="AM125" s="38"/>
      <c r="AN125" s="38"/>
      <c r="AO125" s="38"/>
      <c r="AP125" s="38"/>
      <c r="AQ125" s="38"/>
      <c r="AR125" s="39">
        <f t="shared" si="59"/>
        <v>11.265770927227987</v>
      </c>
      <c r="AS125" s="38">
        <f t="shared" si="63"/>
        <v>0.20799999999999952</v>
      </c>
      <c r="AT125" s="38">
        <f t="shared" si="60"/>
        <v>0.29535999999999929</v>
      </c>
      <c r="AU125" s="38"/>
      <c r="AV125" s="38">
        <f t="shared" si="61"/>
        <v>0.26200532633057194</v>
      </c>
      <c r="AW125" s="37"/>
      <c r="AX125" s="37"/>
      <c r="AY125" s="37"/>
      <c r="AZ125" s="37"/>
      <c r="BA125" s="37"/>
      <c r="BB125" s="37"/>
      <c r="BC125" s="37"/>
      <c r="BD125" s="37"/>
      <c r="BE125" s="37"/>
      <c r="BF125" s="37"/>
      <c r="BG125" s="37"/>
      <c r="BH125" s="37"/>
      <c r="BI125" s="37"/>
      <c r="BJ125" s="37"/>
      <c r="BK125" s="189"/>
      <c r="BL125" s="189"/>
      <c r="BM125" s="189"/>
      <c r="BN125" s="189"/>
      <c r="BO125" s="189"/>
      <c r="BP125" s="251"/>
      <c r="BQ125" s="251"/>
      <c r="BR125" s="189"/>
      <c r="BS125" s="189"/>
      <c r="BU125" s="189"/>
      <c r="BX125" s="30"/>
      <c r="BY125" s="30"/>
      <c r="BZ125" s="30"/>
      <c r="CA125" s="30"/>
      <c r="CB125" s="30"/>
      <c r="CC125" s="30"/>
    </row>
    <row r="126" spans="1:81" s="40" customFormat="1">
      <c r="A126" s="37">
        <v>76</v>
      </c>
      <c r="B126" s="37">
        <f t="shared" si="43"/>
        <v>0.60671449786293519</v>
      </c>
      <c r="C126" s="37">
        <f t="shared" si="44"/>
        <v>0.84224729786837327</v>
      </c>
      <c r="D126" s="37">
        <f t="shared" si="45"/>
        <v>1.0132438717920602</v>
      </c>
      <c r="E126" s="37">
        <f t="shared" si="46"/>
        <v>1.1499544009601601</v>
      </c>
      <c r="F126" s="37">
        <f t="shared" si="47"/>
        <v>1.2643970886270006</v>
      </c>
      <c r="G126" s="37">
        <f t="shared" si="48"/>
        <v>1.3628760705349936</v>
      </c>
      <c r="H126" s="37">
        <f t="shared" si="49"/>
        <v>1.4492113730549394</v>
      </c>
      <c r="I126" s="37">
        <f t="shared" si="50"/>
        <v>1.5259350713894264</v>
      </c>
      <c r="J126" s="37">
        <f t="shared" si="51"/>
        <v>1.5948317636102205</v>
      </c>
      <c r="K126" s="37">
        <f t="shared" si="52"/>
        <v>1.6572166128952783</v>
      </c>
      <c r="L126" s="37">
        <f t="shared" si="53"/>
        <v>1.7140922175176831</v>
      </c>
      <c r="M126" s="37">
        <f t="shared" si="54"/>
        <v>1.7662434728407805</v>
      </c>
      <c r="N126" s="37"/>
      <c r="O126" s="37"/>
      <c r="P126" s="37"/>
      <c r="Q126" s="37"/>
      <c r="R126" s="37"/>
      <c r="S126" s="37"/>
      <c r="T126" s="37"/>
      <c r="U126" s="37"/>
      <c r="V126" s="37"/>
      <c r="W126" s="37"/>
      <c r="X126" s="37"/>
      <c r="Y126" s="37"/>
      <c r="Z126" s="255">
        <f>Smart!AX105</f>
        <v>40.704999999999998</v>
      </c>
      <c r="AA126" s="576" t="e">
        <f>Smart!I97+$Y$72</f>
        <v>#DIV/0!</v>
      </c>
      <c r="AB126" s="37" t="e">
        <f t="shared" si="64"/>
        <v>#DIV/0!</v>
      </c>
      <c r="AC126" s="38"/>
      <c r="AD126" s="38"/>
      <c r="AE126" s="256">
        <f t="shared" si="62"/>
        <v>0.60000000000000042</v>
      </c>
      <c r="AF126" s="39">
        <f t="shared" si="55"/>
        <v>11.030335560236786</v>
      </c>
      <c r="AG126" s="39">
        <f t="shared" si="56"/>
        <v>1.8</v>
      </c>
      <c r="AH126" s="38">
        <f t="shared" si="57"/>
        <v>0.85200000000000053</v>
      </c>
      <c r="AI126" s="38">
        <f t="shared" si="58"/>
        <v>0.75578459518434449</v>
      </c>
      <c r="AJ126" s="38"/>
      <c r="AK126" s="38"/>
      <c r="AL126" s="38"/>
      <c r="AM126" s="38"/>
      <c r="AN126" s="38"/>
      <c r="AO126" s="38"/>
      <c r="AP126" s="38"/>
      <c r="AQ126" s="38"/>
      <c r="AR126" s="39">
        <f t="shared" ref="AR126:AR151" si="65">M$31*(AF$49-(SQRT((AT126^2+AV126^2))))/AD$51</f>
        <v>11.270575730635969</v>
      </c>
      <c r="AS126" s="38">
        <f t="shared" ref="AS126:AS151" si="66">AS125-$AS$50</f>
        <v>0.19999999999999951</v>
      </c>
      <c r="AT126" s="38">
        <f t="shared" ref="AT126:AT151" si="67">M$32*AS126</f>
        <v>0.28399999999999931</v>
      </c>
      <c r="AU126" s="38"/>
      <c r="AV126" s="38">
        <f t="shared" ref="AV126:AV151" si="68">7.695 * AS126 * $M$34 * $M$30 / $M$35</f>
        <v>0.25192819839478076</v>
      </c>
      <c r="AW126" s="37"/>
      <c r="AX126" s="37"/>
      <c r="AY126" s="37"/>
      <c r="AZ126" s="37"/>
      <c r="BA126" s="37"/>
      <c r="BB126" s="37"/>
      <c r="BC126" s="37"/>
      <c r="BD126" s="37"/>
      <c r="BE126" s="37"/>
      <c r="BF126" s="37"/>
      <c r="BG126" s="37"/>
      <c r="BH126" s="37"/>
      <c r="BI126" s="37"/>
      <c r="BJ126" s="37"/>
      <c r="BK126" s="189"/>
      <c r="BL126" s="30"/>
      <c r="BM126" s="189"/>
      <c r="BN126" s="189"/>
      <c r="BO126" s="189"/>
      <c r="BP126" s="251"/>
      <c r="BQ126" s="251"/>
      <c r="BR126" s="189"/>
      <c r="BS126" s="189"/>
      <c r="BU126" s="189"/>
      <c r="BX126" s="30"/>
      <c r="BY126" s="30"/>
      <c r="BZ126" s="30"/>
      <c r="CA126" s="30"/>
      <c r="CB126" s="30"/>
      <c r="CC126" s="30"/>
    </row>
    <row r="127" spans="1:81" s="40" customFormat="1">
      <c r="A127" s="37">
        <v>77</v>
      </c>
      <c r="B127" s="37">
        <f t="shared" si="43"/>
        <v>0.60276191834244552</v>
      </c>
      <c r="C127" s="37">
        <f t="shared" si="44"/>
        <v>0.83676028637867184</v>
      </c>
      <c r="D127" s="37">
        <f t="shared" si="45"/>
        <v>1.0066428642489509</v>
      </c>
      <c r="E127" s="37">
        <f t="shared" si="46"/>
        <v>1.142462761596436</v>
      </c>
      <c r="F127" s="37">
        <f t="shared" si="47"/>
        <v>1.2561598863582606</v>
      </c>
      <c r="G127" s="37">
        <f t="shared" si="48"/>
        <v>1.3539973045514269</v>
      </c>
      <c r="H127" s="37">
        <f t="shared" si="49"/>
        <v>1.439770156116537</v>
      </c>
      <c r="I127" s="37">
        <f t="shared" si="50"/>
        <v>1.5159940204766571</v>
      </c>
      <c r="J127" s="37">
        <f t="shared" si="51"/>
        <v>1.5844418695337215</v>
      </c>
      <c r="K127" s="37">
        <f t="shared" si="52"/>
        <v>1.6464202985361891</v>
      </c>
      <c r="L127" s="37">
        <f t="shared" si="53"/>
        <v>1.702925374102773</v>
      </c>
      <c r="M127" s="37">
        <f t="shared" si="54"/>
        <v>1.7547368782175441</v>
      </c>
      <c r="N127" s="37"/>
      <c r="O127" s="37"/>
      <c r="P127" s="37"/>
      <c r="Q127" s="37"/>
      <c r="R127" s="37"/>
      <c r="S127" s="37"/>
      <c r="T127" s="37"/>
      <c r="U127" s="37"/>
      <c r="V127" s="37"/>
      <c r="W127" s="37"/>
      <c r="X127" s="37"/>
      <c r="Y127" s="37"/>
      <c r="Z127" s="255">
        <f>Smart!AX106</f>
        <v>40.704999999999998</v>
      </c>
      <c r="AA127" s="576" t="e">
        <f>Smart!I96+$Y$72</f>
        <v>#DIV/0!</v>
      </c>
      <c r="AB127" s="37" t="e">
        <f t="shared" si="64"/>
        <v>#DIV/0!</v>
      </c>
      <c r="AC127" s="38"/>
      <c r="AD127" s="38"/>
      <c r="AE127" s="256">
        <f t="shared" si="62"/>
        <v>0.60800000000000043</v>
      </c>
      <c r="AF127" s="39">
        <f t="shared" si="55"/>
        <v>11.025530756828804</v>
      </c>
      <c r="AG127" s="39">
        <f t="shared" si="56"/>
        <v>1.8</v>
      </c>
      <c r="AH127" s="38">
        <f t="shared" si="57"/>
        <v>0.86336000000000057</v>
      </c>
      <c r="AI127" s="38">
        <f t="shared" si="58"/>
        <v>0.76586172312013578</v>
      </c>
      <c r="AJ127" s="38"/>
      <c r="AK127" s="38"/>
      <c r="AL127" s="38"/>
      <c r="AM127" s="38"/>
      <c r="AN127" s="38"/>
      <c r="AO127" s="38"/>
      <c r="AP127" s="38"/>
      <c r="AQ127" s="38"/>
      <c r="AR127" s="39">
        <f t="shared" si="65"/>
        <v>11.275380534043954</v>
      </c>
      <c r="AS127" s="38">
        <f t="shared" si="66"/>
        <v>0.1919999999999995</v>
      </c>
      <c r="AT127" s="38">
        <f t="shared" si="67"/>
        <v>0.27263999999999927</v>
      </c>
      <c r="AU127" s="38"/>
      <c r="AV127" s="38">
        <f t="shared" si="68"/>
        <v>0.24185107045898946</v>
      </c>
      <c r="AW127" s="37"/>
      <c r="AX127" s="37"/>
      <c r="AY127" s="37"/>
      <c r="AZ127" s="37"/>
      <c r="BA127" s="37"/>
      <c r="BB127" s="37"/>
      <c r="BC127" s="37"/>
      <c r="BD127" s="37"/>
      <c r="BE127" s="37"/>
      <c r="BF127" s="37"/>
      <c r="BG127" s="37"/>
      <c r="BH127" s="37"/>
      <c r="BI127" s="37"/>
      <c r="BJ127" s="37"/>
      <c r="BK127" s="189"/>
      <c r="BL127" s="30"/>
      <c r="BM127" s="189"/>
      <c r="BN127" s="189"/>
      <c r="BO127" s="189"/>
      <c r="BP127" s="251"/>
      <c r="BQ127" s="251"/>
      <c r="BR127" s="189"/>
      <c r="BS127" s="189"/>
      <c r="BU127" s="189"/>
      <c r="BX127" s="30"/>
      <c r="BY127" s="30"/>
      <c r="BZ127" s="30"/>
      <c r="CA127" s="30"/>
      <c r="CB127" s="30"/>
      <c r="CC127" s="30"/>
    </row>
    <row r="128" spans="1:81" s="40" customFormat="1">
      <c r="A128" s="37">
        <v>78</v>
      </c>
      <c r="B128" s="37">
        <f t="shared" si="43"/>
        <v>0.5988855957023117</v>
      </c>
      <c r="C128" s="37">
        <f t="shared" si="44"/>
        <v>0.83137913547356157</v>
      </c>
      <c r="D128" s="37">
        <f t="shared" si="45"/>
        <v>1.0001692095496828</v>
      </c>
      <c r="E128" s="37">
        <f t="shared" si="46"/>
        <v>1.1351156579830157</v>
      </c>
      <c r="F128" s="37">
        <f t="shared" si="47"/>
        <v>1.2480816039403724</v>
      </c>
      <c r="G128" s="37">
        <f t="shared" si="48"/>
        <v>1.3452898360691017</v>
      </c>
      <c r="H128" s="37">
        <f t="shared" si="49"/>
        <v>1.4305110880120175</v>
      </c>
      <c r="I128" s="37">
        <f t="shared" si="50"/>
        <v>1.5062447616647516</v>
      </c>
      <c r="J128" s="37">
        <f t="shared" si="51"/>
        <v>1.5742524270624072</v>
      </c>
      <c r="K128" s="37">
        <f t="shared" si="52"/>
        <v>1.6358322768244959</v>
      </c>
      <c r="L128" s="37">
        <f t="shared" si="53"/>
        <v>1.6919739719301781</v>
      </c>
      <c r="M128" s="37">
        <f t="shared" si="54"/>
        <v>1.7434522796363707</v>
      </c>
      <c r="N128" s="37"/>
      <c r="O128" s="37"/>
      <c r="P128" s="37"/>
      <c r="Q128" s="37"/>
      <c r="R128" s="37"/>
      <c r="S128" s="37"/>
      <c r="T128" s="37"/>
      <c r="U128" s="37"/>
      <c r="V128" s="37"/>
      <c r="W128" s="37"/>
      <c r="X128" s="37"/>
      <c r="Y128" s="37"/>
      <c r="Z128" s="255">
        <f>Smart!AX107</f>
        <v>40.704999999999998</v>
      </c>
      <c r="AA128" s="576">
        <f>Y74</f>
        <v>0</v>
      </c>
      <c r="AB128" s="37">
        <f t="shared" si="22"/>
        <v>0</v>
      </c>
      <c r="AC128" s="38"/>
      <c r="AD128" s="38"/>
      <c r="AE128" s="256">
        <f t="shared" si="62"/>
        <v>0.61600000000000044</v>
      </c>
      <c r="AF128" s="39">
        <f t="shared" si="55"/>
        <v>11.020725953420818</v>
      </c>
      <c r="AG128" s="39">
        <f t="shared" si="56"/>
        <v>1.8</v>
      </c>
      <c r="AH128" s="38">
        <f t="shared" si="57"/>
        <v>0.87472000000000061</v>
      </c>
      <c r="AI128" s="38">
        <f t="shared" si="58"/>
        <v>0.77593885105592697</v>
      </c>
      <c r="AJ128" s="38"/>
      <c r="AK128" s="38"/>
      <c r="AL128" s="38"/>
      <c r="AM128" s="38"/>
      <c r="AN128" s="38"/>
      <c r="AO128" s="38"/>
      <c r="AP128" s="38"/>
      <c r="AQ128" s="38"/>
      <c r="AR128" s="39">
        <f t="shared" si="65"/>
        <v>11.280185337451936</v>
      </c>
      <c r="AS128" s="38">
        <f t="shared" si="66"/>
        <v>0.1839999999999995</v>
      </c>
      <c r="AT128" s="38">
        <f t="shared" si="67"/>
        <v>0.26127999999999929</v>
      </c>
      <c r="AU128" s="38"/>
      <c r="AV128" s="38">
        <f t="shared" si="68"/>
        <v>0.23177394252319819</v>
      </c>
      <c r="AW128" s="37"/>
      <c r="AX128" s="37"/>
      <c r="AY128" s="37"/>
      <c r="AZ128" s="37"/>
      <c r="BA128" s="37"/>
      <c r="BB128" s="37"/>
      <c r="BC128" s="37"/>
      <c r="BD128" s="37"/>
      <c r="BE128" s="37"/>
      <c r="BF128" s="37"/>
      <c r="BG128" s="37"/>
      <c r="BH128" s="37"/>
      <c r="BI128" s="37"/>
      <c r="BJ128" s="37"/>
      <c r="BK128" s="189"/>
      <c r="BL128" s="30"/>
      <c r="BM128" s="189"/>
      <c r="BN128" s="189"/>
      <c r="BO128" s="189"/>
      <c r="BP128" s="251"/>
      <c r="BQ128" s="251"/>
      <c r="BR128" s="189"/>
      <c r="BS128" s="189"/>
      <c r="BU128" s="189"/>
      <c r="BX128" s="30"/>
      <c r="BY128" s="30"/>
      <c r="BZ128" s="30"/>
      <c r="CA128" s="30"/>
      <c r="CB128" s="30"/>
      <c r="CC128" s="30"/>
    </row>
    <row r="129" spans="1:81" s="40" customFormat="1">
      <c r="A129" s="37">
        <v>79</v>
      </c>
      <c r="B129" s="37">
        <f t="shared" si="43"/>
        <v>0.59508310903133521</v>
      </c>
      <c r="C129" s="37">
        <f t="shared" si="44"/>
        <v>0.82610048441924966</v>
      </c>
      <c r="D129" s="37">
        <f t="shared" si="45"/>
        <v>0.99381886465021363</v>
      </c>
      <c r="E129" s="37">
        <f t="shared" si="46"/>
        <v>1.127908501573726</v>
      </c>
      <c r="F129" s="37">
        <f t="shared" si="47"/>
        <v>1.2401571961781375</v>
      </c>
      <c r="G129" s="37">
        <f t="shared" si="48"/>
        <v>1.3367482269421465</v>
      </c>
      <c r="H129" s="37">
        <f t="shared" si="49"/>
        <v>1.4214283861005266</v>
      </c>
      <c r="I129" s="37">
        <f t="shared" si="50"/>
        <v>1.49668120617008</v>
      </c>
      <c r="J129" s="37">
        <f t="shared" si="51"/>
        <v>1.5642570725011784</v>
      </c>
      <c r="K129" s="37">
        <f t="shared" si="52"/>
        <v>1.6254459351371759</v>
      </c>
      <c r="L129" s="37">
        <f t="shared" si="53"/>
        <v>1.6812311714319312</v>
      </c>
      <c r="M129" s="37">
        <f t="shared" si="54"/>
        <v>1.7323826294354396</v>
      </c>
      <c r="N129" s="37"/>
      <c r="O129" s="37"/>
      <c r="P129" s="37"/>
      <c r="Q129" s="37"/>
      <c r="R129" s="37"/>
      <c r="S129" s="37"/>
      <c r="T129" s="37"/>
      <c r="U129" s="37"/>
      <c r="V129" s="37"/>
      <c r="W129" s="37"/>
      <c r="X129" s="37"/>
      <c r="Y129" s="37"/>
      <c r="Z129" s="255">
        <f>Smart!AX108</f>
        <v>40.704999999999998</v>
      </c>
      <c r="AA129" s="576">
        <f>Y74</f>
        <v>0</v>
      </c>
      <c r="AB129" s="37">
        <f t="shared" si="22"/>
        <v>0</v>
      </c>
      <c r="AC129" s="38"/>
      <c r="AD129" s="38"/>
      <c r="AE129" s="256">
        <f t="shared" si="62"/>
        <v>0.62400000000000044</v>
      </c>
      <c r="AF129" s="39">
        <f t="shared" si="55"/>
        <v>11.015921150012836</v>
      </c>
      <c r="AG129" s="39">
        <f t="shared" si="56"/>
        <v>1.8</v>
      </c>
      <c r="AH129" s="38">
        <f t="shared" si="57"/>
        <v>0.88608000000000053</v>
      </c>
      <c r="AI129" s="38">
        <f t="shared" si="58"/>
        <v>0.78601597899171838</v>
      </c>
      <c r="AJ129" s="38"/>
      <c r="AK129" s="38"/>
      <c r="AL129" s="38"/>
      <c r="AM129" s="38"/>
      <c r="AN129" s="38"/>
      <c r="AO129" s="38"/>
      <c r="AP129" s="38"/>
      <c r="AQ129" s="38"/>
      <c r="AR129" s="39">
        <f t="shared" si="65"/>
        <v>11.284990140859922</v>
      </c>
      <c r="AS129" s="38">
        <f t="shared" si="66"/>
        <v>0.17599999999999949</v>
      </c>
      <c r="AT129" s="38">
        <f t="shared" si="67"/>
        <v>0.24991999999999925</v>
      </c>
      <c r="AU129" s="38"/>
      <c r="AV129" s="38">
        <f t="shared" si="68"/>
        <v>0.22169681458740695</v>
      </c>
      <c r="AW129" s="37"/>
      <c r="AX129" s="37"/>
      <c r="AY129" s="37"/>
      <c r="AZ129" s="37"/>
      <c r="BA129" s="37"/>
      <c r="BB129" s="37"/>
      <c r="BC129" s="37"/>
      <c r="BD129" s="37"/>
      <c r="BE129" s="37"/>
      <c r="BF129" s="37"/>
      <c r="BG129" s="37"/>
      <c r="BH129" s="37"/>
      <c r="BI129" s="37"/>
      <c r="BJ129" s="37"/>
      <c r="BK129" s="189"/>
      <c r="BL129" s="30"/>
      <c r="BM129" s="189"/>
      <c r="BN129" s="189"/>
      <c r="BO129" s="189"/>
      <c r="BP129" s="251"/>
      <c r="BQ129" s="251"/>
      <c r="BR129" s="189"/>
      <c r="BS129" s="189"/>
      <c r="BU129" s="189"/>
      <c r="BX129" s="30"/>
      <c r="BY129" s="30"/>
      <c r="BZ129" s="30"/>
      <c r="CA129" s="30"/>
      <c r="CB129" s="30"/>
      <c r="CC129" s="30"/>
    </row>
    <row r="130" spans="1:81" s="40" customFormat="1">
      <c r="A130" s="37">
        <v>80</v>
      </c>
      <c r="B130" s="37">
        <f t="shared" si="43"/>
        <v>0.59135214366840672</v>
      </c>
      <c r="C130" s="37">
        <f t="shared" si="44"/>
        <v>0.82092111997940909</v>
      </c>
      <c r="D130" s="37">
        <f t="shared" si="45"/>
        <v>0.98758796394951909</v>
      </c>
      <c r="E130" s="37">
        <f t="shared" si="46"/>
        <v>1.1208369052066671</v>
      </c>
      <c r="F130" s="37">
        <f t="shared" si="47"/>
        <v>1.2323818393022568</v>
      </c>
      <c r="G130" s="37">
        <f t="shared" si="48"/>
        <v>1.3283672776965938</v>
      </c>
      <c r="H130" s="37">
        <f t="shared" si="49"/>
        <v>1.4125165215324715</v>
      </c>
      <c r="I130" s="37">
        <f t="shared" si="50"/>
        <v>1.4872975324364126</v>
      </c>
      <c r="J130" s="37">
        <f t="shared" si="51"/>
        <v>1.5544497214477804</v>
      </c>
      <c r="K130" s="37">
        <f t="shared" si="52"/>
        <v>1.6152549510691165</v>
      </c>
      <c r="L130" s="37">
        <f t="shared" si="53"/>
        <v>1.6706904332182413</v>
      </c>
      <c r="M130" s="37">
        <f t="shared" si="54"/>
        <v>1.7215211892640263</v>
      </c>
      <c r="N130" s="37"/>
      <c r="O130" s="37"/>
      <c r="P130" s="37"/>
      <c r="Q130" s="37"/>
      <c r="R130" s="37"/>
      <c r="S130" s="37"/>
      <c r="T130" s="37"/>
      <c r="U130" s="37"/>
      <c r="V130" s="37"/>
      <c r="W130" s="37"/>
      <c r="X130" s="37"/>
      <c r="Y130" s="37"/>
      <c r="Z130" s="255">
        <f>Smart!AX109</f>
        <v>40.704999999999998</v>
      </c>
      <c r="AA130" s="576" t="e">
        <f>Smart!J96+$Y$80</f>
        <v>#DIV/0!</v>
      </c>
      <c r="AB130" s="37" t="e">
        <f t="shared" si="22"/>
        <v>#DIV/0!</v>
      </c>
      <c r="AC130" s="38"/>
      <c r="AD130" s="38"/>
      <c r="AE130" s="256">
        <f t="shared" si="62"/>
        <v>0.63200000000000045</v>
      </c>
      <c r="AF130" s="39">
        <f t="shared" si="55"/>
        <v>11.011116346604851</v>
      </c>
      <c r="AG130" s="39">
        <f t="shared" si="56"/>
        <v>1.8</v>
      </c>
      <c r="AH130" s="38">
        <f t="shared" si="57"/>
        <v>0.89744000000000057</v>
      </c>
      <c r="AI130" s="38">
        <f t="shared" si="58"/>
        <v>0.79609310692750956</v>
      </c>
      <c r="AJ130" s="38"/>
      <c r="AK130" s="38"/>
      <c r="AL130" s="38"/>
      <c r="AM130" s="38"/>
      <c r="AN130" s="38"/>
      <c r="AO130" s="38"/>
      <c r="AP130" s="38"/>
      <c r="AQ130" s="38"/>
      <c r="AR130" s="39">
        <f t="shared" si="65"/>
        <v>11.289794944267905</v>
      </c>
      <c r="AS130" s="38">
        <f t="shared" si="66"/>
        <v>0.16799999999999948</v>
      </c>
      <c r="AT130" s="38">
        <f t="shared" si="67"/>
        <v>0.23855999999999924</v>
      </c>
      <c r="AU130" s="38"/>
      <c r="AV130" s="38">
        <f t="shared" si="68"/>
        <v>0.21161968665161565</v>
      </c>
      <c r="AW130" s="37"/>
      <c r="AX130" s="37"/>
      <c r="AY130" s="37"/>
      <c r="AZ130" s="37"/>
      <c r="BA130" s="37"/>
      <c r="BB130" s="37"/>
      <c r="BC130" s="37"/>
      <c r="BD130" s="37"/>
      <c r="BE130" s="37"/>
      <c r="BF130" s="37"/>
      <c r="BG130" s="37"/>
      <c r="BH130" s="37"/>
      <c r="BI130" s="37"/>
      <c r="BJ130" s="37"/>
      <c r="BK130" s="189"/>
      <c r="BL130" s="30"/>
      <c r="BM130" s="189"/>
      <c r="BN130" s="189"/>
      <c r="BO130" s="189"/>
      <c r="BP130" s="251"/>
      <c r="BQ130" s="251"/>
      <c r="BR130" s="189"/>
      <c r="BS130" s="189"/>
      <c r="BU130" s="189"/>
      <c r="BX130" s="30"/>
      <c r="BY130" s="30"/>
      <c r="BZ130" s="30"/>
      <c r="CA130" s="30"/>
      <c r="CB130" s="30"/>
      <c r="CC130" s="30"/>
    </row>
    <row r="131" spans="1:81" s="40" customFormat="1">
      <c r="A131" s="37">
        <v>81</v>
      </c>
      <c r="B131" s="37">
        <f t="shared" si="43"/>
        <v>0.58769048528123513</v>
      </c>
      <c r="C131" s="37">
        <f t="shared" si="44"/>
        <v>0.81583796819520871</v>
      </c>
      <c r="D131" s="37">
        <f t="shared" si="45"/>
        <v>0.98147280940077164</v>
      </c>
      <c r="E131" s="37">
        <f t="shared" si="46"/>
        <v>1.1138966718811536</v>
      </c>
      <c r="F131" s="37">
        <f t="shared" si="47"/>
        <v>1.2247509186293637</v>
      </c>
      <c r="G131" s="37">
        <f t="shared" si="48"/>
        <v>1.3201420142292997</v>
      </c>
      <c r="H131" s="37">
        <f t="shared" si="49"/>
        <v>1.4037702051058454</v>
      </c>
      <c r="I131" s="37">
        <f t="shared" si="50"/>
        <v>1.4780881712424518</v>
      </c>
      <c r="J131" s="37">
        <f t="shared" si="51"/>
        <v>1.5448245532279332</v>
      </c>
      <c r="K131" s="37">
        <f t="shared" si="52"/>
        <v>1.6052532762593963</v>
      </c>
      <c r="L131" s="37">
        <f t="shared" si="53"/>
        <v>1.6603455013486932</v>
      </c>
      <c r="M131" s="37">
        <f t="shared" si="54"/>
        <v>1.7108615128447306</v>
      </c>
      <c r="N131" s="37"/>
      <c r="O131" s="37"/>
      <c r="P131" s="37"/>
      <c r="Q131" s="37"/>
      <c r="R131" s="37"/>
      <c r="S131" s="37"/>
      <c r="T131" s="37"/>
      <c r="U131" s="37"/>
      <c r="V131" s="37"/>
      <c r="W131" s="37"/>
      <c r="X131" s="37"/>
      <c r="Y131" s="37"/>
      <c r="Z131" s="255">
        <f>Smart!AX110</f>
        <v>40.704999999999998</v>
      </c>
      <c r="AA131" s="576" t="e">
        <f>Smart!J97+$Y$80</f>
        <v>#DIV/0!</v>
      </c>
      <c r="AB131" s="37" t="e">
        <f t="shared" si="22"/>
        <v>#DIV/0!</v>
      </c>
      <c r="AC131" s="38"/>
      <c r="AD131" s="38"/>
      <c r="AE131" s="256">
        <f t="shared" si="62"/>
        <v>0.64000000000000046</v>
      </c>
      <c r="AF131" s="39">
        <f t="shared" si="55"/>
        <v>11.006311543196869</v>
      </c>
      <c r="AG131" s="39">
        <f t="shared" si="56"/>
        <v>1.8</v>
      </c>
      <c r="AH131" s="38">
        <f t="shared" si="57"/>
        <v>0.90880000000000061</v>
      </c>
      <c r="AI131" s="38">
        <f t="shared" si="58"/>
        <v>0.80617023486330075</v>
      </c>
      <c r="AJ131" s="38"/>
      <c r="AK131" s="38"/>
      <c r="AL131" s="38"/>
      <c r="AM131" s="38"/>
      <c r="AN131" s="38"/>
      <c r="AO131" s="38"/>
      <c r="AP131" s="38"/>
      <c r="AQ131" s="38"/>
      <c r="AR131" s="39">
        <f t="shared" si="65"/>
        <v>11.294599747675889</v>
      </c>
      <c r="AS131" s="38">
        <f t="shared" si="66"/>
        <v>0.15999999999999948</v>
      </c>
      <c r="AT131" s="38">
        <f t="shared" si="67"/>
        <v>0.22719999999999924</v>
      </c>
      <c r="AU131" s="38"/>
      <c r="AV131" s="38">
        <f t="shared" si="68"/>
        <v>0.20154255871582441</v>
      </c>
      <c r="AW131" s="37"/>
      <c r="AX131" s="37"/>
      <c r="AY131" s="37"/>
      <c r="AZ131" s="37"/>
      <c r="BA131" s="37"/>
      <c r="BB131" s="37"/>
      <c r="BC131" s="37"/>
      <c r="BD131" s="37"/>
      <c r="BE131" s="37"/>
      <c r="BF131" s="37"/>
      <c r="BG131" s="37"/>
      <c r="BH131" s="37"/>
      <c r="BI131" s="37"/>
      <c r="BJ131" s="37"/>
      <c r="BK131" s="189"/>
      <c r="BL131" s="30"/>
      <c r="BM131" s="189"/>
      <c r="BN131" s="189"/>
      <c r="BO131" s="189"/>
      <c r="BP131" s="251"/>
      <c r="BQ131" s="251"/>
      <c r="BR131" s="189"/>
      <c r="BS131" s="189"/>
      <c r="BU131" s="189"/>
      <c r="BX131" s="30"/>
      <c r="BY131" s="30"/>
      <c r="BZ131" s="30"/>
      <c r="CA131" s="30"/>
      <c r="CB131" s="30"/>
      <c r="CC131" s="30"/>
    </row>
    <row r="132" spans="1:81" s="40" customFormat="1">
      <c r="A132" s="37">
        <v>82</v>
      </c>
      <c r="B132" s="37">
        <f t="shared" si="43"/>
        <v>0.58409601434346559</v>
      </c>
      <c r="C132" s="37">
        <f t="shared" si="44"/>
        <v>0.81084808671839115</v>
      </c>
      <c r="D132" s="37">
        <f t="shared" si="45"/>
        <v>0.97546986128784796</v>
      </c>
      <c r="E132" s="37">
        <f t="shared" si="46"/>
        <v>1.1070837842897556</v>
      </c>
      <c r="F132" s="37">
        <f t="shared" si="47"/>
        <v>1.2172600170522974</v>
      </c>
      <c r="G132" s="37">
        <f t="shared" si="48"/>
        <v>1.3120676754017699</v>
      </c>
      <c r="H132" s="37">
        <f t="shared" si="49"/>
        <v>1.3951843740741494</v>
      </c>
      <c r="I132" s="37">
        <f t="shared" si="50"/>
        <v>1.4690477918113478</v>
      </c>
      <c r="J132" s="37">
        <f t="shared" si="51"/>
        <v>1.535375996377683</v>
      </c>
      <c r="K132" s="37">
        <f t="shared" si="52"/>
        <v>1.5954351213057509</v>
      </c>
      <c r="L132" s="37">
        <f t="shared" si="53"/>
        <v>1.6501903877289814</v>
      </c>
      <c r="M132" s="37">
        <f t="shared" si="54"/>
        <v>1.7003974298954783</v>
      </c>
      <c r="N132" s="37"/>
      <c r="O132" s="37"/>
      <c r="P132" s="37"/>
      <c r="Q132" s="37"/>
      <c r="R132" s="37"/>
      <c r="S132" s="37"/>
      <c r="T132" s="37"/>
      <c r="U132" s="37"/>
      <c r="V132" s="37"/>
      <c r="W132" s="37"/>
      <c r="X132" s="37"/>
      <c r="Y132" s="37"/>
      <c r="Z132" s="255">
        <f>Smart!AX111</f>
        <v>40.704999999999998</v>
      </c>
      <c r="AA132" s="576" t="e">
        <f>Smart!J98+$Y$80</f>
        <v>#DIV/0!</v>
      </c>
      <c r="AB132" s="37" t="e">
        <f t="shared" si="22"/>
        <v>#DIV/0!</v>
      </c>
      <c r="AC132" s="38"/>
      <c r="AD132" s="38"/>
      <c r="AE132" s="256">
        <f t="shared" si="62"/>
        <v>0.64800000000000046</v>
      </c>
      <c r="AF132" s="39">
        <f t="shared" si="55"/>
        <v>11.001506739788883</v>
      </c>
      <c r="AG132" s="39">
        <f t="shared" si="56"/>
        <v>1.8</v>
      </c>
      <c r="AH132" s="38">
        <f t="shared" si="57"/>
        <v>0.92016000000000064</v>
      </c>
      <c r="AI132" s="38">
        <f t="shared" si="58"/>
        <v>0.81624736279909216</v>
      </c>
      <c r="AJ132" s="38"/>
      <c r="AK132" s="38"/>
      <c r="AL132" s="38"/>
      <c r="AM132" s="38"/>
      <c r="AN132" s="38"/>
      <c r="AO132" s="38"/>
      <c r="AP132" s="38"/>
      <c r="AQ132" s="38"/>
      <c r="AR132" s="39">
        <f t="shared" si="65"/>
        <v>11.299404551083873</v>
      </c>
      <c r="AS132" s="38">
        <f t="shared" si="66"/>
        <v>0.15199999999999947</v>
      </c>
      <c r="AT132" s="38">
        <f t="shared" si="67"/>
        <v>0.21583999999999923</v>
      </c>
      <c r="AU132" s="38"/>
      <c r="AV132" s="38">
        <f t="shared" si="68"/>
        <v>0.19146543078003314</v>
      </c>
      <c r="AW132" s="37"/>
      <c r="AX132" s="37"/>
      <c r="AY132" s="37"/>
      <c r="AZ132" s="37"/>
      <c r="BA132" s="37"/>
      <c r="BB132" s="37"/>
      <c r="BC132" s="37"/>
      <c r="BD132" s="37"/>
      <c r="BE132" s="37"/>
      <c r="BF132" s="37"/>
      <c r="BG132" s="37"/>
      <c r="BH132" s="37"/>
      <c r="BI132" s="37"/>
      <c r="BJ132" s="37"/>
      <c r="BK132" s="189"/>
      <c r="BL132" s="30"/>
      <c r="BM132" s="189"/>
      <c r="BN132" s="189"/>
      <c r="BO132" s="189"/>
      <c r="BP132" s="251"/>
      <c r="BQ132" s="251"/>
      <c r="BR132" s="189"/>
      <c r="BS132" s="189"/>
      <c r="BU132" s="189"/>
      <c r="BX132" s="30"/>
      <c r="BY132" s="30"/>
      <c r="BZ132" s="30"/>
      <c r="CA132" s="30"/>
      <c r="CB132" s="30"/>
      <c r="CC132" s="30"/>
    </row>
    <row r="133" spans="1:81" s="40" customFormat="1">
      <c r="A133" s="37">
        <v>83</v>
      </c>
      <c r="B133" s="37">
        <f t="shared" si="43"/>
        <v>0.58056670097889107</v>
      </c>
      <c r="C133" s="37">
        <f t="shared" si="44"/>
        <v>0.80594865765395651</v>
      </c>
      <c r="D133" s="37">
        <f t="shared" si="45"/>
        <v>0.9695757296149029</v>
      </c>
      <c r="E133" s="37">
        <f t="shared" si="46"/>
        <v>1.1003943950461237</v>
      </c>
      <c r="F133" s="37">
        <f t="shared" si="47"/>
        <v>1.2099049042954102</v>
      </c>
      <c r="G133" s="37">
        <f t="shared" si="48"/>
        <v>1.3041397014586051</v>
      </c>
      <c r="H133" s="37">
        <f t="shared" si="49"/>
        <v>1.3867541798311704</v>
      </c>
      <c r="I133" s="37">
        <f t="shared" si="50"/>
        <v>1.4601712888434819</v>
      </c>
      <c r="J133" s="37">
        <f t="shared" si="51"/>
        <v>1.5260987150907128</v>
      </c>
      <c r="K133" s="37">
        <f t="shared" si="52"/>
        <v>1.5857949416817472</v>
      </c>
      <c r="L133" s="37">
        <f t="shared" si="53"/>
        <v>1.6402193575447566</v>
      </c>
      <c r="M133" s="37">
        <f t="shared" si="54"/>
        <v>1.6901230311201956</v>
      </c>
      <c r="N133" s="37"/>
      <c r="O133" s="37"/>
      <c r="P133" s="37"/>
      <c r="Q133" s="37"/>
      <c r="R133" s="37"/>
      <c r="S133" s="37"/>
      <c r="T133" s="37"/>
      <c r="U133" s="37"/>
      <c r="V133" s="37"/>
      <c r="W133" s="37"/>
      <c r="X133" s="37"/>
      <c r="Y133" s="37"/>
      <c r="Z133" s="255">
        <f>Smart!AX112</f>
        <v>40.704999999999998</v>
      </c>
      <c r="AA133" s="576">
        <f>Smart!J99+$Y$80</f>
        <v>0</v>
      </c>
      <c r="AB133" s="37">
        <f t="shared" si="22"/>
        <v>0</v>
      </c>
      <c r="AC133" s="38"/>
      <c r="AD133" s="38"/>
      <c r="AE133" s="256">
        <f t="shared" si="62"/>
        <v>0.65600000000000047</v>
      </c>
      <c r="AF133" s="39">
        <f t="shared" si="55"/>
        <v>10.9967019363809</v>
      </c>
      <c r="AG133" s="39">
        <f t="shared" si="56"/>
        <v>1.8</v>
      </c>
      <c r="AH133" s="38">
        <f t="shared" si="57"/>
        <v>0.93152000000000057</v>
      </c>
      <c r="AI133" s="38">
        <f t="shared" si="58"/>
        <v>0.82632449073488334</v>
      </c>
      <c r="AJ133" s="38"/>
      <c r="AK133" s="38"/>
      <c r="AL133" s="38"/>
      <c r="AM133" s="38"/>
      <c r="AN133" s="38"/>
      <c r="AO133" s="38"/>
      <c r="AP133" s="38"/>
      <c r="AQ133" s="38"/>
      <c r="AR133" s="39">
        <f t="shared" si="65"/>
        <v>11.304209354491856</v>
      </c>
      <c r="AS133" s="38">
        <f t="shared" si="66"/>
        <v>0.14399999999999946</v>
      </c>
      <c r="AT133" s="38">
        <f t="shared" si="67"/>
        <v>0.20447999999999922</v>
      </c>
      <c r="AU133" s="38"/>
      <c r="AV133" s="38">
        <f t="shared" si="68"/>
        <v>0.18138830284424187</v>
      </c>
      <c r="AW133" s="37"/>
      <c r="AX133" s="37"/>
      <c r="AY133" s="37"/>
      <c r="AZ133" s="37"/>
      <c r="BA133" s="37"/>
      <c r="BB133" s="37"/>
      <c r="BC133" s="37"/>
      <c r="BD133" s="37"/>
      <c r="BE133" s="37"/>
      <c r="BF133" s="37"/>
      <c r="BG133" s="37"/>
      <c r="BH133" s="37"/>
      <c r="BI133" s="37"/>
      <c r="BJ133" s="37"/>
      <c r="BK133" s="189"/>
      <c r="BL133" s="30"/>
      <c r="BM133" s="189"/>
      <c r="BN133" s="189"/>
      <c r="BO133" s="189"/>
      <c r="BP133" s="251"/>
      <c r="BQ133" s="251"/>
      <c r="BR133" s="189"/>
      <c r="BS133" s="189"/>
      <c r="BU133" s="189"/>
      <c r="BX133" s="30"/>
      <c r="BY133" s="30"/>
      <c r="BZ133" s="30"/>
      <c r="CA133" s="30"/>
      <c r="CB133" s="30"/>
      <c r="CC133" s="30"/>
    </row>
    <row r="134" spans="1:81" s="40" customFormat="1">
      <c r="A134" s="37">
        <v>84</v>
      </c>
      <c r="B134" s="37">
        <f t="shared" si="43"/>
        <v>0.57710060014426967</v>
      </c>
      <c r="C134" s="37">
        <f t="shared" si="44"/>
        <v>0.80113698087289698</v>
      </c>
      <c r="D134" s="37">
        <f t="shared" si="45"/>
        <v>0.963787166061429</v>
      </c>
      <c r="E134" s="37">
        <f t="shared" si="46"/>
        <v>1.0938248175545946</v>
      </c>
      <c r="F134" s="37">
        <f t="shared" si="47"/>
        <v>1.20268152687552</v>
      </c>
      <c r="G134" s="37">
        <f t="shared" si="48"/>
        <v>1.2963537232065503</v>
      </c>
      <c r="H134" s="37">
        <f t="shared" si="49"/>
        <v>1.3784749764045474</v>
      </c>
      <c r="I134" s="37">
        <f t="shared" si="50"/>
        <v>1.4514537704008685</v>
      </c>
      <c r="J134" s="37">
        <f t="shared" si="51"/>
        <v>1.5169875965557162</v>
      </c>
      <c r="K134" s="37">
        <f t="shared" si="52"/>
        <v>1.5763274245788301</v>
      </c>
      <c r="L134" s="37">
        <f t="shared" si="53"/>
        <v>1.6304269156520981</v>
      </c>
      <c r="M134" s="37">
        <f t="shared" si="54"/>
        <v>1.6800326541852089</v>
      </c>
      <c r="N134" s="37"/>
      <c r="O134" s="37"/>
      <c r="P134" s="37"/>
      <c r="Q134" s="37"/>
      <c r="R134" s="37"/>
      <c r="S134" s="37"/>
      <c r="T134" s="37"/>
      <c r="U134" s="37"/>
      <c r="V134" s="37"/>
      <c r="W134" s="37"/>
      <c r="X134" s="37"/>
      <c r="Y134" s="37"/>
      <c r="Z134" s="255">
        <f>Smart!AX113</f>
        <v>40.704999999999998</v>
      </c>
      <c r="AA134" s="576">
        <f>Smart!J100+$Y$80</f>
        <v>0</v>
      </c>
      <c r="AB134" s="37">
        <f t="shared" si="22"/>
        <v>0</v>
      </c>
      <c r="AC134" s="38"/>
      <c r="AD134" s="38"/>
      <c r="AE134" s="256">
        <f t="shared" si="62"/>
        <v>0.66400000000000048</v>
      </c>
      <c r="AF134" s="39">
        <f t="shared" si="55"/>
        <v>10.991897132972916</v>
      </c>
      <c r="AG134" s="39">
        <f t="shared" si="56"/>
        <v>1.8</v>
      </c>
      <c r="AH134" s="38">
        <f t="shared" si="57"/>
        <v>0.94288000000000061</v>
      </c>
      <c r="AI134" s="38">
        <f t="shared" si="58"/>
        <v>0.83640161867067453</v>
      </c>
      <c r="AJ134" s="38"/>
      <c r="AK134" s="38"/>
      <c r="AL134" s="38"/>
      <c r="AM134" s="38"/>
      <c r="AN134" s="38"/>
      <c r="AO134" s="38"/>
      <c r="AP134" s="38"/>
      <c r="AQ134" s="38"/>
      <c r="AR134" s="39">
        <f t="shared" si="65"/>
        <v>11.309014157899838</v>
      </c>
      <c r="AS134" s="38">
        <f t="shared" si="66"/>
        <v>0.13599999999999945</v>
      </c>
      <c r="AT134" s="38">
        <f t="shared" si="67"/>
        <v>0.19311999999999921</v>
      </c>
      <c r="AU134" s="38"/>
      <c r="AV134" s="38">
        <f t="shared" si="68"/>
        <v>0.17131117490845063</v>
      </c>
      <c r="AW134" s="37"/>
      <c r="AX134" s="37"/>
      <c r="AY134" s="37"/>
      <c r="AZ134" s="37"/>
      <c r="BA134" s="37"/>
      <c r="BB134" s="37"/>
      <c r="BC134" s="37"/>
      <c r="BD134" s="37"/>
      <c r="BE134" s="37"/>
      <c r="BF134" s="37"/>
      <c r="BG134" s="37"/>
      <c r="BH134" s="37"/>
      <c r="BI134" s="37"/>
      <c r="BJ134" s="37"/>
      <c r="BK134" s="189"/>
      <c r="BL134" s="30"/>
      <c r="BM134" s="189"/>
      <c r="BN134" s="189"/>
      <c r="BO134" s="189"/>
      <c r="BP134" s="251"/>
      <c r="BQ134" s="251"/>
      <c r="BR134" s="189"/>
      <c r="BS134" s="189"/>
      <c r="BU134" s="189"/>
      <c r="BX134" s="30"/>
      <c r="BY134" s="30"/>
      <c r="BZ134" s="30"/>
      <c r="CA134" s="30"/>
      <c r="CB134" s="30"/>
      <c r="CC134" s="30"/>
    </row>
    <row r="135" spans="1:81" s="40" customFormat="1">
      <c r="A135" s="37">
        <v>85</v>
      </c>
      <c r="B135" s="37">
        <f t="shared" si="43"/>
        <v>0.57369584712476951</v>
      </c>
      <c r="C135" s="37">
        <f t="shared" si="44"/>
        <v>0.79641046775892999</v>
      </c>
      <c r="D135" s="37">
        <f t="shared" si="45"/>
        <v>0.95810105645942445</v>
      </c>
      <c r="E135" s="37">
        <f t="shared" si="46"/>
        <v>1.0873715174723524</v>
      </c>
      <c r="F135" s="37">
        <f t="shared" si="47"/>
        <v>1.1955859987143942</v>
      </c>
      <c r="G135" s="37">
        <f t="shared" si="48"/>
        <v>1.2887055518958221</v>
      </c>
      <c r="H135" s="37">
        <f t="shared" si="49"/>
        <v>1.3703423096960996</v>
      </c>
      <c r="I135" s="37">
        <f t="shared" si="50"/>
        <v>1.4428905465778441</v>
      </c>
      <c r="J135" s="37">
        <f t="shared" si="51"/>
        <v>1.5080377391155644</v>
      </c>
      <c r="K135" s="37">
        <f t="shared" si="52"/>
        <v>1.5670274766023184</v>
      </c>
      <c r="L135" s="37">
        <f t="shared" si="53"/>
        <v>1.6208077938512322</v>
      </c>
      <c r="M135" s="37">
        <f t="shared" si="54"/>
        <v>1.6701208706057677</v>
      </c>
      <c r="N135" s="37"/>
      <c r="O135" s="37"/>
      <c r="P135" s="37"/>
      <c r="Q135" s="37"/>
      <c r="R135" s="37"/>
      <c r="S135" s="37"/>
      <c r="T135" s="37"/>
      <c r="U135" s="37"/>
      <c r="V135" s="37"/>
      <c r="W135" s="37"/>
      <c r="X135" s="37"/>
      <c r="Y135" s="37"/>
      <c r="Z135" s="255">
        <f>Smart!AX114</f>
        <v>40.704999999999998</v>
      </c>
      <c r="AA135" s="576">
        <f>Smart!J101+$Y$80</f>
        <v>0</v>
      </c>
      <c r="AB135" s="37">
        <f t="shared" si="22"/>
        <v>0</v>
      </c>
      <c r="AC135" s="38"/>
      <c r="AD135" s="38"/>
      <c r="AE135" s="256">
        <f t="shared" si="62"/>
        <v>0.67200000000000049</v>
      </c>
      <c r="AF135" s="39">
        <f t="shared" si="55"/>
        <v>10.987092329564932</v>
      </c>
      <c r="AG135" s="39">
        <f t="shared" si="56"/>
        <v>1.8</v>
      </c>
      <c r="AH135" s="38">
        <f t="shared" si="57"/>
        <v>0.95424000000000064</v>
      </c>
      <c r="AI135" s="38">
        <f t="shared" si="58"/>
        <v>0.84647874660646594</v>
      </c>
      <c r="AJ135" s="38"/>
      <c r="AK135" s="38"/>
      <c r="AL135" s="38"/>
      <c r="AM135" s="38"/>
      <c r="AN135" s="38"/>
      <c r="AO135" s="38"/>
      <c r="AP135" s="38"/>
      <c r="AQ135" s="38"/>
      <c r="AR135" s="39">
        <f t="shared" si="65"/>
        <v>11.313818961307822</v>
      </c>
      <c r="AS135" s="38">
        <f t="shared" si="66"/>
        <v>0.12799999999999945</v>
      </c>
      <c r="AT135" s="38">
        <f t="shared" si="67"/>
        <v>0.1817599999999992</v>
      </c>
      <c r="AU135" s="38"/>
      <c r="AV135" s="38">
        <f t="shared" si="68"/>
        <v>0.16123404697265936</v>
      </c>
      <c r="AW135" s="37"/>
      <c r="AX135" s="37"/>
      <c r="AY135" s="37"/>
      <c r="AZ135" s="37"/>
      <c r="BA135" s="37"/>
      <c r="BB135" s="37"/>
      <c r="BC135" s="37"/>
      <c r="BD135" s="37"/>
      <c r="BE135" s="37"/>
      <c r="BF135" s="37"/>
      <c r="BG135" s="37"/>
      <c r="BH135" s="37"/>
      <c r="BI135" s="37"/>
      <c r="BJ135" s="37"/>
      <c r="BK135" s="189"/>
      <c r="BL135" s="30"/>
      <c r="BM135" s="189"/>
      <c r="BN135" s="189"/>
      <c r="BO135" s="189"/>
      <c r="BP135" s="251"/>
      <c r="BQ135" s="251"/>
      <c r="BR135" s="189"/>
      <c r="BS135" s="189"/>
      <c r="BU135" s="189"/>
      <c r="BX135" s="30"/>
      <c r="BY135" s="30"/>
      <c r="BZ135" s="30"/>
      <c r="CA135" s="30"/>
      <c r="CB135" s="30"/>
      <c r="CC135" s="30"/>
    </row>
    <row r="136" spans="1:81" s="40" customFormat="1">
      <c r="A136" s="37">
        <v>86</v>
      </c>
      <c r="B136" s="37">
        <f t="shared" si="43"/>
        <v>0.570350653318351</v>
      </c>
      <c r="C136" s="37">
        <f t="shared" si="44"/>
        <v>0.79176663535633152</v>
      </c>
      <c r="D136" s="37">
        <f t="shared" si="45"/>
        <v>0.95251441375309465</v>
      </c>
      <c r="E136" s="37">
        <f t="shared" si="46"/>
        <v>1.0810311047192276</v>
      </c>
      <c r="F136" s="37">
        <f t="shared" si="47"/>
        <v>1.1886145923533673</v>
      </c>
      <c r="G136" s="37">
        <f t="shared" si="48"/>
        <v>1.2811911697504659</v>
      </c>
      <c r="H136" s="37">
        <f t="shared" si="49"/>
        <v>1.3623519074123058</v>
      </c>
      <c r="I136" s="37">
        <f t="shared" si="50"/>
        <v>1.4344771188984513</v>
      </c>
      <c r="J136" s="37">
        <f t="shared" si="51"/>
        <v>1.4992444411859773</v>
      </c>
      <c r="K136" s="37">
        <f t="shared" si="52"/>
        <v>1.5578902122566034</v>
      </c>
      <c r="L136" s="37">
        <f t="shared" si="53"/>
        <v>1.6113569389765459</v>
      </c>
      <c r="M136" s="37">
        <f t="shared" si="54"/>
        <v>1.6603824734736963</v>
      </c>
      <c r="N136" s="37"/>
      <c r="O136" s="37"/>
      <c r="P136" s="37"/>
      <c r="Q136" s="37"/>
      <c r="R136" s="37"/>
      <c r="S136" s="37"/>
      <c r="T136" s="37"/>
      <c r="U136" s="37"/>
      <c r="V136" s="37"/>
      <c r="W136" s="37"/>
      <c r="X136" s="37"/>
      <c r="Y136" s="37"/>
      <c r="Z136" s="255">
        <f>Smart!AX115</f>
        <v>40.704999999999998</v>
      </c>
      <c r="AA136" s="576">
        <f>Smart!J102+$Y$80</f>
        <v>0</v>
      </c>
      <c r="AB136" s="37">
        <f t="shared" si="22"/>
        <v>0</v>
      </c>
      <c r="AC136" s="38"/>
      <c r="AD136" s="38"/>
      <c r="AE136" s="256">
        <f t="shared" si="62"/>
        <v>0.68000000000000049</v>
      </c>
      <c r="AF136" s="39">
        <f t="shared" si="55"/>
        <v>10.98228752615695</v>
      </c>
      <c r="AG136" s="39">
        <f t="shared" si="56"/>
        <v>1.8</v>
      </c>
      <c r="AH136" s="38">
        <f t="shared" si="57"/>
        <v>0.96560000000000068</v>
      </c>
      <c r="AI136" s="38">
        <f t="shared" si="58"/>
        <v>0.85655587454225712</v>
      </c>
      <c r="AJ136" s="38"/>
      <c r="AK136" s="38"/>
      <c r="AL136" s="38"/>
      <c r="AM136" s="38"/>
      <c r="AN136" s="38"/>
      <c r="AO136" s="38"/>
      <c r="AP136" s="38"/>
      <c r="AQ136" s="38"/>
      <c r="AR136" s="39">
        <f t="shared" si="65"/>
        <v>11.318623764715808</v>
      </c>
      <c r="AS136" s="38">
        <f t="shared" si="66"/>
        <v>0.11999999999999944</v>
      </c>
      <c r="AT136" s="38">
        <f t="shared" si="67"/>
        <v>0.17039999999999919</v>
      </c>
      <c r="AU136" s="38"/>
      <c r="AV136" s="38">
        <f t="shared" si="68"/>
        <v>0.15115691903686809</v>
      </c>
      <c r="AW136" s="37"/>
      <c r="AX136" s="37"/>
      <c r="AY136" s="37"/>
      <c r="AZ136" s="37"/>
      <c r="BA136" s="37"/>
      <c r="BB136" s="37"/>
      <c r="BC136" s="37"/>
      <c r="BD136" s="37"/>
      <c r="BE136" s="37"/>
      <c r="BF136" s="37"/>
      <c r="BG136" s="37"/>
      <c r="BH136" s="37"/>
      <c r="BI136" s="37"/>
      <c r="BJ136" s="37"/>
      <c r="BK136" s="189"/>
      <c r="BL136" s="30"/>
      <c r="BM136" s="189"/>
      <c r="BN136" s="189"/>
      <c r="BO136" s="189"/>
      <c r="BP136" s="251"/>
      <c r="BQ136" s="251"/>
      <c r="BR136" s="189"/>
      <c r="BS136" s="189"/>
      <c r="BU136" s="189"/>
      <c r="BX136" s="30"/>
      <c r="BY136" s="30"/>
      <c r="BZ136" s="30"/>
      <c r="CA136" s="30"/>
      <c r="CB136" s="30"/>
      <c r="CC136" s="30"/>
    </row>
    <row r="137" spans="1:81" s="40" customFormat="1">
      <c r="A137" s="37">
        <v>87</v>
      </c>
      <c r="B137" s="37">
        <f t="shared" si="43"/>
        <v>0.56706330228742696</v>
      </c>
      <c r="C137" s="37">
        <f t="shared" si="44"/>
        <v>0.78720310088881329</v>
      </c>
      <c r="D137" s="37">
        <f t="shared" si="45"/>
        <v>0.94702437140493001</v>
      </c>
      <c r="E137" s="37">
        <f t="shared" si="46"/>
        <v>1.0748003259940981</v>
      </c>
      <c r="F137" s="37">
        <f t="shared" si="47"/>
        <v>1.1817637307249804</v>
      </c>
      <c r="G137" s="37">
        <f t="shared" si="48"/>
        <v>1.2738067210991222</v>
      </c>
      <c r="H137" s="37">
        <f t="shared" si="49"/>
        <v>1.354499669633219</v>
      </c>
      <c r="I137" s="37">
        <f t="shared" si="50"/>
        <v>1.4262091703860551</v>
      </c>
      <c r="J137" s="37">
        <f t="shared" si="51"/>
        <v>1.4906031908767772</v>
      </c>
      <c r="K137" s="37">
        <f t="shared" si="52"/>
        <v>1.5489109431604224</v>
      </c>
      <c r="L137" s="37">
        <f t="shared" si="53"/>
        <v>1.6020695017417292</v>
      </c>
      <c r="M137" s="37">
        <f t="shared" si="54"/>
        <v>1.6508124659631496</v>
      </c>
      <c r="N137" s="37"/>
      <c r="O137" s="37"/>
      <c r="P137" s="37"/>
      <c r="Q137" s="37"/>
      <c r="R137" s="37"/>
      <c r="S137" s="37"/>
      <c r="T137" s="37"/>
      <c r="U137" s="37"/>
      <c r="V137" s="37"/>
      <c r="W137" s="37"/>
      <c r="X137" s="37"/>
      <c r="Y137" s="37"/>
      <c r="Z137" s="255">
        <f>Smart!AX116</f>
        <v>40.704999999999998</v>
      </c>
      <c r="AA137" s="576">
        <f>Smart!J103+$Y$80</f>
        <v>0</v>
      </c>
      <c r="AB137" s="37">
        <f t="shared" si="22"/>
        <v>0</v>
      </c>
      <c r="AC137" s="38"/>
      <c r="AD137" s="38"/>
      <c r="AE137" s="256">
        <f t="shared" si="62"/>
        <v>0.6880000000000005</v>
      </c>
      <c r="AF137" s="39">
        <f t="shared" si="55"/>
        <v>10.977482722748967</v>
      </c>
      <c r="AG137" s="39">
        <f t="shared" si="56"/>
        <v>1.8</v>
      </c>
      <c r="AH137" s="38">
        <f t="shared" si="57"/>
        <v>0.97696000000000061</v>
      </c>
      <c r="AI137" s="38">
        <f t="shared" si="58"/>
        <v>0.86663300247804842</v>
      </c>
      <c r="AJ137" s="38"/>
      <c r="AK137" s="38"/>
      <c r="AL137" s="38"/>
      <c r="AM137" s="38"/>
      <c r="AN137" s="38"/>
      <c r="AO137" s="38"/>
      <c r="AP137" s="38"/>
      <c r="AQ137" s="38"/>
      <c r="AR137" s="39">
        <f t="shared" si="65"/>
        <v>11.323428568123791</v>
      </c>
      <c r="AS137" s="38">
        <f t="shared" si="66"/>
        <v>0.11199999999999943</v>
      </c>
      <c r="AT137" s="38">
        <f t="shared" si="67"/>
        <v>0.15903999999999918</v>
      </c>
      <c r="AU137" s="38"/>
      <c r="AV137" s="38">
        <f t="shared" si="68"/>
        <v>0.14107979110107685</v>
      </c>
      <c r="AW137" s="37"/>
      <c r="AX137" s="37"/>
      <c r="AY137" s="37"/>
      <c r="AZ137" s="37"/>
      <c r="BA137" s="37"/>
      <c r="BB137" s="37"/>
      <c r="BC137" s="37"/>
      <c r="BD137" s="37"/>
      <c r="BE137" s="37"/>
      <c r="BF137" s="37"/>
      <c r="BG137" s="37"/>
      <c r="BH137" s="37"/>
      <c r="BI137" s="37"/>
      <c r="BJ137" s="37"/>
      <c r="BK137" s="189"/>
      <c r="BL137" s="30"/>
      <c r="BM137" s="189"/>
      <c r="BN137" s="189"/>
      <c r="BO137" s="189"/>
      <c r="BP137" s="251"/>
      <c r="BQ137" s="251"/>
      <c r="BR137" s="189"/>
      <c r="BS137" s="189"/>
      <c r="BU137" s="189"/>
      <c r="BX137" s="30"/>
      <c r="BY137" s="30"/>
      <c r="BZ137" s="30"/>
      <c r="CA137" s="30"/>
      <c r="CB137" s="30"/>
      <c r="CC137" s="30"/>
    </row>
    <row r="138" spans="1:81" s="40" customFormat="1">
      <c r="A138" s="37">
        <v>88</v>
      </c>
      <c r="B138" s="37">
        <f t="shared" si="43"/>
        <v>0.56383214605801057</v>
      </c>
      <c r="C138" s="37">
        <f t="shared" si="44"/>
        <v>0.78271757662195895</v>
      </c>
      <c r="D138" s="37">
        <f t="shared" si="45"/>
        <v>0.94162817721509118</v>
      </c>
      <c r="E138" s="37">
        <f t="shared" si="46"/>
        <v>1.0686760577603653</v>
      </c>
      <c r="F138" s="37">
        <f t="shared" si="47"/>
        <v>1.1750299794403753</v>
      </c>
      <c r="G138" s="37">
        <f t="shared" si="48"/>
        <v>1.2665485040617133</v>
      </c>
      <c r="H138" s="37">
        <f t="shared" si="49"/>
        <v>1.346781659972528</v>
      </c>
      <c r="I138" s="37">
        <f t="shared" si="50"/>
        <v>1.4180825562554022</v>
      </c>
      <c r="J138" s="37">
        <f t="shared" si="51"/>
        <v>1.4821096562636906</v>
      </c>
      <c r="K138" s="37">
        <f t="shared" si="52"/>
        <v>1.5400851679381222</v>
      </c>
      <c r="L138" s="37">
        <f t="shared" si="53"/>
        <v>1.5929408262841045</v>
      </c>
      <c r="M138" s="37">
        <f t="shared" si="54"/>
        <v>1.64140605055683</v>
      </c>
      <c r="N138" s="37"/>
      <c r="O138" s="37"/>
      <c r="P138" s="37"/>
      <c r="Q138" s="37"/>
      <c r="R138" s="37"/>
      <c r="S138" s="37"/>
      <c r="T138" s="37"/>
      <c r="U138" s="37"/>
      <c r="V138" s="37"/>
      <c r="W138" s="37"/>
      <c r="X138" s="37"/>
      <c r="Y138" s="37"/>
      <c r="Z138" s="255">
        <f>Smart!AX117</f>
        <v>40.704999999999998</v>
      </c>
      <c r="AA138" s="576" t="e">
        <f>Smart!J104+$Y$80</f>
        <v>#DIV/0!</v>
      </c>
      <c r="AB138" s="37" t="e">
        <f t="shared" si="22"/>
        <v>#DIV/0!</v>
      </c>
      <c r="AC138" s="38"/>
      <c r="AD138" s="38"/>
      <c r="AE138" s="256">
        <f t="shared" si="62"/>
        <v>0.69600000000000051</v>
      </c>
      <c r="AF138" s="39">
        <f t="shared" si="55"/>
        <v>10.972677919340981</v>
      </c>
      <c r="AG138" s="39">
        <f t="shared" si="56"/>
        <v>1.8</v>
      </c>
      <c r="AH138" s="38">
        <f t="shared" si="57"/>
        <v>0.98832000000000064</v>
      </c>
      <c r="AI138" s="38">
        <f t="shared" si="58"/>
        <v>0.87671013041383961</v>
      </c>
      <c r="AJ138" s="38"/>
      <c r="AK138" s="38"/>
      <c r="AL138" s="38"/>
      <c r="AM138" s="38"/>
      <c r="AN138" s="38"/>
      <c r="AO138" s="38"/>
      <c r="AP138" s="38"/>
      <c r="AQ138" s="38"/>
      <c r="AR138" s="39">
        <f t="shared" si="65"/>
        <v>11.328233371531775</v>
      </c>
      <c r="AS138" s="38">
        <f t="shared" si="66"/>
        <v>0.10399999999999943</v>
      </c>
      <c r="AT138" s="38">
        <f t="shared" si="67"/>
        <v>0.14767999999999917</v>
      </c>
      <c r="AU138" s="38"/>
      <c r="AV138" s="38">
        <f t="shared" si="68"/>
        <v>0.13100266316528555</v>
      </c>
      <c r="AW138" s="37"/>
      <c r="AX138" s="37"/>
      <c r="AY138" s="37"/>
      <c r="AZ138" s="37"/>
      <c r="BA138" s="37"/>
      <c r="BB138" s="37"/>
      <c r="BC138" s="37"/>
      <c r="BD138" s="37"/>
      <c r="BE138" s="37"/>
      <c r="BF138" s="37"/>
      <c r="BG138" s="37"/>
      <c r="BH138" s="37"/>
      <c r="BI138" s="37"/>
      <c r="BJ138" s="37"/>
      <c r="BK138" s="189"/>
      <c r="BL138" s="30"/>
      <c r="BM138" s="189"/>
      <c r="BN138" s="189"/>
      <c r="BO138" s="189"/>
      <c r="BP138" s="251"/>
      <c r="BQ138" s="219"/>
      <c r="BR138" s="189"/>
      <c r="BS138" s="189"/>
      <c r="BU138" s="189"/>
      <c r="BX138" s="30"/>
      <c r="BY138" s="30"/>
      <c r="BZ138" s="30"/>
      <c r="CA138" s="30"/>
      <c r="CB138" s="30"/>
      <c r="CC138" s="30"/>
    </row>
    <row r="139" spans="1:81" s="40" customFormat="1">
      <c r="A139" s="37">
        <v>89</v>
      </c>
      <c r="B139" s="37">
        <f t="shared" si="43"/>
        <v>0.56065560164821637</v>
      </c>
      <c r="C139" s="37">
        <f t="shared" si="44"/>
        <v>0.77830786504405569</v>
      </c>
      <c r="D139" s="37">
        <f t="shared" si="45"/>
        <v>0.93632318752383381</v>
      </c>
      <c r="E139" s="37">
        <f t="shared" si="46"/>
        <v>1.0626552996661465</v>
      </c>
      <c r="F139" s="37">
        <f t="shared" si="47"/>
        <v>1.1684100395546706</v>
      </c>
      <c r="G139" s="37">
        <f t="shared" si="48"/>
        <v>1.2594129627513453</v>
      </c>
      <c r="H139" s="37">
        <f t="shared" si="49"/>
        <v>1.3391940972854601</v>
      </c>
      <c r="I139" s="37">
        <f t="shared" si="50"/>
        <v>1.410093295181529</v>
      </c>
      <c r="J139" s="37">
        <f t="shared" si="51"/>
        <v>1.4737596762630436</v>
      </c>
      <c r="K139" s="37">
        <f t="shared" si="52"/>
        <v>1.5314085627374012</v>
      </c>
      <c r="L139" s="37">
        <f t="shared" si="53"/>
        <v>1.5839664403569405</v>
      </c>
      <c r="M139" s="37">
        <f t="shared" si="54"/>
        <v>1.6321586189398993</v>
      </c>
      <c r="N139" s="37"/>
      <c r="O139" s="37"/>
      <c r="P139" s="37"/>
      <c r="Q139" s="37"/>
      <c r="R139" s="37"/>
      <c r="S139" s="37"/>
      <c r="T139" s="37"/>
      <c r="U139" s="37"/>
      <c r="V139" s="37"/>
      <c r="W139" s="37"/>
      <c r="X139" s="37"/>
      <c r="Y139" s="37"/>
      <c r="Z139" s="255">
        <f>Smart!AX118</f>
        <v>40.704999999999998</v>
      </c>
      <c r="AA139" s="576" t="e">
        <f>Smart!J105+$Y$80</f>
        <v>#DIV/0!</v>
      </c>
      <c r="AB139" s="37" t="e">
        <f t="shared" si="22"/>
        <v>#DIV/0!</v>
      </c>
      <c r="AC139" s="38"/>
      <c r="AD139" s="38"/>
      <c r="AE139" s="256">
        <f t="shared" si="62"/>
        <v>0.70400000000000051</v>
      </c>
      <c r="AF139" s="39">
        <f t="shared" si="55"/>
        <v>10.967873115932997</v>
      </c>
      <c r="AG139" s="39">
        <f t="shared" si="56"/>
        <v>1.8</v>
      </c>
      <c r="AH139" s="38">
        <f t="shared" si="57"/>
        <v>0.99968000000000068</v>
      </c>
      <c r="AI139" s="38">
        <f t="shared" si="58"/>
        <v>0.8867872583496309</v>
      </c>
      <c r="AJ139" s="38"/>
      <c r="AK139" s="38"/>
      <c r="AL139" s="38"/>
      <c r="AM139" s="38"/>
      <c r="AN139" s="38"/>
      <c r="AO139" s="38"/>
      <c r="AP139" s="38"/>
      <c r="AQ139" s="38"/>
      <c r="AR139" s="39">
        <f t="shared" si="65"/>
        <v>11.333038174939757</v>
      </c>
      <c r="AS139" s="38">
        <f t="shared" si="66"/>
        <v>9.5999999999999419E-2</v>
      </c>
      <c r="AT139" s="38">
        <f t="shared" si="67"/>
        <v>0.13631999999999916</v>
      </c>
      <c r="AU139" s="38"/>
      <c r="AV139" s="38">
        <f t="shared" si="68"/>
        <v>0.1209255352294943</v>
      </c>
      <c r="AW139" s="37"/>
      <c r="AX139" s="37"/>
      <c r="AY139" s="37"/>
      <c r="AZ139" s="37"/>
      <c r="BA139" s="37"/>
      <c r="BB139" s="37"/>
      <c r="BC139" s="37"/>
      <c r="BD139" s="37"/>
      <c r="BE139" s="37"/>
      <c r="BF139" s="37"/>
      <c r="BG139" s="37"/>
      <c r="BH139" s="37"/>
      <c r="BI139" s="37"/>
      <c r="BJ139" s="37"/>
      <c r="BK139" s="189"/>
      <c r="BL139" s="30"/>
      <c r="BM139" s="189"/>
      <c r="BN139" s="189"/>
      <c r="BO139" s="189"/>
      <c r="BP139" s="251"/>
      <c r="BQ139" s="219"/>
      <c r="BR139" s="189"/>
      <c r="BS139" s="189"/>
      <c r="BU139" s="189"/>
      <c r="BX139" s="30"/>
      <c r="BY139" s="30"/>
      <c r="BZ139" s="30"/>
      <c r="CA139" s="30"/>
      <c r="CB139" s="30"/>
      <c r="CC139" s="30"/>
    </row>
    <row r="140" spans="1:81" s="40" customFormat="1">
      <c r="A140" s="37">
        <v>90</v>
      </c>
      <c r="B140" s="37">
        <f t="shared" si="43"/>
        <v>0.5575321478095091</v>
      </c>
      <c r="C140" s="37">
        <f t="shared" si="44"/>
        <v>0.77397185434226068</v>
      </c>
      <c r="D140" s="37">
        <f t="shared" si="45"/>
        <v>0.93110686176922741</v>
      </c>
      <c r="E140" s="37">
        <f t="shared" si="46"/>
        <v>1.0567351683677038</v>
      </c>
      <c r="F140" s="37">
        <f t="shared" si="47"/>
        <v>1.1619007407757014</v>
      </c>
      <c r="G140" s="37">
        <f t="shared" si="48"/>
        <v>1.2523966799541002</v>
      </c>
      <c r="H140" s="37">
        <f t="shared" si="49"/>
        <v>1.3317333478848594</v>
      </c>
      <c r="I140" s="37">
        <f t="shared" si="50"/>
        <v>1.4022375611037419</v>
      </c>
      <c r="J140" s="37">
        <f t="shared" si="51"/>
        <v>1.4655492520656872</v>
      </c>
      <c r="K140" s="37">
        <f t="shared" si="52"/>
        <v>1.5228769723281563</v>
      </c>
      <c r="L140" s="37">
        <f t="shared" si="53"/>
        <v>1.5751420461228121</v>
      </c>
      <c r="M140" s="37">
        <f t="shared" si="54"/>
        <v>1.6230657425132304</v>
      </c>
      <c r="N140" s="37"/>
      <c r="O140" s="37"/>
      <c r="P140" s="37"/>
      <c r="Q140" s="37"/>
      <c r="R140" s="37"/>
      <c r="S140" s="37"/>
      <c r="T140" s="37"/>
      <c r="U140" s="37"/>
      <c r="V140" s="37"/>
      <c r="W140" s="37"/>
      <c r="X140" s="37"/>
      <c r="Y140" s="37"/>
      <c r="Z140" s="255">
        <f>Smart!AX119</f>
        <v>40.704999999999998</v>
      </c>
      <c r="AA140" s="576" t="e">
        <f>Smart!J106+$Y$80</f>
        <v>#DIV/0!</v>
      </c>
      <c r="AB140" s="37" t="e">
        <f t="shared" si="22"/>
        <v>#DIV/0!</v>
      </c>
      <c r="AC140" s="38"/>
      <c r="AD140" s="38"/>
      <c r="AE140" s="256">
        <f t="shared" si="62"/>
        <v>0.71200000000000052</v>
      </c>
      <c r="AF140" s="39">
        <f t="shared" si="55"/>
        <v>10.963068312525014</v>
      </c>
      <c r="AG140" s="39">
        <f t="shared" si="56"/>
        <v>1.8</v>
      </c>
      <c r="AH140" s="38">
        <f t="shared" si="57"/>
        <v>1.0110400000000006</v>
      </c>
      <c r="AI140" s="38">
        <f t="shared" si="58"/>
        <v>0.8968643862854222</v>
      </c>
      <c r="AJ140" s="38"/>
      <c r="AK140" s="38"/>
      <c r="AL140" s="38"/>
      <c r="AM140" s="38"/>
      <c r="AN140" s="38"/>
      <c r="AO140" s="38"/>
      <c r="AP140" s="38"/>
      <c r="AQ140" s="38"/>
      <c r="AR140" s="39">
        <f t="shared" si="65"/>
        <v>11.337842978347743</v>
      </c>
      <c r="AS140" s="38">
        <f t="shared" si="66"/>
        <v>8.7999999999999412E-2</v>
      </c>
      <c r="AT140" s="38">
        <f t="shared" si="67"/>
        <v>0.12495999999999916</v>
      </c>
      <c r="AU140" s="38"/>
      <c r="AV140" s="38">
        <f t="shared" si="68"/>
        <v>0.11084840729370304</v>
      </c>
      <c r="AW140" s="37"/>
      <c r="AX140" s="37"/>
      <c r="AY140" s="37"/>
      <c r="AZ140" s="37"/>
      <c r="BA140" s="37"/>
      <c r="BB140" s="37"/>
      <c r="BC140" s="37"/>
      <c r="BD140" s="37"/>
      <c r="BE140" s="37"/>
      <c r="BF140" s="37"/>
      <c r="BG140" s="37"/>
      <c r="BH140" s="37"/>
      <c r="BI140" s="37"/>
      <c r="BJ140" s="37"/>
      <c r="BK140" s="189"/>
      <c r="BL140" s="30"/>
      <c r="BM140" s="189"/>
      <c r="BN140" s="189"/>
      <c r="BO140" s="189"/>
      <c r="BP140" s="251"/>
      <c r="BQ140" s="219"/>
      <c r="BR140" s="189"/>
      <c r="BS140" s="189"/>
      <c r="BU140" s="189"/>
      <c r="BX140" s="30"/>
      <c r="BY140" s="30"/>
      <c r="BZ140" s="30"/>
      <c r="CA140" s="30"/>
      <c r="CB140" s="30"/>
      <c r="CC140" s="30"/>
    </row>
    <row r="141" spans="1:81" s="40" customFormat="1">
      <c r="A141" s="37">
        <v>91</v>
      </c>
      <c r="B141" s="37">
        <f t="shared" si="43"/>
        <v>0.55446032196545814</v>
      </c>
      <c r="C141" s="37">
        <f t="shared" si="44"/>
        <v>0.76970751415295036</v>
      </c>
      <c r="D141" s="37">
        <f t="shared" si="45"/>
        <v>0.9259767573747214</v>
      </c>
      <c r="E141" s="37">
        <f t="shared" si="46"/>
        <v>1.050912891727221</v>
      </c>
      <c r="F141" s="37">
        <f t="shared" si="47"/>
        <v>1.1554990350843619</v>
      </c>
      <c r="G141" s="37">
        <f t="shared" si="48"/>
        <v>1.2454963702524953</v>
      </c>
      <c r="H141" s="37">
        <f t="shared" si="49"/>
        <v>1.3243959182290272</v>
      </c>
      <c r="I141" s="37">
        <f t="shared" si="50"/>
        <v>1.3945116755263434</v>
      </c>
      <c r="J141" s="37">
        <f t="shared" si="51"/>
        <v>1.4574745390900989</v>
      </c>
      <c r="K141" s="37">
        <f t="shared" si="52"/>
        <v>1.5144864017408148</v>
      </c>
      <c r="L141" s="37">
        <f t="shared" si="53"/>
        <v>1.5664635115049579</v>
      </c>
      <c r="M141" s="37">
        <f t="shared" si="54"/>
        <v>1.6141231634816271</v>
      </c>
      <c r="N141" s="37"/>
      <c r="O141" s="37"/>
      <c r="P141" s="37"/>
      <c r="Q141" s="37"/>
      <c r="R141" s="37"/>
      <c r="S141" s="37"/>
      <c r="T141" s="37"/>
      <c r="U141" s="37"/>
      <c r="V141" s="37"/>
      <c r="W141" s="37"/>
      <c r="X141" s="37"/>
      <c r="Y141" s="37"/>
      <c r="Z141" s="255">
        <f>Smart!AX120</f>
        <v>40.704999999999998</v>
      </c>
      <c r="AA141" s="576">
        <f>Y80</f>
        <v>0</v>
      </c>
      <c r="AB141" s="37">
        <f t="shared" si="22"/>
        <v>0</v>
      </c>
      <c r="AC141" s="38"/>
      <c r="AD141" s="38"/>
      <c r="AE141" s="256">
        <f t="shared" si="62"/>
        <v>0.72000000000000053</v>
      </c>
      <c r="AF141" s="39">
        <f t="shared" si="55"/>
        <v>10.95826350911703</v>
      </c>
      <c r="AG141" s="39">
        <f t="shared" si="56"/>
        <v>1.8</v>
      </c>
      <c r="AH141" s="38">
        <f t="shared" si="57"/>
        <v>1.0224000000000006</v>
      </c>
      <c r="AI141" s="38">
        <f t="shared" si="58"/>
        <v>0.90694151422121339</v>
      </c>
      <c r="AJ141" s="38"/>
      <c r="AK141" s="38"/>
      <c r="AL141" s="38"/>
      <c r="AM141" s="38"/>
      <c r="AN141" s="38"/>
      <c r="AO141" s="38"/>
      <c r="AP141" s="38"/>
      <c r="AQ141" s="38"/>
      <c r="AR141" s="39">
        <f t="shared" si="65"/>
        <v>11.342647781755725</v>
      </c>
      <c r="AS141" s="38">
        <f t="shared" si="66"/>
        <v>7.9999999999999405E-2</v>
      </c>
      <c r="AT141" s="38">
        <f t="shared" si="67"/>
        <v>0.11359999999999915</v>
      </c>
      <c r="AU141" s="38"/>
      <c r="AV141" s="38">
        <f t="shared" si="68"/>
        <v>0.10077127935791179</v>
      </c>
      <c r="AW141" s="37"/>
      <c r="AX141" s="37"/>
      <c r="AY141" s="37"/>
      <c r="AZ141" s="37"/>
      <c r="BA141" s="37"/>
      <c r="BB141" s="37"/>
      <c r="BC141" s="37"/>
      <c r="BD141" s="37"/>
      <c r="BE141" s="37"/>
      <c r="BF141" s="37"/>
      <c r="BG141" s="37"/>
      <c r="BH141" s="37"/>
      <c r="BI141" s="37"/>
      <c r="BJ141" s="37"/>
      <c r="BK141" s="189"/>
      <c r="BL141" s="30"/>
      <c r="BM141" s="189"/>
      <c r="BN141" s="189"/>
      <c r="BO141" s="189"/>
      <c r="BP141" s="251"/>
      <c r="BQ141" s="219"/>
      <c r="BR141" s="189"/>
      <c r="BS141" s="189"/>
      <c r="BU141" s="189"/>
      <c r="BX141" s="30"/>
      <c r="BY141" s="30"/>
      <c r="BZ141" s="30"/>
      <c r="CA141" s="30"/>
      <c r="CB141" s="30"/>
      <c r="CC141" s="30"/>
    </row>
    <row r="142" spans="1:81" s="40" customFormat="1">
      <c r="A142" s="37">
        <v>92</v>
      </c>
      <c r="B142" s="37">
        <f t="shared" si="43"/>
        <v>0.55143871733400607</v>
      </c>
      <c r="C142" s="37">
        <f t="shared" si="44"/>
        <v>0.76551289156682245</v>
      </c>
      <c r="D142" s="37">
        <f t="shared" si="45"/>
        <v>0.92093052494318828</v>
      </c>
      <c r="E142" s="37">
        <f t="shared" si="46"/>
        <v>1.0451858033584098</v>
      </c>
      <c r="F142" s="37">
        <f t="shared" si="47"/>
        <v>1.1492019907373963</v>
      </c>
      <c r="G142" s="37">
        <f t="shared" si="48"/>
        <v>1.2387088735611698</v>
      </c>
      <c r="H142" s="37">
        <f t="shared" si="49"/>
        <v>1.3171784480479125</v>
      </c>
      <c r="I142" s="37">
        <f t="shared" si="50"/>
        <v>1.3869121002809088</v>
      </c>
      <c r="J142" s="37">
        <f t="shared" si="51"/>
        <v>1.4495318394178718</v>
      </c>
      <c r="K142" s="37">
        <f t="shared" si="52"/>
        <v>1.5062330084059239</v>
      </c>
      <c r="L142" s="37">
        <f t="shared" si="53"/>
        <v>1.5579268620571025</v>
      </c>
      <c r="M142" s="37">
        <f t="shared" si="54"/>
        <v>1.6053267864762877</v>
      </c>
      <c r="N142" s="37"/>
      <c r="O142" s="37"/>
      <c r="P142" s="37"/>
      <c r="Q142" s="37"/>
      <c r="R142" s="37"/>
      <c r="S142" s="37"/>
      <c r="T142" s="37"/>
      <c r="U142" s="37"/>
      <c r="V142" s="37"/>
      <c r="W142" s="37"/>
      <c r="X142" s="37"/>
      <c r="Y142" s="37"/>
      <c r="Z142" s="255">
        <f>Smart!AX121</f>
        <v>40.704999999999998</v>
      </c>
      <c r="AA142" s="576">
        <f>Y80</f>
        <v>0</v>
      </c>
      <c r="AB142" s="37">
        <f t="shared" si="22"/>
        <v>0</v>
      </c>
      <c r="AC142" s="38"/>
      <c r="AD142" s="38"/>
      <c r="AE142" s="256">
        <f t="shared" si="62"/>
        <v>0.72800000000000054</v>
      </c>
      <c r="AF142" s="39">
        <f t="shared" si="55"/>
        <v>10.953458705709048</v>
      </c>
      <c r="AG142" s="39">
        <f t="shared" si="56"/>
        <v>1.8</v>
      </c>
      <c r="AH142" s="38">
        <f t="shared" si="57"/>
        <v>1.0337600000000007</v>
      </c>
      <c r="AI142" s="38">
        <f t="shared" si="58"/>
        <v>0.91701864215700479</v>
      </c>
      <c r="AJ142" s="38"/>
      <c r="AK142" s="38"/>
      <c r="AL142" s="38"/>
      <c r="AM142" s="38"/>
      <c r="AN142" s="38"/>
      <c r="AO142" s="38"/>
      <c r="AP142" s="38"/>
      <c r="AQ142" s="38"/>
      <c r="AR142" s="39">
        <f t="shared" si="65"/>
        <v>11.347452585163708</v>
      </c>
      <c r="AS142" s="38">
        <f t="shared" si="66"/>
        <v>7.1999999999999398E-2</v>
      </c>
      <c r="AT142" s="38">
        <f t="shared" si="67"/>
        <v>0.10223999999999914</v>
      </c>
      <c r="AU142" s="38"/>
      <c r="AV142" s="38">
        <f t="shared" si="68"/>
        <v>9.069415142212052E-2</v>
      </c>
      <c r="AW142" s="37"/>
      <c r="AX142" s="37"/>
      <c r="AY142" s="37"/>
      <c r="AZ142" s="37"/>
      <c r="BA142" s="37"/>
      <c r="BB142" s="37"/>
      <c r="BC142" s="37"/>
      <c r="BD142" s="37"/>
      <c r="BE142" s="37"/>
      <c r="BF142" s="37"/>
      <c r="BG142" s="37"/>
      <c r="BH142" s="37"/>
      <c r="BI142" s="37"/>
      <c r="BJ142" s="37"/>
      <c r="BK142" s="189"/>
      <c r="BL142" s="30"/>
      <c r="BM142" s="189"/>
      <c r="BN142" s="189"/>
      <c r="BO142" s="189"/>
      <c r="BP142" s="251"/>
      <c r="BQ142" s="219"/>
      <c r="BR142" s="189"/>
      <c r="BS142" s="189"/>
      <c r="BU142" s="189"/>
      <c r="BX142" s="30"/>
      <c r="BY142" s="30"/>
      <c r="BZ142" s="30"/>
      <c r="CA142" s="30"/>
      <c r="CB142" s="30"/>
      <c r="CC142" s="30"/>
    </row>
    <row r="143" spans="1:81" s="40" customFormat="1">
      <c r="A143" s="37">
        <v>93</v>
      </c>
      <c r="B143" s="37">
        <f t="shared" si="43"/>
        <v>0.54846598022039061</v>
      </c>
      <c r="C143" s="37">
        <f t="shared" si="44"/>
        <v>0.76138610737090362</v>
      </c>
      <c r="D143" s="37">
        <f t="shared" si="45"/>
        <v>0.91596590373596565</v>
      </c>
      <c r="E143" s="37">
        <f t="shared" si="46"/>
        <v>1.0395513374955685</v>
      </c>
      <c r="F143" s="37">
        <f t="shared" si="47"/>
        <v>1.1430067866258273</v>
      </c>
      <c r="G143" s="37">
        <f t="shared" si="48"/>
        <v>1.2320311490459186</v>
      </c>
      <c r="H143" s="37">
        <f t="shared" si="49"/>
        <v>1.3100777038769247</v>
      </c>
      <c r="I143" s="37">
        <f t="shared" si="50"/>
        <v>1.3794354307177699</v>
      </c>
      <c r="J143" s="37">
        <f t="shared" si="51"/>
        <v>1.4417175946777898</v>
      </c>
      <c r="K143" s="37">
        <f t="shared" si="52"/>
        <v>1.4981130947598735</v>
      </c>
      <c r="L143" s="37">
        <f t="shared" si="53"/>
        <v>1.5495282733154085</v>
      </c>
      <c r="M143" s="37">
        <f t="shared" si="54"/>
        <v>1.5966726706740624</v>
      </c>
      <c r="N143" s="37"/>
      <c r="O143" s="37"/>
      <c r="P143" s="37"/>
      <c r="Q143" s="37"/>
      <c r="R143" s="37"/>
      <c r="S143" s="37"/>
      <c r="T143" s="37"/>
      <c r="U143" s="37"/>
      <c r="V143" s="37"/>
      <c r="W143" s="37"/>
      <c r="X143" s="37"/>
      <c r="Y143" s="37"/>
      <c r="Z143" s="255">
        <f>Smart!AX122</f>
        <v>40.704999999999998</v>
      </c>
      <c r="AA143" s="576" t="e">
        <f>Smart!K106+$Y$80</f>
        <v>#DIV/0!</v>
      </c>
      <c r="AB143" s="37" t="e">
        <f t="shared" si="22"/>
        <v>#DIV/0!</v>
      </c>
      <c r="AC143" s="38"/>
      <c r="AD143" s="38"/>
      <c r="AE143" s="256">
        <f t="shared" si="62"/>
        <v>0.73600000000000054</v>
      </c>
      <c r="AF143" s="39">
        <f t="shared" si="55"/>
        <v>10.948653902301064</v>
      </c>
      <c r="AG143" s="39">
        <f t="shared" si="56"/>
        <v>1.8</v>
      </c>
      <c r="AH143" s="38">
        <f t="shared" si="57"/>
        <v>1.0451200000000007</v>
      </c>
      <c r="AI143" s="38">
        <f t="shared" si="58"/>
        <v>0.92709577009279598</v>
      </c>
      <c r="AJ143" s="38"/>
      <c r="AK143" s="38"/>
      <c r="AL143" s="38"/>
      <c r="AM143" s="38"/>
      <c r="AN143" s="38"/>
      <c r="AO143" s="38"/>
      <c r="AP143" s="38"/>
      <c r="AQ143" s="38"/>
      <c r="AR143" s="39">
        <f t="shared" si="65"/>
        <v>11.352257388571694</v>
      </c>
      <c r="AS143" s="38">
        <f t="shared" si="66"/>
        <v>6.3999999999999391E-2</v>
      </c>
      <c r="AT143" s="38">
        <f t="shared" si="67"/>
        <v>9.0879999999999128E-2</v>
      </c>
      <c r="AU143" s="38"/>
      <c r="AV143" s="38">
        <f t="shared" si="68"/>
        <v>8.0617023486329251E-2</v>
      </c>
      <c r="AW143" s="37"/>
      <c r="AX143" s="37"/>
      <c r="AY143" s="37"/>
      <c r="AZ143" s="37"/>
      <c r="BA143" s="37"/>
      <c r="BB143" s="37"/>
      <c r="BC143" s="37"/>
      <c r="BD143" s="37"/>
      <c r="BE143" s="37"/>
      <c r="BF143" s="37"/>
      <c r="BG143" s="37"/>
      <c r="BH143" s="37"/>
      <c r="BI143" s="37"/>
      <c r="BJ143" s="37"/>
      <c r="BK143" s="189"/>
      <c r="BL143" s="30"/>
      <c r="BM143" s="189"/>
      <c r="BN143" s="189"/>
      <c r="BO143" s="189"/>
      <c r="BP143" s="251"/>
      <c r="BQ143" s="219"/>
      <c r="BR143" s="189"/>
      <c r="BS143" s="189"/>
      <c r="BU143" s="189"/>
      <c r="BX143" s="30"/>
      <c r="BY143" s="30"/>
      <c r="BZ143" s="30"/>
      <c r="CA143" s="30"/>
      <c r="CB143" s="30"/>
      <c r="CC143" s="30"/>
    </row>
    <row r="144" spans="1:81" s="40" customFormat="1">
      <c r="A144" s="37">
        <v>94</v>
      </c>
      <c r="B144" s="37">
        <f t="shared" si="43"/>
        <v>0.545540807468886</v>
      </c>
      <c r="C144" s="37">
        <f t="shared" si="44"/>
        <v>0.75732535251102961</v>
      </c>
      <c r="D144" s="37">
        <f t="shared" si="45"/>
        <v>0.91108071741713692</v>
      </c>
      <c r="E144" s="37">
        <f t="shared" si="46"/>
        <v>1.0340070241636636</v>
      </c>
      <c r="F144" s="37">
        <f t="shared" si="47"/>
        <v>1.1369107069643705</v>
      </c>
      <c r="G144" s="37">
        <f t="shared" si="48"/>
        <v>1.2254602693994803</v>
      </c>
      <c r="H144" s="37">
        <f t="shared" si="49"/>
        <v>1.3030905729701099</v>
      </c>
      <c r="I144" s="37">
        <f t="shared" si="50"/>
        <v>1.3720783892969437</v>
      </c>
      <c r="J144" s="37">
        <f t="shared" si="51"/>
        <v>1.4340283793473849</v>
      </c>
      <c r="K144" s="37">
        <f t="shared" si="52"/>
        <v>1.4901231012844298</v>
      </c>
      <c r="L144" s="37">
        <f t="shared" si="53"/>
        <v>1.5412640635991253</v>
      </c>
      <c r="M144" s="37">
        <f t="shared" si="54"/>
        <v>1.5881570223790649</v>
      </c>
      <c r="N144" s="37"/>
      <c r="O144" s="37"/>
      <c r="P144" s="37"/>
      <c r="Q144" s="37"/>
      <c r="R144" s="37"/>
      <c r="S144" s="37"/>
      <c r="T144" s="37"/>
      <c r="U144" s="37"/>
      <c r="V144" s="37"/>
      <c r="W144" s="37"/>
      <c r="X144" s="37"/>
      <c r="Y144" s="37"/>
      <c r="Z144" s="255">
        <f>Smart!AX123</f>
        <v>40.704999999999998</v>
      </c>
      <c r="AA144" s="576" t="e">
        <f>Smart!K105+$Y$80</f>
        <v>#DIV/0!</v>
      </c>
      <c r="AB144" s="37" t="e">
        <f t="shared" si="22"/>
        <v>#DIV/0!</v>
      </c>
      <c r="AC144" s="38"/>
      <c r="AD144" s="38"/>
      <c r="AE144" s="256">
        <f t="shared" si="62"/>
        <v>0.74400000000000055</v>
      </c>
      <c r="AF144" s="39">
        <f t="shared" si="55"/>
        <v>10.943849098893081</v>
      </c>
      <c r="AG144" s="39">
        <f t="shared" si="56"/>
        <v>1.8</v>
      </c>
      <c r="AH144" s="38">
        <f t="shared" si="57"/>
        <v>1.0564800000000008</v>
      </c>
      <c r="AI144" s="38">
        <f t="shared" si="58"/>
        <v>0.93717289802858716</v>
      </c>
      <c r="AJ144" s="38"/>
      <c r="AK144" s="38"/>
      <c r="AL144" s="38"/>
      <c r="AM144" s="38"/>
      <c r="AN144" s="38"/>
      <c r="AO144" s="38"/>
      <c r="AP144" s="38"/>
      <c r="AQ144" s="38"/>
      <c r="AR144" s="39">
        <f t="shared" si="65"/>
        <v>11.357062191979676</v>
      </c>
      <c r="AS144" s="38">
        <f t="shared" si="66"/>
        <v>5.5999999999999391E-2</v>
      </c>
      <c r="AT144" s="38">
        <f t="shared" si="67"/>
        <v>7.9519999999999133E-2</v>
      </c>
      <c r="AU144" s="38"/>
      <c r="AV144" s="38">
        <f t="shared" si="68"/>
        <v>7.0539895550538009E-2</v>
      </c>
      <c r="AW144" s="37"/>
      <c r="AX144" s="37"/>
      <c r="AY144" s="37"/>
      <c r="AZ144" s="37"/>
      <c r="BA144" s="37"/>
      <c r="BB144" s="37"/>
      <c r="BC144" s="37"/>
      <c r="BD144" s="37"/>
      <c r="BE144" s="37"/>
      <c r="BF144" s="37"/>
      <c r="BG144" s="37"/>
      <c r="BH144" s="37"/>
      <c r="BI144" s="37"/>
      <c r="BJ144" s="37"/>
      <c r="BK144" s="189"/>
      <c r="BL144" s="30"/>
      <c r="BM144" s="189"/>
      <c r="BN144" s="189"/>
      <c r="BO144" s="189"/>
      <c r="BP144" s="251"/>
      <c r="BQ144" s="219"/>
      <c r="BR144" s="189"/>
      <c r="BS144" s="189"/>
      <c r="BU144" s="189"/>
      <c r="BX144" s="30"/>
      <c r="BY144" s="30"/>
      <c r="BZ144" s="30"/>
      <c r="CA144" s="30"/>
      <c r="CB144" s="30"/>
      <c r="CC144" s="30"/>
    </row>
    <row r="145" spans="1:81" s="40" customFormat="1">
      <c r="A145" s="37">
        <v>95</v>
      </c>
      <c r="B145" s="37">
        <f t="shared" si="43"/>
        <v>0.54266194406246959</v>
      </c>
      <c r="C145" s="37">
        <f t="shared" si="44"/>
        <v>0.75332888475967852</v>
      </c>
      <c r="D145" s="37">
        <f t="shared" si="45"/>
        <v>0.90627287004485135</v>
      </c>
      <c r="E145" s="37">
        <f t="shared" si="46"/>
        <v>1.0285504846287872</v>
      </c>
      <c r="F145" s="37">
        <f t="shared" si="47"/>
        <v>1.13091113628912</v>
      </c>
      <c r="G145" s="37">
        <f t="shared" si="48"/>
        <v>1.2189934154496176</v>
      </c>
      <c r="H145" s="37">
        <f t="shared" si="49"/>
        <v>1.2962140575666605</v>
      </c>
      <c r="I145" s="37">
        <f t="shared" si="50"/>
        <v>1.3648378195511008</v>
      </c>
      <c r="J145" s="37">
        <f t="shared" si="51"/>
        <v>1.4264608944433315</v>
      </c>
      <c r="K145" s="37">
        <f t="shared" si="52"/>
        <v>1.4822595999503188</v>
      </c>
      <c r="L145" s="37">
        <f t="shared" si="53"/>
        <v>1.5331306872291581</v>
      </c>
      <c r="M145" s="37">
        <f t="shared" si="54"/>
        <v>1.5797761880349155</v>
      </c>
      <c r="N145" s="37"/>
      <c r="O145" s="37"/>
      <c r="P145" s="37"/>
      <c r="Q145" s="37"/>
      <c r="R145" s="37"/>
      <c r="S145" s="37"/>
      <c r="T145" s="37"/>
      <c r="U145" s="37"/>
      <c r="V145" s="37"/>
      <c r="W145" s="37"/>
      <c r="X145" s="37"/>
      <c r="Y145" s="37"/>
      <c r="Z145" s="255">
        <f>Smart!AX124</f>
        <v>40.704999999999998</v>
      </c>
      <c r="AA145" s="576" t="e">
        <f>Smart!K104+$Y$80</f>
        <v>#DIV/0!</v>
      </c>
      <c r="AB145" s="37" t="e">
        <f t="shared" si="22"/>
        <v>#DIV/0!</v>
      </c>
      <c r="AC145" s="38"/>
      <c r="AD145" s="38"/>
      <c r="AE145" s="256">
        <f t="shared" si="62"/>
        <v>0.75200000000000056</v>
      </c>
      <c r="AF145" s="39">
        <f t="shared" si="55"/>
        <v>10.939044295485095</v>
      </c>
      <c r="AG145" s="39">
        <f t="shared" si="56"/>
        <v>1.8</v>
      </c>
      <c r="AH145" s="38">
        <f t="shared" si="57"/>
        <v>1.0678400000000008</v>
      </c>
      <c r="AI145" s="38">
        <f t="shared" si="58"/>
        <v>0.94725002596437846</v>
      </c>
      <c r="AJ145" s="38"/>
      <c r="AK145" s="38"/>
      <c r="AL145" s="38"/>
      <c r="AM145" s="38"/>
      <c r="AN145" s="38"/>
      <c r="AO145" s="38"/>
      <c r="AP145" s="38"/>
      <c r="AQ145" s="38"/>
      <c r="AR145" s="39">
        <f t="shared" si="65"/>
        <v>11.361866995387661</v>
      </c>
      <c r="AS145" s="38">
        <f t="shared" si="66"/>
        <v>4.799999999999939E-2</v>
      </c>
      <c r="AT145" s="38">
        <f t="shared" si="67"/>
        <v>6.8159999999999124E-2</v>
      </c>
      <c r="AU145" s="38"/>
      <c r="AV145" s="38">
        <f t="shared" si="68"/>
        <v>6.046276761474674E-2</v>
      </c>
      <c r="AW145" s="37"/>
      <c r="AX145" s="37"/>
      <c r="AY145" s="37"/>
      <c r="AZ145" s="37"/>
      <c r="BA145" s="37"/>
      <c r="BB145" s="37"/>
      <c r="BC145" s="37"/>
      <c r="BD145" s="37"/>
      <c r="BE145" s="37"/>
      <c r="BF145" s="37"/>
      <c r="BG145" s="37"/>
      <c r="BH145" s="37"/>
      <c r="BI145" s="37"/>
      <c r="BJ145" s="37"/>
      <c r="BK145" s="189"/>
      <c r="BL145" s="30"/>
      <c r="BM145" s="189"/>
      <c r="BN145" s="189"/>
      <c r="BO145" s="189"/>
      <c r="BP145" s="251"/>
      <c r="BQ145" s="219"/>
      <c r="BR145" s="189"/>
      <c r="BS145" s="189"/>
      <c r="BU145" s="189"/>
      <c r="BX145" s="30"/>
      <c r="BY145" s="30"/>
      <c r="BZ145" s="30"/>
      <c r="CA145" s="30"/>
      <c r="CB145" s="30"/>
      <c r="CC145" s="30"/>
    </row>
    <row r="146" spans="1:81" s="40" customFormat="1">
      <c r="A146" s="37">
        <v>96</v>
      </c>
      <c r="B146" s="37">
        <f t="shared" si="43"/>
        <v>0.53982818086037021</v>
      </c>
      <c r="C146" s="37">
        <f t="shared" si="44"/>
        <v>0.74939502557521209</v>
      </c>
      <c r="D146" s="37">
        <f t="shared" si="45"/>
        <v>0.90154034229291735</v>
      </c>
      <c r="E146" s="37">
        <f t="shared" si="46"/>
        <v>1.0231794271099519</v>
      </c>
      <c r="F146" s="37">
        <f t="shared" si="47"/>
        <v>1.1250055547425879</v>
      </c>
      <c r="G146" s="37">
        <f t="shared" si="48"/>
        <v>1.2126278710769227</v>
      </c>
      <c r="H146" s="37">
        <f t="shared" si="49"/>
        <v>1.2894452694867775</v>
      </c>
      <c r="I146" s="37">
        <f t="shared" si="50"/>
        <v>1.3577106803953245</v>
      </c>
      <c r="J146" s="37">
        <f t="shared" si="51"/>
        <v>1.4190119615742858</v>
      </c>
      <c r="K146" s="37">
        <f t="shared" si="52"/>
        <v>1.4745192880374307</v>
      </c>
      <c r="L146" s="37">
        <f t="shared" si="53"/>
        <v>1.5251247281361817</v>
      </c>
      <c r="M146" s="37">
        <f t="shared" si="54"/>
        <v>1.5715266476383793</v>
      </c>
      <c r="N146" s="37"/>
      <c r="O146" s="37"/>
      <c r="P146" s="37"/>
      <c r="Q146" s="37"/>
      <c r="R146" s="37"/>
      <c r="S146" s="37"/>
      <c r="T146" s="37"/>
      <c r="U146" s="37"/>
      <c r="V146" s="37"/>
      <c r="W146" s="37"/>
      <c r="X146" s="37"/>
      <c r="Y146" s="37"/>
      <c r="Z146" s="255">
        <f>Smart!AX125</f>
        <v>40.704999999999998</v>
      </c>
      <c r="AA146" s="576">
        <f>Smart!K103+$Y$80</f>
        <v>0</v>
      </c>
      <c r="AB146" s="37">
        <f t="shared" si="22"/>
        <v>0</v>
      </c>
      <c r="AC146" s="38"/>
      <c r="AD146" s="38"/>
      <c r="AE146" s="256">
        <f t="shared" si="62"/>
        <v>0.76000000000000056</v>
      </c>
      <c r="AF146" s="39">
        <f t="shared" si="55"/>
        <v>10.934239492077111</v>
      </c>
      <c r="AG146" s="39">
        <f t="shared" si="56"/>
        <v>1.8</v>
      </c>
      <c r="AH146" s="38">
        <f t="shared" si="57"/>
        <v>1.0792000000000008</v>
      </c>
      <c r="AI146" s="38">
        <f t="shared" si="58"/>
        <v>0.95732715390016976</v>
      </c>
      <c r="AJ146" s="38"/>
      <c r="AK146" s="38"/>
      <c r="AL146" s="38"/>
      <c r="AM146" s="38"/>
      <c r="AN146" s="38"/>
      <c r="AO146" s="38"/>
      <c r="AP146" s="38"/>
      <c r="AQ146" s="38"/>
      <c r="AR146" s="39">
        <f t="shared" si="65"/>
        <v>11.366671798795643</v>
      </c>
      <c r="AS146" s="38">
        <f t="shared" si="66"/>
        <v>3.999999999999939E-2</v>
      </c>
      <c r="AT146" s="38">
        <f t="shared" si="67"/>
        <v>5.6799999999999129E-2</v>
      </c>
      <c r="AU146" s="38"/>
      <c r="AV146" s="38">
        <f t="shared" si="68"/>
        <v>5.0385639678955492E-2</v>
      </c>
      <c r="AW146" s="37"/>
      <c r="AX146" s="37"/>
      <c r="AY146" s="37"/>
      <c r="AZ146" s="37"/>
      <c r="BA146" s="37"/>
      <c r="BB146" s="37"/>
      <c r="BC146" s="37"/>
      <c r="BD146" s="37"/>
      <c r="BE146" s="37"/>
      <c r="BF146" s="37"/>
      <c r="BG146" s="37"/>
      <c r="BH146" s="37"/>
      <c r="BI146" s="37"/>
      <c r="BJ146" s="37"/>
      <c r="BK146" s="189"/>
      <c r="BL146" s="30"/>
      <c r="BM146" s="189"/>
      <c r="BN146" s="189"/>
      <c r="BO146" s="189"/>
      <c r="BP146" s="251"/>
      <c r="BQ146" s="219"/>
      <c r="BR146" s="189"/>
      <c r="BS146" s="189"/>
      <c r="BU146" s="189"/>
      <c r="BX146" s="30"/>
      <c r="BY146" s="30"/>
      <c r="BZ146" s="30"/>
      <c r="CA146" s="30"/>
      <c r="CB146" s="30"/>
      <c r="CC146" s="30"/>
    </row>
    <row r="147" spans="1:81" s="40" customFormat="1">
      <c r="A147" s="37">
        <v>97</v>
      </c>
      <c r="B147" s="37">
        <f t="shared" si="43"/>
        <v>0.53703835246423604</v>
      </c>
      <c r="C147" s="37">
        <f t="shared" si="44"/>
        <v>0.74552215713966774</v>
      </c>
      <c r="D147" s="37">
        <f t="shared" si="45"/>
        <v>0.89688118788719373</v>
      </c>
      <c r="E147" s="37">
        <f t="shared" si="46"/>
        <v>1.0178916427346674</v>
      </c>
      <c r="F147" s="37">
        <f t="shared" si="47"/>
        <v>1.1191915336267815</v>
      </c>
      <c r="G147" s="37">
        <f t="shared" si="48"/>
        <v>1.2063610184215421</v>
      </c>
      <c r="H147" s="37">
        <f t="shared" si="49"/>
        <v>1.2827814250347485</v>
      </c>
      <c r="I147" s="37">
        <f t="shared" si="50"/>
        <v>1.3506940407603489</v>
      </c>
      <c r="J147" s="37">
        <f t="shared" si="51"/>
        <v>1.4116785173318147</v>
      </c>
      <c r="K147" s="37">
        <f t="shared" si="52"/>
        <v>1.4668989823063403</v>
      </c>
      <c r="L147" s="37">
        <f t="shared" si="53"/>
        <v>1.5172428938321267</v>
      </c>
      <c r="M147" s="37">
        <f t="shared" si="54"/>
        <v>1.5634050085274394</v>
      </c>
      <c r="N147" s="37"/>
      <c r="O147" s="37"/>
      <c r="P147" s="37"/>
      <c r="Q147" s="37"/>
      <c r="R147" s="37"/>
      <c r="S147" s="37"/>
      <c r="T147" s="37"/>
      <c r="U147" s="37"/>
      <c r="V147" s="37"/>
      <c r="W147" s="37"/>
      <c r="X147" s="37"/>
      <c r="Y147" s="37"/>
      <c r="Z147" s="255">
        <f>Smart!AX126</f>
        <v>40.704999999999998</v>
      </c>
      <c r="AA147" s="576">
        <f>Smart!K102+$Y$80</f>
        <v>0</v>
      </c>
      <c r="AB147" s="37">
        <f t="shared" si="22"/>
        <v>0</v>
      </c>
      <c r="AC147" s="38"/>
      <c r="AD147" s="38"/>
      <c r="AE147" s="256">
        <f t="shared" si="62"/>
        <v>0.76800000000000057</v>
      </c>
      <c r="AF147" s="39">
        <f t="shared" si="55"/>
        <v>10.929434688669129</v>
      </c>
      <c r="AG147" s="39">
        <f>IF(M$31*(AF$49-(SQRT(AH147^2+AI147^2)))/AD$51&gt;M$27,M$27,M$31*(AF$49-(SQRT(AH147^2+AI147^2)))/AD$51)</f>
        <v>1.8</v>
      </c>
      <c r="AH147" s="38">
        <f t="shared" si="57"/>
        <v>1.0905600000000009</v>
      </c>
      <c r="AI147" s="38">
        <f t="shared" si="58"/>
        <v>0.96740428183596094</v>
      </c>
      <c r="AJ147" s="38"/>
      <c r="AK147" s="38"/>
      <c r="AL147" s="38"/>
      <c r="AM147" s="38"/>
      <c r="AN147" s="38"/>
      <c r="AO147" s="38"/>
      <c r="AP147" s="38"/>
      <c r="AQ147" s="38"/>
      <c r="AR147" s="39">
        <f t="shared" si="65"/>
        <v>11.371476602203629</v>
      </c>
      <c r="AS147" s="38">
        <f t="shared" si="66"/>
        <v>3.199999999999939E-2</v>
      </c>
      <c r="AT147" s="38">
        <f t="shared" si="67"/>
        <v>4.5439999999999134E-2</v>
      </c>
      <c r="AU147" s="38"/>
      <c r="AV147" s="38">
        <f t="shared" si="68"/>
        <v>4.0308511743164251E-2</v>
      </c>
      <c r="AW147" s="37"/>
      <c r="AX147" s="37"/>
      <c r="AY147" s="37"/>
      <c r="AZ147" s="37"/>
      <c r="BA147" s="37"/>
      <c r="BB147" s="37"/>
      <c r="BC147" s="37"/>
      <c r="BD147" s="37"/>
      <c r="BE147" s="37"/>
      <c r="BF147" s="37"/>
      <c r="BG147" s="37"/>
      <c r="BH147" s="37"/>
      <c r="BI147" s="37"/>
      <c r="BJ147" s="37"/>
      <c r="BK147" s="189"/>
      <c r="BL147" s="30"/>
      <c r="BM147" s="189"/>
      <c r="BN147" s="189"/>
      <c r="BO147" s="189"/>
      <c r="BP147" s="251"/>
      <c r="BQ147" s="219"/>
      <c r="BR147" s="189"/>
      <c r="BS147" s="189"/>
      <c r="BU147" s="189"/>
      <c r="BX147" s="30"/>
      <c r="BY147" s="30"/>
      <c r="BZ147" s="30"/>
      <c r="CA147" s="30"/>
      <c r="CB147" s="30"/>
      <c r="CC147" s="30"/>
    </row>
    <row r="148" spans="1:81" s="40" customFormat="1">
      <c r="A148" s="37">
        <v>98</v>
      </c>
      <c r="B148" s="37">
        <f t="shared" si="43"/>
        <v>0.53429133520436689</v>
      </c>
      <c r="C148" s="37">
        <f t="shared" si="44"/>
        <v>0.74170871956322615</v>
      </c>
      <c r="D148" s="37">
        <f t="shared" si="45"/>
        <v>0.89229353024249691</v>
      </c>
      <c r="E148" s="37">
        <f t="shared" si="46"/>
        <v>1.0126850017220876</v>
      </c>
      <c r="F148" s="37">
        <f t="shared" si="47"/>
        <v>1.1134667312064985</v>
      </c>
      <c r="G148" s="37">
        <f t="shared" si="48"/>
        <v>1.2001903333596071</v>
      </c>
      <c r="H148" s="37">
        <f t="shared" si="49"/>
        <v>1.2762198401888236</v>
      </c>
      <c r="I148" s="37">
        <f t="shared" si="50"/>
        <v>1.343785074527778</v>
      </c>
      <c r="J148" s="37">
        <f t="shared" si="51"/>
        <v>1.4044576079969362</v>
      </c>
      <c r="K148" s="37">
        <f t="shared" si="52"/>
        <v>1.4593956134977817</v>
      </c>
      <c r="L148" s="37">
        <f t="shared" si="53"/>
        <v>1.5094820097208788</v>
      </c>
      <c r="M148" s="37">
        <f t="shared" si="54"/>
        <v>1.5554079995188943</v>
      </c>
      <c r="N148" s="37"/>
      <c r="O148" s="37"/>
      <c r="P148" s="37"/>
      <c r="Q148" s="37"/>
      <c r="R148" s="37"/>
      <c r="S148" s="37"/>
      <c r="T148" s="37"/>
      <c r="U148" s="37"/>
      <c r="V148" s="37"/>
      <c r="W148" s="37"/>
      <c r="X148" s="37"/>
      <c r="Y148" s="37"/>
      <c r="Z148" s="255">
        <f>Smart!AX127</f>
        <v>40.704999999999998</v>
      </c>
      <c r="AA148" s="576">
        <f>Smart!K101+$Y$80</f>
        <v>0</v>
      </c>
      <c r="AB148" s="37">
        <f t="shared" si="22"/>
        <v>0</v>
      </c>
      <c r="AC148" s="38"/>
      <c r="AD148" s="38"/>
      <c r="AE148" s="256">
        <f>AE147+AD$57/100</f>
        <v>0.77600000000000058</v>
      </c>
      <c r="AF148" s="39">
        <f t="shared" si="55"/>
        <v>10.924629885261144</v>
      </c>
      <c r="AG148" s="39">
        <f>IF(M$31*(AF$49-(SQRT(AH148^2+AI148^2)))/AD$51&gt;M$27,M$27,M$31*(AF$49-(SQRT(AH148^2+AI148^2)))/AD$51)</f>
        <v>1.8</v>
      </c>
      <c r="AH148" s="38">
        <f t="shared" si="57"/>
        <v>1.1019200000000007</v>
      </c>
      <c r="AI148" s="38">
        <f t="shared" si="58"/>
        <v>0.97748140977175224</v>
      </c>
      <c r="AJ148" s="38"/>
      <c r="AK148" s="38"/>
      <c r="AL148" s="38"/>
      <c r="AM148" s="38"/>
      <c r="AN148" s="38"/>
      <c r="AO148" s="38"/>
      <c r="AP148" s="38"/>
      <c r="AQ148" s="38"/>
      <c r="AR148" s="39">
        <f t="shared" si="65"/>
        <v>11.376281405611611</v>
      </c>
      <c r="AS148" s="38">
        <f t="shared" si="66"/>
        <v>2.399999999999939E-2</v>
      </c>
      <c r="AT148" s="38">
        <f t="shared" si="67"/>
        <v>3.4079999999999132E-2</v>
      </c>
      <c r="AU148" s="38"/>
      <c r="AV148" s="38">
        <f t="shared" si="68"/>
        <v>3.0231383807372995E-2</v>
      </c>
      <c r="AW148" s="37"/>
      <c r="AX148" s="37"/>
      <c r="AY148" s="37"/>
      <c r="AZ148" s="37"/>
      <c r="BA148" s="37"/>
      <c r="BB148" s="37"/>
      <c r="BC148" s="37"/>
      <c r="BD148" s="37"/>
      <c r="BE148" s="37"/>
      <c r="BF148" s="37"/>
      <c r="BG148" s="37"/>
      <c r="BH148" s="37"/>
      <c r="BI148" s="37"/>
      <c r="BJ148" s="37"/>
      <c r="BK148" s="189"/>
      <c r="BL148" s="30"/>
      <c r="BM148" s="189"/>
      <c r="BN148" s="189"/>
      <c r="BO148" s="189"/>
      <c r="BP148" s="251"/>
      <c r="BQ148" s="219"/>
      <c r="BR148" s="189"/>
      <c r="BS148" s="189"/>
      <c r="BU148" s="189"/>
      <c r="BX148" s="30"/>
      <c r="BY148" s="30"/>
      <c r="BZ148" s="30"/>
      <c r="CA148" s="30"/>
      <c r="CB148" s="30"/>
      <c r="CC148" s="30"/>
    </row>
    <row r="149" spans="1:81" s="40" customFormat="1">
      <c r="A149" s="37">
        <v>99</v>
      </c>
      <c r="B149" s="37">
        <f t="shared" si="43"/>
        <v>0.53158604523811093</v>
      </c>
      <c r="C149" s="37">
        <f t="shared" si="44"/>
        <v>0.73795320824438437</v>
      </c>
      <c r="D149" s="37">
        <f t="shared" si="45"/>
        <v>0.88777555928682539</v>
      </c>
      <c r="E149" s="37">
        <f t="shared" si="46"/>
        <v>1.0075574497787478</v>
      </c>
      <c r="F149" s="37">
        <f t="shared" si="47"/>
        <v>1.1078288887463721</v>
      </c>
      <c r="G149" s="37">
        <f t="shared" si="48"/>
        <v>1.19411338123162</v>
      </c>
      <c r="H149" s="37">
        <f t="shared" si="49"/>
        <v>1.2697579260589993</v>
      </c>
      <c r="I149" s="37">
        <f t="shared" si="50"/>
        <v>1.3369810557473982</v>
      </c>
      <c r="J149" s="37">
        <f t="shared" si="51"/>
        <v>1.3973463845414915</v>
      </c>
      <c r="K149" s="37">
        <f t="shared" si="52"/>
        <v>1.4520062211384923</v>
      </c>
      <c r="L149" s="37">
        <f t="shared" si="53"/>
        <v>1.5018390137258566</v>
      </c>
      <c r="M149" s="37">
        <f t="shared" si="54"/>
        <v>1.5475324653724847</v>
      </c>
      <c r="N149" s="37"/>
      <c r="O149" s="37"/>
      <c r="P149" s="37"/>
      <c r="Q149" s="37"/>
      <c r="R149" s="37"/>
      <c r="S149" s="37"/>
      <c r="T149" s="37"/>
      <c r="U149" s="37"/>
      <c r="V149" s="37"/>
      <c r="W149" s="37"/>
      <c r="X149" s="37"/>
      <c r="Y149" s="37"/>
      <c r="Z149" s="255">
        <f>Smart!AX128</f>
        <v>40.704999999999998</v>
      </c>
      <c r="AA149" s="576">
        <f>Smart!K100+$Y$80</f>
        <v>0</v>
      </c>
      <c r="AB149" s="37">
        <f t="shared" si="22"/>
        <v>0</v>
      </c>
      <c r="AC149" s="38"/>
      <c r="AD149" s="38"/>
      <c r="AE149" s="256">
        <f>AE148+AD$57/100</f>
        <v>0.78400000000000059</v>
      </c>
      <c r="AF149" s="39">
        <f t="shared" si="55"/>
        <v>10.919825081853162</v>
      </c>
      <c r="AG149" s="39">
        <f>IF(M$31*(AF$49-(SQRT(AH149^2+AI149^2)))/AD$51&gt;M$27,M$27,M$31*(AF$49-(SQRT(AH149^2+AI149^2)))/AD$51)</f>
        <v>1.8</v>
      </c>
      <c r="AH149" s="38">
        <f t="shared" si="57"/>
        <v>1.1132800000000007</v>
      </c>
      <c r="AI149" s="38">
        <f t="shared" si="58"/>
        <v>0.98755853770754354</v>
      </c>
      <c r="AJ149" s="38"/>
      <c r="AK149" s="38"/>
      <c r="AL149" s="38"/>
      <c r="AM149" s="38"/>
      <c r="AN149" s="38"/>
      <c r="AO149" s="38"/>
      <c r="AP149" s="38"/>
      <c r="AQ149" s="38"/>
      <c r="AR149" s="39">
        <f t="shared" si="65"/>
        <v>11.381086209019593</v>
      </c>
      <c r="AS149" s="38">
        <f t="shared" si="66"/>
        <v>1.599999999999939E-2</v>
      </c>
      <c r="AT149" s="38">
        <f t="shared" si="67"/>
        <v>2.2719999999999133E-2</v>
      </c>
      <c r="AU149" s="38"/>
      <c r="AV149" s="38">
        <f t="shared" si="68"/>
        <v>2.0154255871581737E-2</v>
      </c>
      <c r="AW149" s="37"/>
      <c r="AX149" s="37"/>
      <c r="AY149" s="37"/>
      <c r="AZ149" s="37"/>
      <c r="BA149" s="37"/>
      <c r="BB149" s="37"/>
      <c r="BC149" s="37"/>
      <c r="BD149" s="37"/>
      <c r="BE149" s="37"/>
      <c r="BF149" s="37"/>
      <c r="BG149" s="37"/>
      <c r="BH149" s="37"/>
      <c r="BI149" s="37"/>
      <c r="BJ149" s="37"/>
      <c r="BK149" s="189"/>
      <c r="BL149" s="30"/>
      <c r="BM149" s="189"/>
      <c r="BN149" s="189"/>
      <c r="BO149" s="189"/>
      <c r="BP149" s="251"/>
      <c r="BQ149" s="219"/>
      <c r="BR149" s="189"/>
      <c r="BS149" s="189"/>
      <c r="BU149" s="189"/>
      <c r="BX149" s="30"/>
      <c r="BY149" s="30"/>
      <c r="BZ149" s="30"/>
      <c r="CA149" s="30"/>
      <c r="CB149" s="30"/>
      <c r="CC149" s="30"/>
    </row>
    <row r="150" spans="1:81" s="40" customFormat="1">
      <c r="A150" s="37">
        <v>100</v>
      </c>
      <c r="B150" s="37">
        <f t="shared" si="43"/>
        <v>0.52892143675311165</v>
      </c>
      <c r="C150" s="37">
        <f t="shared" si="44"/>
        <v>0.73425417137568783</v>
      </c>
      <c r="D150" s="37">
        <f t="shared" si="45"/>
        <v>0.88332552846069456</v>
      </c>
      <c r="E150" s="37">
        <f t="shared" si="46"/>
        <v>1.0025070046930382</v>
      </c>
      <c r="F150" s="37">
        <f t="shared" si="47"/>
        <v>1.1022758267664274</v>
      </c>
      <c r="G150" s="37">
        <f t="shared" si="48"/>
        <v>1.1881278128063697</v>
      </c>
      <c r="H150" s="37">
        <f t="shared" si="49"/>
        <v>1.2633931845952606</v>
      </c>
      <c r="I150" s="37">
        <f t="shared" si="50"/>
        <v>1.3302793541182067</v>
      </c>
      <c r="J150" s="37">
        <f t="shared" si="51"/>
        <v>1.39034209790514</v>
      </c>
      <c r="K150" s="37">
        <f t="shared" si="52"/>
        <v>1.4447279486334565</v>
      </c>
      <c r="L150" s="37">
        <f t="shared" si="53"/>
        <v>1.494310951213824</v>
      </c>
      <c r="M150" s="37">
        <f t="shared" si="54"/>
        <v>1.5397753615602576</v>
      </c>
      <c r="N150" s="37"/>
      <c r="O150" s="37"/>
      <c r="P150" s="37"/>
      <c r="Q150" s="37"/>
      <c r="R150" s="37"/>
      <c r="S150" s="37"/>
      <c r="T150" s="37"/>
      <c r="U150" s="37"/>
      <c r="V150" s="37"/>
      <c r="W150" s="37"/>
      <c r="X150" s="37"/>
      <c r="Y150" s="37"/>
      <c r="Z150" s="255">
        <f>Smart!AX129</f>
        <v>40.704999999999998</v>
      </c>
      <c r="AA150" s="576">
        <f>Smart!K99+$Y$80</f>
        <v>0</v>
      </c>
      <c r="AB150" s="37">
        <f t="shared" si="22"/>
        <v>0</v>
      </c>
      <c r="AC150" s="38"/>
      <c r="AD150" s="38"/>
      <c r="AE150" s="256">
        <f>AE149+AD$57/100</f>
        <v>0.79200000000000059</v>
      </c>
      <c r="AF150" s="39">
        <f t="shared" si="55"/>
        <v>10.915020278445178</v>
      </c>
      <c r="AG150" s="39">
        <f>IF(M$31*(AF$49-(SQRT(AH150^2+AI150^2)))/AD$51&gt;M$27,M$27,M$31*(AF$49-(SQRT(AH150^2+AI150^2)))/AD$51)</f>
        <v>1.8</v>
      </c>
      <c r="AH150" s="38">
        <f t="shared" si="57"/>
        <v>1.1246400000000008</v>
      </c>
      <c r="AI150" s="38">
        <f t="shared" si="58"/>
        <v>0.99763566564333483</v>
      </c>
      <c r="AJ150" s="38"/>
      <c r="AK150" s="38"/>
      <c r="AL150" s="38"/>
      <c r="AM150" s="38"/>
      <c r="AN150" s="38"/>
      <c r="AO150" s="38"/>
      <c r="AP150" s="38"/>
      <c r="AQ150" s="38"/>
      <c r="AR150" s="39">
        <f t="shared" si="65"/>
        <v>11.38589101242758</v>
      </c>
      <c r="AS150" s="38">
        <f t="shared" si="66"/>
        <v>7.9999999999993895E-3</v>
      </c>
      <c r="AT150" s="38">
        <f t="shared" si="67"/>
        <v>1.1359999999999133E-2</v>
      </c>
      <c r="AU150" s="38"/>
      <c r="AV150" s="38">
        <f t="shared" si="68"/>
        <v>1.0077127935790483E-2</v>
      </c>
      <c r="AW150" s="37"/>
      <c r="AX150" s="37"/>
      <c r="AY150" s="37"/>
      <c r="AZ150" s="37"/>
      <c r="BA150" s="37"/>
      <c r="BB150" s="37"/>
      <c r="BC150" s="37"/>
      <c r="BD150" s="37"/>
      <c r="BE150" s="37"/>
      <c r="BF150" s="37"/>
      <c r="BG150" s="37"/>
      <c r="BH150" s="37"/>
      <c r="BI150" s="37"/>
      <c r="BJ150" s="37"/>
      <c r="BK150" s="189"/>
      <c r="BL150" s="30"/>
      <c r="BM150" s="189"/>
      <c r="BN150" s="189"/>
      <c r="BO150" s="189"/>
      <c r="BP150" s="251"/>
      <c r="BQ150" s="219"/>
      <c r="BR150" s="189"/>
      <c r="BS150" s="189"/>
      <c r="BU150" s="189"/>
      <c r="BX150" s="30"/>
      <c r="BY150" s="30"/>
      <c r="BZ150" s="30"/>
      <c r="CA150" s="30"/>
      <c r="CB150" s="30"/>
      <c r="CC150" s="30"/>
    </row>
    <row r="151" spans="1:81" s="40" customFormat="1">
      <c r="A151" s="37"/>
      <c r="B151" s="37"/>
      <c r="C151" s="37"/>
      <c r="D151" s="37"/>
      <c r="E151" s="37"/>
      <c r="F151" s="37"/>
      <c r="G151" s="37"/>
      <c r="H151" s="37"/>
      <c r="I151" s="37"/>
      <c r="J151" s="37"/>
      <c r="K151" s="37"/>
      <c r="L151" s="37"/>
      <c r="M151" s="37"/>
      <c r="N151" s="37"/>
      <c r="O151" s="37"/>
      <c r="P151" s="37"/>
      <c r="Q151" s="37"/>
      <c r="R151" s="37"/>
      <c r="S151" s="37"/>
      <c r="T151" s="37"/>
      <c r="U151" s="37"/>
      <c r="V151" s="37"/>
      <c r="W151" s="37"/>
      <c r="X151" s="37"/>
      <c r="Y151" s="37"/>
      <c r="Z151" s="255">
        <f>Smart!AX130</f>
        <v>40.704999999999998</v>
      </c>
      <c r="AA151" s="576" t="e">
        <f>Smart!K98+$Y$80</f>
        <v>#DIV/0!</v>
      </c>
      <c r="AB151" s="37" t="e">
        <f t="shared" si="22"/>
        <v>#DIV/0!</v>
      </c>
      <c r="AC151" s="38"/>
      <c r="AD151" s="38"/>
      <c r="AE151" s="256">
        <f>AE150+AD$57/100</f>
        <v>0.8000000000000006</v>
      </c>
      <c r="AF151" s="39">
        <v>0</v>
      </c>
      <c r="AG151" s="39">
        <v>0</v>
      </c>
      <c r="AH151" s="38">
        <f t="shared" si="57"/>
        <v>1.1360000000000008</v>
      </c>
      <c r="AI151" s="38">
        <f t="shared" si="58"/>
        <v>1.0077127935791261</v>
      </c>
      <c r="AJ151" s="38"/>
      <c r="AK151" s="38"/>
      <c r="AL151" s="38"/>
      <c r="AM151" s="38"/>
      <c r="AN151" s="38"/>
      <c r="AO151" s="38"/>
      <c r="AP151" s="38"/>
      <c r="AQ151" s="38"/>
      <c r="AR151" s="39">
        <f t="shared" si="65"/>
        <v>11.390695815835562</v>
      </c>
      <c r="AS151" s="38">
        <f t="shared" si="66"/>
        <v>-6.106226635438361E-16</v>
      </c>
      <c r="AT151" s="38">
        <f t="shared" si="67"/>
        <v>-8.6708418223224721E-16</v>
      </c>
      <c r="AU151" s="38"/>
      <c r="AV151" s="38">
        <f t="shared" si="68"/>
        <v>-7.6916533762810676E-16</v>
      </c>
      <c r="AW151" s="37"/>
      <c r="AX151" s="37"/>
      <c r="AY151" s="37"/>
      <c r="AZ151" s="37"/>
      <c r="BA151" s="37"/>
      <c r="BB151" s="37"/>
      <c r="BC151" s="37"/>
      <c r="BD151" s="37"/>
      <c r="BE151" s="37"/>
      <c r="BF151" s="37"/>
      <c r="BG151" s="37"/>
      <c r="BH151" s="37"/>
      <c r="BI151" s="37"/>
      <c r="BJ151" s="37"/>
      <c r="BK151" s="189"/>
      <c r="BL151" s="30"/>
      <c r="BM151" s="189"/>
      <c r="BN151" s="189"/>
      <c r="BO151" s="189"/>
      <c r="BP151" s="251"/>
      <c r="BQ151" s="219"/>
      <c r="BR151" s="189"/>
      <c r="BS151" s="189"/>
      <c r="BU151" s="189"/>
      <c r="BX151" s="30"/>
      <c r="BY151" s="30"/>
      <c r="BZ151" s="30"/>
      <c r="CA151" s="30"/>
      <c r="CB151" s="30"/>
      <c r="CC151" s="30"/>
    </row>
    <row r="152" spans="1:81" s="40" customFormat="1">
      <c r="A152" s="37"/>
      <c r="B152" s="37"/>
      <c r="C152" s="37"/>
      <c r="D152" s="37"/>
      <c r="E152" s="37"/>
      <c r="F152" s="37"/>
      <c r="G152" s="37"/>
      <c r="H152" s="37"/>
      <c r="I152" s="37"/>
      <c r="J152" s="37"/>
      <c r="K152" s="37"/>
      <c r="L152" s="37"/>
      <c r="M152" s="37"/>
      <c r="N152" s="37"/>
      <c r="O152" s="37"/>
      <c r="P152" s="37"/>
      <c r="Q152" s="37"/>
      <c r="R152" s="37"/>
      <c r="S152" s="37"/>
      <c r="T152" s="37"/>
      <c r="U152" s="37"/>
      <c r="V152" s="37"/>
      <c r="W152" s="37"/>
      <c r="X152" s="37"/>
      <c r="Y152" s="37"/>
      <c r="Z152" s="255">
        <f>Smart!AX131</f>
        <v>40.704999999999998</v>
      </c>
      <c r="AA152" s="576" t="e">
        <f>Smart!K97+$Y$80</f>
        <v>#DIV/0!</v>
      </c>
      <c r="AB152" s="37" t="e">
        <f t="shared" si="22"/>
        <v>#DIV/0!</v>
      </c>
      <c r="AC152" s="38"/>
      <c r="AD152" s="38"/>
      <c r="AE152" s="38"/>
      <c r="AF152" s="39"/>
      <c r="AG152" s="39"/>
      <c r="AH152" s="38"/>
      <c r="AI152" s="38"/>
      <c r="AJ152" s="38"/>
      <c r="AK152" s="38"/>
      <c r="AL152" s="38"/>
      <c r="AM152" s="38"/>
      <c r="AN152" s="38"/>
      <c r="AO152" s="38"/>
      <c r="AP152" s="38"/>
      <c r="AQ152" s="38"/>
      <c r="AR152" s="38"/>
      <c r="AS152" s="38"/>
      <c r="AT152" s="37"/>
      <c r="AU152" s="37"/>
      <c r="AV152" s="37"/>
      <c r="AW152" s="37"/>
      <c r="AX152" s="37"/>
      <c r="AY152" s="37"/>
      <c r="AZ152" s="37"/>
      <c r="BA152" s="37"/>
      <c r="BB152" s="37"/>
      <c r="BC152" s="37"/>
      <c r="BD152" s="37"/>
      <c r="BE152" s="37"/>
      <c r="BF152" s="37"/>
      <c r="BG152" s="37"/>
      <c r="BH152" s="37"/>
      <c r="BI152" s="37"/>
      <c r="BJ152" s="37"/>
      <c r="BK152" s="30"/>
      <c r="BL152" s="30"/>
      <c r="BM152" s="30"/>
      <c r="BN152" s="30"/>
      <c r="BO152" s="189"/>
      <c r="BP152" s="251"/>
      <c r="BQ152" s="219"/>
      <c r="BR152" s="189"/>
      <c r="BU152" s="189"/>
      <c r="BX152" s="30"/>
      <c r="BY152" s="30"/>
      <c r="BZ152" s="30"/>
      <c r="CA152" s="30"/>
      <c r="CB152" s="30"/>
      <c r="CC152" s="30"/>
    </row>
    <row r="153" spans="1:81" s="40" customFormat="1">
      <c r="A153" s="37"/>
      <c r="B153" s="37"/>
      <c r="C153" s="37"/>
      <c r="D153" s="37"/>
      <c r="E153" s="37"/>
      <c r="F153" s="37"/>
      <c r="G153" s="37"/>
      <c r="H153" s="37"/>
      <c r="I153" s="37"/>
      <c r="J153" s="37"/>
      <c r="K153" s="37"/>
      <c r="L153" s="37"/>
      <c r="M153" s="37"/>
      <c r="N153" s="37"/>
      <c r="O153" s="37"/>
      <c r="P153" s="37"/>
      <c r="Q153" s="37"/>
      <c r="R153" s="37"/>
      <c r="S153" s="37"/>
      <c r="T153" s="37"/>
      <c r="U153" s="37"/>
      <c r="V153" s="37"/>
      <c r="W153" s="37"/>
      <c r="X153" s="37"/>
      <c r="Y153" s="37"/>
      <c r="Z153" s="255">
        <f>Smart!AX132</f>
        <v>40.704999999999998</v>
      </c>
      <c r="AA153" s="576" t="e">
        <f>Smart!K96+$Y$80</f>
        <v>#DIV/0!</v>
      </c>
      <c r="AB153" s="37" t="e">
        <f t="shared" si="22"/>
        <v>#DIV/0!</v>
      </c>
      <c r="AC153" s="38"/>
      <c r="AD153" s="38"/>
      <c r="AE153" s="38"/>
      <c r="AF153" s="39"/>
      <c r="AG153" s="39"/>
      <c r="AH153" s="38"/>
      <c r="AI153" s="38"/>
      <c r="AJ153" s="38"/>
      <c r="AK153" s="38"/>
      <c r="AL153" s="38"/>
      <c r="AM153" s="38"/>
      <c r="AN153" s="38"/>
      <c r="AO153" s="38"/>
      <c r="AP153" s="38"/>
      <c r="AQ153" s="38"/>
      <c r="AR153" s="38"/>
      <c r="AS153" s="38"/>
      <c r="AT153" s="37"/>
      <c r="AU153" s="37"/>
      <c r="AV153" s="37"/>
      <c r="AW153" s="37"/>
      <c r="AX153" s="37"/>
      <c r="AY153" s="37"/>
      <c r="AZ153" s="37"/>
      <c r="BA153" s="37"/>
      <c r="BB153" s="37"/>
      <c r="BC153" s="37"/>
      <c r="BD153" s="37"/>
      <c r="BE153" s="37"/>
      <c r="BF153" s="37"/>
      <c r="BG153" s="37"/>
      <c r="BH153" s="37"/>
      <c r="BI153" s="37"/>
      <c r="BJ153" s="37"/>
      <c r="BK153" s="30"/>
      <c r="BL153" s="30"/>
      <c r="BM153" s="30"/>
      <c r="BN153" s="30"/>
      <c r="BO153" s="189"/>
      <c r="BP153" s="251"/>
      <c r="BQ153" s="219"/>
      <c r="BR153" s="189"/>
      <c r="BX153" s="30"/>
      <c r="BY153" s="30"/>
      <c r="BZ153" s="30"/>
      <c r="CA153" s="30"/>
      <c r="CB153" s="30"/>
      <c r="CC153" s="30"/>
    </row>
    <row r="154" spans="1:81" s="40" customFormat="1">
      <c r="A154" s="37"/>
      <c r="B154" s="37"/>
      <c r="C154" s="37"/>
      <c r="D154" s="37"/>
      <c r="E154" s="37"/>
      <c r="F154" s="37"/>
      <c r="G154" s="37"/>
      <c r="H154" s="37"/>
      <c r="I154" s="37"/>
      <c r="J154" s="37"/>
      <c r="K154" s="37"/>
      <c r="L154" s="37"/>
      <c r="M154" s="37"/>
      <c r="N154" s="37"/>
      <c r="O154" s="37"/>
      <c r="P154" s="37"/>
      <c r="Q154" s="37"/>
      <c r="R154" s="37"/>
      <c r="S154" s="37"/>
      <c r="T154" s="37"/>
      <c r="U154" s="37"/>
      <c r="V154" s="37"/>
      <c r="W154" s="37"/>
      <c r="X154" s="37"/>
      <c r="Y154" s="37"/>
      <c r="Z154" s="255">
        <f>Smart!AX133</f>
        <v>40.704999999999998</v>
      </c>
      <c r="AA154" s="576">
        <f>Y82</f>
        <v>0</v>
      </c>
      <c r="AB154" s="37">
        <f t="shared" si="22"/>
        <v>0</v>
      </c>
      <c r="AC154" s="38"/>
      <c r="AD154" s="38"/>
      <c r="AE154" s="38"/>
      <c r="AF154" s="39"/>
      <c r="AG154" s="39"/>
      <c r="AH154" s="38"/>
      <c r="AI154" s="38"/>
      <c r="AJ154" s="38"/>
      <c r="AK154" s="38"/>
      <c r="AL154" s="38"/>
      <c r="AM154" s="38"/>
      <c r="AN154" s="38"/>
      <c r="AO154" s="38"/>
      <c r="AP154" s="38"/>
      <c r="AQ154" s="38"/>
      <c r="AR154" s="38"/>
      <c r="AS154" s="38"/>
      <c r="AT154" s="37"/>
      <c r="AU154" s="37"/>
      <c r="AV154" s="37"/>
      <c r="AW154" s="37"/>
      <c r="AX154" s="37"/>
      <c r="AY154" s="37"/>
      <c r="BG154" s="30"/>
      <c r="BH154" s="30"/>
      <c r="BI154" s="30"/>
      <c r="BJ154" s="30"/>
      <c r="BK154" s="30"/>
      <c r="BL154" s="30"/>
      <c r="BM154" s="30"/>
      <c r="BN154" s="30"/>
      <c r="BO154" s="189"/>
      <c r="BP154" s="251"/>
      <c r="BQ154" s="219"/>
      <c r="BR154" s="189"/>
      <c r="BX154" s="30"/>
      <c r="BY154" s="30"/>
      <c r="BZ154" s="30"/>
      <c r="CA154" s="30"/>
      <c r="CB154" s="30"/>
      <c r="CC154" s="30"/>
    </row>
    <row r="155" spans="1:81" s="40" customFormat="1">
      <c r="A155" s="37"/>
      <c r="B155" s="37"/>
      <c r="C155" s="37"/>
      <c r="D155" s="37"/>
      <c r="E155" s="37"/>
      <c r="F155" s="37"/>
      <c r="G155" s="37"/>
      <c r="H155" s="37"/>
      <c r="I155" s="37"/>
      <c r="J155" s="37"/>
      <c r="K155" s="37"/>
      <c r="L155" s="37"/>
      <c r="M155" s="37"/>
      <c r="N155" s="37"/>
      <c r="O155" s="37"/>
      <c r="P155" s="37"/>
      <c r="Q155" s="37"/>
      <c r="R155" s="37"/>
      <c r="S155" s="37"/>
      <c r="T155" s="37"/>
      <c r="U155" s="37"/>
      <c r="V155" s="37"/>
      <c r="W155" s="37"/>
      <c r="X155" s="37"/>
      <c r="Y155" s="37"/>
      <c r="Z155" s="255">
        <f>Smart!AX134</f>
        <v>40.704999999999998</v>
      </c>
      <c r="AA155" s="576">
        <f>Y82</f>
        <v>0</v>
      </c>
      <c r="AB155" s="37">
        <f t="shared" si="22"/>
        <v>0</v>
      </c>
      <c r="AC155" s="38"/>
      <c r="AD155" s="38"/>
      <c r="AE155" s="38"/>
      <c r="AF155" s="39"/>
      <c r="AG155" s="39"/>
      <c r="AH155" s="38"/>
      <c r="AI155" s="38"/>
      <c r="AJ155" s="38"/>
      <c r="AK155" s="38"/>
      <c r="AL155" s="38"/>
      <c r="AM155" s="38"/>
      <c r="AN155" s="38"/>
      <c r="AO155" s="38"/>
      <c r="AP155" s="38"/>
      <c r="AQ155" s="38"/>
      <c r="AR155" s="38"/>
      <c r="AS155" s="38"/>
      <c r="AT155" s="37"/>
      <c r="AU155" s="37"/>
      <c r="AV155" s="37"/>
      <c r="AW155" s="37"/>
      <c r="AX155" s="37"/>
      <c r="AY155" s="37"/>
      <c r="BG155" s="30"/>
      <c r="BH155" s="30"/>
      <c r="BI155" s="30"/>
      <c r="BJ155" s="30"/>
      <c r="BK155" s="30"/>
      <c r="BL155" s="30"/>
      <c r="BM155" s="30"/>
      <c r="BN155" s="30"/>
      <c r="BO155" s="189"/>
      <c r="BP155" s="251"/>
      <c r="BQ155" s="219"/>
      <c r="BR155" s="189"/>
      <c r="BX155" s="30"/>
      <c r="BY155" s="30"/>
      <c r="BZ155" s="30"/>
      <c r="CA155" s="30"/>
      <c r="CB155" s="30"/>
      <c r="CC155" s="30"/>
    </row>
    <row r="156" spans="1:81" s="40" customFormat="1">
      <c r="A156" s="37"/>
      <c r="B156" s="37"/>
      <c r="C156" s="37"/>
      <c r="D156" s="37"/>
      <c r="E156" s="37"/>
      <c r="F156" s="37"/>
      <c r="G156" s="37"/>
      <c r="H156" s="37"/>
      <c r="I156" s="37"/>
      <c r="J156" s="37"/>
      <c r="K156" s="37"/>
      <c r="L156" s="37"/>
      <c r="M156" s="37"/>
      <c r="N156" s="37"/>
      <c r="O156" s="37"/>
      <c r="P156" s="37"/>
      <c r="Q156" s="37"/>
      <c r="R156" s="37"/>
      <c r="S156" s="37"/>
      <c r="T156" s="37"/>
      <c r="U156" s="37"/>
      <c r="V156" s="37"/>
      <c r="W156" s="37"/>
      <c r="X156" s="37"/>
      <c r="Y156" s="37"/>
      <c r="Z156" s="255">
        <f>Smart!AX135</f>
        <v>40.704999999999998</v>
      </c>
      <c r="AA156" s="576" t="e">
        <f>Smart!L96+$Y$88</f>
        <v>#DIV/0!</v>
      </c>
      <c r="AB156" s="37" t="e">
        <f t="shared" si="22"/>
        <v>#DIV/0!</v>
      </c>
      <c r="AC156" s="37"/>
      <c r="AD156" s="37"/>
      <c r="AE156" s="37"/>
      <c r="AF156" s="41"/>
      <c r="AG156" s="41"/>
      <c r="AH156" s="37"/>
      <c r="AI156" s="37"/>
      <c r="AJ156" s="37"/>
      <c r="AK156" s="37"/>
      <c r="AL156" s="37"/>
      <c r="AM156" s="37"/>
      <c r="AN156" s="37"/>
      <c r="AO156" s="37"/>
      <c r="AP156" s="37"/>
      <c r="AQ156" s="37"/>
      <c r="AR156" s="37"/>
      <c r="AS156" s="37"/>
      <c r="AT156" s="37"/>
      <c r="AU156" s="37"/>
      <c r="AV156" s="37"/>
      <c r="AW156" s="37"/>
      <c r="AX156" s="37"/>
      <c r="AY156" s="37"/>
      <c r="BG156" s="30"/>
      <c r="BH156" s="30"/>
      <c r="BI156" s="30"/>
      <c r="BJ156" s="30"/>
      <c r="BK156" s="30"/>
      <c r="BL156" s="30"/>
      <c r="BM156" s="30"/>
      <c r="BN156" s="30"/>
      <c r="BO156" s="189"/>
      <c r="BP156" s="251"/>
      <c r="BQ156" s="219"/>
      <c r="BR156" s="189"/>
      <c r="BX156" s="30"/>
      <c r="BY156" s="30"/>
      <c r="BZ156" s="30"/>
      <c r="CA156" s="30"/>
      <c r="CB156" s="30"/>
      <c r="CC156" s="30"/>
    </row>
    <row r="157" spans="1:81" s="40" customFormat="1">
      <c r="A157" s="37"/>
      <c r="B157" s="37"/>
      <c r="C157" s="37"/>
      <c r="D157" s="37"/>
      <c r="E157" s="37"/>
      <c r="F157" s="37"/>
      <c r="G157" s="37"/>
      <c r="H157" s="37"/>
      <c r="I157" s="37"/>
      <c r="J157" s="37"/>
      <c r="K157" s="37"/>
      <c r="L157" s="37"/>
      <c r="M157" s="37"/>
      <c r="N157" s="37"/>
      <c r="O157" s="37"/>
      <c r="P157" s="37"/>
      <c r="Q157" s="37"/>
      <c r="R157" s="37"/>
      <c r="S157" s="37"/>
      <c r="T157" s="37"/>
      <c r="U157" s="37"/>
      <c r="V157" s="37"/>
      <c r="W157" s="37"/>
      <c r="X157" s="37"/>
      <c r="Y157" s="37"/>
      <c r="Z157" s="255">
        <f>Smart!AX136</f>
        <v>40.704999999999998</v>
      </c>
      <c r="AA157" s="576" t="e">
        <f>Smart!L97+$Y$88</f>
        <v>#DIV/0!</v>
      </c>
      <c r="AB157" s="37" t="e">
        <f t="shared" si="22"/>
        <v>#DIV/0!</v>
      </c>
      <c r="AC157" s="37"/>
      <c r="AD157" s="37"/>
      <c r="AE157" s="37"/>
      <c r="AF157" s="41"/>
      <c r="AG157" s="41"/>
      <c r="AH157" s="37"/>
      <c r="AI157" s="37"/>
      <c r="AJ157" s="37"/>
      <c r="AK157" s="37"/>
      <c r="AL157" s="37"/>
      <c r="AM157" s="37"/>
      <c r="AN157" s="37"/>
      <c r="AO157" s="37"/>
      <c r="AP157" s="37"/>
      <c r="AQ157" s="37"/>
      <c r="AR157" s="37"/>
      <c r="AS157" s="37"/>
      <c r="AT157" s="37"/>
      <c r="AU157" s="37"/>
      <c r="AV157" s="37"/>
      <c r="AW157" s="37"/>
      <c r="AX157" s="37"/>
      <c r="AY157" s="37"/>
      <c r="BG157" s="30"/>
      <c r="BH157" s="30"/>
      <c r="BI157" s="30"/>
      <c r="BJ157" s="30"/>
      <c r="BK157" s="30"/>
      <c r="BL157" s="30"/>
      <c r="BM157" s="30"/>
      <c r="BN157" s="30"/>
      <c r="BO157" s="189"/>
      <c r="BP157" s="251"/>
      <c r="BQ157" s="219"/>
      <c r="BR157" s="189"/>
      <c r="BX157" s="30"/>
      <c r="BY157" s="30"/>
      <c r="BZ157" s="30"/>
      <c r="CA157" s="30"/>
      <c r="CB157" s="30"/>
      <c r="CC157" s="30"/>
    </row>
    <row r="158" spans="1:81" s="40" customFormat="1">
      <c r="A158" s="37"/>
      <c r="B158" s="37"/>
      <c r="C158" s="37"/>
      <c r="D158" s="37"/>
      <c r="E158" s="37"/>
      <c r="F158" s="37"/>
      <c r="G158" s="37"/>
      <c r="H158" s="37"/>
      <c r="I158" s="37"/>
      <c r="J158" s="37"/>
      <c r="K158" s="37"/>
      <c r="L158" s="37"/>
      <c r="M158" s="37"/>
      <c r="N158" s="37"/>
      <c r="O158" s="37"/>
      <c r="P158" s="37"/>
      <c r="Q158" s="37"/>
      <c r="R158" s="37"/>
      <c r="S158" s="37"/>
      <c r="T158" s="37"/>
      <c r="U158" s="37"/>
      <c r="V158" s="37"/>
      <c r="W158" s="37"/>
      <c r="X158" s="37"/>
      <c r="Y158" s="37"/>
      <c r="Z158" s="255">
        <f>Smart!AX137</f>
        <v>40.704999999999998</v>
      </c>
      <c r="AA158" s="576" t="e">
        <f>Smart!L98+$Y$88</f>
        <v>#DIV/0!</v>
      </c>
      <c r="AB158" s="37" t="e">
        <f t="shared" ref="AB158:AB207" si="69">AA158/$M$31</f>
        <v>#DIV/0!</v>
      </c>
      <c r="AC158" s="37"/>
      <c r="AD158" s="37"/>
      <c r="AE158" s="37"/>
      <c r="AF158" s="37"/>
      <c r="AG158" s="37"/>
      <c r="AH158" s="37"/>
      <c r="AI158" s="37"/>
      <c r="AJ158" s="37"/>
      <c r="AK158" s="37"/>
      <c r="AL158" s="37"/>
      <c r="AM158" s="37"/>
      <c r="AN158" s="37"/>
      <c r="AO158" s="37"/>
      <c r="AP158" s="37"/>
      <c r="AQ158" s="37"/>
      <c r="AR158" s="37"/>
      <c r="AS158" s="37"/>
      <c r="AT158" s="37"/>
      <c r="AU158" s="37"/>
      <c r="AV158" s="37"/>
      <c r="AW158" s="37"/>
      <c r="AX158" s="37"/>
      <c r="AY158" s="37"/>
      <c r="BG158" s="30"/>
      <c r="BH158" s="30"/>
      <c r="BI158" s="30"/>
      <c r="BJ158" s="30"/>
      <c r="BK158" s="30"/>
      <c r="BL158" s="30"/>
      <c r="BM158" s="30"/>
      <c r="BN158" s="30"/>
      <c r="BO158" s="189"/>
      <c r="BP158" s="251"/>
      <c r="BQ158" s="219"/>
      <c r="BR158" s="189"/>
      <c r="BX158" s="30"/>
      <c r="BY158" s="30"/>
      <c r="BZ158" s="30"/>
      <c r="CA158" s="30"/>
      <c r="CB158" s="30"/>
      <c r="CC158" s="30"/>
    </row>
    <row r="159" spans="1:81" s="40" customFormat="1">
      <c r="A159" s="37"/>
      <c r="B159" s="37"/>
      <c r="C159" s="37"/>
      <c r="D159" s="37"/>
      <c r="E159" s="37"/>
      <c r="F159" s="37"/>
      <c r="G159" s="37"/>
      <c r="H159" s="37"/>
      <c r="I159" s="37"/>
      <c r="J159" s="37"/>
      <c r="K159" s="37"/>
      <c r="L159" s="37"/>
      <c r="M159" s="37"/>
      <c r="N159" s="37"/>
      <c r="O159" s="37"/>
      <c r="P159" s="37"/>
      <c r="Q159" s="37"/>
      <c r="R159" s="37"/>
      <c r="S159" s="37"/>
      <c r="T159" s="37"/>
      <c r="U159" s="37"/>
      <c r="V159" s="37"/>
      <c r="W159" s="37"/>
      <c r="X159" s="37"/>
      <c r="Y159" s="37"/>
      <c r="Z159" s="255">
        <f>Smart!AX138</f>
        <v>40.704999999999998</v>
      </c>
      <c r="AA159" s="576">
        <f>Smart!L99+$Y$88</f>
        <v>0</v>
      </c>
      <c r="AB159" s="37">
        <f t="shared" si="69"/>
        <v>0</v>
      </c>
      <c r="AC159" s="37"/>
      <c r="AD159" s="37"/>
      <c r="AE159" s="37"/>
      <c r="AF159" s="37"/>
      <c r="AG159" s="37"/>
      <c r="AH159" s="37"/>
      <c r="AI159" s="37"/>
      <c r="AJ159" s="37"/>
      <c r="AK159" s="37"/>
      <c r="AL159" s="37"/>
      <c r="AM159" s="37"/>
      <c r="AN159" s="37"/>
      <c r="AO159" s="37"/>
      <c r="AP159" s="37"/>
      <c r="AQ159" s="37"/>
      <c r="AR159" s="37"/>
      <c r="AS159" s="37"/>
      <c r="AT159" s="37"/>
      <c r="AU159" s="37"/>
      <c r="AV159" s="37"/>
      <c r="AW159" s="37"/>
      <c r="AX159" s="37"/>
      <c r="AY159" s="37"/>
      <c r="BG159" s="30"/>
      <c r="BH159" s="30"/>
      <c r="BI159" s="30"/>
      <c r="BJ159" s="30"/>
      <c r="BK159" s="30"/>
      <c r="BL159" s="30"/>
      <c r="BM159" s="30"/>
      <c r="BN159" s="30"/>
      <c r="BP159" s="219"/>
      <c r="BQ159" s="219"/>
      <c r="BX159" s="30"/>
      <c r="BY159" s="30"/>
      <c r="BZ159" s="30"/>
      <c r="CA159" s="30"/>
      <c r="CB159" s="30"/>
      <c r="CC159" s="30"/>
    </row>
    <row r="160" spans="1:81" s="40" customFormat="1">
      <c r="A160" s="37"/>
      <c r="B160" s="37"/>
      <c r="C160" s="37"/>
      <c r="D160" s="37"/>
      <c r="E160" s="37"/>
      <c r="F160" s="37"/>
      <c r="G160" s="37"/>
      <c r="H160" s="37"/>
      <c r="I160" s="37"/>
      <c r="J160" s="37"/>
      <c r="K160" s="37"/>
      <c r="L160" s="37"/>
      <c r="M160" s="37"/>
      <c r="N160" s="37"/>
      <c r="O160" s="37"/>
      <c r="P160" s="37"/>
      <c r="Q160" s="37"/>
      <c r="R160" s="37"/>
      <c r="S160" s="37"/>
      <c r="T160" s="37"/>
      <c r="U160" s="37"/>
      <c r="V160" s="37"/>
      <c r="W160" s="37"/>
      <c r="X160" s="37"/>
      <c r="Y160" s="37"/>
      <c r="Z160" s="255">
        <f>Smart!AX139</f>
        <v>40.704999999999998</v>
      </c>
      <c r="AA160" s="576">
        <f>Smart!L100+$Y$88</f>
        <v>0</v>
      </c>
      <c r="AB160" s="37">
        <f t="shared" si="69"/>
        <v>0</v>
      </c>
      <c r="AC160" s="37"/>
      <c r="AD160" s="37"/>
      <c r="AE160" s="37"/>
      <c r="AF160" s="37"/>
      <c r="AG160" s="37"/>
      <c r="AH160" s="37"/>
      <c r="AI160" s="37"/>
      <c r="AJ160" s="37"/>
      <c r="AK160" s="37"/>
      <c r="AL160" s="37"/>
      <c r="AM160" s="37"/>
      <c r="AN160" s="37"/>
      <c r="AO160" s="37"/>
      <c r="AP160" s="37"/>
      <c r="AQ160" s="37"/>
      <c r="AR160" s="37"/>
      <c r="AS160" s="37"/>
      <c r="AT160" s="37"/>
      <c r="AU160" s="37"/>
      <c r="AV160" s="37"/>
      <c r="AW160" s="37"/>
      <c r="AX160" s="37"/>
      <c r="AY160" s="37"/>
      <c r="BG160" s="30"/>
      <c r="BH160" s="30"/>
      <c r="BI160" s="30"/>
      <c r="BJ160" s="30"/>
      <c r="BK160" s="30"/>
      <c r="BL160" s="30"/>
      <c r="BM160" s="30"/>
      <c r="BN160" s="30"/>
      <c r="BP160" s="219"/>
      <c r="BQ160" s="219"/>
      <c r="BX160" s="30"/>
      <c r="BY160" s="30"/>
      <c r="BZ160" s="30"/>
      <c r="CA160" s="30"/>
      <c r="CB160" s="30"/>
      <c r="CC160" s="30"/>
    </row>
    <row r="161" spans="1:81" s="40" customFormat="1">
      <c r="A161" s="37"/>
      <c r="B161" s="37"/>
      <c r="C161" s="37"/>
      <c r="D161" s="37"/>
      <c r="E161" s="37"/>
      <c r="F161" s="37"/>
      <c r="G161" s="37"/>
      <c r="H161" s="37"/>
      <c r="I161" s="37"/>
      <c r="J161" s="37"/>
      <c r="K161" s="37"/>
      <c r="L161" s="37"/>
      <c r="M161" s="37"/>
      <c r="N161" s="37"/>
      <c r="O161" s="37"/>
      <c r="P161" s="37"/>
      <c r="Q161" s="37"/>
      <c r="R161" s="37"/>
      <c r="S161" s="37"/>
      <c r="T161" s="37"/>
      <c r="U161" s="37"/>
      <c r="V161" s="37"/>
      <c r="W161" s="37"/>
      <c r="X161" s="37"/>
      <c r="Y161" s="37"/>
      <c r="Z161" s="255">
        <f>Smart!AX140</f>
        <v>40.704999999999998</v>
      </c>
      <c r="AA161" s="576">
        <f>Smart!L101+$Y$88</f>
        <v>0</v>
      </c>
      <c r="AB161" s="37">
        <f t="shared" si="69"/>
        <v>0</v>
      </c>
      <c r="AC161" s="37"/>
      <c r="AD161" s="37"/>
      <c r="AE161" s="37"/>
      <c r="AF161" s="37"/>
      <c r="AG161" s="37"/>
      <c r="AH161" s="37"/>
      <c r="AI161" s="37"/>
      <c r="AJ161" s="37"/>
      <c r="AK161" s="37"/>
      <c r="AL161" s="37"/>
      <c r="AM161" s="37"/>
      <c r="AN161" s="37"/>
      <c r="AO161" s="37"/>
      <c r="AP161" s="37"/>
      <c r="AQ161" s="37"/>
      <c r="AR161" s="37"/>
      <c r="AS161" s="37"/>
      <c r="AT161" s="37"/>
      <c r="AU161" s="37"/>
      <c r="AV161" s="37"/>
      <c r="BG161" s="30"/>
      <c r="BH161" s="30"/>
      <c r="BI161" s="30"/>
      <c r="BJ161" s="30"/>
      <c r="BK161" s="30"/>
      <c r="BL161" s="30"/>
      <c r="BM161" s="30"/>
      <c r="BN161" s="30"/>
      <c r="BP161" s="219"/>
      <c r="BQ161" s="219"/>
      <c r="BX161" s="30"/>
      <c r="BY161" s="30"/>
      <c r="BZ161" s="30"/>
      <c r="CA161" s="30"/>
      <c r="CB161" s="30"/>
      <c r="CC161" s="30"/>
    </row>
    <row r="162" spans="1:81" s="40" customFormat="1">
      <c r="A162" s="37"/>
      <c r="B162" s="37"/>
      <c r="C162" s="37"/>
      <c r="D162" s="37"/>
      <c r="E162" s="37"/>
      <c r="F162" s="37"/>
      <c r="G162" s="37"/>
      <c r="H162" s="37"/>
      <c r="I162" s="37"/>
      <c r="J162" s="37"/>
      <c r="K162" s="37"/>
      <c r="L162" s="37"/>
      <c r="M162" s="37"/>
      <c r="N162" s="37"/>
      <c r="O162" s="37"/>
      <c r="P162" s="37"/>
      <c r="Q162" s="37"/>
      <c r="R162" s="37"/>
      <c r="S162" s="37"/>
      <c r="T162" s="37"/>
      <c r="U162" s="37"/>
      <c r="V162" s="37"/>
      <c r="W162" s="37"/>
      <c r="X162" s="37"/>
      <c r="Y162" s="37"/>
      <c r="Z162" s="255">
        <f>Smart!AX141</f>
        <v>40.704999999999998</v>
      </c>
      <c r="AA162" s="576">
        <f>Smart!L102+$Y$88</f>
        <v>0</v>
      </c>
      <c r="AB162" s="37">
        <f t="shared" si="69"/>
        <v>0</v>
      </c>
      <c r="AC162" s="37"/>
      <c r="AD162" s="37"/>
      <c r="AE162" s="37"/>
      <c r="AF162" s="37"/>
      <c r="AG162" s="37"/>
      <c r="AH162" s="37"/>
      <c r="AI162" s="37"/>
      <c r="AJ162" s="37"/>
      <c r="AK162" s="37"/>
      <c r="AL162" s="37"/>
      <c r="AM162" s="37"/>
      <c r="AN162" s="37"/>
      <c r="AO162" s="37"/>
      <c r="AP162" s="37"/>
      <c r="AQ162" s="37"/>
      <c r="AR162" s="37"/>
      <c r="AS162" s="37"/>
      <c r="AT162" s="37"/>
      <c r="AU162" s="37"/>
      <c r="AV162" s="37"/>
      <c r="BG162" s="30"/>
      <c r="BH162" s="30"/>
      <c r="BI162" s="30"/>
      <c r="BJ162" s="30"/>
      <c r="BK162" s="30"/>
      <c r="BL162" s="30"/>
      <c r="BM162" s="30"/>
      <c r="BN162" s="30"/>
      <c r="BP162" s="219"/>
      <c r="BQ162" s="219"/>
      <c r="BX162" s="30"/>
      <c r="BY162" s="30"/>
      <c r="BZ162" s="30"/>
      <c r="CA162" s="30"/>
      <c r="CB162" s="30"/>
      <c r="CC162" s="30"/>
    </row>
    <row r="163" spans="1:81" s="40" customFormat="1">
      <c r="A163" s="37"/>
      <c r="B163" s="37"/>
      <c r="C163" s="37"/>
      <c r="D163" s="37"/>
      <c r="E163" s="37"/>
      <c r="F163" s="37"/>
      <c r="G163" s="37"/>
      <c r="H163" s="37"/>
      <c r="I163" s="37"/>
      <c r="J163" s="37"/>
      <c r="K163" s="37"/>
      <c r="L163" s="37"/>
      <c r="M163" s="37"/>
      <c r="N163" s="37"/>
      <c r="O163" s="37"/>
      <c r="P163" s="37"/>
      <c r="Q163" s="37"/>
      <c r="R163" s="37"/>
      <c r="S163" s="37"/>
      <c r="T163" s="37"/>
      <c r="U163" s="37"/>
      <c r="V163" s="37"/>
      <c r="W163" s="37"/>
      <c r="X163" s="37"/>
      <c r="Y163" s="37"/>
      <c r="Z163" s="255">
        <f>Smart!AX142</f>
        <v>40.704999999999998</v>
      </c>
      <c r="AA163" s="576">
        <f>Smart!L103+$Y$88</f>
        <v>0</v>
      </c>
      <c r="AB163" s="37">
        <f t="shared" si="69"/>
        <v>0</v>
      </c>
      <c r="AC163" s="37"/>
      <c r="AD163" s="37"/>
      <c r="AE163" s="37"/>
      <c r="AF163" s="37"/>
      <c r="AG163" s="37"/>
      <c r="AH163" s="37"/>
      <c r="AI163" s="37"/>
      <c r="AJ163" s="37"/>
      <c r="AK163" s="37"/>
      <c r="AL163" s="37"/>
      <c r="AM163" s="37"/>
      <c r="AN163" s="37"/>
      <c r="AO163" s="37"/>
      <c r="AP163" s="37"/>
      <c r="AQ163" s="37"/>
      <c r="AR163" s="37"/>
      <c r="AS163" s="37"/>
      <c r="AT163" s="37"/>
      <c r="AU163" s="37"/>
      <c r="AV163" s="37"/>
      <c r="BG163" s="30"/>
      <c r="BH163" s="30"/>
      <c r="BI163" s="30"/>
      <c r="BJ163" s="30"/>
      <c r="BK163" s="30"/>
      <c r="BL163" s="30"/>
      <c r="BM163" s="30"/>
      <c r="BN163" s="30"/>
      <c r="BP163" s="219"/>
      <c r="BQ163" s="219"/>
      <c r="BX163" s="30"/>
      <c r="BY163" s="30"/>
      <c r="BZ163" s="30"/>
      <c r="CA163" s="30"/>
      <c r="CB163" s="30"/>
      <c r="CC163" s="30"/>
    </row>
    <row r="164" spans="1:81" s="40" customFormat="1">
      <c r="A164" s="37"/>
      <c r="B164" s="37"/>
      <c r="C164" s="37"/>
      <c r="D164" s="37"/>
      <c r="E164" s="37"/>
      <c r="F164" s="37"/>
      <c r="G164" s="37"/>
      <c r="H164" s="37"/>
      <c r="I164" s="37"/>
      <c r="J164" s="37"/>
      <c r="K164" s="37"/>
      <c r="L164" s="37"/>
      <c r="M164" s="37"/>
      <c r="N164" s="37"/>
      <c r="O164" s="37"/>
      <c r="P164" s="37"/>
      <c r="Q164" s="37"/>
      <c r="R164" s="37"/>
      <c r="S164" s="37"/>
      <c r="T164" s="37"/>
      <c r="U164" s="37"/>
      <c r="V164" s="37"/>
      <c r="W164" s="37"/>
      <c r="X164" s="37"/>
      <c r="Y164" s="37"/>
      <c r="Z164" s="255">
        <f>Smart!AX143</f>
        <v>40.704999999999998</v>
      </c>
      <c r="AA164" s="576" t="e">
        <f>Smart!L104+$Y$88</f>
        <v>#DIV/0!</v>
      </c>
      <c r="AB164" s="37" t="e">
        <f t="shared" si="69"/>
        <v>#DIV/0!</v>
      </c>
      <c r="AC164" s="37"/>
      <c r="AD164" s="37"/>
      <c r="AE164" s="37"/>
      <c r="AF164" s="37"/>
      <c r="AG164" s="37"/>
      <c r="AH164" s="37"/>
      <c r="AI164" s="37"/>
      <c r="AJ164" s="37"/>
      <c r="AK164" s="37"/>
      <c r="AL164" s="37"/>
      <c r="AM164" s="37"/>
      <c r="AN164" s="37"/>
      <c r="AO164" s="37"/>
      <c r="AP164" s="37"/>
      <c r="AQ164" s="37"/>
      <c r="AR164" s="37"/>
      <c r="AS164" s="37"/>
      <c r="AT164" s="37"/>
      <c r="AU164" s="37"/>
      <c r="AV164" s="37"/>
      <c r="BG164" s="30"/>
      <c r="BH164" s="30"/>
      <c r="BI164" s="30"/>
      <c r="BJ164" s="30"/>
      <c r="BK164" s="30"/>
      <c r="BL164" s="30"/>
      <c r="BM164" s="30"/>
      <c r="BN164" s="30"/>
      <c r="BP164" s="219"/>
      <c r="BQ164" s="219"/>
      <c r="BT164" s="188"/>
      <c r="BX164" s="30"/>
      <c r="BY164" s="30"/>
      <c r="BZ164" s="30"/>
      <c r="CA164" s="30"/>
      <c r="CB164" s="30"/>
      <c r="CC164" s="30"/>
    </row>
    <row r="165" spans="1:81" s="40" customFormat="1">
      <c r="A165" s="37"/>
      <c r="B165" s="37"/>
      <c r="C165" s="37"/>
      <c r="D165" s="37"/>
      <c r="E165" s="37"/>
      <c r="F165" s="37"/>
      <c r="G165" s="37"/>
      <c r="H165" s="37"/>
      <c r="I165" s="37"/>
      <c r="J165" s="37"/>
      <c r="K165" s="37"/>
      <c r="L165" s="37"/>
      <c r="M165" s="37"/>
      <c r="N165" s="37"/>
      <c r="O165" s="37"/>
      <c r="P165" s="37"/>
      <c r="Q165" s="37"/>
      <c r="R165" s="37"/>
      <c r="S165" s="37"/>
      <c r="T165" s="37"/>
      <c r="U165" s="37"/>
      <c r="V165" s="37"/>
      <c r="W165" s="37"/>
      <c r="X165" s="37"/>
      <c r="Y165" s="37"/>
      <c r="Z165" s="255">
        <f>Smart!AX144</f>
        <v>40.704999999999998</v>
      </c>
      <c r="AA165" s="576" t="e">
        <f>Smart!L105+$Y$88</f>
        <v>#DIV/0!</v>
      </c>
      <c r="AB165" s="37" t="e">
        <f t="shared" si="69"/>
        <v>#DIV/0!</v>
      </c>
      <c r="AC165" s="37"/>
      <c r="AD165" s="37"/>
      <c r="AE165" s="37"/>
      <c r="AF165" s="37"/>
      <c r="AG165" s="37"/>
      <c r="AH165" s="37"/>
      <c r="AI165" s="37"/>
      <c r="AJ165" s="37"/>
      <c r="AK165" s="37"/>
      <c r="AL165" s="37"/>
      <c r="AM165" s="37"/>
      <c r="AN165" s="37"/>
      <c r="AO165" s="37"/>
      <c r="AP165" s="37"/>
      <c r="AQ165" s="37"/>
      <c r="AR165" s="37"/>
      <c r="AS165" s="37"/>
      <c r="AT165" s="37"/>
      <c r="AU165" s="37"/>
      <c r="AV165" s="37"/>
      <c r="BG165" s="30"/>
      <c r="BH165" s="30"/>
      <c r="BI165" s="30"/>
      <c r="BJ165" s="30"/>
      <c r="BK165" s="30"/>
      <c r="BL165" s="30"/>
      <c r="BM165" s="30"/>
      <c r="BN165" s="30"/>
      <c r="BP165" s="219"/>
      <c r="BQ165" s="219"/>
      <c r="BT165" s="188"/>
      <c r="BX165" s="30"/>
      <c r="BY165" s="30"/>
      <c r="BZ165" s="30"/>
      <c r="CA165" s="30"/>
      <c r="CB165" s="30"/>
      <c r="CC165" s="30"/>
    </row>
    <row r="166" spans="1:81" s="40" customFormat="1">
      <c r="A166" s="37"/>
      <c r="B166" s="37"/>
      <c r="C166" s="37"/>
      <c r="D166" s="37"/>
      <c r="E166" s="37"/>
      <c r="F166" s="37"/>
      <c r="G166" s="37"/>
      <c r="H166" s="37"/>
      <c r="I166" s="37"/>
      <c r="J166" s="37"/>
      <c r="K166" s="37"/>
      <c r="L166" s="37"/>
      <c r="M166" s="37"/>
      <c r="N166" s="37"/>
      <c r="O166" s="37"/>
      <c r="P166" s="37"/>
      <c r="Q166" s="37"/>
      <c r="R166" s="37"/>
      <c r="S166" s="37"/>
      <c r="T166" s="37"/>
      <c r="U166" s="37"/>
      <c r="V166" s="37"/>
      <c r="W166" s="37"/>
      <c r="X166" s="37"/>
      <c r="Y166" s="37"/>
      <c r="Z166" s="255">
        <f>Smart!AX145</f>
        <v>40.704999999999998</v>
      </c>
      <c r="AA166" s="576" t="e">
        <f>Smart!L106+$Y$88</f>
        <v>#DIV/0!</v>
      </c>
      <c r="AB166" s="37" t="e">
        <f t="shared" si="69"/>
        <v>#DIV/0!</v>
      </c>
      <c r="AC166" s="37"/>
      <c r="AD166" s="37"/>
      <c r="AE166" s="37"/>
      <c r="AF166" s="37"/>
      <c r="AG166" s="37"/>
      <c r="AH166" s="37"/>
      <c r="AI166" s="37"/>
      <c r="AJ166" s="37"/>
      <c r="AK166" s="37"/>
      <c r="AL166" s="37"/>
      <c r="AM166" s="37"/>
      <c r="AN166" s="37"/>
      <c r="AO166" s="37"/>
      <c r="AP166" s="37"/>
      <c r="AQ166" s="37"/>
      <c r="AR166" s="37"/>
      <c r="AS166" s="37"/>
      <c r="AT166" s="37"/>
      <c r="AU166" s="37"/>
      <c r="AV166" s="37"/>
      <c r="BG166" s="30"/>
      <c r="BH166" s="30"/>
      <c r="BI166" s="30"/>
      <c r="BJ166" s="30"/>
      <c r="BK166" s="30"/>
      <c r="BL166" s="30"/>
      <c r="BM166" s="30"/>
      <c r="BN166" s="30"/>
      <c r="BP166" s="219"/>
      <c r="BQ166" s="219"/>
      <c r="BT166" s="188"/>
      <c r="BX166" s="30"/>
      <c r="BY166" s="30"/>
      <c r="BZ166" s="30"/>
      <c r="CA166" s="30"/>
      <c r="CB166" s="30"/>
      <c r="CC166" s="30"/>
    </row>
    <row r="167" spans="1:81" s="40" customFormat="1">
      <c r="A167" s="37"/>
      <c r="B167" s="37"/>
      <c r="C167" s="37"/>
      <c r="D167" s="37"/>
      <c r="E167" s="37"/>
      <c r="F167" s="37"/>
      <c r="G167" s="37"/>
      <c r="H167" s="37"/>
      <c r="I167" s="37"/>
      <c r="J167" s="37"/>
      <c r="K167" s="37"/>
      <c r="L167" s="37"/>
      <c r="M167" s="37"/>
      <c r="N167" s="37"/>
      <c r="O167" s="37"/>
      <c r="P167" s="37"/>
      <c r="Q167" s="37"/>
      <c r="R167" s="37"/>
      <c r="S167" s="37"/>
      <c r="T167" s="37"/>
      <c r="U167" s="37"/>
      <c r="V167" s="37"/>
      <c r="W167" s="37"/>
      <c r="X167" s="37"/>
      <c r="Y167" s="37"/>
      <c r="Z167" s="255">
        <f>Smart!AX146</f>
        <v>40.704999999999998</v>
      </c>
      <c r="AA167" s="576">
        <f>Y88</f>
        <v>0</v>
      </c>
      <c r="AB167" s="37">
        <f t="shared" si="69"/>
        <v>0</v>
      </c>
      <c r="AC167" s="37"/>
      <c r="AD167" s="37"/>
      <c r="AE167" s="37"/>
      <c r="AF167" s="37"/>
      <c r="AG167" s="37"/>
      <c r="AH167" s="37"/>
      <c r="AI167" s="37"/>
      <c r="AJ167" s="37"/>
      <c r="AK167" s="37"/>
      <c r="AL167" s="37"/>
      <c r="AM167" s="37"/>
      <c r="AN167" s="37"/>
      <c r="AO167" s="37"/>
      <c r="AP167" s="37"/>
      <c r="AQ167" s="37"/>
      <c r="AR167" s="37"/>
      <c r="AS167" s="37"/>
      <c r="AT167" s="37"/>
      <c r="AU167" s="37"/>
      <c r="AV167" s="37"/>
      <c r="BG167" s="30"/>
      <c r="BH167" s="30"/>
      <c r="BI167" s="30"/>
      <c r="BJ167" s="30"/>
      <c r="BK167" s="30"/>
      <c r="BL167" s="30"/>
      <c r="BM167" s="30"/>
      <c r="BN167" s="30"/>
      <c r="BP167" s="219"/>
      <c r="BQ167" s="219"/>
      <c r="BT167" s="188"/>
      <c r="BX167" s="30"/>
      <c r="BY167" s="30"/>
      <c r="BZ167" s="30"/>
      <c r="CA167" s="30"/>
      <c r="CB167" s="30"/>
      <c r="CC167" s="30"/>
    </row>
    <row r="168" spans="1:81" s="40" customFormat="1">
      <c r="A168" s="37"/>
      <c r="B168" s="37"/>
      <c r="C168" s="37"/>
      <c r="D168" s="37"/>
      <c r="E168" s="37"/>
      <c r="F168" s="37"/>
      <c r="G168" s="37"/>
      <c r="H168" s="37"/>
      <c r="I168" s="37"/>
      <c r="J168" s="37"/>
      <c r="K168" s="37"/>
      <c r="L168" s="37"/>
      <c r="M168" s="37"/>
      <c r="N168" s="37"/>
      <c r="O168" s="37"/>
      <c r="P168" s="37"/>
      <c r="Q168" s="37"/>
      <c r="R168" s="37"/>
      <c r="S168" s="37"/>
      <c r="T168" s="37"/>
      <c r="U168" s="37"/>
      <c r="V168" s="37"/>
      <c r="W168" s="37"/>
      <c r="X168" s="37"/>
      <c r="Y168" s="37"/>
      <c r="Z168" s="255">
        <f>Smart!AX147</f>
        <v>40.704999999999998</v>
      </c>
      <c r="AA168" s="576">
        <f>Y88</f>
        <v>0</v>
      </c>
      <c r="AB168" s="37">
        <f t="shared" si="69"/>
        <v>0</v>
      </c>
      <c r="AC168" s="37"/>
      <c r="AD168" s="37"/>
      <c r="AE168" s="37"/>
      <c r="AF168" s="37"/>
      <c r="AG168" s="37"/>
      <c r="AH168" s="37"/>
      <c r="AI168" s="37"/>
      <c r="AJ168" s="37"/>
      <c r="AK168" s="37"/>
      <c r="AL168" s="37"/>
      <c r="AM168" s="37"/>
      <c r="AN168" s="37"/>
      <c r="AO168" s="37"/>
      <c r="AP168" s="37"/>
      <c r="AQ168" s="37"/>
      <c r="AR168" s="37"/>
      <c r="AS168" s="37"/>
      <c r="AT168" s="37"/>
      <c r="AU168" s="37"/>
      <c r="AV168" s="37"/>
      <c r="BG168" s="30"/>
      <c r="BH168" s="30"/>
      <c r="BI168" s="30"/>
      <c r="BJ168" s="30"/>
      <c r="BK168" s="30"/>
      <c r="BL168" s="30"/>
      <c r="BM168" s="30"/>
      <c r="BN168" s="30"/>
      <c r="BP168" s="219"/>
      <c r="BQ168" s="219"/>
      <c r="BT168" s="188"/>
      <c r="BX168" s="30"/>
      <c r="BY168" s="30"/>
      <c r="BZ168" s="30"/>
      <c r="CA168" s="30"/>
      <c r="CB168" s="30"/>
      <c r="CC168" s="30"/>
    </row>
    <row r="169" spans="1:81" s="40" customFormat="1">
      <c r="A169" s="37"/>
      <c r="B169" s="37"/>
      <c r="C169" s="37"/>
      <c r="D169" s="37"/>
      <c r="E169" s="37"/>
      <c r="F169" s="37"/>
      <c r="G169" s="37"/>
      <c r="H169" s="37"/>
      <c r="I169" s="37"/>
      <c r="J169" s="37"/>
      <c r="K169" s="37"/>
      <c r="L169" s="37"/>
      <c r="M169" s="37"/>
      <c r="N169" s="37"/>
      <c r="O169" s="37"/>
      <c r="P169" s="37"/>
      <c r="Q169" s="37"/>
      <c r="R169" s="37"/>
      <c r="S169" s="37"/>
      <c r="T169" s="37"/>
      <c r="U169" s="37"/>
      <c r="V169" s="37"/>
      <c r="W169" s="37"/>
      <c r="X169" s="37"/>
      <c r="Y169" s="37"/>
      <c r="Z169" s="255">
        <f>Smart!AX148</f>
        <v>40.704999999999998</v>
      </c>
      <c r="AA169" s="576" t="e">
        <f>Smart!M106+$Y$88</f>
        <v>#DIV/0!</v>
      </c>
      <c r="AB169" s="37" t="e">
        <f t="shared" si="69"/>
        <v>#DIV/0!</v>
      </c>
      <c r="AC169" s="37"/>
      <c r="AD169" s="37"/>
      <c r="AE169" s="37"/>
      <c r="AF169" s="37"/>
      <c r="AG169" s="37"/>
      <c r="AH169" s="37"/>
      <c r="AI169" s="37"/>
      <c r="AJ169" s="37"/>
      <c r="AK169" s="37"/>
      <c r="AL169" s="37"/>
      <c r="AM169" s="37"/>
      <c r="AN169" s="37"/>
      <c r="AO169" s="37"/>
      <c r="AP169" s="37"/>
      <c r="AQ169" s="37"/>
      <c r="AR169" s="37"/>
      <c r="AS169" s="37"/>
      <c r="AT169" s="37"/>
      <c r="AU169" s="37"/>
      <c r="AV169" s="37"/>
      <c r="BG169" s="30"/>
      <c r="BH169" s="30"/>
      <c r="BI169" s="30"/>
      <c r="BJ169" s="30"/>
      <c r="BK169" s="30"/>
      <c r="BL169" s="30"/>
      <c r="BM169" s="30"/>
      <c r="BN169" s="30"/>
      <c r="BP169" s="219"/>
      <c r="BQ169" s="219"/>
      <c r="BT169" s="188"/>
      <c r="BX169" s="30"/>
      <c r="BY169" s="30"/>
      <c r="BZ169" s="30"/>
      <c r="CA169" s="30"/>
      <c r="CB169" s="30"/>
      <c r="CC169" s="30"/>
    </row>
    <row r="170" spans="1:81" s="40" customFormat="1">
      <c r="A170" s="37"/>
      <c r="B170" s="37"/>
      <c r="C170" s="37"/>
      <c r="D170" s="37"/>
      <c r="E170" s="37"/>
      <c r="F170" s="37"/>
      <c r="G170" s="37"/>
      <c r="H170" s="37"/>
      <c r="I170" s="37"/>
      <c r="J170" s="37"/>
      <c r="K170" s="37"/>
      <c r="L170" s="37"/>
      <c r="M170" s="37"/>
      <c r="N170" s="37"/>
      <c r="O170" s="37"/>
      <c r="P170" s="37"/>
      <c r="Q170" s="37"/>
      <c r="R170" s="37"/>
      <c r="S170" s="37"/>
      <c r="T170" s="37"/>
      <c r="U170" s="37"/>
      <c r="V170" s="37"/>
      <c r="W170" s="37"/>
      <c r="X170" s="37"/>
      <c r="Y170" s="37"/>
      <c r="Z170" s="255">
        <f>Smart!AX149</f>
        <v>40.704999999999998</v>
      </c>
      <c r="AA170" s="576" t="e">
        <f>Smart!M105+$Y$88</f>
        <v>#DIV/0!</v>
      </c>
      <c r="AB170" s="37" t="e">
        <f t="shared" si="69"/>
        <v>#DIV/0!</v>
      </c>
      <c r="AC170" s="37"/>
      <c r="AD170" s="37"/>
      <c r="AE170" s="37"/>
      <c r="AF170" s="37"/>
      <c r="AG170" s="37"/>
      <c r="AH170" s="37"/>
      <c r="AI170" s="37"/>
      <c r="AJ170" s="37"/>
      <c r="AK170" s="37"/>
      <c r="AL170" s="37"/>
      <c r="AM170" s="37"/>
      <c r="AN170" s="37"/>
      <c r="AO170" s="37"/>
      <c r="AP170" s="37"/>
      <c r="AQ170" s="37"/>
      <c r="AR170" s="37"/>
      <c r="AS170" s="37"/>
      <c r="AT170" s="37"/>
      <c r="AU170" s="37"/>
      <c r="AV170" s="37"/>
      <c r="BG170" s="30"/>
      <c r="BH170" s="30"/>
      <c r="BI170" s="30"/>
      <c r="BJ170" s="30"/>
      <c r="BK170" s="30"/>
      <c r="BL170" s="30"/>
      <c r="BM170" s="30"/>
      <c r="BN170" s="30"/>
      <c r="BP170" s="219"/>
      <c r="BQ170" s="219"/>
      <c r="BT170" s="188"/>
      <c r="BX170" s="30"/>
      <c r="BY170" s="30"/>
      <c r="BZ170" s="30"/>
      <c r="CA170" s="30"/>
      <c r="CB170" s="30"/>
      <c r="CC170" s="30"/>
    </row>
    <row r="171" spans="1:81" s="40" customFormat="1">
      <c r="A171" s="37"/>
      <c r="B171" s="37"/>
      <c r="C171" s="37"/>
      <c r="D171" s="37"/>
      <c r="E171" s="37"/>
      <c r="F171" s="37"/>
      <c r="G171" s="37"/>
      <c r="H171" s="37"/>
      <c r="I171" s="37"/>
      <c r="J171" s="37"/>
      <c r="K171" s="37"/>
      <c r="L171" s="37"/>
      <c r="M171" s="37"/>
      <c r="N171" s="37"/>
      <c r="O171" s="37"/>
      <c r="P171" s="37"/>
      <c r="Q171" s="37"/>
      <c r="R171" s="37"/>
      <c r="S171" s="37"/>
      <c r="T171" s="37"/>
      <c r="U171" s="37"/>
      <c r="V171" s="37"/>
      <c r="W171" s="37"/>
      <c r="X171" s="37"/>
      <c r="Y171" s="37"/>
      <c r="Z171" s="255">
        <f>Smart!AX150</f>
        <v>40.704999999999998</v>
      </c>
      <c r="AA171" s="576" t="e">
        <f>Smart!M104+$Y$88</f>
        <v>#DIV/0!</v>
      </c>
      <c r="AB171" s="37" t="e">
        <f t="shared" si="69"/>
        <v>#DIV/0!</v>
      </c>
      <c r="AC171" s="37"/>
      <c r="AD171" s="37"/>
      <c r="AE171" s="37"/>
      <c r="AF171" s="37"/>
      <c r="AG171" s="37"/>
      <c r="AH171" s="37"/>
      <c r="AI171" s="37"/>
      <c r="AJ171" s="37"/>
      <c r="AK171" s="37"/>
      <c r="AL171" s="37"/>
      <c r="AM171" s="37"/>
      <c r="AN171" s="37"/>
      <c r="AO171" s="37"/>
      <c r="AP171" s="37"/>
      <c r="AQ171" s="37"/>
      <c r="AR171" s="37"/>
      <c r="AS171" s="37"/>
      <c r="AT171" s="37"/>
      <c r="AU171" s="37"/>
      <c r="AV171" s="37"/>
      <c r="BG171" s="30"/>
      <c r="BH171" s="30"/>
      <c r="BI171" s="30"/>
      <c r="BJ171" s="30"/>
      <c r="BK171" s="30"/>
      <c r="BL171" s="30"/>
      <c r="BM171" s="30"/>
      <c r="BN171" s="30"/>
      <c r="BP171" s="219"/>
      <c r="BQ171" s="219"/>
      <c r="BT171" s="188"/>
      <c r="BX171" s="30"/>
      <c r="BY171" s="30"/>
      <c r="BZ171" s="30"/>
      <c r="CA171" s="30"/>
      <c r="CB171" s="30"/>
      <c r="CC171" s="30"/>
    </row>
    <row r="172" spans="1:81" s="40" customFormat="1">
      <c r="A172" s="37"/>
      <c r="B172" s="37"/>
      <c r="C172" s="37"/>
      <c r="D172" s="37"/>
      <c r="E172" s="37"/>
      <c r="F172" s="37"/>
      <c r="G172" s="37"/>
      <c r="H172" s="37"/>
      <c r="I172" s="37"/>
      <c r="J172" s="37"/>
      <c r="K172" s="37"/>
      <c r="L172" s="37"/>
      <c r="M172" s="37"/>
      <c r="N172" s="37"/>
      <c r="O172" s="37"/>
      <c r="P172" s="37"/>
      <c r="Q172" s="37"/>
      <c r="R172" s="37"/>
      <c r="S172" s="37"/>
      <c r="T172" s="37"/>
      <c r="U172" s="37"/>
      <c r="V172" s="37"/>
      <c r="W172" s="37"/>
      <c r="X172" s="37"/>
      <c r="Y172" s="37"/>
      <c r="Z172" s="255">
        <f>Smart!AX151</f>
        <v>40.704999999999998</v>
      </c>
      <c r="AA172" s="576">
        <f>Smart!M103+$Y$88</f>
        <v>0</v>
      </c>
      <c r="AB172" s="37">
        <f t="shared" si="69"/>
        <v>0</v>
      </c>
      <c r="AC172" s="37"/>
      <c r="AD172" s="37"/>
      <c r="AE172" s="37"/>
      <c r="AF172" s="37"/>
      <c r="AG172" s="37"/>
      <c r="AH172" s="37"/>
      <c r="AI172" s="37"/>
      <c r="AJ172" s="37"/>
      <c r="AK172" s="37"/>
      <c r="AL172" s="37"/>
      <c r="AM172" s="37"/>
      <c r="AN172" s="37"/>
      <c r="AO172" s="37"/>
      <c r="AP172" s="37"/>
      <c r="AQ172" s="37"/>
      <c r="AR172" s="37"/>
      <c r="AS172" s="37"/>
      <c r="AT172" s="37"/>
      <c r="AU172" s="37"/>
      <c r="AV172" s="37"/>
      <c r="BG172" s="30"/>
      <c r="BH172" s="30"/>
      <c r="BI172" s="30"/>
      <c r="BJ172" s="30"/>
      <c r="BK172" s="30"/>
      <c r="BL172" s="30"/>
      <c r="BM172" s="30"/>
      <c r="BN172" s="30"/>
      <c r="BP172" s="219"/>
      <c r="BQ172" s="219"/>
      <c r="BT172" s="188"/>
      <c r="BX172" s="30"/>
      <c r="BY172" s="30"/>
      <c r="BZ172" s="30"/>
      <c r="CA172" s="30"/>
      <c r="CB172" s="30"/>
      <c r="CC172" s="30"/>
    </row>
    <row r="173" spans="1:81" s="40" customFormat="1">
      <c r="A173" s="37"/>
      <c r="B173" s="37"/>
      <c r="C173" s="37"/>
      <c r="D173" s="37"/>
      <c r="E173" s="37"/>
      <c r="F173" s="37"/>
      <c r="G173" s="37"/>
      <c r="H173" s="37"/>
      <c r="I173" s="37"/>
      <c r="J173" s="37"/>
      <c r="K173" s="37"/>
      <c r="L173" s="37"/>
      <c r="M173" s="37"/>
      <c r="N173" s="37"/>
      <c r="O173" s="37"/>
      <c r="P173" s="37"/>
      <c r="Q173" s="37"/>
      <c r="R173" s="37"/>
      <c r="S173" s="37"/>
      <c r="T173" s="37"/>
      <c r="U173" s="37"/>
      <c r="V173" s="37"/>
      <c r="W173" s="37"/>
      <c r="X173" s="37"/>
      <c r="Y173" s="37"/>
      <c r="Z173" s="255">
        <f>Smart!AX152</f>
        <v>40.704999999999998</v>
      </c>
      <c r="AA173" s="576">
        <f>Smart!M102+$Y$88</f>
        <v>0</v>
      </c>
      <c r="AB173" s="37">
        <f t="shared" si="69"/>
        <v>0</v>
      </c>
      <c r="AC173" s="37"/>
      <c r="AD173" s="37"/>
      <c r="AE173" s="37"/>
      <c r="AF173" s="37"/>
      <c r="AG173" s="37"/>
      <c r="AH173" s="37"/>
      <c r="AI173" s="37"/>
      <c r="AJ173" s="37"/>
      <c r="AK173" s="37"/>
      <c r="AL173" s="37"/>
      <c r="AM173" s="37"/>
      <c r="AN173" s="37"/>
      <c r="AO173" s="37"/>
      <c r="AP173" s="37"/>
      <c r="AQ173" s="37"/>
      <c r="AR173" s="37"/>
      <c r="AS173" s="37"/>
      <c r="AT173" s="37"/>
      <c r="AU173" s="37"/>
      <c r="AV173" s="37"/>
      <c r="BG173" s="30"/>
      <c r="BH173" s="30"/>
      <c r="BI173" s="30"/>
      <c r="BJ173" s="30"/>
      <c r="BK173" s="30"/>
      <c r="BL173" s="30"/>
      <c r="BM173" s="30"/>
      <c r="BN173" s="30"/>
      <c r="BP173" s="219"/>
      <c r="BQ173" s="219"/>
      <c r="BT173" s="188"/>
      <c r="BX173" s="30"/>
      <c r="BY173" s="30"/>
      <c r="BZ173" s="30"/>
      <c r="CA173" s="30"/>
      <c r="CB173" s="30"/>
      <c r="CC173" s="30"/>
    </row>
    <row r="174" spans="1:81" s="40" customFormat="1">
      <c r="A174" s="37"/>
      <c r="B174" s="37"/>
      <c r="C174" s="37"/>
      <c r="D174" s="37"/>
      <c r="E174" s="37"/>
      <c r="F174" s="37"/>
      <c r="G174" s="37"/>
      <c r="H174" s="37"/>
      <c r="I174" s="37"/>
      <c r="J174" s="37"/>
      <c r="K174" s="37"/>
      <c r="L174" s="37"/>
      <c r="M174" s="37"/>
      <c r="N174" s="37"/>
      <c r="O174" s="37"/>
      <c r="P174" s="37"/>
      <c r="Q174" s="37"/>
      <c r="R174" s="37"/>
      <c r="S174" s="37"/>
      <c r="T174" s="37"/>
      <c r="U174" s="37"/>
      <c r="V174" s="37"/>
      <c r="W174" s="37"/>
      <c r="X174" s="37"/>
      <c r="Y174" s="37"/>
      <c r="Z174" s="255">
        <f>Smart!AX153</f>
        <v>40.704999999999998</v>
      </c>
      <c r="AA174" s="576">
        <f>Smart!M101+$Y$88</f>
        <v>0</v>
      </c>
      <c r="AB174" s="37">
        <f t="shared" si="69"/>
        <v>0</v>
      </c>
      <c r="AC174" s="37"/>
      <c r="AD174" s="37"/>
      <c r="AE174" s="37"/>
      <c r="AF174" s="37"/>
      <c r="AG174" s="37"/>
      <c r="AH174" s="37"/>
      <c r="AI174" s="37"/>
      <c r="AJ174" s="37"/>
      <c r="AK174" s="37"/>
      <c r="AL174" s="37"/>
      <c r="AM174" s="37"/>
      <c r="AN174" s="37"/>
      <c r="AO174" s="37"/>
      <c r="AP174" s="37"/>
      <c r="AQ174" s="37"/>
      <c r="AR174" s="37"/>
      <c r="AS174" s="37"/>
      <c r="AT174" s="37"/>
      <c r="AU174" s="37"/>
      <c r="AV174" s="37"/>
      <c r="BG174" s="30"/>
      <c r="BH174" s="30"/>
      <c r="BI174" s="30"/>
      <c r="BJ174" s="30"/>
      <c r="BK174" s="30"/>
      <c r="BL174" s="30"/>
      <c r="BM174" s="30"/>
      <c r="BN174" s="30"/>
      <c r="BP174" s="219"/>
      <c r="BQ174" s="219"/>
      <c r="BT174" s="188"/>
      <c r="BX174" s="30"/>
      <c r="BY174" s="30"/>
      <c r="BZ174" s="30"/>
      <c r="CA174" s="30"/>
      <c r="CB174" s="30"/>
      <c r="CC174" s="30"/>
    </row>
    <row r="175" spans="1:81" s="40" customFormat="1">
      <c r="A175" s="37"/>
      <c r="B175" s="37"/>
      <c r="C175" s="37"/>
      <c r="D175" s="37"/>
      <c r="E175" s="37"/>
      <c r="F175" s="37"/>
      <c r="G175" s="37"/>
      <c r="H175" s="37"/>
      <c r="I175" s="37"/>
      <c r="J175" s="37"/>
      <c r="K175" s="37"/>
      <c r="L175" s="37"/>
      <c r="M175" s="37"/>
      <c r="N175" s="37"/>
      <c r="O175" s="37"/>
      <c r="P175" s="37"/>
      <c r="Q175" s="37"/>
      <c r="R175" s="37"/>
      <c r="S175" s="37"/>
      <c r="T175" s="37"/>
      <c r="U175" s="37"/>
      <c r="V175" s="37"/>
      <c r="W175" s="37"/>
      <c r="X175" s="37"/>
      <c r="Y175" s="37"/>
      <c r="Z175" s="255">
        <f>Smart!AX154</f>
        <v>40.704999999999998</v>
      </c>
      <c r="AA175" s="576">
        <f>Smart!M100+$Y$88</f>
        <v>0</v>
      </c>
      <c r="AB175" s="37">
        <f t="shared" si="69"/>
        <v>0</v>
      </c>
      <c r="AC175" s="37"/>
      <c r="AD175" s="37"/>
      <c r="AE175" s="37"/>
      <c r="AF175" s="37"/>
      <c r="AG175" s="37"/>
      <c r="AH175" s="37"/>
      <c r="AI175" s="37"/>
      <c r="AJ175" s="37"/>
      <c r="AK175" s="37"/>
      <c r="AL175" s="37"/>
      <c r="AM175" s="37"/>
      <c r="AN175" s="37"/>
      <c r="AO175" s="37"/>
      <c r="AP175" s="37"/>
      <c r="AQ175" s="37"/>
      <c r="AR175" s="37"/>
      <c r="AS175" s="37"/>
      <c r="AT175" s="37"/>
      <c r="AU175" s="37"/>
      <c r="AV175" s="37"/>
      <c r="BG175" s="30"/>
      <c r="BH175" s="30"/>
      <c r="BI175" s="30"/>
      <c r="BJ175" s="30"/>
      <c r="BK175" s="30"/>
      <c r="BL175" s="30"/>
      <c r="BM175" s="30"/>
      <c r="BN175" s="30"/>
      <c r="BP175" s="219"/>
      <c r="BQ175" s="219"/>
      <c r="BT175" s="188"/>
      <c r="BX175" s="30"/>
      <c r="BY175" s="30"/>
      <c r="BZ175" s="30"/>
      <c r="CA175" s="30"/>
      <c r="CB175" s="30"/>
      <c r="CC175" s="30"/>
    </row>
    <row r="176" spans="1:81" s="40" customFormat="1">
      <c r="A176" s="37"/>
      <c r="B176" s="37"/>
      <c r="C176" s="37"/>
      <c r="D176" s="37"/>
      <c r="E176" s="37"/>
      <c r="F176" s="37"/>
      <c r="G176" s="37"/>
      <c r="H176" s="37"/>
      <c r="I176" s="37"/>
      <c r="J176" s="37"/>
      <c r="K176" s="37"/>
      <c r="L176" s="37"/>
      <c r="M176" s="37"/>
      <c r="N176" s="37"/>
      <c r="O176" s="37"/>
      <c r="P176" s="37"/>
      <c r="Q176" s="37"/>
      <c r="R176" s="37"/>
      <c r="S176" s="37"/>
      <c r="T176" s="37"/>
      <c r="U176" s="37"/>
      <c r="V176" s="37"/>
      <c r="W176" s="37"/>
      <c r="X176" s="37"/>
      <c r="Y176" s="37"/>
      <c r="Z176" s="255">
        <f>Smart!AX155</f>
        <v>40.704999999999998</v>
      </c>
      <c r="AA176" s="576">
        <f>Smart!M99+$Y$88</f>
        <v>0</v>
      </c>
      <c r="AB176" s="37">
        <f t="shared" si="69"/>
        <v>0</v>
      </c>
      <c r="AC176" s="37"/>
      <c r="AD176" s="37"/>
      <c r="AE176" s="37"/>
      <c r="AF176" s="37"/>
      <c r="AG176" s="37"/>
      <c r="AH176" s="37"/>
      <c r="AI176" s="37"/>
      <c r="AJ176" s="37"/>
      <c r="AK176" s="37"/>
      <c r="AL176" s="37"/>
      <c r="AM176" s="37"/>
      <c r="AN176" s="37"/>
      <c r="AO176" s="37"/>
      <c r="AP176" s="37"/>
      <c r="AQ176" s="37"/>
      <c r="AR176" s="37"/>
      <c r="AS176" s="37"/>
      <c r="AT176" s="37"/>
      <c r="AU176" s="37"/>
      <c r="AV176" s="37"/>
      <c r="BG176" s="30"/>
      <c r="BH176" s="30"/>
      <c r="BI176" s="30"/>
      <c r="BJ176" s="30"/>
      <c r="BK176" s="30"/>
      <c r="BL176" s="30"/>
      <c r="BM176" s="30"/>
      <c r="BN176" s="30"/>
      <c r="BP176" s="219"/>
      <c r="BQ176" s="219"/>
      <c r="BT176" s="188"/>
      <c r="BX176" s="30"/>
      <c r="BY176" s="30"/>
      <c r="BZ176" s="30"/>
      <c r="CA176" s="30"/>
      <c r="CB176" s="30"/>
      <c r="CC176" s="30"/>
    </row>
    <row r="177" spans="1:81" s="40" customFormat="1">
      <c r="A177" s="37"/>
      <c r="B177" s="37"/>
      <c r="C177" s="37"/>
      <c r="D177" s="37"/>
      <c r="E177" s="37"/>
      <c r="F177" s="37"/>
      <c r="G177" s="37"/>
      <c r="H177" s="37"/>
      <c r="I177" s="37"/>
      <c r="J177" s="37"/>
      <c r="K177" s="37"/>
      <c r="L177" s="37"/>
      <c r="M177" s="37"/>
      <c r="N177" s="37"/>
      <c r="O177" s="37"/>
      <c r="P177" s="37"/>
      <c r="Q177" s="37"/>
      <c r="R177" s="37"/>
      <c r="S177" s="37"/>
      <c r="T177" s="37"/>
      <c r="U177" s="37"/>
      <c r="V177" s="37"/>
      <c r="W177" s="37"/>
      <c r="X177" s="37"/>
      <c r="Y177" s="37"/>
      <c r="Z177" s="255">
        <f>Smart!AX156</f>
        <v>40.704999999999998</v>
      </c>
      <c r="AA177" s="576" t="e">
        <f>Smart!M98+$Y$88</f>
        <v>#DIV/0!</v>
      </c>
      <c r="AB177" s="37" t="e">
        <f t="shared" si="69"/>
        <v>#DIV/0!</v>
      </c>
      <c r="AC177" s="37"/>
      <c r="AD177" s="37"/>
      <c r="AE177" s="37"/>
      <c r="AF177" s="37"/>
      <c r="AG177" s="37"/>
      <c r="AH177" s="37"/>
      <c r="AI177" s="37"/>
      <c r="AJ177" s="37"/>
      <c r="AK177" s="37"/>
      <c r="AL177" s="37"/>
      <c r="AM177" s="37"/>
      <c r="AN177" s="37"/>
      <c r="AO177" s="37"/>
      <c r="AP177" s="37"/>
      <c r="AQ177" s="37"/>
      <c r="AR177" s="37"/>
      <c r="AS177" s="37"/>
      <c r="AT177" s="37"/>
      <c r="AU177" s="37"/>
      <c r="AV177" s="37"/>
      <c r="BG177" s="30"/>
      <c r="BH177" s="30"/>
      <c r="BI177" s="30"/>
      <c r="BJ177" s="30"/>
      <c r="BK177" s="30"/>
      <c r="BL177" s="30"/>
      <c r="BM177" s="30"/>
      <c r="BN177" s="30"/>
      <c r="BP177" s="219"/>
      <c r="BQ177" s="219"/>
      <c r="BT177" s="188"/>
      <c r="BX177" s="30"/>
      <c r="BY177" s="30"/>
      <c r="BZ177" s="30"/>
      <c r="CA177" s="30"/>
      <c r="CB177" s="30"/>
      <c r="CC177" s="30"/>
    </row>
    <row r="178" spans="1:81" s="40" customFormat="1">
      <c r="A178" s="37"/>
      <c r="B178" s="37"/>
      <c r="C178" s="37"/>
      <c r="D178" s="37"/>
      <c r="E178" s="37"/>
      <c r="F178" s="37"/>
      <c r="G178" s="37"/>
      <c r="H178" s="37"/>
      <c r="I178" s="37"/>
      <c r="J178" s="37"/>
      <c r="K178" s="37"/>
      <c r="L178" s="37"/>
      <c r="M178" s="37"/>
      <c r="N178" s="37"/>
      <c r="O178" s="37"/>
      <c r="P178" s="37"/>
      <c r="Q178" s="37"/>
      <c r="R178" s="37"/>
      <c r="S178" s="37"/>
      <c r="T178" s="37"/>
      <c r="U178" s="37"/>
      <c r="V178" s="37"/>
      <c r="W178" s="37"/>
      <c r="X178" s="37"/>
      <c r="Y178" s="37"/>
      <c r="Z178" s="255">
        <f>Smart!AX157</f>
        <v>40.704999999999998</v>
      </c>
      <c r="AA178" s="576" t="e">
        <f>Smart!M97+$Y$88</f>
        <v>#DIV/0!</v>
      </c>
      <c r="AB178" s="37" t="e">
        <f t="shared" si="69"/>
        <v>#DIV/0!</v>
      </c>
      <c r="AC178" s="37"/>
      <c r="AD178" s="37"/>
      <c r="AE178" s="37"/>
      <c r="AF178" s="37"/>
      <c r="AG178" s="37"/>
      <c r="AH178" s="37"/>
      <c r="AI178" s="37"/>
      <c r="AJ178" s="37"/>
      <c r="AK178" s="37"/>
      <c r="AL178" s="37"/>
      <c r="AM178" s="37"/>
      <c r="AN178" s="37"/>
      <c r="AO178" s="37"/>
      <c r="AP178" s="37"/>
      <c r="AQ178" s="37"/>
      <c r="AR178" s="37"/>
      <c r="AS178" s="37"/>
      <c r="AT178" s="37"/>
      <c r="AU178" s="37"/>
      <c r="AV178" s="37"/>
      <c r="BG178" s="30"/>
      <c r="BH178" s="30"/>
      <c r="BI178" s="30"/>
      <c r="BJ178" s="30"/>
      <c r="BK178" s="30"/>
      <c r="BL178" s="30"/>
      <c r="BM178" s="30"/>
      <c r="BN178" s="30"/>
      <c r="BP178" s="219"/>
      <c r="BQ178" s="219"/>
      <c r="BT178" s="188"/>
      <c r="BX178" s="30"/>
      <c r="BY178" s="30"/>
      <c r="BZ178" s="30"/>
      <c r="CA178" s="30"/>
      <c r="CB178" s="30"/>
      <c r="CC178" s="30"/>
    </row>
    <row r="179" spans="1:81" s="40" customFormat="1">
      <c r="A179" s="37"/>
      <c r="B179" s="37"/>
      <c r="C179" s="37"/>
      <c r="D179" s="37"/>
      <c r="E179" s="37"/>
      <c r="F179" s="37"/>
      <c r="G179" s="37"/>
      <c r="H179" s="37"/>
      <c r="I179" s="37"/>
      <c r="J179" s="37"/>
      <c r="K179" s="37"/>
      <c r="L179" s="37"/>
      <c r="M179" s="37"/>
      <c r="N179" s="37"/>
      <c r="O179" s="37"/>
      <c r="P179" s="37"/>
      <c r="Q179" s="37"/>
      <c r="R179" s="37"/>
      <c r="S179" s="37"/>
      <c r="T179" s="37"/>
      <c r="U179" s="37"/>
      <c r="V179" s="37"/>
      <c r="W179" s="37"/>
      <c r="X179" s="37"/>
      <c r="Y179" s="37"/>
      <c r="Z179" s="255">
        <f>Smart!AX158</f>
        <v>40.704999999999998</v>
      </c>
      <c r="AA179" s="576" t="e">
        <f>Smart!M96+$Y$88</f>
        <v>#DIV/0!</v>
      </c>
      <c r="AB179" s="37" t="e">
        <f t="shared" si="69"/>
        <v>#DIV/0!</v>
      </c>
      <c r="AC179" s="37"/>
      <c r="AD179" s="37"/>
      <c r="AE179" s="37"/>
      <c r="AF179" s="37"/>
      <c r="AG179" s="37"/>
      <c r="AH179" s="37"/>
      <c r="AI179" s="37"/>
      <c r="AJ179" s="37"/>
      <c r="AK179" s="37"/>
      <c r="AL179" s="37"/>
      <c r="AM179" s="37"/>
      <c r="AN179" s="37"/>
      <c r="AO179" s="37"/>
      <c r="AP179" s="37"/>
      <c r="AQ179" s="37"/>
      <c r="AR179" s="37"/>
      <c r="AS179" s="37"/>
      <c r="AT179" s="37"/>
      <c r="AU179" s="37"/>
      <c r="AV179" s="37"/>
      <c r="BG179" s="30"/>
      <c r="BH179" s="30"/>
      <c r="BI179" s="30"/>
      <c r="BJ179" s="30"/>
      <c r="BK179" s="30"/>
      <c r="BL179" s="30"/>
      <c r="BM179" s="30"/>
      <c r="BN179" s="30"/>
      <c r="BP179" s="219"/>
      <c r="BQ179" s="219"/>
      <c r="BT179" s="188"/>
      <c r="BX179" s="30"/>
      <c r="BY179" s="30"/>
      <c r="BZ179" s="30"/>
      <c r="CA179" s="30"/>
      <c r="CB179" s="30"/>
      <c r="CC179" s="30"/>
    </row>
    <row r="180" spans="1:81" s="40" customFormat="1">
      <c r="A180" s="37"/>
      <c r="B180" s="37"/>
      <c r="C180" s="37"/>
      <c r="D180" s="37"/>
      <c r="E180" s="37"/>
      <c r="F180" s="37"/>
      <c r="G180" s="37"/>
      <c r="H180" s="37"/>
      <c r="I180" s="37"/>
      <c r="J180" s="37"/>
      <c r="K180" s="37"/>
      <c r="L180" s="37"/>
      <c r="M180" s="37"/>
      <c r="N180" s="37"/>
      <c r="O180" s="37"/>
      <c r="P180" s="37"/>
      <c r="Q180" s="37"/>
      <c r="R180" s="37"/>
      <c r="S180" s="37"/>
      <c r="T180" s="37"/>
      <c r="U180" s="37"/>
      <c r="V180" s="37"/>
      <c r="W180" s="37"/>
      <c r="X180" s="37"/>
      <c r="Y180" s="37"/>
      <c r="Z180" s="255">
        <f>Smart!AX159</f>
        <v>40.704999999999998</v>
      </c>
      <c r="AA180" s="576">
        <f>Y90</f>
        <v>0</v>
      </c>
      <c r="AB180" s="37">
        <f t="shared" si="69"/>
        <v>0</v>
      </c>
      <c r="AC180" s="37"/>
      <c r="AD180" s="37"/>
      <c r="AE180" s="37"/>
      <c r="AF180" s="37"/>
      <c r="AG180" s="37"/>
      <c r="AH180" s="37"/>
      <c r="AI180" s="37"/>
      <c r="AJ180" s="37"/>
      <c r="AK180" s="37"/>
      <c r="AL180" s="37"/>
      <c r="AM180" s="37"/>
      <c r="AN180" s="37"/>
      <c r="AO180" s="37"/>
      <c r="AP180" s="37"/>
      <c r="AQ180" s="37"/>
      <c r="AR180" s="37"/>
      <c r="AS180" s="37"/>
      <c r="AT180" s="37"/>
      <c r="AU180" s="37"/>
      <c r="AV180" s="37"/>
      <c r="BG180" s="30"/>
      <c r="BH180" s="30"/>
      <c r="BI180" s="30"/>
      <c r="BJ180" s="30"/>
      <c r="BK180" s="30"/>
      <c r="BL180" s="30"/>
      <c r="BM180" s="30"/>
      <c r="BN180" s="30"/>
      <c r="BP180" s="219"/>
      <c r="BQ180" s="219"/>
      <c r="BT180" s="188"/>
      <c r="BX180" s="30"/>
      <c r="BY180" s="30"/>
      <c r="BZ180" s="30"/>
      <c r="CA180" s="30"/>
      <c r="CB180" s="30"/>
      <c r="CC180" s="30"/>
    </row>
    <row r="181" spans="1:81" s="40" customFormat="1">
      <c r="A181" s="37"/>
      <c r="B181" s="37"/>
      <c r="C181" s="37"/>
      <c r="D181" s="37"/>
      <c r="E181" s="37"/>
      <c r="F181" s="37"/>
      <c r="G181" s="37"/>
      <c r="H181" s="37"/>
      <c r="I181" s="37"/>
      <c r="J181" s="37"/>
      <c r="K181" s="37"/>
      <c r="L181" s="37"/>
      <c r="M181" s="37"/>
      <c r="N181" s="37"/>
      <c r="O181" s="37"/>
      <c r="P181" s="37"/>
      <c r="Q181" s="37"/>
      <c r="R181" s="37"/>
      <c r="S181" s="37"/>
      <c r="T181" s="37"/>
      <c r="U181" s="37"/>
      <c r="V181" s="37"/>
      <c r="W181" s="37"/>
      <c r="X181" s="37"/>
      <c r="Y181" s="37"/>
      <c r="Z181" s="255">
        <f>Smart!AX160</f>
        <v>40.704999999999998</v>
      </c>
      <c r="AA181" s="576">
        <f>Y90</f>
        <v>0</v>
      </c>
      <c r="AB181" s="37">
        <f t="shared" si="69"/>
        <v>0</v>
      </c>
      <c r="AC181" s="37"/>
      <c r="AD181" s="37"/>
      <c r="AE181" s="37"/>
      <c r="AF181" s="37"/>
      <c r="AG181" s="37"/>
      <c r="AH181" s="37"/>
      <c r="AI181" s="37"/>
      <c r="AJ181" s="37"/>
      <c r="AK181" s="37"/>
      <c r="AL181" s="37"/>
      <c r="AM181" s="37"/>
      <c r="AN181" s="37"/>
      <c r="AO181" s="37"/>
      <c r="AP181" s="37"/>
      <c r="AQ181" s="37"/>
      <c r="AR181" s="37"/>
      <c r="AS181" s="37"/>
      <c r="AT181" s="37"/>
      <c r="AU181" s="37"/>
      <c r="AV181" s="37"/>
      <c r="BG181" s="30"/>
      <c r="BH181" s="30"/>
      <c r="BI181" s="30"/>
      <c r="BJ181" s="30"/>
      <c r="BK181" s="30"/>
      <c r="BL181" s="30"/>
      <c r="BM181" s="30"/>
      <c r="BN181" s="30"/>
      <c r="BP181" s="219"/>
      <c r="BQ181" s="219"/>
      <c r="BT181" s="188"/>
      <c r="BX181" s="30"/>
      <c r="BY181" s="30"/>
      <c r="BZ181" s="30"/>
      <c r="CA181" s="30"/>
      <c r="CB181" s="30"/>
      <c r="CC181" s="30"/>
    </row>
    <row r="182" spans="1:81" s="40" customFormat="1">
      <c r="A182" s="37"/>
      <c r="B182" s="37"/>
      <c r="C182" s="37"/>
      <c r="D182" s="37"/>
      <c r="E182" s="37"/>
      <c r="F182" s="37"/>
      <c r="G182" s="37"/>
      <c r="H182" s="37"/>
      <c r="I182" s="37"/>
      <c r="J182" s="37"/>
      <c r="K182" s="37"/>
      <c r="L182" s="37"/>
      <c r="M182" s="37"/>
      <c r="N182" s="37"/>
      <c r="O182" s="37"/>
      <c r="P182" s="37"/>
      <c r="Q182" s="37"/>
      <c r="R182" s="37"/>
      <c r="S182" s="37"/>
      <c r="T182" s="37"/>
      <c r="U182" s="37"/>
      <c r="V182" s="37"/>
      <c r="W182" s="37"/>
      <c r="X182" s="37"/>
      <c r="Y182" s="37"/>
      <c r="Z182" s="255">
        <f>Smart!AX161</f>
        <v>40.704999999999998</v>
      </c>
      <c r="AA182" s="576" t="e">
        <f>Smart!N96+$Y$96</f>
        <v>#DIV/0!</v>
      </c>
      <c r="AB182" s="37" t="e">
        <f t="shared" si="69"/>
        <v>#DIV/0!</v>
      </c>
      <c r="AC182" s="37"/>
      <c r="AD182" s="37"/>
      <c r="AE182" s="37"/>
      <c r="AF182" s="37"/>
      <c r="AG182" s="37"/>
      <c r="AH182" s="37"/>
      <c r="AI182" s="37"/>
      <c r="AJ182" s="37"/>
      <c r="AK182" s="37"/>
      <c r="AL182" s="37"/>
      <c r="AM182" s="37"/>
      <c r="AN182" s="37"/>
      <c r="AO182" s="37"/>
      <c r="AP182" s="37"/>
      <c r="AQ182" s="37"/>
      <c r="AR182" s="37"/>
      <c r="AS182" s="37"/>
      <c r="AT182" s="37"/>
      <c r="AU182" s="37"/>
      <c r="AV182" s="37"/>
      <c r="BG182" s="30"/>
      <c r="BH182" s="30"/>
      <c r="BI182" s="30"/>
      <c r="BJ182" s="30"/>
      <c r="BK182" s="30"/>
      <c r="BL182" s="30"/>
      <c r="BM182" s="30"/>
      <c r="BN182" s="30"/>
      <c r="BP182" s="219"/>
      <c r="BQ182" s="219"/>
      <c r="BT182" s="188"/>
      <c r="BX182" s="30"/>
      <c r="BY182" s="30"/>
      <c r="BZ182" s="30"/>
      <c r="CA182" s="30"/>
      <c r="CB182" s="30"/>
      <c r="CC182" s="30"/>
    </row>
    <row r="183" spans="1:81" s="40" customFormat="1">
      <c r="A183" s="37"/>
      <c r="B183" s="37"/>
      <c r="C183" s="37"/>
      <c r="D183" s="37"/>
      <c r="E183" s="37"/>
      <c r="F183" s="37"/>
      <c r="G183" s="37"/>
      <c r="H183" s="37"/>
      <c r="I183" s="37"/>
      <c r="J183" s="37"/>
      <c r="K183" s="37"/>
      <c r="L183" s="37"/>
      <c r="M183" s="37"/>
      <c r="N183" s="37"/>
      <c r="O183" s="37"/>
      <c r="P183" s="37"/>
      <c r="Q183" s="37"/>
      <c r="R183" s="37"/>
      <c r="S183" s="37"/>
      <c r="T183" s="37"/>
      <c r="U183" s="37"/>
      <c r="V183" s="37"/>
      <c r="W183" s="37"/>
      <c r="X183" s="37"/>
      <c r="Y183" s="37"/>
      <c r="Z183" s="255">
        <f>Smart!AX162</f>
        <v>40.704999999999998</v>
      </c>
      <c r="AA183" s="576" t="e">
        <f>Smart!N97+$Y$96</f>
        <v>#DIV/0!</v>
      </c>
      <c r="AB183" s="37" t="e">
        <f t="shared" si="69"/>
        <v>#DIV/0!</v>
      </c>
      <c r="AC183" s="37"/>
      <c r="AD183" s="37"/>
      <c r="AE183" s="37"/>
      <c r="AF183" s="37"/>
      <c r="AG183" s="37"/>
      <c r="AH183" s="37"/>
      <c r="AI183" s="37"/>
      <c r="AJ183" s="37"/>
      <c r="AK183" s="37"/>
      <c r="AL183" s="37"/>
      <c r="AM183" s="37"/>
      <c r="AN183" s="37"/>
      <c r="AO183" s="37"/>
      <c r="AP183" s="37"/>
      <c r="AQ183" s="37"/>
      <c r="AR183" s="37"/>
      <c r="AS183" s="37"/>
      <c r="AT183" s="37"/>
      <c r="AU183" s="37"/>
      <c r="AV183" s="37"/>
      <c r="BG183" s="30"/>
      <c r="BH183" s="30"/>
      <c r="BI183" s="30"/>
      <c r="BJ183" s="30"/>
      <c r="BK183" s="30"/>
      <c r="BL183" s="30"/>
      <c r="BM183" s="30"/>
      <c r="BN183" s="30"/>
      <c r="BP183" s="219"/>
      <c r="BQ183" s="219"/>
      <c r="BT183" s="188"/>
      <c r="BX183" s="30"/>
      <c r="BY183" s="30"/>
      <c r="BZ183" s="30"/>
      <c r="CA183" s="30"/>
      <c r="CB183" s="30"/>
      <c r="CC183" s="30"/>
    </row>
    <row r="184" spans="1:81" s="40" customFormat="1">
      <c r="A184" s="37"/>
      <c r="B184" s="37"/>
      <c r="C184" s="37"/>
      <c r="D184" s="37"/>
      <c r="E184" s="37"/>
      <c r="F184" s="37"/>
      <c r="G184" s="37"/>
      <c r="H184" s="37"/>
      <c r="I184" s="37"/>
      <c r="J184" s="37"/>
      <c r="K184" s="37"/>
      <c r="L184" s="37"/>
      <c r="M184" s="37"/>
      <c r="N184" s="37"/>
      <c r="O184" s="37"/>
      <c r="P184" s="37"/>
      <c r="Q184" s="37"/>
      <c r="R184" s="37"/>
      <c r="S184" s="37"/>
      <c r="T184" s="37"/>
      <c r="U184" s="37"/>
      <c r="V184" s="37"/>
      <c r="W184" s="37"/>
      <c r="X184" s="37"/>
      <c r="Y184" s="37"/>
      <c r="Z184" s="255">
        <f>Smart!AX163</f>
        <v>40.704999999999998</v>
      </c>
      <c r="AA184" s="576" t="e">
        <f>Smart!N98+$Y$96</f>
        <v>#DIV/0!</v>
      </c>
      <c r="AB184" s="37" t="e">
        <f t="shared" si="69"/>
        <v>#DIV/0!</v>
      </c>
      <c r="AC184" s="37"/>
      <c r="AD184" s="37"/>
      <c r="AE184" s="37"/>
      <c r="AF184" s="37"/>
      <c r="AG184" s="37"/>
      <c r="AH184" s="37"/>
      <c r="AI184" s="37"/>
      <c r="AJ184" s="37"/>
      <c r="AK184" s="37"/>
      <c r="AL184" s="37"/>
      <c r="AM184" s="37"/>
      <c r="AN184" s="37"/>
      <c r="AO184" s="37"/>
      <c r="AP184" s="37"/>
      <c r="AQ184" s="37"/>
      <c r="AR184" s="37"/>
      <c r="AS184" s="37"/>
      <c r="AT184" s="37"/>
      <c r="AU184" s="37"/>
      <c r="AV184" s="37"/>
      <c r="BG184" s="30"/>
      <c r="BH184" s="30"/>
      <c r="BI184" s="30"/>
      <c r="BJ184" s="30"/>
      <c r="BK184" s="30"/>
      <c r="BL184" s="30"/>
      <c r="BM184" s="30"/>
      <c r="BN184" s="30"/>
      <c r="BP184" s="219"/>
      <c r="BQ184" s="219"/>
      <c r="BT184" s="188"/>
      <c r="BX184" s="30"/>
      <c r="BY184" s="30"/>
      <c r="BZ184" s="30"/>
      <c r="CA184" s="30"/>
      <c r="CB184" s="30"/>
      <c r="CC184" s="30"/>
    </row>
    <row r="185" spans="1:81" s="40" customFormat="1">
      <c r="A185" s="37"/>
      <c r="B185" s="37"/>
      <c r="C185" s="37"/>
      <c r="D185" s="37"/>
      <c r="E185" s="37"/>
      <c r="F185" s="37"/>
      <c r="G185" s="37"/>
      <c r="H185" s="37"/>
      <c r="I185" s="37"/>
      <c r="J185" s="37"/>
      <c r="K185" s="37"/>
      <c r="L185" s="37"/>
      <c r="M185" s="37"/>
      <c r="N185" s="37"/>
      <c r="O185" s="37"/>
      <c r="P185" s="37"/>
      <c r="Q185" s="37"/>
      <c r="R185" s="37"/>
      <c r="S185" s="37"/>
      <c r="T185" s="37"/>
      <c r="U185" s="37"/>
      <c r="V185" s="37"/>
      <c r="W185" s="37"/>
      <c r="X185" s="37"/>
      <c r="Y185" s="37"/>
      <c r="Z185" s="255">
        <f>Smart!AX164</f>
        <v>40.704999999999998</v>
      </c>
      <c r="AA185" s="576">
        <f>Smart!N99+$Y$96</f>
        <v>0</v>
      </c>
      <c r="AB185" s="37">
        <f t="shared" si="69"/>
        <v>0</v>
      </c>
      <c r="AC185" s="37"/>
      <c r="AD185" s="37"/>
      <c r="AE185" s="37"/>
      <c r="AF185" s="37"/>
      <c r="AG185" s="37"/>
      <c r="AH185" s="37"/>
      <c r="AI185" s="37"/>
      <c r="AJ185" s="37"/>
      <c r="AK185" s="37"/>
      <c r="AL185" s="37"/>
      <c r="AM185" s="37"/>
      <c r="AN185" s="37"/>
      <c r="AO185" s="37"/>
      <c r="AP185" s="37"/>
      <c r="AQ185" s="37"/>
      <c r="AR185" s="37"/>
      <c r="AS185" s="37"/>
      <c r="AT185" s="37"/>
      <c r="AU185" s="37"/>
      <c r="AV185" s="37"/>
      <c r="BG185" s="30"/>
      <c r="BH185" s="30"/>
      <c r="BI185" s="30"/>
      <c r="BJ185" s="30"/>
      <c r="BK185" s="30"/>
      <c r="BL185" s="30"/>
      <c r="BM185" s="30"/>
      <c r="BN185" s="30"/>
      <c r="BP185" s="219"/>
      <c r="BQ185" s="265"/>
      <c r="BT185" s="188"/>
      <c r="BX185" s="30"/>
      <c r="BY185" s="30"/>
      <c r="BZ185" s="30"/>
      <c r="CA185" s="30"/>
      <c r="CB185" s="30"/>
      <c r="CC185" s="30"/>
    </row>
    <row r="186" spans="1:81" s="40" customFormat="1">
      <c r="A186" s="37"/>
      <c r="B186" s="37"/>
      <c r="C186" s="37"/>
      <c r="D186" s="37"/>
      <c r="E186" s="37"/>
      <c r="F186" s="37"/>
      <c r="G186" s="37"/>
      <c r="H186" s="37"/>
      <c r="I186" s="37"/>
      <c r="J186" s="37"/>
      <c r="K186" s="37"/>
      <c r="L186" s="37"/>
      <c r="M186" s="37"/>
      <c r="N186" s="37"/>
      <c r="O186" s="37"/>
      <c r="P186" s="37"/>
      <c r="Q186" s="37"/>
      <c r="R186" s="37"/>
      <c r="S186" s="37"/>
      <c r="T186" s="37"/>
      <c r="U186" s="37"/>
      <c r="V186" s="37"/>
      <c r="W186" s="37"/>
      <c r="X186" s="37"/>
      <c r="Y186" s="37"/>
      <c r="Z186" s="255">
        <f>Smart!AX165</f>
        <v>40.704999999999998</v>
      </c>
      <c r="AA186" s="576">
        <f>Smart!N100+$Y$96</f>
        <v>0</v>
      </c>
      <c r="AB186" s="37">
        <f t="shared" si="69"/>
        <v>0</v>
      </c>
      <c r="AC186" s="37"/>
      <c r="AD186" s="37"/>
      <c r="AE186" s="37"/>
      <c r="AF186" s="37"/>
      <c r="AG186" s="37"/>
      <c r="AH186" s="37"/>
      <c r="AI186" s="37"/>
      <c r="AJ186" s="37"/>
      <c r="AK186" s="37"/>
      <c r="AL186" s="37"/>
      <c r="AM186" s="37"/>
      <c r="AN186" s="37"/>
      <c r="AO186" s="37"/>
      <c r="AP186" s="37"/>
      <c r="AQ186" s="37"/>
      <c r="AR186" s="37"/>
      <c r="AS186" s="37"/>
      <c r="AT186" s="37"/>
      <c r="AU186" s="37"/>
      <c r="AV186" s="37"/>
      <c r="BG186" s="30"/>
      <c r="BH186" s="30"/>
      <c r="BI186" s="30"/>
      <c r="BJ186" s="30"/>
      <c r="BK186" s="30"/>
      <c r="BL186" s="30"/>
      <c r="BM186" s="30"/>
      <c r="BN186" s="30"/>
      <c r="BP186" s="219"/>
      <c r="BQ186" s="265"/>
      <c r="BT186" s="188"/>
      <c r="BX186" s="30"/>
      <c r="BY186" s="30"/>
      <c r="BZ186" s="30"/>
      <c r="CA186" s="30"/>
      <c r="CB186" s="30"/>
      <c r="CC186" s="30"/>
    </row>
    <row r="187" spans="1:81" s="40" customFormat="1">
      <c r="A187" s="37"/>
      <c r="B187" s="37"/>
      <c r="C187" s="37"/>
      <c r="D187" s="37"/>
      <c r="E187" s="37"/>
      <c r="F187" s="37"/>
      <c r="G187" s="37"/>
      <c r="H187" s="37"/>
      <c r="I187" s="37"/>
      <c r="J187" s="37"/>
      <c r="K187" s="37"/>
      <c r="L187" s="37"/>
      <c r="M187" s="37"/>
      <c r="N187" s="37"/>
      <c r="O187" s="37"/>
      <c r="P187" s="37"/>
      <c r="Q187" s="37"/>
      <c r="R187" s="37"/>
      <c r="S187" s="37"/>
      <c r="T187" s="37"/>
      <c r="U187" s="37"/>
      <c r="V187" s="37"/>
      <c r="W187" s="37"/>
      <c r="X187" s="37"/>
      <c r="Y187" s="37"/>
      <c r="Z187" s="255">
        <f>Smart!AX166</f>
        <v>40.704999999999998</v>
      </c>
      <c r="AA187" s="576">
        <f>Smart!N101+$Y$96</f>
        <v>0</v>
      </c>
      <c r="AB187" s="37">
        <f t="shared" si="69"/>
        <v>0</v>
      </c>
      <c r="AC187" s="37"/>
      <c r="AD187" s="37"/>
      <c r="AE187" s="37"/>
      <c r="AF187" s="37"/>
      <c r="AG187" s="37"/>
      <c r="AH187" s="37"/>
      <c r="AI187" s="37"/>
      <c r="AJ187" s="37"/>
      <c r="AK187" s="37"/>
      <c r="AL187" s="37"/>
      <c r="AM187" s="37"/>
      <c r="AN187" s="37"/>
      <c r="AO187" s="37"/>
      <c r="AP187" s="37"/>
      <c r="AQ187" s="37"/>
      <c r="AR187" s="37"/>
      <c r="AS187" s="37"/>
      <c r="AT187" s="37"/>
      <c r="AU187" s="37"/>
      <c r="AV187" s="37"/>
      <c r="BG187" s="30"/>
      <c r="BH187" s="30"/>
      <c r="BI187" s="30"/>
      <c r="BJ187" s="30"/>
      <c r="BK187" s="30"/>
      <c r="BL187" s="30"/>
      <c r="BM187" s="30"/>
      <c r="BN187" s="30"/>
      <c r="BP187" s="219"/>
      <c r="BQ187" s="265"/>
      <c r="BT187" s="188"/>
      <c r="BX187" s="30"/>
      <c r="BY187" s="30"/>
      <c r="BZ187" s="30"/>
      <c r="CA187" s="30"/>
      <c r="CB187" s="30"/>
      <c r="CC187" s="30"/>
    </row>
    <row r="188" spans="1:81" s="40" customFormat="1">
      <c r="A188" s="37"/>
      <c r="B188" s="37"/>
      <c r="C188" s="37"/>
      <c r="D188" s="37"/>
      <c r="E188" s="37"/>
      <c r="F188" s="37"/>
      <c r="G188" s="37"/>
      <c r="H188" s="37"/>
      <c r="I188" s="37"/>
      <c r="J188" s="37"/>
      <c r="K188" s="37"/>
      <c r="L188" s="37"/>
      <c r="M188" s="37"/>
      <c r="N188" s="37"/>
      <c r="O188" s="37"/>
      <c r="P188" s="37"/>
      <c r="Q188" s="37"/>
      <c r="R188" s="37"/>
      <c r="S188" s="37"/>
      <c r="T188" s="37"/>
      <c r="U188" s="37"/>
      <c r="V188" s="37"/>
      <c r="W188" s="37"/>
      <c r="X188" s="37"/>
      <c r="Y188" s="37"/>
      <c r="Z188" s="255">
        <f>Smart!AX167</f>
        <v>40.704999999999998</v>
      </c>
      <c r="AA188" s="576">
        <f>Smart!N102+$Y$96</f>
        <v>0</v>
      </c>
      <c r="AB188" s="37">
        <f t="shared" si="69"/>
        <v>0</v>
      </c>
      <c r="AC188" s="37"/>
      <c r="AD188" s="37"/>
      <c r="AE188" s="37"/>
      <c r="AF188" s="37"/>
      <c r="AG188" s="37"/>
      <c r="AH188" s="37"/>
      <c r="AI188" s="37"/>
      <c r="AJ188" s="37"/>
      <c r="AK188" s="37"/>
      <c r="AL188" s="37"/>
      <c r="AM188" s="37"/>
      <c r="AN188" s="37"/>
      <c r="AO188" s="37"/>
      <c r="AP188" s="37"/>
      <c r="AQ188" s="37"/>
      <c r="AR188" s="37"/>
      <c r="AS188" s="37"/>
      <c r="AT188" s="37"/>
      <c r="AU188" s="37"/>
      <c r="AV188" s="37"/>
      <c r="BG188" s="30"/>
      <c r="BH188" s="30"/>
      <c r="BI188" s="30"/>
      <c r="BJ188" s="30"/>
      <c r="BK188" s="30"/>
      <c r="BL188" s="30"/>
      <c r="BM188" s="30"/>
      <c r="BN188" s="30"/>
      <c r="BP188" s="219"/>
      <c r="BQ188" s="265"/>
      <c r="BT188" s="188"/>
      <c r="BX188" s="30"/>
      <c r="BY188" s="30"/>
      <c r="BZ188" s="30"/>
      <c r="CA188" s="30"/>
      <c r="CB188" s="30"/>
      <c r="CC188" s="30"/>
    </row>
    <row r="189" spans="1:81" s="40" customFormat="1">
      <c r="A189" s="37"/>
      <c r="B189" s="37"/>
      <c r="C189" s="37"/>
      <c r="D189" s="37"/>
      <c r="E189" s="37"/>
      <c r="F189" s="37"/>
      <c r="G189" s="37"/>
      <c r="H189" s="37"/>
      <c r="I189" s="37"/>
      <c r="J189" s="37"/>
      <c r="K189" s="37"/>
      <c r="L189" s="37"/>
      <c r="M189" s="37"/>
      <c r="N189" s="37"/>
      <c r="O189" s="37"/>
      <c r="P189" s="37"/>
      <c r="Q189" s="37"/>
      <c r="R189" s="37"/>
      <c r="S189" s="37"/>
      <c r="T189" s="37"/>
      <c r="U189" s="37"/>
      <c r="V189" s="37"/>
      <c r="W189" s="37"/>
      <c r="X189" s="37"/>
      <c r="Y189" s="37"/>
      <c r="Z189" s="255">
        <f>Smart!AX168</f>
        <v>40.704999999999998</v>
      </c>
      <c r="AA189" s="576">
        <f>Smart!N103+$Y$96</f>
        <v>0</v>
      </c>
      <c r="AB189" s="37">
        <f t="shared" si="69"/>
        <v>0</v>
      </c>
      <c r="AC189" s="37"/>
      <c r="AD189" s="37"/>
      <c r="AE189" s="37"/>
      <c r="AF189" s="37"/>
      <c r="AG189" s="37"/>
      <c r="AH189" s="37"/>
      <c r="AI189" s="37"/>
      <c r="AJ189" s="37"/>
      <c r="AK189" s="37"/>
      <c r="AL189" s="37"/>
      <c r="AM189" s="37"/>
      <c r="AN189" s="37"/>
      <c r="AO189" s="37"/>
      <c r="AP189" s="37"/>
      <c r="AQ189" s="37"/>
      <c r="AR189" s="37"/>
      <c r="AS189" s="37"/>
      <c r="AT189" s="37"/>
      <c r="AU189" s="37"/>
      <c r="AV189" s="37"/>
      <c r="BG189" s="30"/>
      <c r="BH189" s="30"/>
      <c r="BI189" s="30"/>
      <c r="BJ189" s="30"/>
      <c r="BK189" s="30"/>
      <c r="BL189" s="30"/>
      <c r="BM189" s="30"/>
      <c r="BN189" s="30"/>
      <c r="BP189" s="219"/>
      <c r="BQ189" s="265"/>
      <c r="BT189" s="188"/>
      <c r="BX189" s="30"/>
      <c r="BY189" s="30"/>
      <c r="BZ189" s="30"/>
      <c r="CA189" s="30"/>
      <c r="CB189" s="30"/>
      <c r="CC189" s="30"/>
    </row>
    <row r="190" spans="1:81" s="40" customFormat="1">
      <c r="A190" s="37"/>
      <c r="B190" s="37"/>
      <c r="C190" s="37"/>
      <c r="D190" s="37"/>
      <c r="E190" s="37"/>
      <c r="F190" s="37"/>
      <c r="G190" s="37"/>
      <c r="H190" s="37"/>
      <c r="I190" s="37"/>
      <c r="J190" s="37"/>
      <c r="K190" s="37"/>
      <c r="L190" s="37"/>
      <c r="M190" s="37"/>
      <c r="N190" s="37"/>
      <c r="O190" s="37"/>
      <c r="P190" s="37"/>
      <c r="Q190" s="37"/>
      <c r="R190" s="37"/>
      <c r="S190" s="37"/>
      <c r="T190" s="37"/>
      <c r="U190" s="37"/>
      <c r="V190" s="37"/>
      <c r="W190" s="37"/>
      <c r="X190" s="37"/>
      <c r="Y190" s="37"/>
      <c r="Z190" s="255">
        <f>Smart!AX169</f>
        <v>40.704999999999998</v>
      </c>
      <c r="AA190" s="576" t="e">
        <f>Smart!N104+$Y$96</f>
        <v>#DIV/0!</v>
      </c>
      <c r="AB190" s="37" t="e">
        <f t="shared" si="69"/>
        <v>#DIV/0!</v>
      </c>
      <c r="AC190" s="37"/>
      <c r="AD190" s="37"/>
      <c r="AE190" s="37"/>
      <c r="AF190" s="37"/>
      <c r="AG190" s="37"/>
      <c r="AH190" s="37"/>
      <c r="AI190" s="37"/>
      <c r="AJ190" s="37"/>
      <c r="AK190" s="37"/>
      <c r="AL190" s="37"/>
      <c r="AM190" s="37"/>
      <c r="AN190" s="37"/>
      <c r="AO190" s="37"/>
      <c r="AP190" s="37"/>
      <c r="AQ190" s="37"/>
      <c r="AR190" s="37"/>
      <c r="AS190" s="37"/>
      <c r="AT190" s="37"/>
      <c r="AU190" s="37"/>
      <c r="AV190" s="37"/>
      <c r="BG190" s="30"/>
      <c r="BH190" s="30"/>
      <c r="BI190" s="30"/>
      <c r="BJ190" s="30"/>
      <c r="BK190" s="30"/>
      <c r="BL190" s="30"/>
      <c r="BM190" s="30"/>
      <c r="BN190" s="30"/>
      <c r="BP190" s="219"/>
      <c r="BQ190" s="265"/>
      <c r="BT190" s="188"/>
      <c r="BX190" s="30"/>
      <c r="BY190" s="30"/>
      <c r="BZ190" s="30"/>
      <c r="CA190" s="30"/>
      <c r="CB190" s="30"/>
      <c r="CC190" s="30"/>
    </row>
    <row r="191" spans="1:81" s="40" customFormat="1">
      <c r="A191" s="37"/>
      <c r="B191" s="37"/>
      <c r="C191" s="37"/>
      <c r="D191" s="37"/>
      <c r="E191" s="37"/>
      <c r="F191" s="37"/>
      <c r="G191" s="37"/>
      <c r="H191" s="37"/>
      <c r="I191" s="37"/>
      <c r="J191" s="37"/>
      <c r="K191" s="37"/>
      <c r="L191" s="37"/>
      <c r="M191" s="37"/>
      <c r="N191" s="37"/>
      <c r="O191" s="37"/>
      <c r="P191" s="37"/>
      <c r="Q191" s="37"/>
      <c r="R191" s="37"/>
      <c r="S191" s="37"/>
      <c r="T191" s="37"/>
      <c r="U191" s="37"/>
      <c r="V191" s="37"/>
      <c r="W191" s="37"/>
      <c r="X191" s="37"/>
      <c r="Y191" s="37"/>
      <c r="Z191" s="255">
        <f>Smart!AX170</f>
        <v>40.704999999999998</v>
      </c>
      <c r="AA191" s="576" t="e">
        <f>Smart!N105+$Y$96</f>
        <v>#DIV/0!</v>
      </c>
      <c r="AB191" s="37" t="e">
        <f t="shared" si="69"/>
        <v>#DIV/0!</v>
      </c>
      <c r="AC191" s="37"/>
      <c r="AD191" s="37"/>
      <c r="AE191" s="37"/>
      <c r="AF191" s="37"/>
      <c r="AG191" s="37"/>
      <c r="AH191" s="37"/>
      <c r="AI191" s="37"/>
      <c r="AJ191" s="37"/>
      <c r="AK191" s="37"/>
      <c r="AL191" s="37"/>
      <c r="AM191" s="37"/>
      <c r="AN191" s="37"/>
      <c r="AO191" s="37"/>
      <c r="AP191" s="37"/>
      <c r="AQ191" s="37"/>
      <c r="AR191" s="37"/>
      <c r="AS191" s="37"/>
      <c r="AT191" s="37"/>
      <c r="AU191" s="37"/>
      <c r="AV191" s="37"/>
      <c r="BG191" s="30"/>
      <c r="BH191" s="30"/>
      <c r="BI191" s="30"/>
      <c r="BJ191" s="30"/>
      <c r="BK191" s="30"/>
      <c r="BL191" s="30"/>
      <c r="BM191" s="30"/>
      <c r="BN191" s="30"/>
      <c r="BP191" s="219"/>
      <c r="BQ191" s="265"/>
      <c r="BT191" s="188"/>
      <c r="BX191" s="30"/>
      <c r="BY191" s="30"/>
      <c r="BZ191" s="30"/>
      <c r="CA191" s="30"/>
      <c r="CB191" s="30"/>
      <c r="CC191" s="30"/>
    </row>
    <row r="192" spans="1:81" s="40" customFormat="1">
      <c r="A192" s="37"/>
      <c r="B192" s="37"/>
      <c r="C192" s="37"/>
      <c r="D192" s="37"/>
      <c r="E192" s="37"/>
      <c r="F192" s="37"/>
      <c r="G192" s="37"/>
      <c r="H192" s="37"/>
      <c r="I192" s="37"/>
      <c r="J192" s="37"/>
      <c r="K192" s="37"/>
      <c r="L192" s="37"/>
      <c r="M192" s="37"/>
      <c r="N192" s="37"/>
      <c r="O192" s="37"/>
      <c r="P192" s="37"/>
      <c r="Q192" s="37"/>
      <c r="R192" s="37"/>
      <c r="S192" s="37"/>
      <c r="T192" s="37"/>
      <c r="U192" s="37"/>
      <c r="V192" s="37"/>
      <c r="W192" s="37"/>
      <c r="X192" s="37"/>
      <c r="Y192" s="37"/>
      <c r="Z192" s="255">
        <f>Smart!AX171</f>
        <v>40.704999999999998</v>
      </c>
      <c r="AA192" s="576" t="e">
        <f>Smart!N106+$Y$96</f>
        <v>#DIV/0!</v>
      </c>
      <c r="AB192" s="37" t="e">
        <f t="shared" si="69"/>
        <v>#DIV/0!</v>
      </c>
      <c r="AC192" s="37"/>
      <c r="AD192" s="37"/>
      <c r="AE192" s="37"/>
      <c r="AF192" s="37"/>
      <c r="AG192" s="37"/>
      <c r="AH192" s="37"/>
      <c r="AI192" s="37"/>
      <c r="AJ192" s="37"/>
      <c r="AK192" s="37"/>
      <c r="AL192" s="37"/>
      <c r="AM192" s="37"/>
      <c r="AN192" s="37"/>
      <c r="AO192" s="37"/>
      <c r="AP192" s="37"/>
      <c r="AQ192" s="37"/>
      <c r="AR192" s="37"/>
      <c r="AS192" s="37"/>
      <c r="AT192" s="37"/>
      <c r="AU192" s="37"/>
      <c r="AV192" s="37"/>
      <c r="BG192" s="30"/>
      <c r="BH192" s="30"/>
      <c r="BI192" s="30"/>
      <c r="BJ192" s="30"/>
      <c r="BK192" s="30"/>
      <c r="BL192" s="30"/>
      <c r="BM192" s="30"/>
      <c r="BN192" s="30"/>
      <c r="BP192" s="219"/>
      <c r="BQ192" s="265"/>
      <c r="BT192" s="188"/>
      <c r="BX192" s="30"/>
      <c r="BY192" s="30"/>
      <c r="BZ192" s="30"/>
      <c r="CA192" s="30"/>
      <c r="CB192" s="30"/>
      <c r="CC192" s="30"/>
    </row>
    <row r="193" spans="1:81" s="40" customFormat="1">
      <c r="A193" s="37"/>
      <c r="B193" s="37"/>
      <c r="C193" s="37"/>
      <c r="D193" s="37"/>
      <c r="E193" s="37"/>
      <c r="F193" s="37"/>
      <c r="G193" s="37"/>
      <c r="H193" s="37"/>
      <c r="I193" s="37"/>
      <c r="J193" s="37"/>
      <c r="K193" s="37"/>
      <c r="L193" s="37"/>
      <c r="M193" s="37"/>
      <c r="N193" s="37"/>
      <c r="O193" s="37"/>
      <c r="P193" s="37"/>
      <c r="Q193" s="37"/>
      <c r="R193" s="37"/>
      <c r="S193" s="37"/>
      <c r="T193" s="37"/>
      <c r="U193" s="37"/>
      <c r="V193" s="37"/>
      <c r="W193" s="37"/>
      <c r="X193" s="37"/>
      <c r="Y193" s="37"/>
      <c r="Z193" s="255">
        <f>Smart!AX172</f>
        <v>40.704999999999998</v>
      </c>
      <c r="AA193" s="576">
        <f>Y96</f>
        <v>0</v>
      </c>
      <c r="AB193" s="37">
        <f t="shared" si="69"/>
        <v>0</v>
      </c>
      <c r="AC193" s="37"/>
      <c r="AD193" s="37"/>
      <c r="AE193" s="37"/>
      <c r="AF193" s="37"/>
      <c r="AG193" s="37"/>
      <c r="AH193" s="37"/>
      <c r="AI193" s="37"/>
      <c r="AJ193" s="37"/>
      <c r="AK193" s="37"/>
      <c r="AL193" s="37"/>
      <c r="AM193" s="37"/>
      <c r="AN193" s="37"/>
      <c r="AO193" s="37"/>
      <c r="AP193" s="37"/>
      <c r="AQ193" s="37"/>
      <c r="AR193" s="37"/>
      <c r="AS193" s="37"/>
      <c r="AT193" s="37"/>
      <c r="AU193" s="37"/>
      <c r="AV193" s="37"/>
      <c r="BG193" s="30"/>
      <c r="BH193" s="30"/>
      <c r="BI193" s="30"/>
      <c r="BJ193" s="30"/>
      <c r="BK193" s="30"/>
      <c r="BL193" s="30"/>
      <c r="BM193" s="30"/>
      <c r="BN193" s="30"/>
      <c r="BP193" s="219"/>
      <c r="BQ193" s="265"/>
      <c r="BT193" s="188"/>
      <c r="BX193" s="30"/>
      <c r="BY193" s="30"/>
      <c r="BZ193" s="30"/>
      <c r="CA193" s="30"/>
      <c r="CB193" s="30"/>
      <c r="CC193" s="30"/>
    </row>
    <row r="194" spans="1:81" s="40" customFormat="1">
      <c r="A194" s="37"/>
      <c r="B194" s="37"/>
      <c r="C194" s="37"/>
      <c r="D194" s="37"/>
      <c r="E194" s="37"/>
      <c r="F194" s="37"/>
      <c r="G194" s="37"/>
      <c r="H194" s="37"/>
      <c r="I194" s="37"/>
      <c r="J194" s="37"/>
      <c r="K194" s="37"/>
      <c r="L194" s="37"/>
      <c r="M194" s="37"/>
      <c r="N194" s="37"/>
      <c r="O194" s="37"/>
      <c r="P194" s="37"/>
      <c r="Q194" s="37"/>
      <c r="R194" s="37"/>
      <c r="S194" s="37"/>
      <c r="T194" s="37"/>
      <c r="U194" s="37"/>
      <c r="V194" s="37"/>
      <c r="W194" s="37"/>
      <c r="X194" s="37"/>
      <c r="Y194" s="37"/>
      <c r="Z194" s="255">
        <f>Smart!AX173</f>
        <v>40.704999999999998</v>
      </c>
      <c r="AA194" s="576">
        <f>Y96</f>
        <v>0</v>
      </c>
      <c r="AB194" s="37">
        <f t="shared" si="69"/>
        <v>0</v>
      </c>
      <c r="AC194" s="37"/>
      <c r="AD194" s="37"/>
      <c r="AE194" s="37"/>
      <c r="AF194" s="37"/>
      <c r="AG194" s="37"/>
      <c r="AH194" s="37"/>
      <c r="AI194" s="37"/>
      <c r="AJ194" s="37"/>
      <c r="AK194" s="37"/>
      <c r="AL194" s="37"/>
      <c r="AM194" s="37"/>
      <c r="AN194" s="37"/>
      <c r="AO194" s="37"/>
      <c r="AP194" s="37"/>
      <c r="AQ194" s="37"/>
      <c r="AR194" s="37"/>
      <c r="AS194" s="37"/>
      <c r="AT194" s="37"/>
      <c r="AU194" s="37"/>
      <c r="AV194" s="37"/>
      <c r="BG194" s="30"/>
      <c r="BH194" s="30"/>
      <c r="BI194" s="30"/>
      <c r="BJ194" s="30"/>
      <c r="BK194" s="30"/>
      <c r="BL194" s="30"/>
      <c r="BM194" s="30"/>
      <c r="BN194" s="30"/>
      <c r="BP194" s="219"/>
      <c r="BQ194" s="265"/>
      <c r="BT194" s="188"/>
      <c r="BX194" s="30"/>
      <c r="BY194" s="30"/>
      <c r="BZ194" s="30"/>
      <c r="CA194" s="30"/>
      <c r="CB194" s="30"/>
      <c r="CC194" s="30"/>
    </row>
    <row r="195" spans="1:81" s="40" customFormat="1">
      <c r="A195" s="37"/>
      <c r="B195" s="37"/>
      <c r="C195" s="37"/>
      <c r="D195" s="37"/>
      <c r="E195" s="37"/>
      <c r="F195" s="37"/>
      <c r="G195" s="37"/>
      <c r="H195" s="37"/>
      <c r="I195" s="37"/>
      <c r="J195" s="37"/>
      <c r="K195" s="37"/>
      <c r="L195" s="37"/>
      <c r="M195" s="37"/>
      <c r="N195" s="37"/>
      <c r="O195" s="37"/>
      <c r="P195" s="37"/>
      <c r="Q195" s="37"/>
      <c r="R195" s="37"/>
      <c r="S195" s="37"/>
      <c r="T195" s="37"/>
      <c r="U195" s="37"/>
      <c r="V195" s="37"/>
      <c r="W195" s="37"/>
      <c r="X195" s="37"/>
      <c r="Y195" s="37"/>
      <c r="Z195" s="255">
        <f>Smart!AX174</f>
        <v>40.704999999999998</v>
      </c>
      <c r="AA195" s="576" t="e">
        <f>Smart!O106+$Y$96</f>
        <v>#DIV/0!</v>
      </c>
      <c r="AB195" s="37" t="e">
        <f t="shared" si="69"/>
        <v>#DIV/0!</v>
      </c>
      <c r="AC195" s="37"/>
      <c r="AD195" s="37"/>
      <c r="AE195" s="37"/>
      <c r="AF195" s="37"/>
      <c r="AG195" s="37"/>
      <c r="AH195" s="37"/>
      <c r="AI195" s="37"/>
      <c r="AJ195" s="37"/>
      <c r="AK195" s="37"/>
      <c r="AL195" s="37"/>
      <c r="AM195" s="37"/>
      <c r="AN195" s="37"/>
      <c r="AO195" s="37"/>
      <c r="AP195" s="37"/>
      <c r="AQ195" s="37"/>
      <c r="AR195" s="37"/>
      <c r="AS195" s="37"/>
      <c r="AT195" s="37"/>
      <c r="AU195" s="37"/>
      <c r="AV195" s="37"/>
      <c r="BG195" s="30"/>
      <c r="BH195" s="30"/>
      <c r="BI195" s="30"/>
      <c r="BJ195" s="30"/>
      <c r="BK195" s="30"/>
      <c r="BL195" s="30"/>
      <c r="BM195" s="30"/>
      <c r="BN195" s="30"/>
      <c r="BP195" s="219"/>
      <c r="BQ195" s="265"/>
      <c r="BT195" s="188"/>
      <c r="BX195" s="30"/>
      <c r="BY195" s="30"/>
      <c r="BZ195" s="30"/>
      <c r="CA195" s="30"/>
      <c r="CB195" s="30"/>
      <c r="CC195" s="30"/>
    </row>
    <row r="196" spans="1:81" s="40" customFormat="1">
      <c r="A196" s="37"/>
      <c r="B196" s="37"/>
      <c r="C196" s="37"/>
      <c r="D196" s="37"/>
      <c r="E196" s="37"/>
      <c r="F196" s="37"/>
      <c r="G196" s="37"/>
      <c r="H196" s="37"/>
      <c r="I196" s="37"/>
      <c r="J196" s="37"/>
      <c r="K196" s="37"/>
      <c r="L196" s="37"/>
      <c r="M196" s="37"/>
      <c r="N196" s="37"/>
      <c r="O196" s="37"/>
      <c r="P196" s="37"/>
      <c r="Q196" s="37"/>
      <c r="R196" s="37"/>
      <c r="S196" s="37"/>
      <c r="T196" s="37"/>
      <c r="U196" s="37"/>
      <c r="V196" s="37"/>
      <c r="W196" s="37"/>
      <c r="X196" s="37"/>
      <c r="Y196" s="37"/>
      <c r="Z196" s="255">
        <f>Smart!AX175</f>
        <v>40.704999999999998</v>
      </c>
      <c r="AA196" s="576" t="e">
        <f>Smart!O105+$Y$96</f>
        <v>#DIV/0!</v>
      </c>
      <c r="AB196" s="37" t="e">
        <f t="shared" si="69"/>
        <v>#DIV/0!</v>
      </c>
      <c r="AC196" s="37"/>
      <c r="AD196" s="37"/>
      <c r="AE196" s="37"/>
      <c r="AF196" s="37"/>
      <c r="AG196" s="37"/>
      <c r="AH196" s="37"/>
      <c r="AI196" s="37"/>
      <c r="AJ196" s="37"/>
      <c r="AK196" s="37"/>
      <c r="AL196" s="37"/>
      <c r="AM196" s="37"/>
      <c r="AN196" s="37"/>
      <c r="AO196" s="37"/>
      <c r="AP196" s="37"/>
      <c r="AQ196" s="37"/>
      <c r="AR196" s="37"/>
      <c r="AS196" s="37"/>
      <c r="AT196" s="37"/>
      <c r="AU196" s="37"/>
      <c r="AV196" s="37"/>
      <c r="BG196" s="30"/>
      <c r="BH196" s="30"/>
      <c r="BI196" s="30"/>
      <c r="BJ196" s="30"/>
      <c r="BK196" s="30"/>
      <c r="BL196" s="30"/>
      <c r="BM196" s="30"/>
      <c r="BN196" s="30"/>
      <c r="BP196" s="219"/>
      <c r="BQ196" s="265"/>
      <c r="BT196" s="188"/>
      <c r="BX196" s="30"/>
      <c r="BY196" s="30"/>
      <c r="BZ196" s="30"/>
      <c r="CA196" s="30"/>
      <c r="CB196" s="30"/>
      <c r="CC196" s="30"/>
    </row>
    <row r="197" spans="1:81" s="40" customFormat="1">
      <c r="A197" s="37"/>
      <c r="B197" s="37"/>
      <c r="C197" s="37"/>
      <c r="D197" s="37"/>
      <c r="E197" s="37"/>
      <c r="F197" s="37"/>
      <c r="G197" s="37"/>
      <c r="H197" s="37"/>
      <c r="I197" s="37"/>
      <c r="J197" s="37"/>
      <c r="K197" s="37"/>
      <c r="L197" s="37"/>
      <c r="M197" s="37"/>
      <c r="N197" s="37"/>
      <c r="O197" s="37"/>
      <c r="P197" s="37"/>
      <c r="Q197" s="37"/>
      <c r="R197" s="37"/>
      <c r="S197" s="37"/>
      <c r="T197" s="37"/>
      <c r="U197" s="37"/>
      <c r="V197" s="37"/>
      <c r="W197" s="37"/>
      <c r="X197" s="37"/>
      <c r="Y197" s="37"/>
      <c r="Z197" s="255">
        <f>Smart!AX176</f>
        <v>40.704999999999998</v>
      </c>
      <c r="AA197" s="576" t="e">
        <f>Smart!O104+$Y$96</f>
        <v>#DIV/0!</v>
      </c>
      <c r="AB197" s="37" t="e">
        <f t="shared" si="69"/>
        <v>#DIV/0!</v>
      </c>
      <c r="AC197" s="37"/>
      <c r="AD197" s="37"/>
      <c r="AE197" s="37"/>
      <c r="AF197" s="37"/>
      <c r="AG197" s="37"/>
      <c r="AH197" s="37"/>
      <c r="AI197" s="37"/>
      <c r="AJ197" s="37"/>
      <c r="AK197" s="37"/>
      <c r="AL197" s="37"/>
      <c r="AM197" s="37"/>
      <c r="AN197" s="37"/>
      <c r="AO197" s="37"/>
      <c r="AP197" s="37"/>
      <c r="AQ197" s="37"/>
      <c r="AR197" s="37"/>
      <c r="AS197" s="37"/>
      <c r="AT197" s="37"/>
      <c r="AU197" s="37"/>
      <c r="AV197" s="37"/>
      <c r="BG197" s="30"/>
      <c r="BH197" s="30"/>
      <c r="BI197" s="30"/>
      <c r="BJ197" s="30"/>
      <c r="BK197" s="30"/>
      <c r="BL197" s="30"/>
      <c r="BM197" s="30"/>
      <c r="BN197" s="30"/>
      <c r="BP197" s="219"/>
      <c r="BQ197" s="265"/>
      <c r="BT197" s="188"/>
      <c r="BX197" s="30"/>
      <c r="BY197" s="30"/>
      <c r="BZ197" s="30"/>
      <c r="CA197" s="30"/>
      <c r="CB197" s="30"/>
      <c r="CC197" s="30"/>
    </row>
    <row r="198" spans="1:81" s="40" customFormat="1">
      <c r="A198" s="37"/>
      <c r="B198" s="37"/>
      <c r="C198" s="37"/>
      <c r="D198" s="37"/>
      <c r="E198" s="37"/>
      <c r="F198" s="37"/>
      <c r="G198" s="37"/>
      <c r="H198" s="37"/>
      <c r="I198" s="37"/>
      <c r="J198" s="37"/>
      <c r="K198" s="37"/>
      <c r="L198" s="37"/>
      <c r="M198" s="37"/>
      <c r="N198" s="37"/>
      <c r="O198" s="37"/>
      <c r="P198" s="37"/>
      <c r="Q198" s="37"/>
      <c r="R198" s="37"/>
      <c r="S198" s="37"/>
      <c r="T198" s="37"/>
      <c r="U198" s="37"/>
      <c r="V198" s="37"/>
      <c r="W198" s="37"/>
      <c r="X198" s="37"/>
      <c r="Y198" s="37"/>
      <c r="Z198" s="255">
        <f>Smart!AX177</f>
        <v>40.704999999999998</v>
      </c>
      <c r="AA198" s="576">
        <f>Smart!O103+$Y$96</f>
        <v>0</v>
      </c>
      <c r="AB198" s="37">
        <f t="shared" si="69"/>
        <v>0</v>
      </c>
      <c r="AC198" s="37"/>
      <c r="AD198" s="37"/>
      <c r="AE198" s="37"/>
      <c r="AF198" s="37"/>
      <c r="AG198" s="37"/>
      <c r="AH198" s="37"/>
      <c r="AI198" s="37"/>
      <c r="AJ198" s="37"/>
      <c r="AK198" s="37"/>
      <c r="AL198" s="37"/>
      <c r="AM198" s="37"/>
      <c r="AN198" s="37"/>
      <c r="AO198" s="37"/>
      <c r="AP198" s="37"/>
      <c r="AQ198" s="37"/>
      <c r="AR198" s="37"/>
      <c r="AS198" s="37"/>
      <c r="AT198" s="37"/>
      <c r="AU198" s="37"/>
      <c r="AV198" s="37"/>
      <c r="BG198" s="30"/>
      <c r="BH198" s="30"/>
      <c r="BI198" s="30"/>
      <c r="BJ198" s="30"/>
      <c r="BK198" s="30"/>
      <c r="BL198" s="30"/>
      <c r="BM198" s="30"/>
      <c r="BN198" s="30"/>
      <c r="BP198" s="219"/>
      <c r="BQ198" s="265"/>
      <c r="BT198" s="188"/>
      <c r="BX198" s="30"/>
      <c r="BY198" s="30"/>
      <c r="BZ198" s="30"/>
      <c r="CA198" s="30"/>
      <c r="CB198" s="30"/>
      <c r="CC198" s="30"/>
    </row>
    <row r="199" spans="1:81" s="40" customFormat="1">
      <c r="A199" s="37"/>
      <c r="B199" s="37"/>
      <c r="C199" s="37"/>
      <c r="D199" s="37"/>
      <c r="E199" s="37"/>
      <c r="F199" s="37"/>
      <c r="G199" s="37"/>
      <c r="H199" s="37"/>
      <c r="I199" s="37"/>
      <c r="J199" s="37"/>
      <c r="K199" s="37"/>
      <c r="L199" s="37"/>
      <c r="M199" s="37"/>
      <c r="N199" s="37"/>
      <c r="O199" s="37"/>
      <c r="P199" s="37"/>
      <c r="Q199" s="37"/>
      <c r="R199" s="37"/>
      <c r="S199" s="37"/>
      <c r="T199" s="37"/>
      <c r="U199" s="37"/>
      <c r="V199" s="37"/>
      <c r="W199" s="37"/>
      <c r="X199" s="37"/>
      <c r="Y199" s="37"/>
      <c r="Z199" s="255">
        <f>Smart!AX178</f>
        <v>40.704999999999998</v>
      </c>
      <c r="AA199" s="576">
        <f>Smart!O102+$Y$96</f>
        <v>0</v>
      </c>
      <c r="AB199" s="37">
        <f t="shared" si="69"/>
        <v>0</v>
      </c>
      <c r="AC199" s="37"/>
      <c r="AD199" s="37"/>
      <c r="AE199" s="37"/>
      <c r="AF199" s="37"/>
      <c r="AG199" s="37"/>
      <c r="AH199" s="37"/>
      <c r="AI199" s="37"/>
      <c r="AJ199" s="37"/>
      <c r="AK199" s="37"/>
      <c r="AL199" s="37"/>
      <c r="AM199" s="37"/>
      <c r="AN199" s="37"/>
      <c r="AO199" s="37"/>
      <c r="AP199" s="37"/>
      <c r="AQ199" s="37"/>
      <c r="AR199" s="37"/>
      <c r="AS199" s="37"/>
      <c r="AT199" s="37"/>
      <c r="AU199" s="37"/>
      <c r="AV199" s="37"/>
      <c r="BG199" s="30"/>
      <c r="BH199" s="30"/>
      <c r="BI199" s="30"/>
      <c r="BJ199" s="30"/>
      <c r="BK199" s="30"/>
      <c r="BL199" s="30"/>
      <c r="BM199" s="30"/>
      <c r="BN199" s="30"/>
      <c r="BP199" s="219"/>
      <c r="BQ199" s="265"/>
      <c r="BS199" s="188"/>
      <c r="BT199" s="188"/>
      <c r="BX199" s="30"/>
      <c r="BY199" s="30"/>
      <c r="BZ199" s="30"/>
      <c r="CA199" s="30"/>
      <c r="CB199" s="30"/>
      <c r="CC199" s="30"/>
    </row>
    <row r="200" spans="1:81">
      <c r="A200" s="600"/>
      <c r="B200" s="600"/>
      <c r="C200" s="600"/>
      <c r="D200" s="600"/>
      <c r="E200" s="600"/>
      <c r="F200" s="600"/>
      <c r="G200" s="600"/>
      <c r="H200" s="600"/>
      <c r="I200" s="600"/>
      <c r="J200" s="600"/>
      <c r="K200" s="600"/>
      <c r="L200" s="600"/>
      <c r="M200" s="600"/>
      <c r="N200" s="600"/>
      <c r="O200" s="600"/>
      <c r="P200" s="600"/>
      <c r="Q200" s="600"/>
      <c r="R200" s="600"/>
      <c r="S200" s="600"/>
      <c r="T200" s="600"/>
      <c r="U200" s="600"/>
      <c r="V200" s="600"/>
      <c r="W200" s="600"/>
      <c r="X200" s="600"/>
      <c r="Y200" s="600"/>
      <c r="Z200" s="255">
        <f>Smart!AX179</f>
        <v>40.704999999999998</v>
      </c>
      <c r="AA200" s="576">
        <f>Smart!O101+$Y$96</f>
        <v>0</v>
      </c>
      <c r="AB200" s="37">
        <f t="shared" si="69"/>
        <v>0</v>
      </c>
      <c r="AC200" s="600"/>
      <c r="AD200" s="600"/>
      <c r="AE200" s="600"/>
      <c r="AF200" s="600"/>
      <c r="AG200" s="600"/>
      <c r="AH200" s="600"/>
      <c r="AI200" s="600"/>
      <c r="AJ200" s="600"/>
      <c r="AK200" s="600"/>
      <c r="AL200" s="600"/>
      <c r="AM200" s="600"/>
      <c r="AN200" s="600"/>
      <c r="AO200" s="600"/>
      <c r="AP200" s="600"/>
      <c r="AQ200" s="600"/>
      <c r="AR200" s="600"/>
      <c r="AS200" s="600"/>
      <c r="AT200" s="600"/>
      <c r="AU200" s="600"/>
      <c r="AV200" s="600"/>
      <c r="BO200" s="40"/>
      <c r="BP200" s="219"/>
      <c r="BR200" s="40"/>
    </row>
    <row r="201" spans="1:81">
      <c r="A201" s="600"/>
      <c r="B201" s="600"/>
      <c r="C201" s="600"/>
      <c r="D201" s="600"/>
      <c r="E201" s="600"/>
      <c r="F201" s="600"/>
      <c r="G201" s="600"/>
      <c r="H201" s="600"/>
      <c r="I201" s="600"/>
      <c r="J201" s="600"/>
      <c r="K201" s="600"/>
      <c r="L201" s="600"/>
      <c r="M201" s="600"/>
      <c r="N201" s="600"/>
      <c r="O201" s="600"/>
      <c r="P201" s="600"/>
      <c r="Q201" s="600"/>
      <c r="R201" s="600"/>
      <c r="S201" s="600"/>
      <c r="T201" s="600"/>
      <c r="U201" s="600"/>
      <c r="V201" s="600"/>
      <c r="W201" s="600"/>
      <c r="X201" s="600"/>
      <c r="Y201" s="600"/>
      <c r="Z201" s="255">
        <f>Smart!AX180</f>
        <v>40.704999999999998</v>
      </c>
      <c r="AA201" s="576">
        <f>Smart!O100+$Y$96</f>
        <v>0</v>
      </c>
      <c r="AB201" s="37">
        <f t="shared" si="69"/>
        <v>0</v>
      </c>
      <c r="AC201" s="600"/>
      <c r="AD201" s="600"/>
      <c r="AE201" s="600"/>
      <c r="AF201" s="600"/>
      <c r="AG201" s="600"/>
      <c r="AH201" s="600"/>
      <c r="AI201" s="600"/>
      <c r="AJ201" s="600"/>
      <c r="AK201" s="600"/>
      <c r="AL201" s="600"/>
      <c r="AM201" s="600"/>
      <c r="AN201" s="600"/>
      <c r="AO201" s="600"/>
      <c r="AP201" s="600"/>
      <c r="AQ201" s="600"/>
      <c r="AR201" s="600"/>
      <c r="AS201" s="600"/>
      <c r="AT201" s="600"/>
      <c r="AU201" s="600"/>
      <c r="AV201" s="600"/>
      <c r="BO201" s="40"/>
      <c r="BP201" s="219"/>
      <c r="BR201" s="40"/>
    </row>
    <row r="202" spans="1:81">
      <c r="A202" s="600"/>
      <c r="B202" s="600"/>
      <c r="C202" s="600"/>
      <c r="D202" s="600"/>
      <c r="E202" s="600"/>
      <c r="F202" s="600"/>
      <c r="G202" s="600"/>
      <c r="H202" s="600"/>
      <c r="I202" s="600"/>
      <c r="J202" s="600"/>
      <c r="K202" s="600"/>
      <c r="L202" s="600"/>
      <c r="M202" s="600"/>
      <c r="N202" s="600"/>
      <c r="O202" s="600"/>
      <c r="P202" s="600"/>
      <c r="Q202" s="600"/>
      <c r="R202" s="600"/>
      <c r="S202" s="600"/>
      <c r="T202" s="600"/>
      <c r="U202" s="600"/>
      <c r="V202" s="600"/>
      <c r="W202" s="600"/>
      <c r="X202" s="600"/>
      <c r="Y202" s="600"/>
      <c r="Z202" s="255">
        <f>Smart!AX181</f>
        <v>40.704999999999998</v>
      </c>
      <c r="AA202" s="576">
        <f>Smart!O99+$Y$96</f>
        <v>0</v>
      </c>
      <c r="AB202" s="37">
        <f t="shared" si="69"/>
        <v>0</v>
      </c>
      <c r="AC202" s="600"/>
      <c r="AD202" s="600"/>
      <c r="AE202" s="600"/>
      <c r="AF202" s="600"/>
      <c r="AG202" s="600"/>
      <c r="AH202" s="600"/>
      <c r="AI202" s="600"/>
      <c r="AJ202" s="600"/>
      <c r="AK202" s="600"/>
      <c r="AL202" s="600"/>
      <c r="AM202" s="600"/>
      <c r="AN202" s="600"/>
      <c r="AO202" s="600"/>
      <c r="AP202" s="600"/>
      <c r="AQ202" s="600"/>
      <c r="AR202" s="600"/>
      <c r="AS202" s="600"/>
      <c r="AT202" s="600"/>
      <c r="AU202" s="600"/>
      <c r="AV202" s="600"/>
      <c r="BO202" s="40"/>
      <c r="BP202" s="219"/>
      <c r="BR202" s="40"/>
    </row>
    <row r="203" spans="1:81">
      <c r="A203" s="600"/>
      <c r="B203" s="600"/>
      <c r="C203" s="600"/>
      <c r="D203" s="600"/>
      <c r="E203" s="600"/>
      <c r="F203" s="600"/>
      <c r="G203" s="600"/>
      <c r="H203" s="600"/>
      <c r="I203" s="600"/>
      <c r="J203" s="600"/>
      <c r="K203" s="600"/>
      <c r="L203" s="600"/>
      <c r="M203" s="600"/>
      <c r="N203" s="600"/>
      <c r="O203" s="600"/>
      <c r="P203" s="600"/>
      <c r="Q203" s="600"/>
      <c r="R203" s="600"/>
      <c r="S203" s="600"/>
      <c r="T203" s="600"/>
      <c r="U203" s="600"/>
      <c r="V203" s="600"/>
      <c r="W203" s="600"/>
      <c r="X203" s="600"/>
      <c r="Y203" s="600"/>
      <c r="Z203" s="255">
        <f>Smart!AX182</f>
        <v>40.704999999999998</v>
      </c>
      <c r="AA203" s="576" t="e">
        <f>Smart!O98+$Y$96</f>
        <v>#DIV/0!</v>
      </c>
      <c r="AB203" s="37" t="e">
        <f t="shared" si="69"/>
        <v>#DIV/0!</v>
      </c>
      <c r="AC203" s="600"/>
      <c r="AD203" s="600"/>
      <c r="AE203" s="600"/>
      <c r="AF203" s="600"/>
      <c r="AG203" s="600"/>
      <c r="AH203" s="600"/>
      <c r="AI203" s="600"/>
      <c r="AJ203" s="600"/>
      <c r="AK203" s="600"/>
      <c r="AL203" s="600"/>
      <c r="AM203" s="600"/>
      <c r="AN203" s="600"/>
      <c r="AO203" s="600"/>
      <c r="AP203" s="600"/>
      <c r="AQ203" s="600"/>
      <c r="AR203" s="600"/>
      <c r="AS203" s="600"/>
      <c r="AT203" s="600"/>
      <c r="AU203" s="600"/>
      <c r="AV203" s="600"/>
      <c r="BO203" s="40"/>
      <c r="BP203" s="219"/>
      <c r="BR203" s="40"/>
    </row>
    <row r="204" spans="1:81">
      <c r="A204" s="600"/>
      <c r="B204" s="600"/>
      <c r="C204" s="600"/>
      <c r="D204" s="600"/>
      <c r="E204" s="600"/>
      <c r="F204" s="600"/>
      <c r="G204" s="600"/>
      <c r="H204" s="600"/>
      <c r="I204" s="600"/>
      <c r="J204" s="600"/>
      <c r="K204" s="600"/>
      <c r="L204" s="600"/>
      <c r="M204" s="600"/>
      <c r="N204" s="600"/>
      <c r="O204" s="600"/>
      <c r="P204" s="600"/>
      <c r="Q204" s="600"/>
      <c r="R204" s="600"/>
      <c r="S204" s="600"/>
      <c r="T204" s="600"/>
      <c r="U204" s="600"/>
      <c r="V204" s="600"/>
      <c r="W204" s="600"/>
      <c r="X204" s="600"/>
      <c r="Y204" s="600"/>
      <c r="Z204" s="255">
        <f>Smart!AX183</f>
        <v>40.704999999999998</v>
      </c>
      <c r="AA204" s="576" t="e">
        <f>Smart!O97+$Y$96</f>
        <v>#DIV/0!</v>
      </c>
      <c r="AB204" s="37" t="e">
        <f t="shared" si="69"/>
        <v>#DIV/0!</v>
      </c>
      <c r="AC204" s="600"/>
      <c r="AD204" s="600"/>
      <c r="AE204" s="600"/>
      <c r="AF204" s="600"/>
      <c r="AG204" s="600"/>
      <c r="AH204" s="600"/>
      <c r="AI204" s="600"/>
      <c r="AJ204" s="600"/>
      <c r="AK204" s="600"/>
      <c r="AL204" s="600"/>
      <c r="AM204" s="600"/>
      <c r="AN204" s="600"/>
      <c r="AO204" s="600"/>
      <c r="AP204" s="600"/>
      <c r="AQ204" s="600"/>
      <c r="AR204" s="600"/>
      <c r="AS204" s="600"/>
      <c r="AT204" s="600"/>
      <c r="AU204" s="600"/>
      <c r="AV204" s="600"/>
      <c r="BO204" s="40"/>
      <c r="BP204" s="219"/>
      <c r="BR204" s="40"/>
    </row>
    <row r="205" spans="1:81">
      <c r="A205" s="600"/>
      <c r="B205" s="600"/>
      <c r="C205" s="600"/>
      <c r="D205" s="600"/>
      <c r="E205" s="600"/>
      <c r="F205" s="600"/>
      <c r="G205" s="600"/>
      <c r="H205" s="600"/>
      <c r="I205" s="600"/>
      <c r="J205" s="600"/>
      <c r="K205" s="600"/>
      <c r="L205" s="600"/>
      <c r="M205" s="600"/>
      <c r="N205" s="600"/>
      <c r="O205" s="600"/>
      <c r="P205" s="600"/>
      <c r="Q205" s="600"/>
      <c r="R205" s="600"/>
      <c r="S205" s="600"/>
      <c r="T205" s="600"/>
      <c r="U205" s="600"/>
      <c r="V205" s="600"/>
      <c r="W205" s="600"/>
      <c r="X205" s="600"/>
      <c r="Y205" s="600"/>
      <c r="Z205" s="255">
        <f>Smart!AX184</f>
        <v>40.704999999999998</v>
      </c>
      <c r="AA205" s="576" t="e">
        <f>Smart!O96+$Y$96</f>
        <v>#DIV/0!</v>
      </c>
      <c r="AB205" s="37" t="e">
        <f t="shared" si="69"/>
        <v>#DIV/0!</v>
      </c>
      <c r="AC205" s="600"/>
      <c r="AD205" s="600"/>
      <c r="AE205" s="600"/>
      <c r="AF205" s="600"/>
      <c r="AG205" s="600"/>
      <c r="AH205" s="600"/>
      <c r="AI205" s="600"/>
      <c r="AJ205" s="600"/>
      <c r="AK205" s="600"/>
      <c r="AL205" s="600"/>
      <c r="AM205" s="600"/>
      <c r="AN205" s="600"/>
      <c r="AO205" s="600"/>
      <c r="AP205" s="600"/>
      <c r="AQ205" s="600"/>
      <c r="AR205" s="600"/>
      <c r="AS205" s="600"/>
      <c r="AT205" s="600"/>
      <c r="AU205" s="600"/>
      <c r="AV205" s="600"/>
      <c r="BO205" s="40"/>
      <c r="BP205" s="219"/>
      <c r="BR205" s="40"/>
    </row>
    <row r="206" spans="1:81">
      <c r="A206" s="600"/>
      <c r="B206" s="600"/>
      <c r="C206" s="600"/>
      <c r="D206" s="600"/>
      <c r="E206" s="600"/>
      <c r="F206" s="600"/>
      <c r="G206" s="600"/>
      <c r="H206" s="600"/>
      <c r="I206" s="600"/>
      <c r="J206" s="600"/>
      <c r="K206" s="600"/>
      <c r="L206" s="600"/>
      <c r="M206" s="600"/>
      <c r="N206" s="600"/>
      <c r="O206" s="600"/>
      <c r="P206" s="600"/>
      <c r="Q206" s="600"/>
      <c r="R206" s="600"/>
      <c r="S206" s="600"/>
      <c r="T206" s="600"/>
      <c r="U206" s="600"/>
      <c r="V206" s="600"/>
      <c r="W206" s="600"/>
      <c r="X206" s="600"/>
      <c r="Y206" s="600"/>
      <c r="Z206" s="255">
        <f>Smart!AX185</f>
        <v>40.704999999999998</v>
      </c>
      <c r="AA206" s="576">
        <f>Y98</f>
        <v>0</v>
      </c>
      <c r="AB206" s="37">
        <f t="shared" si="69"/>
        <v>0</v>
      </c>
      <c r="AC206" s="600"/>
      <c r="AD206" s="600"/>
      <c r="AE206" s="600"/>
      <c r="AF206" s="600"/>
      <c r="AG206" s="600"/>
      <c r="AH206" s="600"/>
      <c r="AI206" s="600"/>
      <c r="AJ206" s="600"/>
      <c r="AK206" s="600"/>
      <c r="AL206" s="600"/>
      <c r="AM206" s="600"/>
      <c r="AN206" s="600"/>
      <c r="AO206" s="600"/>
      <c r="AP206" s="600"/>
      <c r="AQ206" s="600"/>
      <c r="AR206" s="600"/>
      <c r="AS206" s="600"/>
      <c r="AT206" s="600"/>
      <c r="AU206" s="600"/>
      <c r="AV206" s="600"/>
    </row>
    <row r="207" spans="1:81">
      <c r="A207" s="600"/>
      <c r="B207" s="600"/>
      <c r="C207" s="600"/>
      <c r="D207" s="600"/>
      <c r="E207" s="600"/>
      <c r="F207" s="600"/>
      <c r="G207" s="600"/>
      <c r="H207" s="600"/>
      <c r="I207" s="600"/>
      <c r="J207" s="600"/>
      <c r="K207" s="600"/>
      <c r="L207" s="600"/>
      <c r="M207" s="600"/>
      <c r="N207" s="600"/>
      <c r="O207" s="600"/>
      <c r="P207" s="600"/>
      <c r="Q207" s="600"/>
      <c r="R207" s="600"/>
      <c r="S207" s="600"/>
      <c r="T207" s="600"/>
      <c r="U207" s="600"/>
      <c r="V207" s="600"/>
      <c r="W207" s="600"/>
      <c r="X207" s="600"/>
      <c r="Y207" s="600"/>
      <c r="Z207" s="255">
        <f>Smart!AX186</f>
        <v>40.704999999999998</v>
      </c>
      <c r="AA207" s="576">
        <f>Y98</f>
        <v>0</v>
      </c>
      <c r="AB207" s="37">
        <f t="shared" si="69"/>
        <v>0</v>
      </c>
      <c r="AC207" s="600"/>
      <c r="AD207" s="600"/>
      <c r="AE207" s="600"/>
      <c r="AF207" s="600"/>
      <c r="AG207" s="600"/>
      <c r="AH207" s="600"/>
      <c r="AI207" s="600"/>
      <c r="AJ207" s="600"/>
      <c r="AK207" s="600"/>
      <c r="AL207" s="600"/>
      <c r="AM207" s="600"/>
      <c r="AN207" s="600"/>
      <c r="AO207" s="600"/>
      <c r="AP207" s="600"/>
      <c r="AQ207" s="600"/>
      <c r="AR207" s="600"/>
      <c r="AS207" s="600"/>
      <c r="AT207" s="600"/>
      <c r="AU207" s="600"/>
      <c r="AV207" s="600"/>
    </row>
    <row r="208" spans="1:81">
      <c r="Z208" s="575"/>
      <c r="AA208" s="37"/>
      <c r="AB208" s="37"/>
    </row>
    <row r="209" spans="26:28">
      <c r="Z209" s="575"/>
      <c r="AA209" s="37"/>
      <c r="AB209" s="37"/>
    </row>
    <row r="210" spans="26:28">
      <c r="Z210" s="575"/>
      <c r="AA210" s="37"/>
      <c r="AB210" s="37"/>
    </row>
    <row r="211" spans="26:28">
      <c r="Z211" s="575"/>
      <c r="AA211" s="37"/>
      <c r="AB211" s="37"/>
    </row>
    <row r="212" spans="26:28">
      <c r="Z212" s="575"/>
      <c r="AA212" s="37"/>
      <c r="AB212" s="37"/>
    </row>
    <row r="213" spans="26:28">
      <c r="Z213" s="575"/>
      <c r="AA213" s="37"/>
      <c r="AB213" s="37"/>
    </row>
    <row r="214" spans="26:28">
      <c r="Z214" s="575"/>
      <c r="AA214" s="37"/>
      <c r="AB214" s="37"/>
    </row>
    <row r="215" spans="26:28">
      <c r="Z215" s="575"/>
      <c r="AA215" s="37"/>
      <c r="AB215" s="37"/>
    </row>
    <row r="216" spans="26:28">
      <c r="Z216" s="575"/>
      <c r="AA216" s="37"/>
      <c r="AB216" s="37"/>
    </row>
    <row r="217" spans="26:28">
      <c r="Z217" s="575"/>
      <c r="AA217" s="40"/>
      <c r="AB217" s="40"/>
    </row>
    <row r="218" spans="26:28">
      <c r="Z218" s="575"/>
      <c r="AA218" s="40"/>
      <c r="AB218" s="40"/>
    </row>
    <row r="219" spans="26:28">
      <c r="Z219" s="575"/>
      <c r="AA219" s="40"/>
      <c r="AB219" s="40"/>
    </row>
    <row r="220" spans="26:28">
      <c r="Z220" s="575"/>
      <c r="AA220" s="40"/>
      <c r="AB220" s="40"/>
    </row>
    <row r="221" spans="26:28">
      <c r="Z221" s="575"/>
      <c r="AA221" s="40"/>
      <c r="AB221" s="40"/>
    </row>
    <row r="222" spans="26:28">
      <c r="Z222" s="575"/>
      <c r="AA222" s="40"/>
      <c r="AB222" s="40"/>
    </row>
    <row r="223" spans="26:28">
      <c r="Z223" s="40"/>
      <c r="AA223" s="40"/>
      <c r="AB223" s="40"/>
    </row>
    <row r="224" spans="26:28">
      <c r="Z224" s="40"/>
      <c r="AA224" s="40"/>
      <c r="AB224" s="40"/>
    </row>
    <row r="225" spans="26:28">
      <c r="Z225" s="40"/>
      <c r="AA225" s="40"/>
      <c r="AB225" s="40"/>
    </row>
    <row r="226" spans="26:28">
      <c r="Z226" s="40"/>
      <c r="AA226" s="40"/>
      <c r="AB226" s="40"/>
    </row>
    <row r="227" spans="26:28">
      <c r="Z227" s="40"/>
      <c r="AA227" s="40"/>
      <c r="AB227" s="40"/>
    </row>
    <row r="228" spans="26:28">
      <c r="Z228" s="40"/>
      <c r="AA228" s="40"/>
      <c r="AB228" s="40"/>
    </row>
    <row r="229" spans="26:28">
      <c r="Z229" s="40"/>
      <c r="AA229" s="40"/>
      <c r="AB229" s="40"/>
    </row>
    <row r="230" spans="26:28">
      <c r="Z230" s="40"/>
      <c r="AA230" s="40"/>
      <c r="AB230" s="40"/>
    </row>
    <row r="231" spans="26:28">
      <c r="Z231" s="40"/>
      <c r="AA231" s="40"/>
      <c r="AB231" s="40"/>
    </row>
    <row r="232" spans="26:28">
      <c r="Z232" s="40"/>
      <c r="AA232" s="40"/>
      <c r="AB232" s="40"/>
    </row>
    <row r="233" spans="26:28">
      <c r="Z233" s="40"/>
      <c r="AA233" s="40"/>
      <c r="AB233" s="40"/>
    </row>
    <row r="234" spans="26:28">
      <c r="Z234" s="40"/>
      <c r="AA234" s="40"/>
      <c r="AB234" s="40"/>
    </row>
    <row r="235" spans="26:28">
      <c r="Z235" s="40"/>
      <c r="AA235" s="40"/>
      <c r="AB235" s="40"/>
    </row>
    <row r="236" spans="26:28">
      <c r="Z236" s="40"/>
      <c r="AA236" s="40"/>
      <c r="AB236" s="40"/>
    </row>
    <row r="237" spans="26:28">
      <c r="Z237" s="40"/>
      <c r="AA237" s="40"/>
      <c r="AB237" s="40"/>
    </row>
    <row r="238" spans="26:28">
      <c r="Z238" s="40"/>
      <c r="AA238" s="40"/>
      <c r="AB238" s="40"/>
    </row>
    <row r="239" spans="26:28">
      <c r="Z239" s="40"/>
      <c r="AA239" s="40"/>
      <c r="AB239" s="40"/>
    </row>
    <row r="240" spans="26:28">
      <c r="Z240" s="40"/>
      <c r="AA240" s="40"/>
      <c r="AB240" s="40"/>
    </row>
    <row r="241" spans="26:28">
      <c r="Z241" s="40"/>
      <c r="AA241" s="40"/>
      <c r="AB241" s="40"/>
    </row>
    <row r="242" spans="26:28">
      <c r="Z242" s="40"/>
      <c r="AA242" s="40"/>
      <c r="AB242" s="40"/>
    </row>
    <row r="243" spans="26:28">
      <c r="Z243" s="40"/>
      <c r="AA243" s="40"/>
      <c r="AB243" s="40"/>
    </row>
    <row r="244" spans="26:28">
      <c r="Z244" s="40"/>
      <c r="AA244" s="40"/>
      <c r="AB244" s="40"/>
    </row>
    <row r="245" spans="26:28">
      <c r="Z245" s="40"/>
      <c r="AA245" s="40"/>
      <c r="AB245" s="40"/>
    </row>
    <row r="246" spans="26:28">
      <c r="Z246" s="40"/>
      <c r="AA246" s="40"/>
      <c r="AB246" s="40"/>
    </row>
    <row r="247" spans="26:28">
      <c r="Z247" s="40"/>
      <c r="AA247" s="40"/>
      <c r="AB247" s="40"/>
    </row>
    <row r="248" spans="26:28">
      <c r="Z248" s="40"/>
      <c r="AA248" s="40"/>
      <c r="AB248" s="40"/>
    </row>
    <row r="249" spans="26:28">
      <c r="Z249" s="40"/>
      <c r="AA249" s="40"/>
      <c r="AB249" s="40"/>
    </row>
    <row r="250" spans="26:28">
      <c r="Z250" s="40"/>
      <c r="AA250" s="40"/>
      <c r="AB250" s="40"/>
    </row>
    <row r="251" spans="26:28">
      <c r="Z251" s="40"/>
      <c r="AA251" s="40"/>
      <c r="AB251" s="40"/>
    </row>
    <row r="252" spans="26:28">
      <c r="Z252" s="40"/>
      <c r="AA252" s="40"/>
      <c r="AB252" s="40"/>
    </row>
    <row r="253" spans="26:28">
      <c r="Z253" s="40"/>
      <c r="AA253" s="40"/>
      <c r="AB253" s="40"/>
    </row>
    <row r="254" spans="26:28">
      <c r="Z254" s="40"/>
      <c r="AA254" s="40"/>
      <c r="AB254" s="40"/>
    </row>
    <row r="255" spans="26:28">
      <c r="Z255" s="40"/>
      <c r="AA255" s="40"/>
      <c r="AB255" s="40"/>
    </row>
  </sheetData>
  <sheetProtection algorithmName="SHA-512" hashValue="D2AbpccKNL9+6ADNRwzIU3xMObhri0jWuLbR4psnz+H6iYFnYoHjMvJYyfQTLBG7aA1/U4M1XtGDWCSTIqOOUQ==" saltValue="f71gp3lwk6ehE1Q00XsuQQ==" spinCount="100000" sheet="1" objects="1" scenarios="1" selectLockedCells="1" selectUnlockedCells="1"/>
  <mergeCells count="186">
    <mergeCell ref="AU28:AV28"/>
    <mergeCell ref="AW28:BA28"/>
    <mergeCell ref="BJ17:BL17"/>
    <mergeCell ref="BP10:BR10"/>
    <mergeCell ref="BP17:BR17"/>
    <mergeCell ref="BP15:BR15"/>
    <mergeCell ref="BP16:BR16"/>
    <mergeCell ref="BP9:BR9"/>
    <mergeCell ref="BJ20:BL20"/>
    <mergeCell ref="BJ21:BL21"/>
    <mergeCell ref="AT12:AV12"/>
    <mergeCell ref="AS15:AT16"/>
    <mergeCell ref="AD26:BA26"/>
    <mergeCell ref="AQ13:AR14"/>
    <mergeCell ref="AQ15:AR16"/>
    <mergeCell ref="AT19:AU19"/>
    <mergeCell ref="AZ15:BA15"/>
    <mergeCell ref="AS13:AT14"/>
    <mergeCell ref="BJ18:BL18"/>
    <mergeCell ref="BJ19:BL19"/>
    <mergeCell ref="BP21:BR21"/>
    <mergeCell ref="BJ22:BL22"/>
    <mergeCell ref="BJ23:BL23"/>
    <mergeCell ref="BP14:BR14"/>
    <mergeCell ref="M51:P51"/>
    <mergeCell ref="A43:BC43"/>
    <mergeCell ref="A26:L26"/>
    <mergeCell ref="M27:P27"/>
    <mergeCell ref="Q32:T32"/>
    <mergeCell ref="A33:L33"/>
    <mergeCell ref="AL27:AS27"/>
    <mergeCell ref="A28:L28"/>
    <mergeCell ref="M26:AB26"/>
    <mergeCell ref="U31:AB31"/>
    <mergeCell ref="A45:BC46"/>
    <mergeCell ref="A47:AS47"/>
    <mergeCell ref="M28:P28"/>
    <mergeCell ref="U32:AB32"/>
    <mergeCell ref="M32:P32"/>
    <mergeCell ref="T39:X39"/>
    <mergeCell ref="A37:AB37"/>
    <mergeCell ref="O38:T38"/>
    <mergeCell ref="U38:AB38"/>
    <mergeCell ref="A38:N38"/>
    <mergeCell ref="A39:L39"/>
    <mergeCell ref="M39:N39"/>
    <mergeCell ref="O39:S39"/>
    <mergeCell ref="U35:AB35"/>
    <mergeCell ref="BJ13:BL13"/>
    <mergeCell ref="BJ16:BL16"/>
    <mergeCell ref="AT6:AU6"/>
    <mergeCell ref="BM7:BN7"/>
    <mergeCell ref="AT11:AV11"/>
    <mergeCell ref="BJ9:BL9"/>
    <mergeCell ref="BP1:BU2"/>
    <mergeCell ref="BJ4:BN4"/>
    <mergeCell ref="BM6:BN6"/>
    <mergeCell ref="BP8:BR8"/>
    <mergeCell ref="BJ7:BL7"/>
    <mergeCell ref="BP5:BR5"/>
    <mergeCell ref="BP6:BR6"/>
    <mergeCell ref="BJ5:BL5"/>
    <mergeCell ref="BJ6:BL6"/>
    <mergeCell ref="BJ8:BL8"/>
    <mergeCell ref="BP7:BR7"/>
    <mergeCell ref="BJ1:BN2"/>
    <mergeCell ref="BP13:BR13"/>
    <mergeCell ref="BJ10:BL10"/>
    <mergeCell ref="BP11:BR11"/>
    <mergeCell ref="BP12:BR12"/>
    <mergeCell ref="BJ11:BL11"/>
    <mergeCell ref="BJ12:BL12"/>
    <mergeCell ref="AZ3:BB3"/>
    <mergeCell ref="W4:X4"/>
    <mergeCell ref="A27:L27"/>
    <mergeCell ref="AN9:AO9"/>
    <mergeCell ref="AF9:AG9"/>
    <mergeCell ref="AM8:AN8"/>
    <mergeCell ref="F10:P11"/>
    <mergeCell ref="F6:O9"/>
    <mergeCell ref="A1:D13"/>
    <mergeCell ref="P18:Q18"/>
    <mergeCell ref="Y6:Z6"/>
    <mergeCell ref="AA6:AB6"/>
    <mergeCell ref="AD3:AF3"/>
    <mergeCell ref="AE4:AI4"/>
    <mergeCell ref="W5:X5"/>
    <mergeCell ref="V2:X2"/>
    <mergeCell ref="T21:U21"/>
    <mergeCell ref="AR6:AS6"/>
    <mergeCell ref="AL4:AM4"/>
    <mergeCell ref="V21:W21"/>
    <mergeCell ref="AW18:AX18"/>
    <mergeCell ref="U27:AB27"/>
    <mergeCell ref="AA17:AB17"/>
    <mergeCell ref="W13:X13"/>
    <mergeCell ref="P4:R4"/>
    <mergeCell ref="M29:P29"/>
    <mergeCell ref="Q30:T30"/>
    <mergeCell ref="A29:L29"/>
    <mergeCell ref="A31:L31"/>
    <mergeCell ref="A25:AB25"/>
    <mergeCell ref="Q29:T29"/>
    <mergeCell ref="U29:AB29"/>
    <mergeCell ref="U30:AB30"/>
    <mergeCell ref="Q28:T28"/>
    <mergeCell ref="U28:AB28"/>
    <mergeCell ref="Q27:T27"/>
    <mergeCell ref="AE28:AQ28"/>
    <mergeCell ref="AE33:AQ33"/>
    <mergeCell ref="AR30:AT30"/>
    <mergeCell ref="AR28:AT28"/>
    <mergeCell ref="Q35:T35"/>
    <mergeCell ref="M35:P35"/>
    <mergeCell ref="U33:AB33"/>
    <mergeCell ref="U34:AB34"/>
    <mergeCell ref="M33:P33"/>
    <mergeCell ref="Q33:T33"/>
    <mergeCell ref="Q34:T34"/>
    <mergeCell ref="M34:P34"/>
    <mergeCell ref="M31:P31"/>
    <mergeCell ref="AR33:AT33"/>
    <mergeCell ref="AR34:AT34"/>
    <mergeCell ref="AR29:AT29"/>
    <mergeCell ref="AE29:AQ29"/>
    <mergeCell ref="AE30:AQ30"/>
    <mergeCell ref="AE31:AQ31"/>
    <mergeCell ref="Q31:T31"/>
    <mergeCell ref="AU32:AV32"/>
    <mergeCell ref="AU31:AV31"/>
    <mergeCell ref="AU34:AV34"/>
    <mergeCell ref="AU35:AV35"/>
    <mergeCell ref="AW35:BA35"/>
    <mergeCell ref="A34:L34"/>
    <mergeCell ref="A32:L32"/>
    <mergeCell ref="A30:L30"/>
    <mergeCell ref="M30:P30"/>
    <mergeCell ref="A35:L35"/>
    <mergeCell ref="AU29:AV29"/>
    <mergeCell ref="AW32:BA32"/>
    <mergeCell ref="AW33:BA33"/>
    <mergeCell ref="AU33:AV33"/>
    <mergeCell ref="AW29:BA29"/>
    <mergeCell ref="AW30:BA30"/>
    <mergeCell ref="AW31:BA31"/>
    <mergeCell ref="AU37:AV37"/>
    <mergeCell ref="AE38:AQ38"/>
    <mergeCell ref="AR38:AT38"/>
    <mergeCell ref="AU38:AV38"/>
    <mergeCell ref="AW37:BA37"/>
    <mergeCell ref="AW38:BA38"/>
    <mergeCell ref="AH36:AT36"/>
    <mergeCell ref="AR37:AT37"/>
    <mergeCell ref="AE37:AQ37"/>
    <mergeCell ref="AR32:AT32"/>
    <mergeCell ref="AE35:AQ35"/>
    <mergeCell ref="AR35:AT35"/>
    <mergeCell ref="AR31:AT31"/>
    <mergeCell ref="AE34:AQ34"/>
    <mergeCell ref="AE32:AQ32"/>
    <mergeCell ref="AW34:BA34"/>
    <mergeCell ref="AU30:AV30"/>
    <mergeCell ref="AW39:BA39"/>
    <mergeCell ref="AU42:AV42"/>
    <mergeCell ref="AU39:AV39"/>
    <mergeCell ref="AW41:BA41"/>
    <mergeCell ref="AU40:AV40"/>
    <mergeCell ref="AU41:AV41"/>
    <mergeCell ref="AE42:AQ42"/>
    <mergeCell ref="AR41:AT41"/>
    <mergeCell ref="AE39:AQ39"/>
    <mergeCell ref="AR39:AT39"/>
    <mergeCell ref="AE40:AQ40"/>
    <mergeCell ref="AR42:AT42"/>
    <mergeCell ref="AR40:AT40"/>
    <mergeCell ref="AE41:AQ41"/>
    <mergeCell ref="BO43:BQ44"/>
    <mergeCell ref="AW40:BA40"/>
    <mergeCell ref="BO53:BP53"/>
    <mergeCell ref="BO47:BP47"/>
    <mergeCell ref="BO48:BP48"/>
    <mergeCell ref="BO49:BP49"/>
    <mergeCell ref="BO50:BP50"/>
    <mergeCell ref="BO51:BP51"/>
    <mergeCell ref="BO52:BP52"/>
    <mergeCell ref="AW42:BA42"/>
  </mergeCells>
  <phoneticPr fontId="34" type="noConversion"/>
  <conditionalFormatting sqref="V2:X2 AZ3:BA3 P4:Q4 F10 AD27:BC41 Q17:Q21 T1:U2 Z1:Z24 R5:R24 AA5:AI24 Q5:Q9 AD3:AH3 F17:P18 F24:Q24 AJ1:AL24 AA1:AA2 AM4:AQ24 AM1:AN2 AO1:AQ1 AI1:AI3 AZ4:BC24 AB1:AE1 AD4:AE4 S1:S24 Q1:R3 T5:T24 BC1:BC2 AR1:AY24 AZ1:BB1 U6:U24 X6:Y24 V6:W13 V15:W24 W4:X5">
    <cfRule type="expression" dxfId="6" priority="13" stopIfTrue="1">
      <formula>$A$24</formula>
    </cfRule>
  </conditionalFormatting>
  <conditionalFormatting sqref="BJ48:BT48">
    <cfRule type="expression" dxfId="5" priority="1" stopIfTrue="1">
      <formula>$BU$49</formula>
    </cfRule>
  </conditionalFormatting>
  <conditionalFormatting sqref="BJ49:BT49">
    <cfRule type="expression" dxfId="4" priority="2" stopIfTrue="1">
      <formula>$BU$50</formula>
    </cfRule>
  </conditionalFormatting>
  <conditionalFormatting sqref="BJ50:BT50">
    <cfRule type="expression" dxfId="3" priority="3" stopIfTrue="1">
      <formula>$BU$51</formula>
    </cfRule>
  </conditionalFormatting>
  <conditionalFormatting sqref="BJ51:BT51">
    <cfRule type="expression" dxfId="2" priority="4" stopIfTrue="1">
      <formula>$BU$52</formula>
    </cfRule>
  </conditionalFormatting>
  <conditionalFormatting sqref="BJ52:BT52">
    <cfRule type="expression" dxfId="1" priority="5" stopIfTrue="1">
      <formula>$BU$53</formula>
    </cfRule>
  </conditionalFormatting>
  <conditionalFormatting sqref="BJ53:BT53">
    <cfRule type="expression" dxfId="0" priority="6" stopIfTrue="1">
      <formula>$BU$54</formula>
    </cfRule>
  </conditionalFormatting>
  <pageMargins left="0.75" right="0.75" top="1" bottom="1" header="0.5" footer="0.5"/>
  <pageSetup scale="73" orientation="portrait" r:id="rId1"/>
  <headerFooter alignWithMargins="0">
    <oddHeader>&amp;F</oddHeader>
    <oddFooter>&amp;L&amp;A&amp;C&amp;"ＭＳ Ｐゴシック,Bold"Nippon Pulse America, Inc. &amp;R&amp;D</oddFooter>
  </headerFooter>
  <drawing r:id="rId2"/>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4"/>
  <sheetViews>
    <sheetView workbookViewId="0">
      <selection activeCell="B1" sqref="B1"/>
    </sheetView>
  </sheetViews>
  <sheetFormatPr defaultRowHeight="12.75"/>
  <cols>
    <col min="1" max="6" width="97.7109375" customWidth="1"/>
  </cols>
  <sheetData>
    <row r="1" ht="350.1" customHeight="1"/>
    <row r="2" ht="350.1" customHeight="1"/>
    <row r="3" ht="350.1" customHeight="1"/>
    <row r="4" ht="350.1" customHeight="1"/>
  </sheetData>
  <phoneticPr fontId="7" type="noConversion"/>
  <pageMargins left="0.75" right="0.75" top="1" bottom="1" header="0.5" footer="0.5"/>
  <pageSetup orientation="portrait"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EH123"/>
  <sheetViews>
    <sheetView workbookViewId="0">
      <pane xSplit="5" topLeftCell="BY1" activePane="topRight" state="frozen"/>
      <selection activeCell="A30" sqref="A30"/>
      <selection pane="topRight" activeCell="D22" sqref="D22"/>
    </sheetView>
  </sheetViews>
  <sheetFormatPr defaultColWidth="10.28515625" defaultRowHeight="12.75"/>
  <cols>
    <col min="1" max="2" width="10.28515625" style="1"/>
    <col min="3" max="3" width="3.85546875" style="13" customWidth="1"/>
    <col min="4" max="4" width="21.85546875" style="1" customWidth="1"/>
    <col min="5" max="5" width="6" style="1" customWidth="1"/>
    <col min="6" max="40" width="10.28515625" style="1" customWidth="1"/>
    <col min="41" max="42" width="10.28515625" style="3" customWidth="1"/>
    <col min="43" max="45" width="10.28515625" style="4" customWidth="1"/>
    <col min="46" max="52" width="10.28515625" style="3" customWidth="1"/>
    <col min="53" max="55" width="10.28515625" style="4" customWidth="1"/>
    <col min="56" max="59" width="10.28515625" style="3" customWidth="1"/>
    <col min="60" max="61" width="10.28515625" style="4" customWidth="1"/>
    <col min="62" max="65" width="10.28515625" style="3" customWidth="1"/>
    <col min="66" max="80" width="10.28515625" style="4" customWidth="1"/>
    <col min="81" max="82" width="10.28515625" style="3" customWidth="1"/>
    <col min="83" max="83" width="10.28515625" style="468" customWidth="1"/>
    <col min="84" max="88" width="10.28515625" style="3" customWidth="1"/>
    <col min="89" max="93" width="10.28515625" style="1" customWidth="1"/>
    <col min="94" max="16384" width="10.28515625" style="1"/>
  </cols>
  <sheetData>
    <row r="1" spans="1:138">
      <c r="A1" s="1" t="s">
        <v>320</v>
      </c>
      <c r="B1" s="1" t="s">
        <v>318</v>
      </c>
      <c r="C1" s="1"/>
      <c r="D1" s="2" t="s">
        <v>48</v>
      </c>
      <c r="E1" s="2"/>
      <c r="F1" s="974" t="s">
        <v>447</v>
      </c>
      <c r="G1" s="974"/>
      <c r="H1" s="514"/>
      <c r="I1" s="514" t="b">
        <f>Smart!O14</f>
        <v>0</v>
      </c>
      <c r="J1" s="514"/>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343"/>
      <c r="BG1" s="3">
        <v>2007.1</v>
      </c>
      <c r="CE1" s="4"/>
      <c r="CF1" s="4"/>
      <c r="CG1" s="4"/>
      <c r="CH1" s="4"/>
      <c r="DW1" s="1">
        <f>Smart!AC46</f>
        <v>20</v>
      </c>
      <c r="EE1" s="13"/>
      <c r="EF1" s="13"/>
      <c r="EG1" s="13"/>
      <c r="EH1" s="13"/>
    </row>
    <row r="2" spans="1:138">
      <c r="C2" s="5"/>
      <c r="D2" s="2" t="s">
        <v>49</v>
      </c>
      <c r="E2" s="2"/>
      <c r="F2" s="1" t="s">
        <v>455</v>
      </c>
      <c r="G2" s="1" t="s">
        <v>457</v>
      </c>
      <c r="H2" s="1" t="s">
        <v>456</v>
      </c>
      <c r="I2" s="687" t="s">
        <v>461</v>
      </c>
      <c r="J2" s="687" t="s">
        <v>609</v>
      </c>
      <c r="K2" s="687" t="s">
        <v>462</v>
      </c>
      <c r="L2" s="687" t="s">
        <v>465</v>
      </c>
      <c r="M2" s="687" t="s">
        <v>611</v>
      </c>
      <c r="N2" s="687" t="s">
        <v>612</v>
      </c>
      <c r="O2" s="687" t="s">
        <v>617</v>
      </c>
      <c r="P2" s="687" t="s">
        <v>463</v>
      </c>
      <c r="Q2" s="687" t="s">
        <v>250</v>
      </c>
      <c r="R2" s="687" t="s">
        <v>610</v>
      </c>
      <c r="S2" s="687" t="s">
        <v>464</v>
      </c>
      <c r="T2" s="687" t="s">
        <v>467</v>
      </c>
      <c r="U2" s="687" t="s">
        <v>613</v>
      </c>
      <c r="V2" s="687" t="s">
        <v>468</v>
      </c>
      <c r="W2" s="687" t="s">
        <v>622</v>
      </c>
      <c r="X2" s="687" t="s">
        <v>621</v>
      </c>
      <c r="Y2" s="687" t="s">
        <v>472</v>
      </c>
      <c r="Z2" s="687" t="s">
        <v>615</v>
      </c>
      <c r="AA2" s="687" t="s">
        <v>616</v>
      </c>
      <c r="AB2" s="687" t="s">
        <v>620</v>
      </c>
      <c r="AC2" s="687" t="s">
        <v>618</v>
      </c>
      <c r="AD2" s="687" t="s">
        <v>469</v>
      </c>
      <c r="AE2" s="687" t="s">
        <v>470</v>
      </c>
      <c r="AF2" s="687" t="s">
        <v>614</v>
      </c>
      <c r="AG2" s="687" t="s">
        <v>471</v>
      </c>
      <c r="AH2" s="687" t="s">
        <v>474</v>
      </c>
      <c r="AI2" s="687" t="s">
        <v>619</v>
      </c>
      <c r="AJ2" s="687" t="s">
        <v>475</v>
      </c>
      <c r="AK2" s="687" t="s">
        <v>477</v>
      </c>
      <c r="AL2" s="687" t="s">
        <v>479</v>
      </c>
      <c r="AM2" s="687" t="s">
        <v>481</v>
      </c>
      <c r="AN2" s="687" t="s">
        <v>480</v>
      </c>
      <c r="AO2" s="687"/>
      <c r="AP2" s="687" t="s">
        <v>482</v>
      </c>
      <c r="AQ2" s="687" t="s">
        <v>484</v>
      </c>
      <c r="AR2" s="687" t="s">
        <v>483</v>
      </c>
      <c r="AS2" s="687" t="s">
        <v>608</v>
      </c>
      <c r="AT2" s="687" t="s">
        <v>485</v>
      </c>
      <c r="AU2" s="687" t="s">
        <v>487</v>
      </c>
      <c r="AV2" s="687" t="s">
        <v>486</v>
      </c>
      <c r="AW2" s="687" t="s">
        <v>488</v>
      </c>
      <c r="AX2" s="687" t="s">
        <v>560</v>
      </c>
      <c r="AY2" s="687" t="s">
        <v>490</v>
      </c>
      <c r="AZ2" s="687" t="s">
        <v>563</v>
      </c>
      <c r="BA2" s="687" t="s">
        <v>562</v>
      </c>
      <c r="BB2" s="687" t="s">
        <v>489</v>
      </c>
      <c r="BC2" s="687" t="s">
        <v>561</v>
      </c>
      <c r="BD2" s="687" t="s">
        <v>491</v>
      </c>
      <c r="BE2" s="687" t="s">
        <v>564</v>
      </c>
      <c r="BF2" s="687" t="s">
        <v>493</v>
      </c>
      <c r="BG2" s="687" t="s">
        <v>567</v>
      </c>
      <c r="BH2" s="687" t="s">
        <v>566</v>
      </c>
      <c r="BI2" s="687" t="s">
        <v>492</v>
      </c>
      <c r="BJ2" s="687" t="s">
        <v>565</v>
      </c>
      <c r="BK2" s="687" t="s">
        <v>494</v>
      </c>
      <c r="BL2" s="687" t="s">
        <v>568</v>
      </c>
      <c r="BM2" s="687" t="s">
        <v>496</v>
      </c>
      <c r="BN2" s="687" t="s">
        <v>571</v>
      </c>
      <c r="BO2" s="687" t="s">
        <v>570</v>
      </c>
      <c r="BP2" s="687" t="s">
        <v>495</v>
      </c>
      <c r="BQ2" s="687" t="s">
        <v>569</v>
      </c>
      <c r="BR2" s="687" t="s">
        <v>497</v>
      </c>
      <c r="BS2" s="687" t="s">
        <v>572</v>
      </c>
      <c r="BT2" s="687" t="s">
        <v>499</v>
      </c>
      <c r="BU2" s="687" t="s">
        <v>575</v>
      </c>
      <c r="BV2" s="687" t="s">
        <v>574</v>
      </c>
      <c r="BW2" s="687" t="s">
        <v>498</v>
      </c>
      <c r="BX2" s="687" t="s">
        <v>573</v>
      </c>
      <c r="BY2" s="687" t="s">
        <v>500</v>
      </c>
      <c r="BZ2" s="687" t="s">
        <v>576</v>
      </c>
      <c r="CA2" s="687" t="s">
        <v>502</v>
      </c>
      <c r="CB2" s="687" t="s">
        <v>579</v>
      </c>
      <c r="CC2" s="687" t="s">
        <v>578</v>
      </c>
      <c r="CD2" s="687" t="s">
        <v>501</v>
      </c>
      <c r="CE2" s="687" t="s">
        <v>577</v>
      </c>
      <c r="CF2" s="687" t="s">
        <v>503</v>
      </c>
      <c r="CG2" s="687" t="s">
        <v>504</v>
      </c>
      <c r="CH2" s="687" t="s">
        <v>580</v>
      </c>
      <c r="CI2" s="687" t="s">
        <v>506</v>
      </c>
      <c r="CJ2" s="687" t="s">
        <v>583</v>
      </c>
      <c r="CK2" s="687" t="s">
        <v>582</v>
      </c>
      <c r="CL2" s="687" t="s">
        <v>505</v>
      </c>
      <c r="CM2" s="687" t="s">
        <v>581</v>
      </c>
      <c r="CN2" s="687" t="s">
        <v>507</v>
      </c>
      <c r="CO2" s="687" t="s">
        <v>584</v>
      </c>
      <c r="CP2" s="687" t="s">
        <v>509</v>
      </c>
      <c r="CQ2" s="687" t="s">
        <v>587</v>
      </c>
      <c r="CR2" s="687" t="s">
        <v>586</v>
      </c>
      <c r="CS2" s="687" t="s">
        <v>508</v>
      </c>
      <c r="CT2" s="687" t="s">
        <v>585</v>
      </c>
      <c r="CU2" s="687" t="s">
        <v>513</v>
      </c>
      <c r="CV2" s="687" t="s">
        <v>588</v>
      </c>
      <c r="CW2" s="687" t="s">
        <v>515</v>
      </c>
      <c r="CX2" s="687" t="s">
        <v>591</v>
      </c>
      <c r="CY2" s="687" t="s">
        <v>590</v>
      </c>
      <c r="CZ2" s="687" t="s">
        <v>514</v>
      </c>
      <c r="DA2" s="687" t="s">
        <v>589</v>
      </c>
      <c r="DB2" s="687" t="s">
        <v>516</v>
      </c>
      <c r="DC2" s="687" t="s">
        <v>592</v>
      </c>
      <c r="DD2" s="687" t="s">
        <v>518</v>
      </c>
      <c r="DE2" s="687" t="s">
        <v>595</v>
      </c>
      <c r="DF2" s="687" t="s">
        <v>594</v>
      </c>
      <c r="DG2" s="687" t="s">
        <v>517</v>
      </c>
      <c r="DH2" s="687" t="s">
        <v>593</v>
      </c>
      <c r="DI2" s="687" t="s">
        <v>519</v>
      </c>
      <c r="DJ2" s="687" t="s">
        <v>596</v>
      </c>
      <c r="DK2" s="687" t="s">
        <v>521</v>
      </c>
      <c r="DL2" s="687" t="s">
        <v>599</v>
      </c>
      <c r="DM2" s="687" t="s">
        <v>598</v>
      </c>
      <c r="DN2" s="687" t="s">
        <v>520</v>
      </c>
      <c r="DO2" s="687" t="s">
        <v>597</v>
      </c>
      <c r="DP2" s="687" t="s">
        <v>522</v>
      </c>
      <c r="DQ2" s="687" t="s">
        <v>600</v>
      </c>
      <c r="DR2" s="687" t="s">
        <v>524</v>
      </c>
      <c r="DS2" s="687" t="s">
        <v>603</v>
      </c>
      <c r="DT2" s="687" t="s">
        <v>602</v>
      </c>
      <c r="DU2" s="687" t="s">
        <v>523</v>
      </c>
      <c r="DV2" s="687" t="s">
        <v>601</v>
      </c>
      <c r="EC2" s="1" t="e">
        <f>(Custom!K11-25)/(ED5^2*ED10)</f>
        <v>#DIV/0!</v>
      </c>
      <c r="ED2" s="655"/>
      <c r="EE2" s="655"/>
      <c r="EF2" s="655"/>
      <c r="EG2" s="655"/>
    </row>
    <row r="3" spans="1:138" s="3" customFormat="1">
      <c r="A3" s="616" t="s">
        <v>482</v>
      </c>
      <c r="B3" s="1"/>
      <c r="C3" s="18"/>
      <c r="D3" s="6"/>
      <c r="E3" s="6"/>
      <c r="F3" s="19" t="s">
        <v>455</v>
      </c>
      <c r="G3" s="19" t="s">
        <v>457</v>
      </c>
      <c r="H3" s="19" t="s">
        <v>456</v>
      </c>
      <c r="I3" s="19" t="s">
        <v>461</v>
      </c>
      <c r="J3" s="687" t="s">
        <v>609</v>
      </c>
      <c r="K3" s="19" t="s">
        <v>462</v>
      </c>
      <c r="L3" s="19" t="s">
        <v>465</v>
      </c>
      <c r="M3" s="19" t="s">
        <v>611</v>
      </c>
      <c r="N3" s="19" t="s">
        <v>612</v>
      </c>
      <c r="O3" s="19" t="s">
        <v>617</v>
      </c>
      <c r="P3" s="19" t="s">
        <v>463</v>
      </c>
      <c r="Q3" s="19" t="s">
        <v>250</v>
      </c>
      <c r="R3" s="19" t="s">
        <v>610</v>
      </c>
      <c r="S3" s="19" t="s">
        <v>464</v>
      </c>
      <c r="T3" s="19" t="s">
        <v>467</v>
      </c>
      <c r="U3" s="19" t="s">
        <v>613</v>
      </c>
      <c r="V3" s="19" t="s">
        <v>468</v>
      </c>
      <c r="W3" s="19" t="s">
        <v>622</v>
      </c>
      <c r="X3" s="19" t="s">
        <v>621</v>
      </c>
      <c r="Y3" s="19" t="s">
        <v>472</v>
      </c>
      <c r="Z3" s="19" t="s">
        <v>615</v>
      </c>
      <c r="AA3" s="19" t="s">
        <v>616</v>
      </c>
      <c r="AB3" s="19" t="s">
        <v>620</v>
      </c>
      <c r="AC3" s="19" t="s">
        <v>618</v>
      </c>
      <c r="AD3" s="19" t="s">
        <v>469</v>
      </c>
      <c r="AE3" s="19" t="s">
        <v>470</v>
      </c>
      <c r="AF3" s="19" t="s">
        <v>614</v>
      </c>
      <c r="AG3" s="19" t="s">
        <v>471</v>
      </c>
      <c r="AH3" s="19" t="s">
        <v>474</v>
      </c>
      <c r="AI3" s="19" t="s">
        <v>619</v>
      </c>
      <c r="AJ3" s="19" t="s">
        <v>475</v>
      </c>
      <c r="AK3" s="19" t="s">
        <v>477</v>
      </c>
      <c r="AL3" s="19" t="s">
        <v>479</v>
      </c>
      <c r="AM3" s="19" t="s">
        <v>481</v>
      </c>
      <c r="AN3" s="19" t="s">
        <v>480</v>
      </c>
      <c r="AO3" s="19" t="s">
        <v>362</v>
      </c>
      <c r="AP3" s="19" t="s">
        <v>482</v>
      </c>
      <c r="AQ3" s="19" t="s">
        <v>484</v>
      </c>
      <c r="AR3" s="19" t="s">
        <v>483</v>
      </c>
      <c r="AS3" s="19" t="s">
        <v>608</v>
      </c>
      <c r="AT3" s="19" t="s">
        <v>485</v>
      </c>
      <c r="AU3" s="19" t="s">
        <v>487</v>
      </c>
      <c r="AV3" s="19" t="s">
        <v>486</v>
      </c>
      <c r="AW3" s="19" t="s">
        <v>488</v>
      </c>
      <c r="AX3" s="19" t="s">
        <v>560</v>
      </c>
      <c r="AY3" s="19" t="s">
        <v>490</v>
      </c>
      <c r="AZ3" s="19" t="s">
        <v>563</v>
      </c>
      <c r="BA3" s="19" t="s">
        <v>562</v>
      </c>
      <c r="BB3" s="19" t="s">
        <v>489</v>
      </c>
      <c r="BC3" s="19" t="s">
        <v>561</v>
      </c>
      <c r="BD3" s="19" t="s">
        <v>491</v>
      </c>
      <c r="BE3" s="19" t="s">
        <v>564</v>
      </c>
      <c r="BF3" s="19" t="s">
        <v>493</v>
      </c>
      <c r="BG3" s="19" t="s">
        <v>567</v>
      </c>
      <c r="BH3" s="19" t="s">
        <v>566</v>
      </c>
      <c r="BI3" s="19" t="s">
        <v>492</v>
      </c>
      <c r="BJ3" s="19" t="s">
        <v>565</v>
      </c>
      <c r="BK3" s="19" t="s">
        <v>494</v>
      </c>
      <c r="BL3" s="19" t="s">
        <v>568</v>
      </c>
      <c r="BM3" s="19" t="s">
        <v>496</v>
      </c>
      <c r="BN3" s="19" t="s">
        <v>571</v>
      </c>
      <c r="BO3" s="19" t="s">
        <v>570</v>
      </c>
      <c r="BP3" s="19" t="s">
        <v>495</v>
      </c>
      <c r="BQ3" s="19" t="s">
        <v>569</v>
      </c>
      <c r="BR3" s="19" t="s">
        <v>497</v>
      </c>
      <c r="BS3" s="19" t="s">
        <v>572</v>
      </c>
      <c r="BT3" s="19" t="s">
        <v>499</v>
      </c>
      <c r="BU3" s="19" t="s">
        <v>575</v>
      </c>
      <c r="BV3" s="19" t="s">
        <v>574</v>
      </c>
      <c r="BW3" s="19" t="s">
        <v>498</v>
      </c>
      <c r="BX3" s="19" t="s">
        <v>573</v>
      </c>
      <c r="BY3" s="19" t="s">
        <v>500</v>
      </c>
      <c r="BZ3" s="19" t="s">
        <v>576</v>
      </c>
      <c r="CA3" s="19" t="s">
        <v>502</v>
      </c>
      <c r="CB3" s="19" t="s">
        <v>579</v>
      </c>
      <c r="CC3" s="19" t="s">
        <v>578</v>
      </c>
      <c r="CD3" s="19" t="s">
        <v>501</v>
      </c>
      <c r="CE3" s="19" t="s">
        <v>577</v>
      </c>
      <c r="CF3" s="19" t="s">
        <v>503</v>
      </c>
      <c r="CG3" s="19" t="s">
        <v>504</v>
      </c>
      <c r="CH3" s="19" t="s">
        <v>580</v>
      </c>
      <c r="CI3" s="19" t="s">
        <v>506</v>
      </c>
      <c r="CJ3" s="19" t="s">
        <v>583</v>
      </c>
      <c r="CK3" s="19" t="s">
        <v>582</v>
      </c>
      <c r="CL3" s="19" t="s">
        <v>505</v>
      </c>
      <c r="CM3" s="19" t="s">
        <v>581</v>
      </c>
      <c r="CN3" s="19" t="s">
        <v>507</v>
      </c>
      <c r="CO3" s="19" t="s">
        <v>584</v>
      </c>
      <c r="CP3" s="19" t="s">
        <v>509</v>
      </c>
      <c r="CQ3" s="19" t="s">
        <v>587</v>
      </c>
      <c r="CR3" s="19" t="s">
        <v>586</v>
      </c>
      <c r="CS3" s="19" t="s">
        <v>508</v>
      </c>
      <c r="CT3" s="19" t="s">
        <v>585</v>
      </c>
      <c r="CU3" s="19" t="s">
        <v>513</v>
      </c>
      <c r="CV3" s="19" t="s">
        <v>588</v>
      </c>
      <c r="CW3" s="3" t="s">
        <v>515</v>
      </c>
      <c r="CX3" s="3" t="s">
        <v>591</v>
      </c>
      <c r="CY3" s="3" t="s">
        <v>590</v>
      </c>
      <c r="CZ3" s="3" t="s">
        <v>514</v>
      </c>
      <c r="DA3" s="3" t="s">
        <v>589</v>
      </c>
      <c r="DB3" s="3" t="s">
        <v>516</v>
      </c>
      <c r="DC3" s="3" t="s">
        <v>592</v>
      </c>
      <c r="DD3" s="3" t="s">
        <v>518</v>
      </c>
      <c r="DE3" s="3" t="s">
        <v>595</v>
      </c>
      <c r="DF3" s="3" t="s">
        <v>594</v>
      </c>
      <c r="DG3" s="3" t="s">
        <v>517</v>
      </c>
      <c r="DH3" s="3" t="s">
        <v>593</v>
      </c>
      <c r="DI3" s="3" t="s">
        <v>519</v>
      </c>
      <c r="DJ3" s="3" t="s">
        <v>596</v>
      </c>
      <c r="DK3" s="3" t="s">
        <v>521</v>
      </c>
      <c r="DL3" s="3" t="s">
        <v>599</v>
      </c>
      <c r="DM3" s="3" t="s">
        <v>598</v>
      </c>
      <c r="DN3" s="3" t="s">
        <v>520</v>
      </c>
      <c r="DO3" s="3" t="s">
        <v>597</v>
      </c>
      <c r="DP3" s="3" t="s">
        <v>522</v>
      </c>
      <c r="DQ3" s="3" t="s">
        <v>600</v>
      </c>
      <c r="DR3" s="3" t="s">
        <v>524</v>
      </c>
      <c r="DS3" s="3" t="s">
        <v>603</v>
      </c>
      <c r="DT3" s="3" t="s">
        <v>602</v>
      </c>
      <c r="DU3" s="3" t="s">
        <v>523</v>
      </c>
      <c r="DV3" s="3" t="s">
        <v>601</v>
      </c>
      <c r="DW3" s="3" t="s">
        <v>314</v>
      </c>
      <c r="DX3" s="3" t="s">
        <v>315</v>
      </c>
      <c r="DY3" s="3" t="s">
        <v>316</v>
      </c>
      <c r="DZ3" s="3" t="s">
        <v>317</v>
      </c>
      <c r="EA3" s="3" t="s">
        <v>311</v>
      </c>
      <c r="EB3" s="3" t="s">
        <v>312</v>
      </c>
      <c r="EC3" s="3" t="s">
        <v>313</v>
      </c>
      <c r="ED3" s="3" t="s">
        <v>358</v>
      </c>
      <c r="EE3" s="655"/>
      <c r="EF3" s="655"/>
      <c r="EG3" s="655"/>
      <c r="EH3" s="655"/>
    </row>
    <row r="4" spans="1:138">
      <c r="A4" s="1" t="s">
        <v>483</v>
      </c>
      <c r="C4" s="973" t="s">
        <v>50</v>
      </c>
      <c r="D4" s="7" t="s">
        <v>51</v>
      </c>
      <c r="E4" s="7" t="s">
        <v>52</v>
      </c>
      <c r="F4" s="20">
        <v>8.8000000000000007</v>
      </c>
      <c r="G4" s="21">
        <v>18</v>
      </c>
      <c r="H4" s="20">
        <v>13</v>
      </c>
      <c r="I4" s="21">
        <v>34.450000000000003</v>
      </c>
      <c r="J4" s="21">
        <v>34.450000000000003</v>
      </c>
      <c r="K4" s="20">
        <v>29.395116614867703</v>
      </c>
      <c r="L4" s="21">
        <v>68.900000000000006</v>
      </c>
      <c r="M4" s="21">
        <v>68.900000000000006</v>
      </c>
      <c r="N4" s="21">
        <v>68.900000000000006</v>
      </c>
      <c r="O4" s="21">
        <v>54.903343191488766</v>
      </c>
      <c r="P4" s="20">
        <v>17.164013464319662</v>
      </c>
      <c r="Q4" s="21">
        <v>51.674999999999997</v>
      </c>
      <c r="R4" s="21">
        <v>51.675000000000004</v>
      </c>
      <c r="S4" s="20">
        <v>44.023718028728865</v>
      </c>
      <c r="T4" s="21">
        <v>54.5</v>
      </c>
      <c r="U4" s="21">
        <v>54.5</v>
      </c>
      <c r="V4" s="21">
        <v>33.072148370925269</v>
      </c>
      <c r="W4" s="21">
        <v>150.0660644897647</v>
      </c>
      <c r="X4" s="21">
        <v>87.06096629174921</v>
      </c>
      <c r="Y4" s="20">
        <v>109</v>
      </c>
      <c r="Z4" s="20">
        <v>109</v>
      </c>
      <c r="AA4" s="20">
        <v>109</v>
      </c>
      <c r="AB4" s="20">
        <v>130.59144943762382</v>
      </c>
      <c r="AC4" s="20">
        <v>58.736189115757412</v>
      </c>
      <c r="AD4" s="21">
        <v>18.675094861475436</v>
      </c>
      <c r="AE4" s="20">
        <v>81.75</v>
      </c>
      <c r="AF4" s="20">
        <v>81.75</v>
      </c>
      <c r="AG4" s="20">
        <v>48.233069540148037</v>
      </c>
      <c r="AH4" s="21">
        <v>42.572460570160445</v>
      </c>
      <c r="AI4" s="21">
        <v>74.4265382306546</v>
      </c>
      <c r="AJ4" s="20">
        <v>23.715999999999998</v>
      </c>
      <c r="AK4" s="21">
        <v>55.412352539493753</v>
      </c>
      <c r="AL4" s="20">
        <v>110</v>
      </c>
      <c r="AM4" s="21">
        <v>210</v>
      </c>
      <c r="AN4" s="20">
        <v>170</v>
      </c>
      <c r="AO4" s="20">
        <f>Custom!H18</f>
        <v>307</v>
      </c>
      <c r="AP4" s="21">
        <v>0.28999999999999998</v>
      </c>
      <c r="AQ4" s="20">
        <v>0.57999999999999996</v>
      </c>
      <c r="AR4" s="21">
        <v>0.45</v>
      </c>
      <c r="AS4" s="21">
        <v>0.94</v>
      </c>
      <c r="AT4" s="20"/>
      <c r="AU4" s="21"/>
      <c r="AV4" s="20"/>
      <c r="AW4" s="21">
        <v>1.8</v>
      </c>
      <c r="AX4" s="20">
        <v>1.7891999999999999</v>
      </c>
      <c r="AY4" s="21">
        <v>3.5</v>
      </c>
      <c r="AZ4" s="20">
        <v>3.5027999999999997</v>
      </c>
      <c r="BA4" s="21">
        <v>3.5027999999999997</v>
      </c>
      <c r="BB4" s="20">
        <v>2.7</v>
      </c>
      <c r="BC4" s="21">
        <v>2.6880000000000002</v>
      </c>
      <c r="BD4" s="20">
        <v>4.5</v>
      </c>
      <c r="BE4" s="21">
        <v>4.4400000000000004</v>
      </c>
      <c r="BF4" s="20">
        <v>8.9</v>
      </c>
      <c r="BG4" s="21">
        <v>8.8800000000000008</v>
      </c>
      <c r="BH4" s="20">
        <v>8.8800000000000008</v>
      </c>
      <c r="BI4" s="21">
        <v>6.6</v>
      </c>
      <c r="BJ4" s="20">
        <v>6.6000000000000014</v>
      </c>
      <c r="BK4" s="21">
        <v>10</v>
      </c>
      <c r="BL4" s="20">
        <v>9.9820000000000011</v>
      </c>
      <c r="BM4" s="21">
        <v>20</v>
      </c>
      <c r="BN4" s="20">
        <v>20.149999999999999</v>
      </c>
      <c r="BO4" s="21">
        <v>20.149999999999999</v>
      </c>
      <c r="BP4" s="20">
        <v>15</v>
      </c>
      <c r="BQ4" s="21">
        <v>14.972999999999997</v>
      </c>
      <c r="BR4" s="20">
        <v>18</v>
      </c>
      <c r="BS4" s="21">
        <v>18.000900000000001</v>
      </c>
      <c r="BT4" s="20">
        <v>38</v>
      </c>
      <c r="BU4" s="21">
        <v>38.001899999999999</v>
      </c>
      <c r="BV4" s="20">
        <v>38.001899999999999</v>
      </c>
      <c r="BW4" s="21">
        <v>28</v>
      </c>
      <c r="BX4" s="20">
        <v>28.0014</v>
      </c>
      <c r="BY4" s="21">
        <v>40</v>
      </c>
      <c r="BZ4" s="20">
        <v>40</v>
      </c>
      <c r="CA4" s="21">
        <v>75</v>
      </c>
      <c r="CB4" s="20">
        <v>74.995200000000011</v>
      </c>
      <c r="CC4" s="21">
        <v>74.995200000000011</v>
      </c>
      <c r="CD4" s="20">
        <v>60</v>
      </c>
      <c r="CE4" s="21">
        <v>57.885177526607805</v>
      </c>
      <c r="CF4" s="20">
        <v>140</v>
      </c>
      <c r="CG4" s="21">
        <v>56</v>
      </c>
      <c r="CH4" s="20">
        <v>55.265999999999998</v>
      </c>
      <c r="CI4" s="21">
        <v>113</v>
      </c>
      <c r="CJ4" s="20">
        <v>104.18999999999998</v>
      </c>
      <c r="CK4" s="21">
        <v>104.18999999999998</v>
      </c>
      <c r="CL4" s="20">
        <v>85</v>
      </c>
      <c r="CM4" s="21">
        <v>79.56</v>
      </c>
      <c r="CN4" s="20">
        <v>104</v>
      </c>
      <c r="CO4" s="21">
        <v>103.995</v>
      </c>
      <c r="CP4" s="20">
        <v>190</v>
      </c>
      <c r="CQ4" s="21">
        <v>189.99900000000002</v>
      </c>
      <c r="CR4" s="20">
        <v>189.99900000000002</v>
      </c>
      <c r="CS4" s="21">
        <v>148</v>
      </c>
      <c r="CT4" s="20">
        <v>148.005</v>
      </c>
      <c r="CU4" s="21">
        <v>99.725618616329498</v>
      </c>
      <c r="CV4" s="20">
        <v>98.835211307255122</v>
      </c>
      <c r="CW4" s="1">
        <v>199.74800591271514</v>
      </c>
      <c r="CX4" s="1">
        <v>197.67038920931392</v>
      </c>
      <c r="CY4" s="1">
        <v>197.67038920931392</v>
      </c>
      <c r="CZ4" s="1">
        <v>149.58840329666012</v>
      </c>
      <c r="DA4" s="1">
        <v>149.58840329666012</v>
      </c>
      <c r="DB4" s="1">
        <v>116</v>
      </c>
      <c r="DC4" s="1">
        <v>114.74382189605053</v>
      </c>
      <c r="DD4" s="1">
        <v>233</v>
      </c>
      <c r="DE4" s="1">
        <v>230.49673312305288</v>
      </c>
      <c r="DF4" s="1">
        <v>230.49673312305288</v>
      </c>
      <c r="DG4" s="1">
        <v>175</v>
      </c>
      <c r="DH4" s="1">
        <v>173.12483262488459</v>
      </c>
      <c r="DI4" s="1">
        <v>289</v>
      </c>
      <c r="DJ4" s="1">
        <v>289.17999999999995</v>
      </c>
      <c r="DK4" s="1">
        <v>585</v>
      </c>
      <c r="DL4" s="1">
        <v>584.96900000000005</v>
      </c>
      <c r="DM4" s="1">
        <v>584.96900000000005</v>
      </c>
      <c r="DN4" s="1">
        <v>440</v>
      </c>
      <c r="DO4" s="1">
        <v>439.988</v>
      </c>
      <c r="DP4" s="1">
        <v>420</v>
      </c>
      <c r="DQ4" s="1">
        <v>413.6</v>
      </c>
      <c r="DR4" s="1">
        <v>780</v>
      </c>
      <c r="DS4" s="1">
        <v>781.2</v>
      </c>
      <c r="DT4" s="1">
        <v>781.2</v>
      </c>
      <c r="DU4" s="1">
        <v>610</v>
      </c>
      <c r="DV4" s="1">
        <v>610.59999999999991</v>
      </c>
      <c r="DW4" s="1">
        <v>1.0349999999999999</v>
      </c>
      <c r="DX4" s="1">
        <v>5.0039999999999996</v>
      </c>
      <c r="DY4" s="1">
        <v>5.0039999999999996</v>
      </c>
      <c r="DZ4" s="1">
        <v>14.49</v>
      </c>
      <c r="EA4" s="1">
        <v>17</v>
      </c>
      <c r="EB4" s="1">
        <v>80</v>
      </c>
      <c r="EC4" s="1">
        <v>185</v>
      </c>
      <c r="ED4" s="1">
        <f>Custom!K18</f>
        <v>0</v>
      </c>
      <c r="EE4" s="655"/>
      <c r="EF4" s="655"/>
      <c r="EG4" s="655"/>
      <c r="EH4" s="655"/>
    </row>
    <row r="5" spans="1:138">
      <c r="A5" s="1" t="s">
        <v>484</v>
      </c>
      <c r="C5" s="973"/>
      <c r="D5" s="8" t="s">
        <v>53</v>
      </c>
      <c r="E5" s="8" t="s">
        <v>54</v>
      </c>
      <c r="F5" s="19">
        <v>0.55000000000000004</v>
      </c>
      <c r="G5" s="22">
        <v>0.55000000000000004</v>
      </c>
      <c r="H5" s="19">
        <v>0.55000000000000004</v>
      </c>
      <c r="I5" s="22">
        <v>1.3</v>
      </c>
      <c r="J5" s="22">
        <v>2.6</v>
      </c>
      <c r="K5" s="19">
        <v>1.0650404570604239</v>
      </c>
      <c r="L5" s="22">
        <v>1.3</v>
      </c>
      <c r="M5" s="22">
        <v>5.2</v>
      </c>
      <c r="N5" s="22">
        <v>2.6</v>
      </c>
      <c r="O5" s="22">
        <v>0.97174058745997816</v>
      </c>
      <c r="P5" s="19">
        <v>1.2752581572201245</v>
      </c>
      <c r="Q5" s="22">
        <v>1.3</v>
      </c>
      <c r="R5" s="22">
        <v>3.9000000000000004</v>
      </c>
      <c r="S5" s="19">
        <v>1.0456940149341774</v>
      </c>
      <c r="T5" s="22">
        <v>1.25</v>
      </c>
      <c r="U5" s="22">
        <v>2.5</v>
      </c>
      <c r="V5" s="22">
        <v>1.5032794714056941</v>
      </c>
      <c r="W5" s="22">
        <v>2.3104859813666625</v>
      </c>
      <c r="X5" s="22">
        <v>1.1913722129985747</v>
      </c>
      <c r="Y5" s="19">
        <v>1.25</v>
      </c>
      <c r="Z5" s="19">
        <v>5</v>
      </c>
      <c r="AA5" s="19">
        <v>2.5</v>
      </c>
      <c r="AB5" s="19">
        <v>2.3827444259971493</v>
      </c>
      <c r="AC5" s="19">
        <v>1.3052486470168314</v>
      </c>
      <c r="AD5" s="22">
        <v>1.7212068996751555</v>
      </c>
      <c r="AE5" s="19">
        <v>1.25</v>
      </c>
      <c r="AF5" s="19">
        <v>3.75</v>
      </c>
      <c r="AG5" s="19">
        <v>1.4660507459011562</v>
      </c>
      <c r="AH5" s="22">
        <v>1.8350198521620882</v>
      </c>
      <c r="AI5" s="22">
        <v>1.5971360135333603</v>
      </c>
      <c r="AJ5" s="19">
        <v>1.96</v>
      </c>
      <c r="AK5" s="22">
        <v>1.6061551460722827</v>
      </c>
      <c r="AL5" s="19">
        <v>3.6</v>
      </c>
      <c r="AM5" s="22">
        <v>3.4</v>
      </c>
      <c r="AN5" s="19">
        <v>3.6</v>
      </c>
      <c r="AO5" s="19">
        <f>Custom!H19</f>
        <v>8.8000000000000007</v>
      </c>
      <c r="AP5" s="22">
        <v>0.28000000000000003</v>
      </c>
      <c r="AQ5" s="19">
        <v>0.28000000000000003</v>
      </c>
      <c r="AR5" s="22">
        <v>0.28000000000000003</v>
      </c>
      <c r="AS5" s="22">
        <v>0.56000000000000005</v>
      </c>
      <c r="AT5" s="19"/>
      <c r="AU5" s="22"/>
      <c r="AV5" s="19"/>
      <c r="AW5" s="22">
        <v>0.84</v>
      </c>
      <c r="AX5" s="19">
        <v>1.68</v>
      </c>
      <c r="AY5" s="22">
        <v>0.84</v>
      </c>
      <c r="AZ5" s="19">
        <v>3.36</v>
      </c>
      <c r="BA5" s="22">
        <v>1.68</v>
      </c>
      <c r="BB5" s="19">
        <v>0.84</v>
      </c>
      <c r="BC5" s="22">
        <v>2.52</v>
      </c>
      <c r="BD5" s="19">
        <v>0.4</v>
      </c>
      <c r="BE5" s="22">
        <v>0.8</v>
      </c>
      <c r="BF5" s="19">
        <v>0.4</v>
      </c>
      <c r="BG5" s="22">
        <v>1.6</v>
      </c>
      <c r="BH5" s="19">
        <v>0.8</v>
      </c>
      <c r="BI5" s="22">
        <v>0.4</v>
      </c>
      <c r="BJ5" s="19">
        <v>1.2000000000000002</v>
      </c>
      <c r="BK5" s="22">
        <v>0.62</v>
      </c>
      <c r="BL5" s="19">
        <v>1.24</v>
      </c>
      <c r="BM5" s="22">
        <v>0.62</v>
      </c>
      <c r="BN5" s="19">
        <v>2.48</v>
      </c>
      <c r="BO5" s="22">
        <v>1.24</v>
      </c>
      <c r="BP5" s="19">
        <v>0.62</v>
      </c>
      <c r="BQ5" s="22">
        <v>1.8599999999999999</v>
      </c>
      <c r="BR5" s="19">
        <v>0.59</v>
      </c>
      <c r="BS5" s="22">
        <v>1.18</v>
      </c>
      <c r="BT5" s="19">
        <v>0.59</v>
      </c>
      <c r="BU5" s="22">
        <v>2.36</v>
      </c>
      <c r="BV5" s="19">
        <v>1.18</v>
      </c>
      <c r="BW5" s="22">
        <v>0.59</v>
      </c>
      <c r="BX5" s="19">
        <v>1.77</v>
      </c>
      <c r="BY5" s="22">
        <v>1.28</v>
      </c>
      <c r="BZ5" s="19">
        <v>2.56</v>
      </c>
      <c r="CA5" s="22">
        <v>1.28</v>
      </c>
      <c r="CB5" s="19">
        <v>5.12</v>
      </c>
      <c r="CC5" s="22">
        <v>2.56</v>
      </c>
      <c r="CD5" s="19">
        <v>1.28</v>
      </c>
      <c r="CE5" s="22">
        <v>3.795749346007069</v>
      </c>
      <c r="CF5" s="19">
        <v>2.4</v>
      </c>
      <c r="CG5" s="22">
        <v>1.22</v>
      </c>
      <c r="CH5" s="19">
        <v>2.44</v>
      </c>
      <c r="CI5" s="22">
        <v>1.1499999999999999</v>
      </c>
      <c r="CJ5" s="19">
        <v>4.5999999999999996</v>
      </c>
      <c r="CK5" s="22">
        <v>2.2999999999999998</v>
      </c>
      <c r="CL5" s="19">
        <v>1.17</v>
      </c>
      <c r="CM5" s="22">
        <v>3.51</v>
      </c>
      <c r="CN5" s="19">
        <v>1.5</v>
      </c>
      <c r="CO5" s="22">
        <v>3</v>
      </c>
      <c r="CP5" s="19">
        <v>2.7</v>
      </c>
      <c r="CQ5" s="22">
        <v>5.4</v>
      </c>
      <c r="CR5" s="19">
        <v>1.35</v>
      </c>
      <c r="CS5" s="22">
        <v>1.5</v>
      </c>
      <c r="CT5" s="19">
        <v>4.5</v>
      </c>
      <c r="CU5" s="22">
        <v>2.9680243635812351</v>
      </c>
      <c r="CV5" s="19">
        <v>5.9360487271624702</v>
      </c>
      <c r="CW5" s="1">
        <v>2.968023862001711</v>
      </c>
      <c r="CX5" s="1">
        <v>11.872095448006844</v>
      </c>
      <c r="CY5" s="1">
        <v>5.936047724003422</v>
      </c>
      <c r="CZ5" s="1">
        <v>2.9680238749337327</v>
      </c>
      <c r="DA5" s="1">
        <v>8.9040716248011975</v>
      </c>
      <c r="DB5" s="1">
        <v>2.9680243635812351</v>
      </c>
      <c r="DC5" s="1">
        <v>5.9360487271624702</v>
      </c>
      <c r="DD5" s="1">
        <v>2.968023862001711</v>
      </c>
      <c r="DE5" s="1">
        <v>11.872095448006844</v>
      </c>
      <c r="DF5" s="1">
        <v>5.936047724003422</v>
      </c>
      <c r="DG5" s="1">
        <v>2.9680238749337327</v>
      </c>
      <c r="DH5" s="1">
        <v>8.9040716248011975</v>
      </c>
      <c r="DI5" s="1">
        <v>3.8</v>
      </c>
      <c r="DJ5" s="1">
        <v>1.9</v>
      </c>
      <c r="DK5" s="1">
        <v>7.7</v>
      </c>
      <c r="DL5" s="1">
        <v>3.85</v>
      </c>
      <c r="DM5" s="1">
        <v>1.925</v>
      </c>
      <c r="DN5" s="1">
        <v>5.8</v>
      </c>
      <c r="DO5" s="1">
        <v>1.9333333333333333</v>
      </c>
      <c r="DP5" s="1">
        <v>8.8000000000000007</v>
      </c>
      <c r="DQ5" s="1">
        <v>17.600000000000001</v>
      </c>
      <c r="DR5" s="1">
        <v>8.4</v>
      </c>
      <c r="DS5" s="1">
        <v>33.6</v>
      </c>
      <c r="DT5" s="1">
        <v>16.8</v>
      </c>
      <c r="DU5" s="1">
        <v>8.6</v>
      </c>
      <c r="DV5" s="1">
        <v>25.799999999999997</v>
      </c>
      <c r="DW5" s="1">
        <v>0.5</v>
      </c>
      <c r="DX5" s="1">
        <v>1.2</v>
      </c>
      <c r="DY5" s="1">
        <v>1.2</v>
      </c>
      <c r="DZ5" s="1">
        <v>0.9</v>
      </c>
      <c r="EA5" s="1">
        <v>0.5</v>
      </c>
      <c r="EB5" s="1">
        <v>1.2</v>
      </c>
      <c r="EC5" s="1">
        <v>2.7</v>
      </c>
      <c r="ED5" s="1" t="e">
        <f>Custom!K19</f>
        <v>#DIV/0!</v>
      </c>
      <c r="EE5" s="655"/>
      <c r="EF5" s="655"/>
      <c r="EG5" s="655"/>
      <c r="EH5" s="655"/>
    </row>
    <row r="6" spans="1:138">
      <c r="A6" s="1" t="s">
        <v>608</v>
      </c>
      <c r="B6" s="687"/>
      <c r="C6" s="973"/>
      <c r="D6" s="7" t="s">
        <v>55</v>
      </c>
      <c r="E6" s="7" t="s">
        <v>52</v>
      </c>
      <c r="F6" s="20">
        <v>35</v>
      </c>
      <c r="G6" s="21">
        <v>70</v>
      </c>
      <c r="H6" s="20">
        <v>53</v>
      </c>
      <c r="I6" s="21">
        <v>137.80000000000001</v>
      </c>
      <c r="J6" s="21">
        <v>137.80000000000001</v>
      </c>
      <c r="K6" s="20">
        <v>117.58046645947081</v>
      </c>
      <c r="L6" s="21">
        <v>275.60000000000002</v>
      </c>
      <c r="M6" s="21">
        <v>275.60000000000002</v>
      </c>
      <c r="N6" s="21">
        <v>275.60000000000002</v>
      </c>
      <c r="O6" s="21">
        <v>219.61337276595506</v>
      </c>
      <c r="P6" s="20">
        <v>68.65605385727865</v>
      </c>
      <c r="Q6" s="21">
        <v>206.7</v>
      </c>
      <c r="R6" s="21">
        <v>206.70000000000002</v>
      </c>
      <c r="S6" s="20">
        <v>176.09487211491546</v>
      </c>
      <c r="T6" s="21">
        <v>218</v>
      </c>
      <c r="U6" s="21">
        <v>218</v>
      </c>
      <c r="V6" s="21">
        <v>132.28859348370108</v>
      </c>
      <c r="W6" s="21">
        <v>600.2642579590588</v>
      </c>
      <c r="X6" s="21">
        <v>348.24386516699684</v>
      </c>
      <c r="Y6" s="20">
        <v>436</v>
      </c>
      <c r="Z6" s="20">
        <v>436</v>
      </c>
      <c r="AA6" s="20">
        <v>436</v>
      </c>
      <c r="AB6" s="20">
        <v>522.36579775049529</v>
      </c>
      <c r="AC6" s="20">
        <v>234.94475646302965</v>
      </c>
      <c r="AD6" s="21">
        <v>74.700379445901746</v>
      </c>
      <c r="AE6" s="20">
        <v>327</v>
      </c>
      <c r="AF6" s="20">
        <v>327</v>
      </c>
      <c r="AG6" s="20">
        <v>192.93227816059215</v>
      </c>
      <c r="AH6" s="21">
        <v>170.28984228064178</v>
      </c>
      <c r="AI6" s="21">
        <v>297.7061529226184</v>
      </c>
      <c r="AJ6" s="20">
        <v>94.86399999999999</v>
      </c>
      <c r="AK6" s="21">
        <v>221.64941015797501</v>
      </c>
      <c r="AL6" s="20">
        <v>450</v>
      </c>
      <c r="AM6" s="21">
        <v>830</v>
      </c>
      <c r="AN6" s="20">
        <v>680</v>
      </c>
      <c r="AO6" s="20">
        <f>Custom!H20</f>
        <v>1230</v>
      </c>
      <c r="AP6" s="21">
        <v>1.1599999999999999</v>
      </c>
      <c r="AQ6" s="20">
        <v>2.3199999999999998</v>
      </c>
      <c r="AR6" s="21">
        <v>1.8</v>
      </c>
      <c r="AS6" s="21">
        <v>3.76</v>
      </c>
      <c r="AT6" s="20"/>
      <c r="AU6" s="21"/>
      <c r="AV6" s="20"/>
      <c r="AW6" s="21">
        <v>7.16</v>
      </c>
      <c r="AX6" s="20">
        <v>7.1567999999999996</v>
      </c>
      <c r="AY6" s="21">
        <v>14.02</v>
      </c>
      <c r="AZ6" s="20">
        <v>14.011199999999999</v>
      </c>
      <c r="BA6" s="21">
        <v>14.011199999999999</v>
      </c>
      <c r="BB6" s="20">
        <v>10.74</v>
      </c>
      <c r="BC6" s="21">
        <v>10.752000000000001</v>
      </c>
      <c r="BD6" s="20">
        <v>17.850000000000001</v>
      </c>
      <c r="BE6" s="21">
        <v>17.760000000000002</v>
      </c>
      <c r="BF6" s="20">
        <v>35.700000000000003</v>
      </c>
      <c r="BG6" s="21">
        <v>35.520000000000003</v>
      </c>
      <c r="BH6" s="20">
        <v>35.520000000000003</v>
      </c>
      <c r="BI6" s="21">
        <v>26.54</v>
      </c>
      <c r="BJ6" s="20">
        <v>26.400000000000006</v>
      </c>
      <c r="BK6" s="21">
        <v>40.1</v>
      </c>
      <c r="BL6" s="20">
        <v>39.928000000000004</v>
      </c>
      <c r="BM6" s="21">
        <v>80.92</v>
      </c>
      <c r="BN6" s="20">
        <v>80.599999999999994</v>
      </c>
      <c r="BO6" s="21">
        <v>80.599999999999994</v>
      </c>
      <c r="BP6" s="20">
        <v>60.13</v>
      </c>
      <c r="BQ6" s="21">
        <v>59.891999999999989</v>
      </c>
      <c r="BR6" s="20">
        <v>72</v>
      </c>
      <c r="BS6" s="21">
        <v>72.003600000000006</v>
      </c>
      <c r="BT6" s="20">
        <v>152</v>
      </c>
      <c r="BU6" s="21">
        <v>152.0076</v>
      </c>
      <c r="BV6" s="20">
        <v>152.0076</v>
      </c>
      <c r="BW6" s="21">
        <v>112</v>
      </c>
      <c r="BX6" s="20">
        <v>112.0056</v>
      </c>
      <c r="BY6" s="21">
        <v>160</v>
      </c>
      <c r="BZ6" s="20">
        <v>160</v>
      </c>
      <c r="CA6" s="21">
        <v>300</v>
      </c>
      <c r="CB6" s="20">
        <v>299.98080000000004</v>
      </c>
      <c r="CC6" s="21">
        <v>299.98080000000004</v>
      </c>
      <c r="CD6" s="20">
        <v>240</v>
      </c>
      <c r="CE6" s="21">
        <v>231.54071010643122</v>
      </c>
      <c r="CF6" s="20">
        <v>560</v>
      </c>
      <c r="CG6" s="21">
        <v>225.53</v>
      </c>
      <c r="CH6" s="20">
        <v>221.06399999999999</v>
      </c>
      <c r="CI6" s="21">
        <v>451</v>
      </c>
      <c r="CJ6" s="20">
        <v>416.75999999999993</v>
      </c>
      <c r="CK6" s="21">
        <v>416.75999999999993</v>
      </c>
      <c r="CL6" s="20">
        <v>338</v>
      </c>
      <c r="CM6" s="21">
        <v>318.24</v>
      </c>
      <c r="CN6" s="20">
        <v>416</v>
      </c>
      <c r="CO6" s="21">
        <v>415.98</v>
      </c>
      <c r="CP6" s="20">
        <v>760</v>
      </c>
      <c r="CQ6" s="21">
        <v>759.99600000000009</v>
      </c>
      <c r="CR6" s="20">
        <v>759.99600000000009</v>
      </c>
      <c r="CS6" s="21">
        <v>592</v>
      </c>
      <c r="CT6" s="20">
        <v>592.02</v>
      </c>
      <c r="CU6" s="21">
        <v>400</v>
      </c>
      <c r="CV6" s="20">
        <v>395.34084522902049</v>
      </c>
      <c r="CW6" s="1">
        <v>800</v>
      </c>
      <c r="CX6" s="1">
        <v>790.6815568372557</v>
      </c>
      <c r="CY6" s="1">
        <v>790.6815568372557</v>
      </c>
      <c r="CZ6" s="1">
        <v>600</v>
      </c>
      <c r="DA6" s="1">
        <v>598.35361318664047</v>
      </c>
      <c r="DB6" s="1">
        <v>464</v>
      </c>
      <c r="DC6" s="1">
        <v>458.97528758420214</v>
      </c>
      <c r="DD6" s="1">
        <v>932</v>
      </c>
      <c r="DE6" s="1">
        <v>921.98693249221151</v>
      </c>
      <c r="DF6" s="1">
        <v>921.98693249221151</v>
      </c>
      <c r="DG6" s="1">
        <v>700</v>
      </c>
      <c r="DH6" s="1">
        <v>692.49933049953836</v>
      </c>
      <c r="DI6" s="1">
        <v>1156</v>
      </c>
      <c r="DJ6" s="1">
        <v>1156.7199999999998</v>
      </c>
      <c r="DK6" s="1">
        <v>2340</v>
      </c>
      <c r="DL6" s="1">
        <v>2339.8760000000002</v>
      </c>
      <c r="DM6" s="1">
        <v>2339.8760000000002</v>
      </c>
      <c r="DN6" s="1">
        <v>1760</v>
      </c>
      <c r="DO6" s="1">
        <v>1759.952</v>
      </c>
      <c r="DP6" s="1">
        <v>1700</v>
      </c>
      <c r="DQ6" s="1">
        <v>1654.4</v>
      </c>
      <c r="DR6" s="1">
        <v>3100</v>
      </c>
      <c r="DS6" s="1">
        <v>3124.8</v>
      </c>
      <c r="DT6" s="1">
        <v>3124.8</v>
      </c>
      <c r="DU6" s="1">
        <v>2400</v>
      </c>
      <c r="DV6" s="1">
        <v>2442.3999999999996</v>
      </c>
      <c r="DW6" s="1">
        <v>4.1399999999999997</v>
      </c>
      <c r="DX6" s="1">
        <v>20.015999999999998</v>
      </c>
      <c r="DY6" s="1">
        <v>20.015999999999998</v>
      </c>
      <c r="DZ6" s="1">
        <v>57.96</v>
      </c>
      <c r="EA6" s="1">
        <v>90</v>
      </c>
      <c r="EB6" s="1">
        <v>340</v>
      </c>
      <c r="EC6" s="1">
        <v>970</v>
      </c>
      <c r="ED6" s="1">
        <f>Custom!K20</f>
        <v>0</v>
      </c>
      <c r="EE6" s="655"/>
      <c r="EF6" s="655"/>
      <c r="EG6" s="655"/>
      <c r="EH6" s="655"/>
    </row>
    <row r="7" spans="1:138">
      <c r="A7" s="1" t="s">
        <v>485</v>
      </c>
      <c r="B7" s="687"/>
      <c r="C7" s="973"/>
      <c r="D7" s="8" t="s">
        <v>56</v>
      </c>
      <c r="E7" s="8" t="s">
        <v>54</v>
      </c>
      <c r="F7" s="19">
        <v>2.2000000000000002</v>
      </c>
      <c r="G7" s="22">
        <v>2.2000000000000002</v>
      </c>
      <c r="H7" s="19">
        <v>2.2000000000000002</v>
      </c>
      <c r="I7" s="22">
        <v>5.2</v>
      </c>
      <c r="J7" s="22">
        <v>10.4</v>
      </c>
      <c r="K7" s="19">
        <v>4.2601618282416958</v>
      </c>
      <c r="L7" s="22">
        <v>5.2</v>
      </c>
      <c r="M7" s="22">
        <v>20.8</v>
      </c>
      <c r="N7" s="22">
        <v>10.4</v>
      </c>
      <c r="O7" s="22">
        <v>3.8869623498399126</v>
      </c>
      <c r="P7" s="19">
        <v>5.1010326288804979</v>
      </c>
      <c r="Q7" s="22">
        <v>5.2</v>
      </c>
      <c r="R7" s="22">
        <v>15.600000000000001</v>
      </c>
      <c r="S7" s="19">
        <v>4.1827760597367094</v>
      </c>
      <c r="T7" s="22">
        <v>5</v>
      </c>
      <c r="U7" s="22">
        <v>10</v>
      </c>
      <c r="V7" s="22">
        <v>6.0131178856227763</v>
      </c>
      <c r="W7" s="22">
        <v>9.24194392546665</v>
      </c>
      <c r="X7" s="22">
        <v>4.7654888519942986</v>
      </c>
      <c r="Y7" s="19">
        <v>5</v>
      </c>
      <c r="Z7" s="19">
        <v>20</v>
      </c>
      <c r="AA7" s="19">
        <v>10</v>
      </c>
      <c r="AB7" s="19">
        <v>9.5309777039885972</v>
      </c>
      <c r="AC7" s="19">
        <v>5.2209945880673256</v>
      </c>
      <c r="AD7" s="22">
        <v>6.884827598700622</v>
      </c>
      <c r="AE7" s="19">
        <v>5</v>
      </c>
      <c r="AF7" s="19">
        <v>15</v>
      </c>
      <c r="AG7" s="19">
        <v>5.864202983604625</v>
      </c>
      <c r="AH7" s="22">
        <v>7.3400794086483527</v>
      </c>
      <c r="AI7" s="22">
        <v>6.3885440541334413</v>
      </c>
      <c r="AJ7" s="19">
        <v>7.84</v>
      </c>
      <c r="AK7" s="22">
        <v>6.4246205842891309</v>
      </c>
      <c r="AL7" s="19">
        <v>14</v>
      </c>
      <c r="AM7" s="22">
        <v>13</v>
      </c>
      <c r="AN7" s="19">
        <v>14</v>
      </c>
      <c r="AO7" s="19">
        <f>Custom!H21</f>
        <v>35</v>
      </c>
      <c r="AP7" s="22">
        <v>1.1200000000000001</v>
      </c>
      <c r="AQ7" s="19">
        <v>1.1200000000000001</v>
      </c>
      <c r="AR7" s="22">
        <v>1.1200000000000001</v>
      </c>
      <c r="AS7" s="22">
        <v>2.2400000000000002</v>
      </c>
      <c r="AT7" s="19"/>
      <c r="AU7" s="22"/>
      <c r="AV7" s="19"/>
      <c r="AW7" s="22">
        <v>3.36</v>
      </c>
      <c r="AX7" s="19">
        <v>6.72</v>
      </c>
      <c r="AY7" s="22">
        <v>3.36</v>
      </c>
      <c r="AZ7" s="19">
        <v>13.44</v>
      </c>
      <c r="BA7" s="22">
        <v>6.72</v>
      </c>
      <c r="BB7" s="19">
        <v>3.36</v>
      </c>
      <c r="BC7" s="22">
        <v>10.08</v>
      </c>
      <c r="BD7" s="19">
        <v>1.61</v>
      </c>
      <c r="BE7" s="22">
        <v>3.2</v>
      </c>
      <c r="BF7" s="19">
        <v>1.61</v>
      </c>
      <c r="BG7" s="22">
        <v>6.4</v>
      </c>
      <c r="BH7" s="19">
        <v>3.2</v>
      </c>
      <c r="BI7" s="22">
        <v>1.61</v>
      </c>
      <c r="BJ7" s="19">
        <v>4.8000000000000007</v>
      </c>
      <c r="BK7" s="22">
        <v>2.4900000000000002</v>
      </c>
      <c r="BL7" s="19">
        <v>4.96</v>
      </c>
      <c r="BM7" s="22">
        <v>2.4900000000000002</v>
      </c>
      <c r="BN7" s="19">
        <v>9.92</v>
      </c>
      <c r="BO7" s="22">
        <v>4.96</v>
      </c>
      <c r="BP7" s="19">
        <v>2.4900000000000002</v>
      </c>
      <c r="BQ7" s="22">
        <v>7.4399999999999995</v>
      </c>
      <c r="BR7" s="19">
        <v>2.36</v>
      </c>
      <c r="BS7" s="22">
        <v>4.72</v>
      </c>
      <c r="BT7" s="19">
        <v>2.36</v>
      </c>
      <c r="BU7" s="22">
        <v>9.44</v>
      </c>
      <c r="BV7" s="19">
        <v>4.72</v>
      </c>
      <c r="BW7" s="22">
        <v>2.36</v>
      </c>
      <c r="BX7" s="19">
        <v>7.08</v>
      </c>
      <c r="BY7" s="22">
        <v>5.12</v>
      </c>
      <c r="BZ7" s="19">
        <v>10.24</v>
      </c>
      <c r="CA7" s="22">
        <v>5.12</v>
      </c>
      <c r="CB7" s="19">
        <v>20.48</v>
      </c>
      <c r="CC7" s="22">
        <v>10.24</v>
      </c>
      <c r="CD7" s="19">
        <v>5.12</v>
      </c>
      <c r="CE7" s="22">
        <v>15.182997384028276</v>
      </c>
      <c r="CF7" s="19">
        <v>9.6</v>
      </c>
      <c r="CG7" s="22">
        <v>4.9800000000000004</v>
      </c>
      <c r="CH7" s="19">
        <v>9.76</v>
      </c>
      <c r="CI7" s="22">
        <v>4.9800000000000004</v>
      </c>
      <c r="CJ7" s="19">
        <v>18.399999999999999</v>
      </c>
      <c r="CK7" s="22">
        <v>9.1999999999999993</v>
      </c>
      <c r="CL7" s="19">
        <v>4.97</v>
      </c>
      <c r="CM7" s="22">
        <v>14.04</v>
      </c>
      <c r="CN7" s="19">
        <v>6</v>
      </c>
      <c r="CO7" s="22">
        <v>12</v>
      </c>
      <c r="CP7" s="19">
        <v>10.8</v>
      </c>
      <c r="CQ7" s="22">
        <v>21.6</v>
      </c>
      <c r="CR7" s="19">
        <v>5.4</v>
      </c>
      <c r="CS7" s="22">
        <v>6</v>
      </c>
      <c r="CT7" s="19">
        <v>18</v>
      </c>
      <c r="CU7" s="22">
        <v>12</v>
      </c>
      <c r="CV7" s="19">
        <v>23.744194908649881</v>
      </c>
      <c r="CW7" s="1">
        <v>12</v>
      </c>
      <c r="CX7" s="1">
        <v>47.488381792027376</v>
      </c>
      <c r="CY7" s="1">
        <v>23.744190896013688</v>
      </c>
      <c r="CZ7" s="1">
        <v>12</v>
      </c>
      <c r="DA7" s="1">
        <v>35.61628649920479</v>
      </c>
      <c r="DB7" s="1">
        <v>12</v>
      </c>
      <c r="DC7" s="1">
        <v>23.744194908649881</v>
      </c>
      <c r="DD7" s="1">
        <v>12</v>
      </c>
      <c r="DE7" s="1">
        <v>47.488381792027376</v>
      </c>
      <c r="DF7" s="1">
        <v>23.744190896013688</v>
      </c>
      <c r="DG7" s="1">
        <v>12</v>
      </c>
      <c r="DH7" s="1">
        <v>35.61628649920479</v>
      </c>
      <c r="DI7" s="1">
        <v>15.2</v>
      </c>
      <c r="DJ7" s="1">
        <v>7.6</v>
      </c>
      <c r="DK7" s="1">
        <v>30.8</v>
      </c>
      <c r="DL7" s="1">
        <v>15.4</v>
      </c>
      <c r="DM7" s="1">
        <v>7.7</v>
      </c>
      <c r="DN7" s="1">
        <v>23.2</v>
      </c>
      <c r="DO7" s="1">
        <v>7.7333333333333334</v>
      </c>
      <c r="DP7" s="1">
        <v>35</v>
      </c>
      <c r="DQ7" s="1">
        <v>70.400000000000006</v>
      </c>
      <c r="DR7" s="1">
        <v>34</v>
      </c>
      <c r="DS7" s="1">
        <v>134.4</v>
      </c>
      <c r="DT7" s="1">
        <v>67.2</v>
      </c>
      <c r="DU7" s="1">
        <v>34</v>
      </c>
      <c r="DV7" s="1">
        <v>103.19999999999999</v>
      </c>
      <c r="DW7" s="1">
        <v>2</v>
      </c>
      <c r="DX7" s="1">
        <v>4.8</v>
      </c>
      <c r="DY7" s="1">
        <v>4.8</v>
      </c>
      <c r="DZ7" s="1">
        <v>3.6</v>
      </c>
      <c r="EA7" s="1">
        <v>2.7</v>
      </c>
      <c r="EB7" s="1">
        <v>5.0999999999999996</v>
      </c>
      <c r="EC7" s="1">
        <v>14.4</v>
      </c>
      <c r="ED7" s="1" t="e">
        <f>Custom!K21</f>
        <v>#DIV/0!</v>
      </c>
      <c r="EE7" s="655"/>
      <c r="EF7" s="655"/>
      <c r="EG7" s="655"/>
      <c r="EH7" s="655"/>
    </row>
    <row r="8" spans="1:138">
      <c r="A8" s="1" t="s">
        <v>486</v>
      </c>
      <c r="B8" s="687"/>
      <c r="C8" s="973"/>
      <c r="D8" s="7" t="s">
        <v>57</v>
      </c>
      <c r="E8" s="7" t="s">
        <v>58</v>
      </c>
      <c r="F8" s="20">
        <v>16</v>
      </c>
      <c r="G8" s="21">
        <v>32</v>
      </c>
      <c r="H8" s="20">
        <v>24</v>
      </c>
      <c r="I8" s="21">
        <v>26.5</v>
      </c>
      <c r="J8" s="21">
        <v>13.25</v>
      </c>
      <c r="K8" s="20">
        <v>27.6</v>
      </c>
      <c r="L8" s="21">
        <v>53</v>
      </c>
      <c r="M8" s="21">
        <v>13.25</v>
      </c>
      <c r="N8" s="21">
        <v>26.5</v>
      </c>
      <c r="O8" s="21">
        <v>56.5</v>
      </c>
      <c r="P8" s="20">
        <v>13.459246166858239</v>
      </c>
      <c r="Q8" s="21">
        <v>39.75</v>
      </c>
      <c r="R8" s="21">
        <v>13.25</v>
      </c>
      <c r="S8" s="20">
        <v>42.1</v>
      </c>
      <c r="T8" s="21">
        <v>43.6</v>
      </c>
      <c r="U8" s="21">
        <v>21.8</v>
      </c>
      <c r="V8" s="21">
        <v>22</v>
      </c>
      <c r="W8" s="21">
        <v>64.949999999999989</v>
      </c>
      <c r="X8" s="21">
        <v>73.076210223692172</v>
      </c>
      <c r="Y8" s="20">
        <v>87.2</v>
      </c>
      <c r="Z8" s="20">
        <v>21.8</v>
      </c>
      <c r="AA8" s="20">
        <v>43.6</v>
      </c>
      <c r="AB8" s="20">
        <v>54.807157667769133</v>
      </c>
      <c r="AC8" s="20">
        <v>45</v>
      </c>
      <c r="AD8" s="21">
        <v>10.85</v>
      </c>
      <c r="AE8" s="20">
        <v>65.400000000000006</v>
      </c>
      <c r="AF8" s="20">
        <v>21.8</v>
      </c>
      <c r="AG8" s="20">
        <v>32.9</v>
      </c>
      <c r="AH8" s="21">
        <v>23.2</v>
      </c>
      <c r="AI8" s="21">
        <v>46.6</v>
      </c>
      <c r="AJ8" s="20">
        <v>12.1</v>
      </c>
      <c r="AK8" s="21">
        <v>34.5</v>
      </c>
      <c r="AL8" s="20">
        <v>31</v>
      </c>
      <c r="AM8" s="21">
        <v>62</v>
      </c>
      <c r="AN8" s="20">
        <v>47</v>
      </c>
      <c r="AO8" s="20">
        <f>Custom!H22</f>
        <v>35</v>
      </c>
      <c r="AP8" s="21">
        <v>1.04</v>
      </c>
      <c r="AQ8" s="20">
        <v>2.0699999999999998</v>
      </c>
      <c r="AR8" s="21">
        <v>1.61</v>
      </c>
      <c r="AS8" s="21">
        <v>1.68</v>
      </c>
      <c r="AT8" s="20"/>
      <c r="AU8" s="21"/>
      <c r="AV8" s="20"/>
      <c r="AW8" s="21">
        <v>2.13</v>
      </c>
      <c r="AX8" s="20">
        <v>1.0649999999999999</v>
      </c>
      <c r="AY8" s="21">
        <v>4.17</v>
      </c>
      <c r="AZ8" s="20">
        <v>1.0425</v>
      </c>
      <c r="BA8" s="21">
        <v>2.085</v>
      </c>
      <c r="BB8" s="20">
        <v>3.2</v>
      </c>
      <c r="BC8" s="21">
        <v>1.0666666666666667</v>
      </c>
      <c r="BD8" s="20">
        <v>11.1</v>
      </c>
      <c r="BE8" s="21">
        <v>5.55</v>
      </c>
      <c r="BF8" s="20">
        <v>22.2</v>
      </c>
      <c r="BG8" s="21">
        <v>5.55</v>
      </c>
      <c r="BH8" s="20">
        <v>11.1</v>
      </c>
      <c r="BI8" s="21">
        <v>16.5</v>
      </c>
      <c r="BJ8" s="20">
        <v>5.5</v>
      </c>
      <c r="BK8" s="21">
        <v>16.100000000000001</v>
      </c>
      <c r="BL8" s="20">
        <v>8.0500000000000007</v>
      </c>
      <c r="BM8" s="21">
        <v>32.5</v>
      </c>
      <c r="BN8" s="20">
        <v>8.125</v>
      </c>
      <c r="BO8" s="21">
        <v>16.25</v>
      </c>
      <c r="BP8" s="20">
        <v>24.15</v>
      </c>
      <c r="BQ8" s="21">
        <v>8.0499999999999989</v>
      </c>
      <c r="BR8" s="20">
        <v>30.51</v>
      </c>
      <c r="BS8" s="21">
        <v>15.255000000000001</v>
      </c>
      <c r="BT8" s="20">
        <v>64.41</v>
      </c>
      <c r="BU8" s="21">
        <v>16.102499999999999</v>
      </c>
      <c r="BV8" s="20">
        <v>32.204999999999998</v>
      </c>
      <c r="BW8" s="21">
        <v>47.46</v>
      </c>
      <c r="BX8" s="20">
        <v>15.82</v>
      </c>
      <c r="BY8" s="21">
        <v>31.25</v>
      </c>
      <c r="BZ8" s="20">
        <v>15.625</v>
      </c>
      <c r="CA8" s="21">
        <v>58.59</v>
      </c>
      <c r="CB8" s="20">
        <v>14.647500000000001</v>
      </c>
      <c r="CC8" s="21">
        <v>29.295000000000002</v>
      </c>
      <c r="CD8" s="20">
        <v>46.88</v>
      </c>
      <c r="CE8" s="21">
        <v>15.25</v>
      </c>
      <c r="CF8" s="20">
        <v>58.33</v>
      </c>
      <c r="CG8" s="21">
        <v>45.3</v>
      </c>
      <c r="CH8" s="20">
        <v>22.65</v>
      </c>
      <c r="CI8" s="21">
        <v>90.6</v>
      </c>
      <c r="CJ8" s="20">
        <v>22.65</v>
      </c>
      <c r="CK8" s="21">
        <v>45.3</v>
      </c>
      <c r="CL8" s="20">
        <v>68</v>
      </c>
      <c r="CM8" s="21">
        <v>22.666666666666668</v>
      </c>
      <c r="CN8" s="20">
        <v>69.33</v>
      </c>
      <c r="CO8" s="21">
        <v>34.664999999999999</v>
      </c>
      <c r="CP8" s="20">
        <v>70.37</v>
      </c>
      <c r="CQ8" s="21">
        <v>35.185000000000002</v>
      </c>
      <c r="CR8" s="20">
        <v>140.74</v>
      </c>
      <c r="CS8" s="21">
        <v>98.67</v>
      </c>
      <c r="CT8" s="20">
        <v>32.89</v>
      </c>
      <c r="CU8" s="21">
        <v>33.299999999999997</v>
      </c>
      <c r="CV8" s="20">
        <v>16.649999999999999</v>
      </c>
      <c r="CW8" s="1">
        <v>66.599999999999994</v>
      </c>
      <c r="CX8" s="1">
        <v>16.649999999999999</v>
      </c>
      <c r="CY8" s="1">
        <v>33.299999999999997</v>
      </c>
      <c r="CZ8" s="1">
        <v>50.4</v>
      </c>
      <c r="DA8" s="1">
        <v>16.8</v>
      </c>
      <c r="DB8" s="1">
        <v>38.659999999999997</v>
      </c>
      <c r="DC8" s="1">
        <v>19.329999999999998</v>
      </c>
      <c r="DD8" s="1">
        <v>77.66</v>
      </c>
      <c r="DE8" s="1">
        <v>19.414999999999999</v>
      </c>
      <c r="DF8" s="1">
        <v>38.83</v>
      </c>
      <c r="DG8" s="1">
        <v>58.33</v>
      </c>
      <c r="DH8" s="1">
        <v>19.443333333333332</v>
      </c>
      <c r="DI8" s="1">
        <v>76.099999999999994</v>
      </c>
      <c r="DJ8" s="1">
        <v>152.19999999999999</v>
      </c>
      <c r="DK8" s="1">
        <v>75.97</v>
      </c>
      <c r="DL8" s="1">
        <v>151.94</v>
      </c>
      <c r="DM8" s="1">
        <v>303.88</v>
      </c>
      <c r="DN8" s="1">
        <v>75.86</v>
      </c>
      <c r="DO8" s="1">
        <v>227.57999999999998</v>
      </c>
      <c r="DP8" s="1">
        <v>47</v>
      </c>
      <c r="DQ8" s="1">
        <v>23.5</v>
      </c>
      <c r="DR8" s="1">
        <v>93</v>
      </c>
      <c r="DS8" s="1">
        <v>23.25</v>
      </c>
      <c r="DT8" s="1">
        <v>46.5</v>
      </c>
      <c r="DU8" s="1">
        <v>71</v>
      </c>
      <c r="DV8" s="1">
        <v>23.666666666666668</v>
      </c>
      <c r="DW8" s="1">
        <v>2.0699999999999998</v>
      </c>
      <c r="DX8" s="1">
        <v>4.17</v>
      </c>
      <c r="DY8" s="1">
        <v>4.17</v>
      </c>
      <c r="DZ8" s="1">
        <v>16.100000000000001</v>
      </c>
      <c r="EA8" s="1">
        <v>33</v>
      </c>
      <c r="EB8" s="1">
        <v>66</v>
      </c>
      <c r="EC8" s="1">
        <v>68</v>
      </c>
      <c r="ED8" s="1">
        <f>Custom!K22</f>
        <v>0</v>
      </c>
      <c r="EE8" s="655"/>
      <c r="EF8" s="655"/>
      <c r="EG8" s="655"/>
      <c r="EH8" s="655"/>
    </row>
    <row r="9" spans="1:138">
      <c r="A9" s="1" t="s">
        <v>487</v>
      </c>
      <c r="B9" s="687"/>
      <c r="C9" s="973"/>
      <c r="D9" s="8" t="s">
        <v>59</v>
      </c>
      <c r="E9" s="8" t="s">
        <v>60</v>
      </c>
      <c r="F9" s="19">
        <v>5.4</v>
      </c>
      <c r="G9" s="22">
        <v>11</v>
      </c>
      <c r="H9" s="19">
        <v>8</v>
      </c>
      <c r="I9" s="22">
        <v>8.8333333333333339</v>
      </c>
      <c r="J9" s="22">
        <v>4.416666666666667</v>
      </c>
      <c r="K9" s="19">
        <v>9.2000000000000011</v>
      </c>
      <c r="L9" s="22">
        <v>17.666666666666668</v>
      </c>
      <c r="M9" s="22">
        <v>4.416666666666667</v>
      </c>
      <c r="N9" s="22">
        <v>8.8333333333333339</v>
      </c>
      <c r="O9" s="22">
        <v>18.833333333333332</v>
      </c>
      <c r="P9" s="19">
        <v>4.4864153889527465</v>
      </c>
      <c r="Q9" s="22">
        <v>13.25</v>
      </c>
      <c r="R9" s="22">
        <v>4.416666666666667</v>
      </c>
      <c r="S9" s="19">
        <v>14.033333333333333</v>
      </c>
      <c r="T9" s="22">
        <v>14.533333333333331</v>
      </c>
      <c r="U9" s="22">
        <v>7.2666666666666666</v>
      </c>
      <c r="V9" s="22">
        <v>7.333333333333333</v>
      </c>
      <c r="W9" s="22">
        <v>21.649999999999995</v>
      </c>
      <c r="X9" s="22">
        <v>24.358736741230725</v>
      </c>
      <c r="Y9" s="19">
        <v>29.066666666666663</v>
      </c>
      <c r="Z9" s="19">
        <v>7.2666666666666666</v>
      </c>
      <c r="AA9" s="19">
        <v>14.533333333333333</v>
      </c>
      <c r="AB9" s="19">
        <v>18.269052555923043</v>
      </c>
      <c r="AC9" s="19">
        <v>15</v>
      </c>
      <c r="AD9" s="22">
        <v>3.6166666666666667</v>
      </c>
      <c r="AE9" s="19">
        <v>21.8</v>
      </c>
      <c r="AF9" s="19">
        <v>7.2666666666666666</v>
      </c>
      <c r="AG9" s="19">
        <v>10.966666666666667</v>
      </c>
      <c r="AH9" s="22">
        <v>7.7333333333333334</v>
      </c>
      <c r="AI9" s="22">
        <v>15.533333333333333</v>
      </c>
      <c r="AJ9" s="19">
        <v>4.0333333333333332</v>
      </c>
      <c r="AK9" s="22">
        <v>11.5</v>
      </c>
      <c r="AL9" s="19">
        <v>10</v>
      </c>
      <c r="AM9" s="22">
        <v>21</v>
      </c>
      <c r="AN9" s="19">
        <v>16</v>
      </c>
      <c r="AO9" s="19">
        <f>Custom!H23</f>
        <v>12</v>
      </c>
      <c r="AP9" s="22">
        <v>0.35</v>
      </c>
      <c r="AQ9" s="19">
        <v>0.69</v>
      </c>
      <c r="AR9" s="22">
        <v>0.54</v>
      </c>
      <c r="AS9" s="22">
        <v>0.56000000000000005</v>
      </c>
      <c r="AT9" s="19"/>
      <c r="AU9" s="22"/>
      <c r="AV9" s="19"/>
      <c r="AW9" s="22">
        <v>0.71</v>
      </c>
      <c r="AX9" s="19">
        <v>0.35499999999999998</v>
      </c>
      <c r="AY9" s="22">
        <v>1.39</v>
      </c>
      <c r="AZ9" s="19">
        <v>0.34749999999999998</v>
      </c>
      <c r="BA9" s="22">
        <v>0.69499999999999995</v>
      </c>
      <c r="BB9" s="19">
        <v>1.07</v>
      </c>
      <c r="BC9" s="22">
        <v>0.35555555555555557</v>
      </c>
      <c r="BD9" s="19">
        <v>3.7</v>
      </c>
      <c r="BE9" s="22">
        <v>1.8499999999999999</v>
      </c>
      <c r="BF9" s="19">
        <v>7.4</v>
      </c>
      <c r="BG9" s="22">
        <v>1.8499999999999999</v>
      </c>
      <c r="BH9" s="19">
        <v>3.6999999999999997</v>
      </c>
      <c r="BI9" s="22">
        <v>5.5</v>
      </c>
      <c r="BJ9" s="19">
        <v>1.8333333333333333</v>
      </c>
      <c r="BK9" s="22">
        <v>5.37</v>
      </c>
      <c r="BL9" s="19">
        <v>2.6833333333333336</v>
      </c>
      <c r="BM9" s="22">
        <v>10.83</v>
      </c>
      <c r="BN9" s="19">
        <v>2.7083333333333335</v>
      </c>
      <c r="BO9" s="22">
        <v>5.416666666666667</v>
      </c>
      <c r="BP9" s="19">
        <v>8.0500000000000007</v>
      </c>
      <c r="BQ9" s="22">
        <v>2.6833333333333331</v>
      </c>
      <c r="BR9" s="19">
        <v>10.17</v>
      </c>
      <c r="BS9" s="22">
        <v>5.085</v>
      </c>
      <c r="BT9" s="19">
        <v>21.47</v>
      </c>
      <c r="BU9" s="22">
        <v>5.3674999999999997</v>
      </c>
      <c r="BV9" s="19">
        <v>10.734999999999999</v>
      </c>
      <c r="BW9" s="22">
        <v>15.82</v>
      </c>
      <c r="BX9" s="19">
        <v>5.2733333333333334</v>
      </c>
      <c r="BY9" s="22">
        <v>10.42</v>
      </c>
      <c r="BZ9" s="19">
        <v>5.208333333333333</v>
      </c>
      <c r="CA9" s="22">
        <v>19.53</v>
      </c>
      <c r="CB9" s="19">
        <v>4.8825000000000003</v>
      </c>
      <c r="CC9" s="22">
        <v>9.7650000000000006</v>
      </c>
      <c r="CD9" s="19">
        <v>15.63</v>
      </c>
      <c r="CE9" s="22">
        <v>5.083333333333333</v>
      </c>
      <c r="CF9" s="19">
        <v>19.440000000000001</v>
      </c>
      <c r="CG9" s="22">
        <v>15.1</v>
      </c>
      <c r="CH9" s="19">
        <v>7.55</v>
      </c>
      <c r="CI9" s="22">
        <v>30.2</v>
      </c>
      <c r="CJ9" s="19">
        <v>7.55</v>
      </c>
      <c r="CK9" s="22">
        <v>15.1</v>
      </c>
      <c r="CL9" s="19">
        <v>22.67</v>
      </c>
      <c r="CM9" s="22">
        <v>7.5555555555555562</v>
      </c>
      <c r="CN9" s="19">
        <v>23.11</v>
      </c>
      <c r="CO9" s="22">
        <v>11.555</v>
      </c>
      <c r="CP9" s="19">
        <v>23.46</v>
      </c>
      <c r="CQ9" s="22">
        <v>11.728333333333333</v>
      </c>
      <c r="CR9" s="19">
        <v>46.913333333333334</v>
      </c>
      <c r="CS9" s="22">
        <v>32.89</v>
      </c>
      <c r="CT9" s="19">
        <v>10.963333333333333</v>
      </c>
      <c r="CU9" s="22">
        <v>11.1</v>
      </c>
      <c r="CV9" s="19">
        <v>5.55</v>
      </c>
      <c r="CW9" s="1">
        <v>22.2</v>
      </c>
      <c r="CX9" s="1">
        <v>5.55</v>
      </c>
      <c r="CY9" s="1">
        <v>11.1</v>
      </c>
      <c r="CZ9" s="1">
        <v>16.66</v>
      </c>
      <c r="DA9" s="1">
        <v>5.6000000000000005</v>
      </c>
      <c r="DB9" s="1">
        <v>13</v>
      </c>
      <c r="DC9" s="1">
        <v>6.4433333333333325</v>
      </c>
      <c r="DD9" s="1">
        <v>26</v>
      </c>
      <c r="DE9" s="1">
        <v>6.4716666666666667</v>
      </c>
      <c r="DF9" s="1">
        <v>12.943333333333333</v>
      </c>
      <c r="DG9" s="1">
        <v>19.329999999999998</v>
      </c>
      <c r="DH9" s="1">
        <v>6.4811111111111108</v>
      </c>
      <c r="DI9" s="1">
        <v>25.36</v>
      </c>
      <c r="DJ9" s="1">
        <v>50.733333333333327</v>
      </c>
      <c r="DK9" s="1">
        <v>25.32</v>
      </c>
      <c r="DL9" s="1">
        <v>50.646666666666668</v>
      </c>
      <c r="DM9" s="1">
        <v>101.29333333333334</v>
      </c>
      <c r="DN9" s="1">
        <v>25.29</v>
      </c>
      <c r="DO9" s="1">
        <v>75.86</v>
      </c>
      <c r="DP9" s="1">
        <v>16</v>
      </c>
      <c r="DQ9" s="1">
        <v>7.833333333333333</v>
      </c>
      <c r="DR9" s="1">
        <v>31</v>
      </c>
      <c r="DS9" s="1">
        <v>7.75</v>
      </c>
      <c r="DT9" s="1">
        <v>15.5</v>
      </c>
      <c r="DU9" s="1">
        <v>24</v>
      </c>
      <c r="DV9" s="1">
        <v>7.8888888888888893</v>
      </c>
      <c r="DW9" s="1">
        <v>1</v>
      </c>
      <c r="DX9" s="1">
        <v>1.4</v>
      </c>
      <c r="DY9" s="1">
        <v>1.4</v>
      </c>
      <c r="DZ9" s="1">
        <v>5.4</v>
      </c>
      <c r="EA9" s="1">
        <v>11</v>
      </c>
      <c r="EB9" s="1">
        <v>22</v>
      </c>
      <c r="EC9" s="1">
        <v>23</v>
      </c>
      <c r="ED9" s="1">
        <f>Custom!K23</f>
        <v>0</v>
      </c>
      <c r="EE9" s="655"/>
      <c r="EF9" s="655"/>
      <c r="EG9" s="655"/>
      <c r="EH9" s="655"/>
    </row>
    <row r="10" spans="1:138">
      <c r="A10" s="1" t="s">
        <v>560</v>
      </c>
      <c r="B10" s="687"/>
      <c r="C10" s="973"/>
      <c r="D10" s="7" t="s">
        <v>61</v>
      </c>
      <c r="E10" s="7" t="s">
        <v>62</v>
      </c>
      <c r="F10" s="20">
        <v>21</v>
      </c>
      <c r="G10" s="21">
        <v>41</v>
      </c>
      <c r="H10" s="20">
        <v>31</v>
      </c>
      <c r="I10" s="21">
        <v>8.35</v>
      </c>
      <c r="J10" s="21">
        <v>2.0874999999999999</v>
      </c>
      <c r="K10" s="20">
        <v>12.6</v>
      </c>
      <c r="L10" s="21">
        <v>16.7</v>
      </c>
      <c r="M10" s="21">
        <v>1.04375</v>
      </c>
      <c r="N10" s="21">
        <v>4.1749999999999998</v>
      </c>
      <c r="O10" s="21">
        <v>25.3</v>
      </c>
      <c r="P10" s="20">
        <v>6.5</v>
      </c>
      <c r="Q10" s="21">
        <v>12.525</v>
      </c>
      <c r="R10" s="21">
        <v>1.3916666666666666</v>
      </c>
      <c r="S10" s="20">
        <v>19</v>
      </c>
      <c r="T10" s="21">
        <v>11.539417262231996</v>
      </c>
      <c r="U10" s="21">
        <v>2.8848543155579991</v>
      </c>
      <c r="V10" s="21">
        <v>7.07</v>
      </c>
      <c r="W10" s="21">
        <v>10.125</v>
      </c>
      <c r="X10" s="21">
        <v>23.083333333333336</v>
      </c>
      <c r="Y10" s="20">
        <v>23.078834524463993</v>
      </c>
      <c r="Z10" s="20">
        <v>1.4424271577789995</v>
      </c>
      <c r="AA10" s="20">
        <v>5.7697086311159982</v>
      </c>
      <c r="AB10" s="20">
        <v>8.65625</v>
      </c>
      <c r="AC10" s="20">
        <v>14.2</v>
      </c>
      <c r="AD10" s="21">
        <v>3.6</v>
      </c>
      <c r="AE10" s="20">
        <v>17.309125893347996</v>
      </c>
      <c r="AF10" s="20">
        <v>1.9232362103719998</v>
      </c>
      <c r="AG10" s="20">
        <v>10.8</v>
      </c>
      <c r="AH10" s="21">
        <v>5.3</v>
      </c>
      <c r="AI10" s="21">
        <v>10.6</v>
      </c>
      <c r="AJ10" s="20">
        <v>2.66</v>
      </c>
      <c r="AK10" s="21">
        <v>7.9</v>
      </c>
      <c r="AL10" s="20">
        <v>2.9</v>
      </c>
      <c r="AM10" s="21">
        <v>5.8</v>
      </c>
      <c r="AN10" s="20">
        <v>4.4000000000000004</v>
      </c>
      <c r="AO10" s="20">
        <f>Custom!H24</f>
        <v>0.89</v>
      </c>
      <c r="AP10" s="21">
        <v>11.2</v>
      </c>
      <c r="AQ10" s="20">
        <v>22.4</v>
      </c>
      <c r="AR10" s="21">
        <v>16.8</v>
      </c>
      <c r="AS10" s="21">
        <v>11.2</v>
      </c>
      <c r="AT10" s="20"/>
      <c r="AU10" s="21"/>
      <c r="AV10" s="20"/>
      <c r="AW10" s="21">
        <v>4.7</v>
      </c>
      <c r="AX10" s="20">
        <v>1.175</v>
      </c>
      <c r="AY10" s="21">
        <v>9</v>
      </c>
      <c r="AZ10" s="20">
        <v>0.5625</v>
      </c>
      <c r="BA10" s="21">
        <v>2.25</v>
      </c>
      <c r="BB10" s="20">
        <v>6.8</v>
      </c>
      <c r="BC10" s="21">
        <v>0.75555555555555554</v>
      </c>
      <c r="BD10" s="20">
        <v>37</v>
      </c>
      <c r="BE10" s="21">
        <v>9.25</v>
      </c>
      <c r="BF10" s="20">
        <v>73</v>
      </c>
      <c r="BG10" s="21">
        <v>4.5625</v>
      </c>
      <c r="BH10" s="20">
        <v>18.25</v>
      </c>
      <c r="BI10" s="21">
        <v>54</v>
      </c>
      <c r="BJ10" s="20">
        <v>6</v>
      </c>
      <c r="BK10" s="21">
        <v>21</v>
      </c>
      <c r="BL10" s="20">
        <v>5.25</v>
      </c>
      <c r="BM10" s="21">
        <v>43</v>
      </c>
      <c r="BN10" s="20">
        <v>2.6875</v>
      </c>
      <c r="BO10" s="21">
        <v>10.75</v>
      </c>
      <c r="BP10" s="20">
        <v>33</v>
      </c>
      <c r="BQ10" s="21">
        <v>3.6666666666666665</v>
      </c>
      <c r="BR10" s="20">
        <v>28.7</v>
      </c>
      <c r="BS10" s="21">
        <v>7.1749999999999998</v>
      </c>
      <c r="BT10" s="20">
        <v>56</v>
      </c>
      <c r="BU10" s="21">
        <v>3.5</v>
      </c>
      <c r="BV10" s="20">
        <v>14</v>
      </c>
      <c r="BW10" s="21">
        <v>43</v>
      </c>
      <c r="BX10" s="20">
        <v>4.7777777777777777</v>
      </c>
      <c r="BY10" s="21">
        <v>7.8</v>
      </c>
      <c r="BZ10" s="20">
        <v>1.95</v>
      </c>
      <c r="CA10" s="21">
        <v>15</v>
      </c>
      <c r="CB10" s="20">
        <v>0.9375</v>
      </c>
      <c r="CC10" s="21">
        <v>3.75</v>
      </c>
      <c r="CD10" s="20">
        <v>12</v>
      </c>
      <c r="CE10" s="21">
        <v>1.32</v>
      </c>
      <c r="CF10" s="20">
        <v>7.5</v>
      </c>
      <c r="CG10" s="21">
        <v>11</v>
      </c>
      <c r="CH10" s="20">
        <v>2.75</v>
      </c>
      <c r="CI10" s="21">
        <v>23</v>
      </c>
      <c r="CJ10" s="20">
        <v>1.4375</v>
      </c>
      <c r="CK10" s="21">
        <v>5.75</v>
      </c>
      <c r="CL10" s="20">
        <v>17</v>
      </c>
      <c r="CM10" s="21">
        <v>1.8888888888888891</v>
      </c>
      <c r="CN10" s="20">
        <v>13.8</v>
      </c>
      <c r="CO10" s="21">
        <v>3.45</v>
      </c>
      <c r="CP10" s="20">
        <v>6.9</v>
      </c>
      <c r="CQ10" s="21">
        <v>1.7250000000000001</v>
      </c>
      <c r="CR10" s="20">
        <v>27.6</v>
      </c>
      <c r="CS10" s="21">
        <v>20.2</v>
      </c>
      <c r="CT10" s="20">
        <v>2.2444444444444445</v>
      </c>
      <c r="CU10" s="21">
        <v>2.7</v>
      </c>
      <c r="CV10" s="20">
        <v>0.67500000000000004</v>
      </c>
      <c r="CW10" s="1">
        <v>5.2</v>
      </c>
      <c r="CX10" s="1">
        <v>0.32500000000000001</v>
      </c>
      <c r="CY10" s="1">
        <v>1.3</v>
      </c>
      <c r="CZ10" s="1">
        <v>3.9</v>
      </c>
      <c r="DA10" s="1">
        <v>0.43333333333333335</v>
      </c>
      <c r="DB10" s="1">
        <v>2.7</v>
      </c>
      <c r="DC10" s="1">
        <v>0.67500000000000004</v>
      </c>
      <c r="DD10" s="1">
        <v>5.2</v>
      </c>
      <c r="DE10" s="1">
        <v>0.32500000000000001</v>
      </c>
      <c r="DF10" s="1">
        <v>1.3</v>
      </c>
      <c r="DG10" s="1">
        <v>3.9</v>
      </c>
      <c r="DH10" s="1">
        <v>0.43333333333333335</v>
      </c>
      <c r="DI10" s="1">
        <v>4.4000000000000004</v>
      </c>
      <c r="DJ10" s="1">
        <v>17.600000000000001</v>
      </c>
      <c r="DK10" s="1">
        <v>2.2000000000000002</v>
      </c>
      <c r="DL10" s="1">
        <v>8.8000000000000007</v>
      </c>
      <c r="DM10" s="1">
        <v>35.200000000000003</v>
      </c>
      <c r="DN10" s="1">
        <v>3.3</v>
      </c>
      <c r="DO10" s="1">
        <v>29.699999999999996</v>
      </c>
      <c r="DP10" s="1">
        <v>1.1000000000000001</v>
      </c>
      <c r="DQ10" s="1">
        <v>0.27500000000000002</v>
      </c>
      <c r="DR10" s="1">
        <v>2.2000000000000002</v>
      </c>
      <c r="DS10" s="1">
        <v>0.13750000000000001</v>
      </c>
      <c r="DT10" s="1">
        <v>0.55000000000000004</v>
      </c>
      <c r="DU10" s="1">
        <v>1.7</v>
      </c>
      <c r="DV10" s="1">
        <v>0.18888888888888888</v>
      </c>
      <c r="DW10" s="1">
        <v>22.4</v>
      </c>
      <c r="DX10" s="1">
        <v>9</v>
      </c>
      <c r="DY10" s="1">
        <v>9</v>
      </c>
      <c r="DZ10" s="1">
        <v>21</v>
      </c>
      <c r="EA10" s="1">
        <v>56</v>
      </c>
      <c r="EB10" s="1">
        <v>22</v>
      </c>
      <c r="EC10" s="1">
        <v>7.2</v>
      </c>
      <c r="ED10" s="1">
        <f>Custom!K24</f>
        <v>0</v>
      </c>
      <c r="EE10" s="655"/>
      <c r="EF10" s="655"/>
      <c r="EG10" s="655"/>
      <c r="EH10" s="655"/>
    </row>
    <row r="11" spans="1:138">
      <c r="A11" s="1" t="s">
        <v>488</v>
      </c>
      <c r="B11" s="687"/>
      <c r="C11" s="973"/>
      <c r="D11" s="8" t="s">
        <v>63</v>
      </c>
      <c r="E11" s="8" t="s">
        <v>64</v>
      </c>
      <c r="F11" s="19">
        <v>7.3</v>
      </c>
      <c r="G11" s="22">
        <v>15</v>
      </c>
      <c r="H11" s="19">
        <v>11</v>
      </c>
      <c r="I11" s="22">
        <v>9.24</v>
      </c>
      <c r="J11" s="22">
        <v>2.31</v>
      </c>
      <c r="K11" s="19">
        <v>18.53</v>
      </c>
      <c r="L11" s="22">
        <v>18.48</v>
      </c>
      <c r="M11" s="22">
        <v>1.155</v>
      </c>
      <c r="N11" s="22">
        <v>4.62</v>
      </c>
      <c r="O11" s="22">
        <v>36.6</v>
      </c>
      <c r="P11" s="19">
        <v>11.37</v>
      </c>
      <c r="Q11" s="22">
        <v>13.86</v>
      </c>
      <c r="R11" s="22">
        <v>1.54</v>
      </c>
      <c r="S11" s="19">
        <v>28.1</v>
      </c>
      <c r="T11" s="22">
        <v>14.036000000000001</v>
      </c>
      <c r="U11" s="22">
        <v>3.5090000000000003</v>
      </c>
      <c r="V11" s="22">
        <v>7.78</v>
      </c>
      <c r="W11" s="22">
        <v>16.600000000000001</v>
      </c>
      <c r="X11" s="22">
        <v>31.041817057401477</v>
      </c>
      <c r="Y11" s="19">
        <v>28.072000000000003</v>
      </c>
      <c r="Z11" s="19">
        <v>1.7545000000000002</v>
      </c>
      <c r="AA11" s="19">
        <v>7.0180000000000007</v>
      </c>
      <c r="AB11" s="19">
        <v>11.640681396525554</v>
      </c>
      <c r="AC11" s="19">
        <v>15.266666666666666</v>
      </c>
      <c r="AD11" s="22">
        <v>5.0999999999999996</v>
      </c>
      <c r="AE11" s="19">
        <v>21.054000000000002</v>
      </c>
      <c r="AF11" s="19">
        <v>2.3393333333333337</v>
      </c>
      <c r="AG11" s="19">
        <v>12</v>
      </c>
      <c r="AH11" s="22">
        <v>4.4000000000000004</v>
      </c>
      <c r="AI11" s="22">
        <v>8.6999999999999993</v>
      </c>
      <c r="AJ11" s="19">
        <v>2.9</v>
      </c>
      <c r="AK11" s="22">
        <v>6.7</v>
      </c>
      <c r="AL11" s="19">
        <v>7.8</v>
      </c>
      <c r="AM11" s="22">
        <v>15</v>
      </c>
      <c r="AN11" s="19">
        <v>12</v>
      </c>
      <c r="AO11" s="19">
        <f>Custom!H25</f>
        <v>1.4</v>
      </c>
      <c r="AP11" s="22">
        <v>0.5</v>
      </c>
      <c r="AQ11" s="19">
        <v>0.99</v>
      </c>
      <c r="AR11" s="22">
        <v>0.7</v>
      </c>
      <c r="AS11" s="22">
        <v>0.5</v>
      </c>
      <c r="AT11" s="19"/>
      <c r="AU11" s="22"/>
      <c r="AV11" s="19"/>
      <c r="AW11" s="22">
        <v>0.7</v>
      </c>
      <c r="AX11" s="19">
        <v>0.17499999999999999</v>
      </c>
      <c r="AY11" s="22">
        <v>1.3</v>
      </c>
      <c r="AZ11" s="19">
        <v>8.1250000000000003E-2</v>
      </c>
      <c r="BA11" s="22">
        <v>0.32500000000000001</v>
      </c>
      <c r="BB11" s="19">
        <v>1</v>
      </c>
      <c r="BC11" s="22">
        <v>0.1111111111111111</v>
      </c>
      <c r="BD11" s="19">
        <v>12</v>
      </c>
      <c r="BE11" s="22">
        <v>3</v>
      </c>
      <c r="BF11" s="19">
        <v>24</v>
      </c>
      <c r="BG11" s="22">
        <v>1.5</v>
      </c>
      <c r="BH11" s="19">
        <v>6</v>
      </c>
      <c r="BI11" s="22">
        <v>18</v>
      </c>
      <c r="BJ11" s="19">
        <v>2</v>
      </c>
      <c r="BK11" s="22">
        <v>8.1999999999999993</v>
      </c>
      <c r="BL11" s="19">
        <v>2.0499999999999998</v>
      </c>
      <c r="BM11" s="22">
        <v>16</v>
      </c>
      <c r="BN11" s="19">
        <v>1</v>
      </c>
      <c r="BO11" s="22">
        <v>4</v>
      </c>
      <c r="BP11" s="19">
        <v>12</v>
      </c>
      <c r="BQ11" s="22">
        <v>1.3333333333333333</v>
      </c>
      <c r="BR11" s="19">
        <v>19.3</v>
      </c>
      <c r="BS11" s="22">
        <v>4.8250000000000002</v>
      </c>
      <c r="BT11" s="19">
        <v>39</v>
      </c>
      <c r="BU11" s="22">
        <v>2.4375</v>
      </c>
      <c r="BV11" s="19">
        <v>9.75</v>
      </c>
      <c r="BW11" s="22">
        <v>29</v>
      </c>
      <c r="BX11" s="19">
        <v>3.2222222222222219</v>
      </c>
      <c r="BY11" s="22">
        <v>9.8000000000000007</v>
      </c>
      <c r="BZ11" s="19">
        <v>2.4500000000000002</v>
      </c>
      <c r="CA11" s="22">
        <v>19</v>
      </c>
      <c r="CB11" s="19">
        <v>1.1875</v>
      </c>
      <c r="CC11" s="22">
        <v>4.75</v>
      </c>
      <c r="CD11" s="19">
        <v>15</v>
      </c>
      <c r="CE11" s="22">
        <v>1.5833333333333333</v>
      </c>
      <c r="CF11" s="19">
        <v>9.5</v>
      </c>
      <c r="CG11" s="22">
        <v>17</v>
      </c>
      <c r="CH11" s="19">
        <v>4.25</v>
      </c>
      <c r="CI11" s="22">
        <v>34</v>
      </c>
      <c r="CJ11" s="19">
        <v>2.125</v>
      </c>
      <c r="CK11" s="22">
        <v>8.5</v>
      </c>
      <c r="CL11" s="19">
        <v>26</v>
      </c>
      <c r="CM11" s="22">
        <v>2.8888888888888888</v>
      </c>
      <c r="CN11" s="19">
        <v>21.8</v>
      </c>
      <c r="CO11" s="22">
        <v>5.45</v>
      </c>
      <c r="CP11" s="19">
        <v>10.9</v>
      </c>
      <c r="CQ11" s="22">
        <v>2.7250000000000001</v>
      </c>
      <c r="CR11" s="19">
        <v>43.6</v>
      </c>
      <c r="CS11" s="22">
        <v>33</v>
      </c>
      <c r="CT11" s="19">
        <v>3.6666666666666665</v>
      </c>
      <c r="CU11" s="22">
        <v>7.3</v>
      </c>
      <c r="CV11" s="19">
        <v>1.825</v>
      </c>
      <c r="CW11" s="1">
        <v>15</v>
      </c>
      <c r="CX11" s="1">
        <v>0.9375</v>
      </c>
      <c r="CY11" s="1">
        <v>3.75</v>
      </c>
      <c r="CZ11" s="1">
        <v>11</v>
      </c>
      <c r="DA11" s="1">
        <v>1.2222222222222221</v>
      </c>
      <c r="DB11" s="1">
        <v>7.3</v>
      </c>
      <c r="DC11" s="1">
        <v>1.825</v>
      </c>
      <c r="DD11" s="1">
        <v>15</v>
      </c>
      <c r="DE11" s="1">
        <v>0.9375</v>
      </c>
      <c r="DF11" s="1">
        <v>3.75</v>
      </c>
      <c r="DG11" s="1">
        <v>11</v>
      </c>
      <c r="DH11" s="1">
        <v>1.2222222222222221</v>
      </c>
      <c r="DI11" s="1">
        <v>27</v>
      </c>
      <c r="DJ11" s="1">
        <v>108</v>
      </c>
      <c r="DK11" s="1">
        <v>13.2</v>
      </c>
      <c r="DL11" s="1">
        <v>52.8</v>
      </c>
      <c r="DM11" s="1">
        <v>211.2</v>
      </c>
      <c r="DN11" s="1">
        <v>19.8</v>
      </c>
      <c r="DO11" s="1">
        <v>178.20000000000002</v>
      </c>
      <c r="DP11" s="1">
        <v>6.5</v>
      </c>
      <c r="DQ11" s="1">
        <v>1.625</v>
      </c>
      <c r="DR11" s="1">
        <v>13</v>
      </c>
      <c r="DS11" s="1">
        <v>0.8125</v>
      </c>
      <c r="DT11" s="1">
        <v>3.25</v>
      </c>
      <c r="DU11" s="1">
        <v>10</v>
      </c>
      <c r="DV11" s="1">
        <v>1.1111111111111112</v>
      </c>
      <c r="DW11" s="1">
        <v>1</v>
      </c>
      <c r="DX11" s="1">
        <v>1.3</v>
      </c>
      <c r="DY11" s="1">
        <v>1.3</v>
      </c>
      <c r="DZ11" s="1">
        <v>8.1999999999999993</v>
      </c>
      <c r="EA11" s="1">
        <v>24</v>
      </c>
      <c r="EB11" s="1">
        <v>31</v>
      </c>
      <c r="EC11" s="1">
        <v>12</v>
      </c>
      <c r="ED11" s="1">
        <f>Custom!K25</f>
        <v>0</v>
      </c>
      <c r="EE11" s="655"/>
      <c r="EF11" s="655"/>
      <c r="EG11" s="655"/>
      <c r="EH11" s="655"/>
    </row>
    <row r="12" spans="1:138">
      <c r="A12" s="1" t="s">
        <v>561</v>
      </c>
      <c r="B12" s="687"/>
      <c r="C12" s="973"/>
      <c r="D12" s="7" t="s">
        <v>65</v>
      </c>
      <c r="E12" s="7" t="s">
        <v>66</v>
      </c>
      <c r="F12" s="20">
        <v>17.316017316017302</v>
      </c>
      <c r="G12" s="21">
        <v>8.8691796008869197</v>
      </c>
      <c r="H12" s="20">
        <v>11.7302052785924</v>
      </c>
      <c r="I12" s="21">
        <v>7.7950607660418818</v>
      </c>
      <c r="J12" s="21">
        <v>7.79506076604188</v>
      </c>
      <c r="K12" s="20">
        <v>7.6964407309204059</v>
      </c>
      <c r="L12" s="21">
        <v>3.8975303830209409</v>
      </c>
      <c r="M12" s="21">
        <v>3.89753038302094</v>
      </c>
      <c r="N12" s="21">
        <v>3.89753038302094</v>
      </c>
      <c r="O12" s="21">
        <v>4.6043833916944159</v>
      </c>
      <c r="P12" s="20">
        <v>10.40598290598291</v>
      </c>
      <c r="Q12" s="21">
        <v>5.1967071773612545</v>
      </c>
      <c r="R12" s="21">
        <v>5.1967071773612528</v>
      </c>
      <c r="S12" s="20">
        <v>5.2945595768506832</v>
      </c>
      <c r="T12" s="21">
        <v>6.1008280054501549</v>
      </c>
      <c r="U12" s="21">
        <v>6.100828005450162</v>
      </c>
      <c r="V12" s="21">
        <v>6.8848394571701279</v>
      </c>
      <c r="W12" s="21">
        <v>2.0351244766250076</v>
      </c>
      <c r="X12" s="21">
        <v>3.3573701816230161</v>
      </c>
      <c r="Y12" s="20">
        <v>3.0504140027250775</v>
      </c>
      <c r="Z12" s="20">
        <v>3.050414002725081</v>
      </c>
      <c r="AA12" s="20">
        <v>3.050414002725081</v>
      </c>
      <c r="AB12" s="20">
        <v>2.2382467877486776</v>
      </c>
      <c r="AC12" s="20">
        <v>4.5469254883150514</v>
      </c>
      <c r="AD12" s="21">
        <v>10.313926394075779</v>
      </c>
      <c r="AE12" s="20">
        <v>4.067218670300103</v>
      </c>
      <c r="AF12" s="20">
        <v>4.0672186703001074</v>
      </c>
      <c r="AG12" s="20">
        <v>4.7388277524300726</v>
      </c>
      <c r="AH12" s="21">
        <v>6.163611850634874</v>
      </c>
      <c r="AI12" s="21">
        <v>4.0682067368566539</v>
      </c>
      <c r="AJ12" s="20">
        <v>10.764625015266196</v>
      </c>
      <c r="AK12" s="21">
        <v>5.3974745947564102</v>
      </c>
      <c r="AL12" s="20">
        <v>2.9267773520647098</v>
      </c>
      <c r="AM12" s="21">
        <v>1.6406156783200101</v>
      </c>
      <c r="AN12" s="20">
        <v>1.92901234567901</v>
      </c>
      <c r="AO12" s="20">
        <f t="shared" ref="AO12" si="0">110/AO22</f>
        <v>1.5960163432073542</v>
      </c>
      <c r="AP12" s="21">
        <v>125.3</v>
      </c>
      <c r="AQ12" s="20">
        <v>62.6</v>
      </c>
      <c r="AR12" s="21">
        <v>83.5</v>
      </c>
      <c r="AS12" s="21">
        <v>31.3</v>
      </c>
      <c r="AT12" s="20"/>
      <c r="AU12" s="21"/>
      <c r="AV12" s="20"/>
      <c r="AW12" s="21">
        <v>33.200000000000003</v>
      </c>
      <c r="AX12" s="20">
        <v>33.16929608722922</v>
      </c>
      <c r="AY12" s="21">
        <v>17.3</v>
      </c>
      <c r="AZ12" s="20">
        <v>17.321743512219705</v>
      </c>
      <c r="BA12" s="21">
        <v>17.321743512219705</v>
      </c>
      <c r="BB12" s="20">
        <v>22.9</v>
      </c>
      <c r="BC12" s="21">
        <v>22.925837001467251</v>
      </c>
      <c r="BD12" s="20">
        <v>18.600000000000001</v>
      </c>
      <c r="BE12" s="21">
        <v>18.581081081081077</v>
      </c>
      <c r="BF12" s="20">
        <v>9.4</v>
      </c>
      <c r="BG12" s="21">
        <v>9.417808219178081</v>
      </c>
      <c r="BH12" s="20">
        <v>9.417808219178081</v>
      </c>
      <c r="BI12" s="21">
        <v>12.7</v>
      </c>
      <c r="BJ12" s="20">
        <v>12.731481481481477</v>
      </c>
      <c r="BK12" s="21">
        <v>13.6</v>
      </c>
      <c r="BL12" s="20">
        <v>13.626678559040682</v>
      </c>
      <c r="BM12" s="21">
        <v>6.7</v>
      </c>
      <c r="BN12" s="20">
        <v>6.6548895288338219</v>
      </c>
      <c r="BO12" s="21">
        <v>6.6548895288338219</v>
      </c>
      <c r="BP12" s="20">
        <v>8.6999999999999993</v>
      </c>
      <c r="BQ12" s="21">
        <v>8.6715227193895252</v>
      </c>
      <c r="BR12" s="20">
        <v>11</v>
      </c>
      <c r="BS12" s="21">
        <v>11.010492999828839</v>
      </c>
      <c r="BT12" s="20">
        <v>5.6</v>
      </c>
      <c r="BU12" s="21">
        <v>5.6428776624122801</v>
      </c>
      <c r="BV12" s="20">
        <v>5.6428776624122801</v>
      </c>
      <c r="BW12" s="21">
        <v>7.3</v>
      </c>
      <c r="BX12" s="20">
        <v>7.3488639324438978</v>
      </c>
      <c r="BY12" s="21">
        <v>8.6</v>
      </c>
      <c r="BZ12" s="20">
        <v>8.6075220352564106</v>
      </c>
      <c r="CA12" s="21">
        <v>4.5</v>
      </c>
      <c r="CB12" s="20">
        <v>4.475911458333333</v>
      </c>
      <c r="CC12" s="21">
        <v>4.475911458333333</v>
      </c>
      <c r="CD12" s="20">
        <v>5.6</v>
      </c>
      <c r="CE12" s="21">
        <v>5.7839389754756203</v>
      </c>
      <c r="CF12" s="20">
        <v>2.5462962962962998</v>
      </c>
      <c r="CG12" s="21">
        <v>6.7</v>
      </c>
      <c r="CH12" s="20">
        <v>6.7186240257995165</v>
      </c>
      <c r="CI12" s="21">
        <v>3.6</v>
      </c>
      <c r="CJ12" s="20">
        <v>3.6163392783759352</v>
      </c>
      <c r="CK12" s="21">
        <v>3.6163392783759352</v>
      </c>
      <c r="CL12" s="20">
        <v>4.7</v>
      </c>
      <c r="CM12" s="21">
        <v>4.7268523889941685</v>
      </c>
      <c r="CN12" s="20">
        <v>3.5</v>
      </c>
      <c r="CO12" s="21">
        <v>3.5426731078904989</v>
      </c>
      <c r="CP12" s="20">
        <v>2.2000000000000002</v>
      </c>
      <c r="CQ12" s="21">
        <v>2.1868352517842582</v>
      </c>
      <c r="CR12" s="20">
        <v>2.1868352517842582</v>
      </c>
      <c r="CS12" s="21">
        <v>2.4</v>
      </c>
      <c r="CT12" s="20">
        <v>2.4202420242024201</v>
      </c>
      <c r="CU12" s="21">
        <v>4.5999999999999996</v>
      </c>
      <c r="CV12" s="20">
        <v>4.6248110900318657</v>
      </c>
      <c r="CW12" s="1">
        <v>2.4</v>
      </c>
      <c r="CX12" s="1">
        <v>2.4013450314519398</v>
      </c>
      <c r="CY12" s="1">
        <v>2.4013450314519398</v>
      </c>
      <c r="CZ12" s="1">
        <v>3.2</v>
      </c>
      <c r="DA12" s="1">
        <v>3.2017933473680893</v>
      </c>
      <c r="DB12" s="1">
        <v>4.5999999999999996</v>
      </c>
      <c r="DC12" s="1">
        <v>4.6248110900318657</v>
      </c>
      <c r="DD12" s="1">
        <v>2.4</v>
      </c>
      <c r="DE12" s="1">
        <v>2.4013450314519398</v>
      </c>
      <c r="DF12" s="1">
        <v>2.4013450314519398</v>
      </c>
      <c r="DG12" s="1">
        <v>3.2</v>
      </c>
      <c r="DH12" s="1">
        <v>3.2017933473680893</v>
      </c>
      <c r="DI12" s="1">
        <v>1.7</v>
      </c>
      <c r="DJ12" s="1">
        <v>1.7313019390581716</v>
      </c>
      <c r="DK12" s="1">
        <v>0.8</v>
      </c>
      <c r="DL12" s="1">
        <v>0.84331253162421982</v>
      </c>
      <c r="DM12" s="1">
        <v>0.84331253162421982</v>
      </c>
      <c r="DN12" s="1">
        <v>1</v>
      </c>
      <c r="DO12" s="1">
        <v>0.99088386841062237</v>
      </c>
      <c r="DP12" s="1">
        <v>1.3</v>
      </c>
      <c r="DQ12" s="1">
        <v>1.2913223140495864</v>
      </c>
      <c r="DR12" s="1">
        <v>0.7</v>
      </c>
      <c r="DS12" s="1">
        <v>0.70861678004535134</v>
      </c>
      <c r="DT12" s="1">
        <v>0.70861678004535134</v>
      </c>
      <c r="DU12" s="1">
        <v>0.9</v>
      </c>
      <c r="DV12" s="1">
        <v>0.87487672191645738</v>
      </c>
      <c r="DW12" s="1">
        <v>19.6428571428571</v>
      </c>
      <c r="DX12" s="1">
        <v>8.4876543209876605</v>
      </c>
      <c r="DY12" s="1">
        <v>8.4876543209876605</v>
      </c>
      <c r="DZ12" s="1">
        <v>6.4667842445620201</v>
      </c>
      <c r="EA12" s="1">
        <v>7.8571428571428603</v>
      </c>
      <c r="EB12" s="1">
        <v>3.4722222222222201</v>
      </c>
      <c r="EC12" s="1">
        <v>2.0957171162932502</v>
      </c>
      <c r="ED12" s="1" t="e">
        <f>IF(Custom!BT26&gt;EC2,Custom!BT26,EC2)</f>
        <v>#DIV/0!</v>
      </c>
      <c r="EE12" s="655"/>
      <c r="EF12" s="655"/>
      <c r="EG12" s="655"/>
      <c r="EH12" s="655"/>
    </row>
    <row r="13" spans="1:138" ht="14.25" customHeight="1">
      <c r="A13" s="1" t="s">
        <v>489</v>
      </c>
      <c r="B13" s="687"/>
      <c r="C13" s="975" t="s">
        <v>67</v>
      </c>
      <c r="D13" s="8" t="s">
        <v>68</v>
      </c>
      <c r="E13" s="8" t="s">
        <v>24</v>
      </c>
      <c r="F13" s="19">
        <v>80</v>
      </c>
      <c r="G13" s="22">
        <v>140</v>
      </c>
      <c r="H13" s="19">
        <v>110</v>
      </c>
      <c r="I13" s="22">
        <v>120</v>
      </c>
      <c r="J13" s="22">
        <v>120</v>
      </c>
      <c r="K13" s="19">
        <v>80</v>
      </c>
      <c r="L13" s="22">
        <v>210</v>
      </c>
      <c r="M13" s="22">
        <v>210</v>
      </c>
      <c r="N13" s="22">
        <v>210</v>
      </c>
      <c r="O13" s="22">
        <v>140</v>
      </c>
      <c r="P13" s="19">
        <v>50</v>
      </c>
      <c r="Q13" s="22">
        <v>165</v>
      </c>
      <c r="R13" s="22">
        <v>165</v>
      </c>
      <c r="S13" s="19">
        <v>110</v>
      </c>
      <c r="T13" s="22">
        <v>160</v>
      </c>
      <c r="U13" s="22">
        <v>160</v>
      </c>
      <c r="V13" s="22">
        <v>80</v>
      </c>
      <c r="W13" s="22">
        <v>400</v>
      </c>
      <c r="X13" s="22">
        <v>280</v>
      </c>
      <c r="Y13" s="19">
        <v>280</v>
      </c>
      <c r="Z13" s="19">
        <v>280</v>
      </c>
      <c r="AA13" s="19">
        <v>280</v>
      </c>
      <c r="AB13" s="19">
        <v>400</v>
      </c>
      <c r="AC13" s="19">
        <v>140</v>
      </c>
      <c r="AD13" s="22">
        <v>50</v>
      </c>
      <c r="AE13" s="19">
        <v>220</v>
      </c>
      <c r="AF13" s="19">
        <v>220</v>
      </c>
      <c r="AG13" s="19">
        <v>110</v>
      </c>
      <c r="AH13" s="22">
        <v>80</v>
      </c>
      <c r="AI13" s="22">
        <v>140</v>
      </c>
      <c r="AJ13" s="19">
        <v>50</v>
      </c>
      <c r="AK13" s="22">
        <v>110</v>
      </c>
      <c r="AL13" s="19">
        <v>220</v>
      </c>
      <c r="AM13" s="22">
        <v>400</v>
      </c>
      <c r="AN13" s="19">
        <v>310</v>
      </c>
      <c r="AO13" s="19">
        <f>Custom!H27</f>
        <v>520</v>
      </c>
      <c r="AP13" s="22">
        <v>25</v>
      </c>
      <c r="AQ13" s="19">
        <v>43</v>
      </c>
      <c r="AR13" s="22">
        <v>34</v>
      </c>
      <c r="AS13" s="22">
        <v>79</v>
      </c>
      <c r="AT13" s="19"/>
      <c r="AU13" s="22"/>
      <c r="AV13" s="19"/>
      <c r="AW13" s="22">
        <v>40</v>
      </c>
      <c r="AX13" s="19">
        <v>40</v>
      </c>
      <c r="AY13" s="22">
        <v>70</v>
      </c>
      <c r="AZ13" s="19">
        <v>70</v>
      </c>
      <c r="BA13" s="22">
        <v>70</v>
      </c>
      <c r="BB13" s="19">
        <v>55</v>
      </c>
      <c r="BC13" s="22">
        <v>55</v>
      </c>
      <c r="BD13" s="19">
        <v>64</v>
      </c>
      <c r="BE13" s="22">
        <v>64</v>
      </c>
      <c r="BF13" s="19">
        <v>112</v>
      </c>
      <c r="BG13" s="22">
        <v>112</v>
      </c>
      <c r="BH13" s="19">
        <v>112</v>
      </c>
      <c r="BI13" s="22">
        <v>88</v>
      </c>
      <c r="BJ13" s="19">
        <v>88</v>
      </c>
      <c r="BK13" s="22">
        <v>80</v>
      </c>
      <c r="BL13" s="19">
        <v>80</v>
      </c>
      <c r="BM13" s="22">
        <v>140</v>
      </c>
      <c r="BN13" s="19">
        <v>140</v>
      </c>
      <c r="BO13" s="22">
        <v>140</v>
      </c>
      <c r="BP13" s="19">
        <v>110</v>
      </c>
      <c r="BQ13" s="22">
        <v>110</v>
      </c>
      <c r="BR13" s="19">
        <v>94</v>
      </c>
      <c r="BS13" s="22">
        <v>94</v>
      </c>
      <c r="BT13" s="19">
        <v>166</v>
      </c>
      <c r="BU13" s="22">
        <v>166</v>
      </c>
      <c r="BV13" s="19">
        <v>166</v>
      </c>
      <c r="BW13" s="22">
        <v>130</v>
      </c>
      <c r="BX13" s="19">
        <v>130</v>
      </c>
      <c r="BY13" s="22">
        <v>120</v>
      </c>
      <c r="BZ13" s="19">
        <v>120</v>
      </c>
      <c r="CA13" s="22">
        <v>210</v>
      </c>
      <c r="CB13" s="19">
        <v>210</v>
      </c>
      <c r="CC13" s="22">
        <v>210</v>
      </c>
      <c r="CD13" s="19">
        <v>165</v>
      </c>
      <c r="CE13" s="22">
        <v>165</v>
      </c>
      <c r="CF13" s="19">
        <v>390</v>
      </c>
      <c r="CG13" s="22">
        <v>160</v>
      </c>
      <c r="CH13" s="19">
        <v>160</v>
      </c>
      <c r="CI13" s="22">
        <v>280</v>
      </c>
      <c r="CJ13" s="19">
        <v>280</v>
      </c>
      <c r="CK13" s="22">
        <v>280</v>
      </c>
      <c r="CL13" s="19">
        <v>220</v>
      </c>
      <c r="CM13" s="22">
        <v>220</v>
      </c>
      <c r="CN13" s="19">
        <v>160</v>
      </c>
      <c r="CO13" s="22">
        <v>160</v>
      </c>
      <c r="CP13" s="19">
        <v>280</v>
      </c>
      <c r="CQ13" s="22">
        <v>280</v>
      </c>
      <c r="CR13" s="19">
        <v>280</v>
      </c>
      <c r="CS13" s="22">
        <v>220</v>
      </c>
      <c r="CT13" s="19">
        <v>220</v>
      </c>
      <c r="CU13" s="22">
        <v>220</v>
      </c>
      <c r="CV13" s="19">
        <v>220</v>
      </c>
      <c r="CW13" s="1">
        <v>400</v>
      </c>
      <c r="CX13" s="1">
        <v>400</v>
      </c>
      <c r="CY13" s="1">
        <v>400</v>
      </c>
      <c r="CZ13" s="1">
        <v>310</v>
      </c>
      <c r="DA13" s="1">
        <v>310</v>
      </c>
      <c r="DB13" s="1">
        <v>220</v>
      </c>
      <c r="DC13" s="1">
        <v>220</v>
      </c>
      <c r="DD13" s="1">
        <v>400</v>
      </c>
      <c r="DE13" s="1">
        <v>400</v>
      </c>
      <c r="DF13" s="1">
        <v>400</v>
      </c>
      <c r="DG13" s="1">
        <v>310</v>
      </c>
      <c r="DH13" s="1">
        <v>310</v>
      </c>
      <c r="DI13" s="1">
        <v>240</v>
      </c>
      <c r="DJ13" s="1">
        <v>240</v>
      </c>
      <c r="DK13" s="1">
        <v>420</v>
      </c>
      <c r="DL13" s="1">
        <v>420</v>
      </c>
      <c r="DM13" s="1">
        <v>420</v>
      </c>
      <c r="DN13" s="1">
        <v>330</v>
      </c>
      <c r="DO13" s="1">
        <v>330</v>
      </c>
      <c r="DP13" s="1">
        <v>310</v>
      </c>
      <c r="DQ13" s="1">
        <v>310</v>
      </c>
      <c r="DR13" s="1">
        <v>550</v>
      </c>
      <c r="DS13" s="1">
        <v>550</v>
      </c>
      <c r="DT13" s="1">
        <v>550</v>
      </c>
      <c r="DU13" s="1">
        <v>430</v>
      </c>
      <c r="DV13" s="1">
        <v>430</v>
      </c>
      <c r="DW13" s="1">
        <v>43</v>
      </c>
      <c r="DX13" s="1">
        <v>70</v>
      </c>
      <c r="DY13" s="1">
        <v>70</v>
      </c>
      <c r="DZ13" s="1">
        <v>80</v>
      </c>
      <c r="EA13" s="1">
        <v>140</v>
      </c>
      <c r="EB13" s="1">
        <v>210</v>
      </c>
      <c r="EC13" s="1">
        <v>280</v>
      </c>
      <c r="ED13" s="1">
        <f>Custom!K27</f>
        <v>0</v>
      </c>
      <c r="EE13" s="655"/>
      <c r="EF13" s="655"/>
      <c r="EG13" s="655"/>
      <c r="EH13" s="655"/>
    </row>
    <row r="14" spans="1:138">
      <c r="A14" s="1" t="s">
        <v>490</v>
      </c>
      <c r="B14" s="687"/>
      <c r="C14" s="976"/>
      <c r="D14" s="7" t="s">
        <v>69</v>
      </c>
      <c r="E14" s="7" t="s">
        <v>24</v>
      </c>
      <c r="F14" s="20">
        <v>30</v>
      </c>
      <c r="G14" s="21">
        <v>30</v>
      </c>
      <c r="H14" s="20">
        <v>30</v>
      </c>
      <c r="I14" s="21">
        <v>50</v>
      </c>
      <c r="J14" s="21">
        <v>50</v>
      </c>
      <c r="K14" s="20">
        <v>56</v>
      </c>
      <c r="L14" s="21">
        <v>50</v>
      </c>
      <c r="M14" s="21">
        <v>50</v>
      </c>
      <c r="N14" s="21">
        <v>50</v>
      </c>
      <c r="O14" s="21">
        <v>56</v>
      </c>
      <c r="P14" s="20">
        <v>56</v>
      </c>
      <c r="Q14" s="21">
        <v>50</v>
      </c>
      <c r="R14" s="21">
        <v>50</v>
      </c>
      <c r="S14" s="20">
        <v>56</v>
      </c>
      <c r="T14" s="21">
        <v>60</v>
      </c>
      <c r="U14" s="21">
        <v>60</v>
      </c>
      <c r="V14" s="21">
        <v>60</v>
      </c>
      <c r="W14" s="21">
        <v>60</v>
      </c>
      <c r="X14" s="21">
        <v>60</v>
      </c>
      <c r="Y14" s="20">
        <v>60</v>
      </c>
      <c r="Z14" s="20">
        <v>60</v>
      </c>
      <c r="AA14" s="20">
        <v>60</v>
      </c>
      <c r="AB14" s="20">
        <v>60</v>
      </c>
      <c r="AC14" s="20">
        <v>60</v>
      </c>
      <c r="AD14" s="21">
        <v>60</v>
      </c>
      <c r="AE14" s="20">
        <v>60</v>
      </c>
      <c r="AF14" s="20">
        <v>60</v>
      </c>
      <c r="AG14" s="20">
        <v>60</v>
      </c>
      <c r="AH14" s="21">
        <v>60</v>
      </c>
      <c r="AI14" s="21">
        <v>60</v>
      </c>
      <c r="AJ14" s="20">
        <v>60</v>
      </c>
      <c r="AK14" s="21">
        <v>60</v>
      </c>
      <c r="AL14" s="20">
        <v>80</v>
      </c>
      <c r="AM14" s="21">
        <v>80</v>
      </c>
      <c r="AN14" s="20">
        <v>80</v>
      </c>
      <c r="AO14" s="20">
        <f>Custom!H28</f>
        <v>60</v>
      </c>
      <c r="AP14" s="21">
        <v>10</v>
      </c>
      <c r="AQ14" s="20">
        <v>10</v>
      </c>
      <c r="AR14" s="21">
        <v>10</v>
      </c>
      <c r="AS14" s="21">
        <v>10</v>
      </c>
      <c r="AT14" s="20"/>
      <c r="AU14" s="21"/>
      <c r="AV14" s="20"/>
      <c r="AW14" s="21">
        <v>20</v>
      </c>
      <c r="AX14" s="20">
        <v>20</v>
      </c>
      <c r="AY14" s="21">
        <v>20</v>
      </c>
      <c r="AZ14" s="20">
        <v>20</v>
      </c>
      <c r="BA14" s="21">
        <v>20</v>
      </c>
      <c r="BB14" s="20">
        <v>20</v>
      </c>
      <c r="BC14" s="21">
        <v>20</v>
      </c>
      <c r="BD14" s="20">
        <v>25</v>
      </c>
      <c r="BE14" s="21">
        <v>25</v>
      </c>
      <c r="BF14" s="20">
        <v>25</v>
      </c>
      <c r="BG14" s="21">
        <v>25</v>
      </c>
      <c r="BH14" s="20">
        <v>25</v>
      </c>
      <c r="BI14" s="21">
        <v>25</v>
      </c>
      <c r="BJ14" s="20">
        <v>25</v>
      </c>
      <c r="BK14" s="21">
        <v>30</v>
      </c>
      <c r="BL14" s="20">
        <v>30</v>
      </c>
      <c r="BM14" s="21">
        <v>30</v>
      </c>
      <c r="BN14" s="20">
        <v>30</v>
      </c>
      <c r="BO14" s="21">
        <v>30</v>
      </c>
      <c r="BP14" s="20">
        <v>30</v>
      </c>
      <c r="BQ14" s="21">
        <v>30</v>
      </c>
      <c r="BR14" s="20">
        <v>40</v>
      </c>
      <c r="BS14" s="21">
        <v>40</v>
      </c>
      <c r="BT14" s="20">
        <v>40</v>
      </c>
      <c r="BU14" s="21">
        <v>40</v>
      </c>
      <c r="BV14" s="20">
        <v>40</v>
      </c>
      <c r="BW14" s="21">
        <v>40</v>
      </c>
      <c r="BX14" s="20">
        <v>40</v>
      </c>
      <c r="BY14" s="21">
        <v>50</v>
      </c>
      <c r="BZ14" s="20">
        <v>50</v>
      </c>
      <c r="CA14" s="21">
        <v>50</v>
      </c>
      <c r="CB14" s="20">
        <v>50</v>
      </c>
      <c r="CC14" s="21">
        <v>50</v>
      </c>
      <c r="CD14" s="20">
        <v>50</v>
      </c>
      <c r="CE14" s="21">
        <v>50</v>
      </c>
      <c r="CF14" s="20">
        <v>50</v>
      </c>
      <c r="CG14" s="21">
        <v>60</v>
      </c>
      <c r="CH14" s="20">
        <v>60</v>
      </c>
      <c r="CI14" s="21">
        <v>60</v>
      </c>
      <c r="CJ14" s="20">
        <v>60</v>
      </c>
      <c r="CK14" s="21">
        <v>60</v>
      </c>
      <c r="CL14" s="20">
        <v>60</v>
      </c>
      <c r="CM14" s="21">
        <v>60</v>
      </c>
      <c r="CN14" s="20">
        <v>60</v>
      </c>
      <c r="CO14" s="21">
        <v>60</v>
      </c>
      <c r="CP14" s="20">
        <v>60</v>
      </c>
      <c r="CQ14" s="21">
        <v>60</v>
      </c>
      <c r="CR14" s="20">
        <v>60</v>
      </c>
      <c r="CS14" s="21">
        <v>60</v>
      </c>
      <c r="CT14" s="20">
        <v>60</v>
      </c>
      <c r="CU14" s="21">
        <v>80</v>
      </c>
      <c r="CV14" s="20">
        <v>80</v>
      </c>
      <c r="CW14" s="1">
        <v>80</v>
      </c>
      <c r="CX14" s="1">
        <v>80</v>
      </c>
      <c r="CY14" s="1">
        <v>80</v>
      </c>
      <c r="CZ14" s="1">
        <v>80</v>
      </c>
      <c r="DA14" s="1">
        <v>80</v>
      </c>
      <c r="DB14" s="1">
        <v>80</v>
      </c>
      <c r="DC14" s="1">
        <v>80</v>
      </c>
      <c r="DD14" s="1">
        <v>80</v>
      </c>
      <c r="DE14" s="1">
        <v>80</v>
      </c>
      <c r="DF14" s="1">
        <v>80</v>
      </c>
      <c r="DG14" s="1">
        <v>80</v>
      </c>
      <c r="DH14" s="1">
        <v>80</v>
      </c>
      <c r="DI14" s="1" t="s">
        <v>528</v>
      </c>
      <c r="DJ14" s="1" t="s">
        <v>528</v>
      </c>
      <c r="DK14" s="1" t="s">
        <v>528</v>
      </c>
      <c r="DL14" s="1" t="s">
        <v>528</v>
      </c>
      <c r="DM14" s="1" t="s">
        <v>528</v>
      </c>
      <c r="DN14" s="1" t="s">
        <v>528</v>
      </c>
      <c r="DO14" s="1" t="s">
        <v>528</v>
      </c>
      <c r="DP14" s="1" t="s">
        <v>529</v>
      </c>
      <c r="DQ14" s="1" t="s">
        <v>529</v>
      </c>
      <c r="DR14" s="1" t="s">
        <v>529</v>
      </c>
      <c r="DS14" s="1" t="s">
        <v>529</v>
      </c>
      <c r="DT14" s="1" t="s">
        <v>529</v>
      </c>
      <c r="DU14" s="1" t="s">
        <v>529</v>
      </c>
      <c r="DV14" s="1" t="s">
        <v>529</v>
      </c>
      <c r="DW14" s="1">
        <v>10</v>
      </c>
      <c r="DX14" s="1">
        <v>20</v>
      </c>
      <c r="DY14" s="1">
        <v>20</v>
      </c>
      <c r="DZ14" s="1">
        <v>30</v>
      </c>
      <c r="EA14" s="1">
        <v>88</v>
      </c>
      <c r="EB14" s="1">
        <v>162</v>
      </c>
      <c r="EC14" s="1">
        <v>186</v>
      </c>
      <c r="ED14" s="1">
        <f>Custom!K28</f>
        <v>0</v>
      </c>
      <c r="EE14" s="655"/>
      <c r="EF14" s="655"/>
      <c r="EG14" s="655"/>
      <c r="EH14" s="655"/>
    </row>
    <row r="15" spans="1:138">
      <c r="A15" s="1" t="s">
        <v>563</v>
      </c>
      <c r="B15" s="687"/>
      <c r="C15" s="976"/>
      <c r="D15" s="8" t="s">
        <v>70</v>
      </c>
      <c r="E15" s="8" t="s">
        <v>11</v>
      </c>
      <c r="F15" s="19">
        <v>0.15</v>
      </c>
      <c r="G15" s="22">
        <v>0.3</v>
      </c>
      <c r="H15" s="19">
        <v>0.2</v>
      </c>
      <c r="I15" s="22">
        <v>0.76561226243810554</v>
      </c>
      <c r="J15" s="22">
        <v>0.76561226243810554</v>
      </c>
      <c r="K15" s="19">
        <v>0.72</v>
      </c>
      <c r="L15" s="22">
        <v>1.5312245248762111</v>
      </c>
      <c r="M15" s="22">
        <v>1.42</v>
      </c>
      <c r="N15" s="22">
        <v>1.42</v>
      </c>
      <c r="O15" s="22">
        <v>1.36</v>
      </c>
      <c r="P15" s="19">
        <v>0.43</v>
      </c>
      <c r="Q15" s="22">
        <v>1.1484183936571584</v>
      </c>
      <c r="R15" s="22">
        <v>1.1484183936571584</v>
      </c>
      <c r="S15" s="19">
        <v>1.04</v>
      </c>
      <c r="T15" s="22">
        <v>1.2856076175653635</v>
      </c>
      <c r="U15" s="22">
        <v>1.2856076175653635</v>
      </c>
      <c r="V15" s="22">
        <v>0.68</v>
      </c>
      <c r="W15" s="22">
        <v>3.4799999999999995</v>
      </c>
      <c r="X15" s="22">
        <v>2.4</v>
      </c>
      <c r="Y15" s="19">
        <v>2.5712152351307269</v>
      </c>
      <c r="Z15" s="19">
        <v>2.4</v>
      </c>
      <c r="AA15" s="19">
        <v>2.4</v>
      </c>
      <c r="AB15" s="19">
        <v>3.5999999999999996</v>
      </c>
      <c r="AC15" s="19">
        <v>1.24</v>
      </c>
      <c r="AD15" s="22">
        <v>0.44</v>
      </c>
      <c r="AE15" s="19">
        <v>1.9284114263480454</v>
      </c>
      <c r="AF15" s="19">
        <v>1.9284114263480454</v>
      </c>
      <c r="AG15" s="19">
        <v>0.98</v>
      </c>
      <c r="AH15" s="22">
        <v>0.56000000000000005</v>
      </c>
      <c r="AI15" s="22">
        <v>1</v>
      </c>
      <c r="AJ15" s="19">
        <v>0.34</v>
      </c>
      <c r="AK15" s="22">
        <v>0.78</v>
      </c>
      <c r="AL15" s="19">
        <v>3</v>
      </c>
      <c r="AM15" s="22">
        <v>5.7</v>
      </c>
      <c r="AN15" s="19">
        <v>4.4000000000000004</v>
      </c>
      <c r="AO15" s="19">
        <f>Custom!H29</f>
        <v>4.5999999999999996</v>
      </c>
      <c r="AP15" s="22">
        <v>8.9999999999999993E-3</v>
      </c>
      <c r="AQ15" s="19">
        <v>1.4E-2</v>
      </c>
      <c r="AR15" s="22">
        <v>1.0999999999999999E-2</v>
      </c>
      <c r="AS15" s="22">
        <v>3.5000000000000003E-2</v>
      </c>
      <c r="AT15" s="19"/>
      <c r="AU15" s="22"/>
      <c r="AV15" s="19"/>
      <c r="AW15" s="22">
        <v>0.05</v>
      </c>
      <c r="AX15" s="19">
        <v>0.05</v>
      </c>
      <c r="AY15" s="22">
        <v>0.08</v>
      </c>
      <c r="AZ15" s="19">
        <v>0.08</v>
      </c>
      <c r="BA15" s="22">
        <v>0.08</v>
      </c>
      <c r="BB15" s="19">
        <v>0.06</v>
      </c>
      <c r="BC15" s="22">
        <v>0.06</v>
      </c>
      <c r="BD15" s="19">
        <v>0.09</v>
      </c>
      <c r="BE15" s="22">
        <v>0.09</v>
      </c>
      <c r="BF15" s="19">
        <v>0.16</v>
      </c>
      <c r="BG15" s="22">
        <v>0.16</v>
      </c>
      <c r="BH15" s="19">
        <v>0.16</v>
      </c>
      <c r="BI15" s="22">
        <v>0.12</v>
      </c>
      <c r="BJ15" s="19">
        <v>0.12</v>
      </c>
      <c r="BK15" s="22">
        <v>0.15</v>
      </c>
      <c r="BL15" s="19">
        <v>0.15</v>
      </c>
      <c r="BM15" s="22">
        <v>0.3</v>
      </c>
      <c r="BN15" s="19">
        <v>0.3</v>
      </c>
      <c r="BO15" s="22">
        <v>0.3</v>
      </c>
      <c r="BP15" s="19">
        <v>0.2</v>
      </c>
      <c r="BQ15" s="22">
        <v>0.2</v>
      </c>
      <c r="BR15" s="19">
        <v>0.3</v>
      </c>
      <c r="BS15" s="22">
        <v>0.3</v>
      </c>
      <c r="BT15" s="19">
        <v>0.7</v>
      </c>
      <c r="BU15" s="22">
        <v>0.7</v>
      </c>
      <c r="BV15" s="19">
        <v>0.7</v>
      </c>
      <c r="BW15" s="22">
        <v>0.5</v>
      </c>
      <c r="BX15" s="19">
        <v>0.5</v>
      </c>
      <c r="BY15" s="22">
        <v>0.8</v>
      </c>
      <c r="BZ15" s="19">
        <v>0.8</v>
      </c>
      <c r="CA15" s="22">
        <v>1.5</v>
      </c>
      <c r="CB15" s="19">
        <v>1.5</v>
      </c>
      <c r="CC15" s="22">
        <v>1.5</v>
      </c>
      <c r="CD15" s="19">
        <v>1.1000000000000001</v>
      </c>
      <c r="CE15" s="22">
        <v>1.1000000000000001</v>
      </c>
      <c r="CF15" s="19">
        <v>2.9</v>
      </c>
      <c r="CG15" s="22">
        <v>1.2</v>
      </c>
      <c r="CH15" s="19">
        <v>1.2</v>
      </c>
      <c r="CI15" s="22">
        <v>2.2000000000000002</v>
      </c>
      <c r="CJ15" s="19">
        <v>2.2000000000000002</v>
      </c>
      <c r="CK15" s="22">
        <v>2.2000000000000002</v>
      </c>
      <c r="CL15" s="19">
        <v>1.7</v>
      </c>
      <c r="CM15" s="22">
        <v>1.7</v>
      </c>
      <c r="CN15" s="19">
        <v>1.3</v>
      </c>
      <c r="CO15" s="22">
        <v>1.3</v>
      </c>
      <c r="CP15" s="19">
        <v>2.4</v>
      </c>
      <c r="CQ15" s="22">
        <v>2.4</v>
      </c>
      <c r="CR15" s="19">
        <v>2.4</v>
      </c>
      <c r="CS15" s="22">
        <v>1.9</v>
      </c>
      <c r="CT15" s="19">
        <v>1.9</v>
      </c>
      <c r="CU15" s="22">
        <v>3</v>
      </c>
      <c r="CV15" s="19">
        <v>3</v>
      </c>
      <c r="CW15" s="1">
        <v>5.4</v>
      </c>
      <c r="CX15" s="1">
        <v>5.4</v>
      </c>
      <c r="CY15" s="1">
        <v>5.4</v>
      </c>
      <c r="CZ15" s="1">
        <v>4.2</v>
      </c>
      <c r="DA15" s="1">
        <v>4.2</v>
      </c>
      <c r="DB15" s="1">
        <v>3</v>
      </c>
      <c r="DC15" s="1">
        <v>3</v>
      </c>
      <c r="DD15" s="1">
        <v>5.4</v>
      </c>
      <c r="DE15" s="1">
        <v>5.4</v>
      </c>
      <c r="DF15" s="1">
        <v>5.4</v>
      </c>
      <c r="DG15" s="1">
        <v>4.2</v>
      </c>
      <c r="DH15" s="1">
        <v>4.2</v>
      </c>
      <c r="DI15" s="1">
        <v>10</v>
      </c>
      <c r="DJ15" s="1">
        <v>10</v>
      </c>
      <c r="DK15" s="1">
        <v>15</v>
      </c>
      <c r="DL15" s="1">
        <v>15</v>
      </c>
      <c r="DM15" s="1">
        <v>15</v>
      </c>
      <c r="DN15" s="1">
        <v>13</v>
      </c>
      <c r="DO15" s="1">
        <v>13</v>
      </c>
      <c r="DP15" s="1">
        <v>16</v>
      </c>
      <c r="DQ15" s="1">
        <v>16</v>
      </c>
      <c r="DR15" s="1">
        <v>27</v>
      </c>
      <c r="DS15" s="1">
        <v>27</v>
      </c>
      <c r="DT15" s="1">
        <v>27</v>
      </c>
      <c r="DU15" s="1">
        <v>21</v>
      </c>
      <c r="DV15" s="1">
        <v>21</v>
      </c>
      <c r="DW15" s="654">
        <f>VLOOKUP(Smart!$AC$45,'Shaft Weight'!$A$1:$CD$15,MATCH(DW3,'Shaft Weight'!$A$2:$CD$2,1))</f>
        <v>0.115</v>
      </c>
      <c r="DX15" s="654">
        <f>VLOOKUP(Smart!$AC$48,'Shaft Weight'!$A$1:$CD$15,MATCH(DX3,'Shaft Weight'!$A$2:$CD$2,1))</f>
        <v>0.6</v>
      </c>
      <c r="DY15" s="654">
        <f>VLOOKUP(Smart!$AC$48,'Shaft Weight'!$A$1:$CD$15,MATCH(DY3,'Shaft Weight'!$A$2:$CD$2,1))</f>
        <v>0.8</v>
      </c>
      <c r="DZ15" s="654">
        <f>VLOOKUP(Smart!$AC$49,'Shaft Weight'!$A$1:$CD$15,MATCH(DZ3,'Shaft Weight'!$A$2:$CD$2,1))</f>
        <v>2.2999999999999998</v>
      </c>
      <c r="EA15" s="1">
        <f>'Shaft Weight'!CB3</f>
        <v>0.5</v>
      </c>
      <c r="EB15" s="1">
        <f>'Shaft Weight'!CC3</f>
        <v>2.7</v>
      </c>
      <c r="EC15" s="1">
        <f>'Shaft Weight'!CD3</f>
        <v>4.4000000000000004</v>
      </c>
      <c r="ED15" s="1">
        <f>Custom!K29</f>
        <v>0</v>
      </c>
      <c r="EE15" s="655"/>
      <c r="EF15" s="655"/>
      <c r="EG15" s="655"/>
      <c r="EH15" s="655"/>
    </row>
    <row r="16" spans="1:138">
      <c r="A16" s="1" t="s">
        <v>562</v>
      </c>
      <c r="B16" s="687"/>
      <c r="C16" s="976"/>
      <c r="D16" s="7" t="s">
        <v>71</v>
      </c>
      <c r="E16" s="7" t="s">
        <v>24</v>
      </c>
      <c r="F16" s="20">
        <v>0.8</v>
      </c>
      <c r="G16" s="21">
        <v>0.8</v>
      </c>
      <c r="H16" s="20">
        <v>0.8</v>
      </c>
      <c r="I16" s="21">
        <v>2</v>
      </c>
      <c r="J16" s="21">
        <v>2</v>
      </c>
      <c r="K16" s="20">
        <v>2</v>
      </c>
      <c r="L16" s="21">
        <v>2</v>
      </c>
      <c r="M16" s="21">
        <v>2</v>
      </c>
      <c r="N16" s="21">
        <v>2</v>
      </c>
      <c r="O16" s="21">
        <v>2</v>
      </c>
      <c r="P16" s="20">
        <v>2</v>
      </c>
      <c r="Q16" s="21">
        <v>2</v>
      </c>
      <c r="R16" s="21">
        <v>2</v>
      </c>
      <c r="S16" s="20">
        <v>2</v>
      </c>
      <c r="T16" s="21">
        <v>2.5</v>
      </c>
      <c r="U16" s="21">
        <v>2.5</v>
      </c>
      <c r="V16" s="21">
        <v>2.5</v>
      </c>
      <c r="W16" s="21">
        <v>2.5</v>
      </c>
      <c r="X16" s="21">
        <v>2.5</v>
      </c>
      <c r="Y16" s="20">
        <v>2.5</v>
      </c>
      <c r="Z16" s="20">
        <v>2.5</v>
      </c>
      <c r="AA16" s="20">
        <v>2.5</v>
      </c>
      <c r="AB16" s="20">
        <v>2.5</v>
      </c>
      <c r="AC16" s="20">
        <v>2.5</v>
      </c>
      <c r="AD16" s="21">
        <v>2.5</v>
      </c>
      <c r="AE16" s="20">
        <v>2.5</v>
      </c>
      <c r="AF16" s="20">
        <v>2.5</v>
      </c>
      <c r="AG16" s="20">
        <v>2.5</v>
      </c>
      <c r="AH16" s="21">
        <v>3</v>
      </c>
      <c r="AI16" s="21">
        <v>3</v>
      </c>
      <c r="AJ16" s="20">
        <v>3</v>
      </c>
      <c r="AK16" s="21">
        <v>3</v>
      </c>
      <c r="AL16" s="20">
        <v>5</v>
      </c>
      <c r="AM16" s="21">
        <v>5</v>
      </c>
      <c r="AN16" s="20">
        <v>5</v>
      </c>
      <c r="AO16" s="20">
        <f>Custom!H30</f>
        <v>1</v>
      </c>
      <c r="AP16" s="21">
        <v>0.5</v>
      </c>
      <c r="AQ16" s="20">
        <v>0.5</v>
      </c>
      <c r="AR16" s="21">
        <v>0.5</v>
      </c>
      <c r="AS16" s="21">
        <v>0.5</v>
      </c>
      <c r="AT16" s="20"/>
      <c r="AU16" s="21"/>
      <c r="AV16" s="20"/>
      <c r="AW16" s="21">
        <v>0.5</v>
      </c>
      <c r="AX16" s="20">
        <v>0.5</v>
      </c>
      <c r="AY16" s="21">
        <v>0.5</v>
      </c>
      <c r="AZ16" s="20">
        <v>0.5</v>
      </c>
      <c r="BA16" s="21">
        <v>0.5</v>
      </c>
      <c r="BB16" s="20">
        <v>0.5</v>
      </c>
      <c r="BC16" s="21">
        <v>0.5</v>
      </c>
      <c r="BD16" s="20">
        <v>0.5</v>
      </c>
      <c r="BE16" s="21">
        <v>0.5</v>
      </c>
      <c r="BF16" s="20">
        <v>0.5</v>
      </c>
      <c r="BG16" s="21">
        <v>0.5</v>
      </c>
      <c r="BH16" s="20">
        <v>0.5</v>
      </c>
      <c r="BI16" s="21">
        <v>0.5</v>
      </c>
      <c r="BJ16" s="20">
        <v>0.5</v>
      </c>
      <c r="BK16" s="21">
        <v>0.5</v>
      </c>
      <c r="BL16" s="20">
        <v>0.5</v>
      </c>
      <c r="BM16" s="21">
        <v>0.5</v>
      </c>
      <c r="BN16" s="20">
        <v>0.5</v>
      </c>
      <c r="BO16" s="21">
        <v>0.5</v>
      </c>
      <c r="BP16" s="20">
        <v>0.5</v>
      </c>
      <c r="BQ16" s="21">
        <v>0.5</v>
      </c>
      <c r="BR16" s="20">
        <v>0.75</v>
      </c>
      <c r="BS16" s="21">
        <v>0.75</v>
      </c>
      <c r="BT16" s="20">
        <v>0.75</v>
      </c>
      <c r="BU16" s="21">
        <v>0.75</v>
      </c>
      <c r="BV16" s="20">
        <v>0.75</v>
      </c>
      <c r="BW16" s="21">
        <v>0.75</v>
      </c>
      <c r="BX16" s="20">
        <v>0.75</v>
      </c>
      <c r="BY16" s="21">
        <v>0.75</v>
      </c>
      <c r="BZ16" s="20">
        <v>0.75</v>
      </c>
      <c r="CA16" s="21">
        <v>0.75</v>
      </c>
      <c r="CB16" s="20">
        <v>0.75</v>
      </c>
      <c r="CC16" s="21">
        <v>0.75</v>
      </c>
      <c r="CD16" s="20">
        <v>0.75</v>
      </c>
      <c r="CE16" s="21">
        <v>0.75</v>
      </c>
      <c r="CF16" s="20">
        <v>0.75</v>
      </c>
      <c r="CG16" s="21">
        <v>1</v>
      </c>
      <c r="CH16" s="20">
        <v>1</v>
      </c>
      <c r="CI16" s="21">
        <v>1</v>
      </c>
      <c r="CJ16" s="20">
        <v>1</v>
      </c>
      <c r="CK16" s="21">
        <v>1</v>
      </c>
      <c r="CL16" s="20">
        <v>1</v>
      </c>
      <c r="CM16" s="21">
        <v>1</v>
      </c>
      <c r="CN16" s="20">
        <v>1</v>
      </c>
      <c r="CO16" s="21">
        <v>1</v>
      </c>
      <c r="CP16" s="20">
        <v>1</v>
      </c>
      <c r="CQ16" s="21">
        <v>1</v>
      </c>
      <c r="CR16" s="20">
        <v>1</v>
      </c>
      <c r="CS16" s="21">
        <v>1</v>
      </c>
      <c r="CT16" s="20">
        <v>1</v>
      </c>
      <c r="CU16" s="21">
        <v>1.65</v>
      </c>
      <c r="CV16" s="20">
        <v>1.65</v>
      </c>
      <c r="CW16" s="1">
        <v>1.65</v>
      </c>
      <c r="CX16" s="1">
        <v>1.65</v>
      </c>
      <c r="CY16" s="1">
        <v>1.65</v>
      </c>
      <c r="CZ16" s="1">
        <v>1.65</v>
      </c>
      <c r="DA16" s="1">
        <v>1.65</v>
      </c>
      <c r="DB16" s="1">
        <v>1.25</v>
      </c>
      <c r="DC16" s="1">
        <v>1.25</v>
      </c>
      <c r="DD16" s="1">
        <v>1.25</v>
      </c>
      <c r="DE16" s="1">
        <v>1.25</v>
      </c>
      <c r="DF16" s="1">
        <v>1.25</v>
      </c>
      <c r="DG16" s="1">
        <v>1.25</v>
      </c>
      <c r="DH16" s="1">
        <v>1.25</v>
      </c>
      <c r="DI16" s="1">
        <v>1.75</v>
      </c>
      <c r="DJ16" s="1">
        <v>1.75</v>
      </c>
      <c r="DK16" s="1">
        <v>1.75</v>
      </c>
      <c r="DL16" s="1">
        <v>1.75</v>
      </c>
      <c r="DM16" s="1">
        <v>1.75</v>
      </c>
      <c r="DN16" s="1">
        <v>1.75</v>
      </c>
      <c r="DO16" s="1">
        <v>1.75</v>
      </c>
      <c r="DP16" s="1">
        <v>1.75</v>
      </c>
      <c r="DQ16" s="1">
        <v>1.75</v>
      </c>
      <c r="DR16" s="1">
        <v>1.75</v>
      </c>
      <c r="DS16" s="1">
        <v>1.75</v>
      </c>
      <c r="DT16" s="1">
        <v>1.75</v>
      </c>
      <c r="DU16" s="1">
        <v>1.75</v>
      </c>
      <c r="DV16" s="1">
        <v>1.75</v>
      </c>
      <c r="DW16" s="1">
        <v>0.5</v>
      </c>
      <c r="DX16" s="1">
        <v>0.5</v>
      </c>
      <c r="DY16" s="1">
        <v>0.5</v>
      </c>
      <c r="DZ16" s="1">
        <v>0.5</v>
      </c>
      <c r="EA16" s="1">
        <v>2</v>
      </c>
      <c r="EB16" s="1">
        <v>2.5</v>
      </c>
      <c r="EC16" s="1">
        <v>2.5</v>
      </c>
      <c r="ED16" s="1" t="str">
        <f>Custom!K30</f>
        <v>N/A</v>
      </c>
      <c r="EE16" s="655"/>
      <c r="EF16" s="655"/>
      <c r="EG16" s="655"/>
      <c r="EH16" s="655"/>
    </row>
    <row r="17" spans="1:138" s="13" customFormat="1">
      <c r="A17" s="1" t="s">
        <v>564</v>
      </c>
      <c r="B17" s="687"/>
      <c r="C17" s="976"/>
      <c r="D17" s="8" t="s">
        <v>72</v>
      </c>
      <c r="E17" s="8" t="s">
        <v>24</v>
      </c>
      <c r="F17" s="19">
        <v>16</v>
      </c>
      <c r="G17" s="22">
        <v>16</v>
      </c>
      <c r="H17" s="19">
        <v>16</v>
      </c>
      <c r="I17" s="22">
        <v>25</v>
      </c>
      <c r="J17" s="22">
        <v>25</v>
      </c>
      <c r="K17" s="19">
        <v>25</v>
      </c>
      <c r="L17" s="22">
        <v>25</v>
      </c>
      <c r="M17" s="22">
        <v>25</v>
      </c>
      <c r="N17" s="22">
        <v>25</v>
      </c>
      <c r="O17" s="22">
        <v>25</v>
      </c>
      <c r="P17" s="19">
        <v>25</v>
      </c>
      <c r="Q17" s="22">
        <v>25</v>
      </c>
      <c r="R17" s="22">
        <v>25</v>
      </c>
      <c r="S17" s="19">
        <v>25</v>
      </c>
      <c r="T17" s="22">
        <v>32</v>
      </c>
      <c r="U17" s="22">
        <v>32</v>
      </c>
      <c r="V17" s="22">
        <v>32</v>
      </c>
      <c r="W17" s="22">
        <v>32</v>
      </c>
      <c r="X17" s="22">
        <v>32</v>
      </c>
      <c r="Y17" s="19">
        <v>32</v>
      </c>
      <c r="Z17" s="19">
        <v>32</v>
      </c>
      <c r="AA17" s="19">
        <v>32</v>
      </c>
      <c r="AB17" s="19">
        <v>32</v>
      </c>
      <c r="AC17" s="19">
        <v>32</v>
      </c>
      <c r="AD17" s="22">
        <v>32</v>
      </c>
      <c r="AE17" s="19">
        <v>32</v>
      </c>
      <c r="AF17" s="19">
        <v>32</v>
      </c>
      <c r="AG17" s="19">
        <v>32</v>
      </c>
      <c r="AH17" s="22">
        <v>35</v>
      </c>
      <c r="AI17" s="22">
        <v>35</v>
      </c>
      <c r="AJ17" s="19">
        <v>35</v>
      </c>
      <c r="AK17" s="22">
        <v>35</v>
      </c>
      <c r="AL17" s="19">
        <v>43</v>
      </c>
      <c r="AM17" s="22">
        <v>43</v>
      </c>
      <c r="AN17" s="19">
        <v>43</v>
      </c>
      <c r="AO17" s="19">
        <f>Custom!H31</f>
        <v>35</v>
      </c>
      <c r="AP17" s="22">
        <v>4</v>
      </c>
      <c r="AQ17" s="19">
        <v>4</v>
      </c>
      <c r="AR17" s="22">
        <v>4</v>
      </c>
      <c r="AS17" s="22">
        <v>4</v>
      </c>
      <c r="AT17" s="19"/>
      <c r="AU17" s="22"/>
      <c r="AV17" s="19"/>
      <c r="AW17" s="22">
        <v>8</v>
      </c>
      <c r="AX17" s="19">
        <v>8</v>
      </c>
      <c r="AY17" s="22">
        <v>8</v>
      </c>
      <c r="AZ17" s="19">
        <v>8</v>
      </c>
      <c r="BA17" s="22">
        <v>8</v>
      </c>
      <c r="BB17" s="19">
        <v>8</v>
      </c>
      <c r="BC17" s="22">
        <v>8</v>
      </c>
      <c r="BD17" s="19">
        <v>12</v>
      </c>
      <c r="BE17" s="22">
        <v>12</v>
      </c>
      <c r="BF17" s="19">
        <v>12</v>
      </c>
      <c r="BG17" s="22">
        <v>12</v>
      </c>
      <c r="BH17" s="19">
        <v>12</v>
      </c>
      <c r="BI17" s="22">
        <v>12</v>
      </c>
      <c r="BJ17" s="19">
        <v>12</v>
      </c>
      <c r="BK17" s="22">
        <v>16</v>
      </c>
      <c r="BL17" s="19">
        <v>16</v>
      </c>
      <c r="BM17" s="22">
        <v>16</v>
      </c>
      <c r="BN17" s="19">
        <v>16</v>
      </c>
      <c r="BO17" s="22">
        <v>16</v>
      </c>
      <c r="BP17" s="19">
        <v>16</v>
      </c>
      <c r="BQ17" s="22">
        <v>16</v>
      </c>
      <c r="BR17" s="19">
        <v>20</v>
      </c>
      <c r="BS17" s="22">
        <v>20</v>
      </c>
      <c r="BT17" s="19">
        <v>20</v>
      </c>
      <c r="BU17" s="22">
        <v>20</v>
      </c>
      <c r="BV17" s="19">
        <v>20</v>
      </c>
      <c r="BW17" s="22">
        <v>20</v>
      </c>
      <c r="BX17" s="19">
        <v>20</v>
      </c>
      <c r="BY17" s="22">
        <v>25</v>
      </c>
      <c r="BZ17" s="19">
        <v>25</v>
      </c>
      <c r="CA17" s="22">
        <v>25</v>
      </c>
      <c r="CB17" s="19">
        <v>25</v>
      </c>
      <c r="CC17" s="22">
        <v>25</v>
      </c>
      <c r="CD17" s="19">
        <v>25</v>
      </c>
      <c r="CE17" s="22">
        <v>25</v>
      </c>
      <c r="CF17" s="19">
        <v>25</v>
      </c>
      <c r="CG17" s="22">
        <v>32</v>
      </c>
      <c r="CH17" s="19">
        <v>32</v>
      </c>
      <c r="CI17" s="22">
        <v>32</v>
      </c>
      <c r="CJ17" s="19">
        <v>32</v>
      </c>
      <c r="CK17" s="22">
        <v>32</v>
      </c>
      <c r="CL17" s="19">
        <v>32</v>
      </c>
      <c r="CM17" s="22">
        <v>32</v>
      </c>
      <c r="CN17" s="19">
        <v>35</v>
      </c>
      <c r="CO17" s="22">
        <v>35</v>
      </c>
      <c r="CP17" s="19">
        <v>35</v>
      </c>
      <c r="CQ17" s="22">
        <v>35</v>
      </c>
      <c r="CR17" s="19">
        <v>35</v>
      </c>
      <c r="CS17" s="22">
        <v>35</v>
      </c>
      <c r="CT17" s="19">
        <v>35</v>
      </c>
      <c r="CU17" s="22">
        <v>42.7</v>
      </c>
      <c r="CV17" s="19">
        <v>42.7</v>
      </c>
      <c r="CW17" s="13">
        <v>42.7</v>
      </c>
      <c r="CX17" s="13">
        <v>42.7</v>
      </c>
      <c r="CY17" s="13">
        <v>42.7</v>
      </c>
      <c r="CZ17" s="13">
        <v>42.7</v>
      </c>
      <c r="DA17" s="13">
        <v>42.7</v>
      </c>
      <c r="DB17" s="13">
        <v>43.5</v>
      </c>
      <c r="DC17" s="13">
        <v>43.5</v>
      </c>
      <c r="DD17" s="13">
        <v>43.5</v>
      </c>
      <c r="DE17" s="13">
        <v>43.5</v>
      </c>
      <c r="DF17" s="13">
        <v>43.5</v>
      </c>
      <c r="DG17" s="13">
        <v>43.5</v>
      </c>
      <c r="DH17" s="13">
        <v>43.5</v>
      </c>
      <c r="DI17" s="13">
        <v>50</v>
      </c>
      <c r="DJ17" s="13">
        <v>50</v>
      </c>
      <c r="DK17" s="13">
        <v>50</v>
      </c>
      <c r="DL17" s="13">
        <v>50</v>
      </c>
      <c r="DM17" s="13">
        <v>50</v>
      </c>
      <c r="DN17" s="13">
        <v>50</v>
      </c>
      <c r="DO17" s="13">
        <v>50</v>
      </c>
      <c r="DP17" s="13">
        <v>60.5</v>
      </c>
      <c r="DQ17" s="13">
        <v>60.5</v>
      </c>
      <c r="DR17" s="13">
        <v>60.5</v>
      </c>
      <c r="DS17" s="13">
        <v>60.5</v>
      </c>
      <c r="DT17" s="13">
        <v>60.5</v>
      </c>
      <c r="DU17" s="13">
        <v>60.5</v>
      </c>
      <c r="DV17" s="13">
        <v>60.5</v>
      </c>
      <c r="DW17" s="13">
        <v>4</v>
      </c>
      <c r="DX17" s="13">
        <v>8</v>
      </c>
      <c r="DY17" s="13">
        <v>8</v>
      </c>
      <c r="DZ17" s="13">
        <v>16</v>
      </c>
      <c r="EA17" s="13">
        <v>16</v>
      </c>
      <c r="EB17" s="13">
        <v>25</v>
      </c>
      <c r="EC17" s="13">
        <v>35</v>
      </c>
      <c r="ED17" s="13" t="str">
        <f>Custom!K31</f>
        <v>N/A</v>
      </c>
      <c r="EE17" s="655"/>
      <c r="EF17" s="655"/>
      <c r="EG17" s="655"/>
      <c r="EH17" s="655"/>
    </row>
    <row r="18" spans="1:138" s="13" customFormat="1">
      <c r="A18" s="1" t="s">
        <v>491</v>
      </c>
      <c r="B18" s="687"/>
      <c r="C18" s="976"/>
      <c r="D18" s="7" t="s">
        <v>73</v>
      </c>
      <c r="E18" s="7" t="s">
        <v>24</v>
      </c>
      <c r="F18" s="20">
        <v>60</v>
      </c>
      <c r="G18" s="21">
        <v>60</v>
      </c>
      <c r="H18" s="20">
        <v>60</v>
      </c>
      <c r="I18" s="21">
        <v>90</v>
      </c>
      <c r="J18" s="21">
        <v>90</v>
      </c>
      <c r="K18" s="20">
        <v>60</v>
      </c>
      <c r="L18" s="21">
        <v>90</v>
      </c>
      <c r="M18" s="21">
        <v>90</v>
      </c>
      <c r="N18" s="21">
        <v>90</v>
      </c>
      <c r="O18" s="21">
        <v>60</v>
      </c>
      <c r="P18" s="20">
        <v>60</v>
      </c>
      <c r="Q18" s="21">
        <v>90</v>
      </c>
      <c r="R18" s="21">
        <v>90</v>
      </c>
      <c r="S18" s="20">
        <v>60</v>
      </c>
      <c r="T18" s="21">
        <v>120</v>
      </c>
      <c r="U18" s="21">
        <v>120</v>
      </c>
      <c r="V18" s="21">
        <v>60</v>
      </c>
      <c r="W18" s="21">
        <v>120</v>
      </c>
      <c r="X18" s="21">
        <v>120</v>
      </c>
      <c r="Y18" s="20">
        <v>120</v>
      </c>
      <c r="Z18" s="20">
        <v>120</v>
      </c>
      <c r="AA18" s="20">
        <v>120</v>
      </c>
      <c r="AB18" s="20">
        <v>120</v>
      </c>
      <c r="AC18" s="20">
        <v>60</v>
      </c>
      <c r="AD18" s="21">
        <v>60</v>
      </c>
      <c r="AE18" s="20">
        <v>120</v>
      </c>
      <c r="AF18" s="20">
        <v>120</v>
      </c>
      <c r="AG18" s="20">
        <v>60</v>
      </c>
      <c r="AH18" s="21">
        <v>60</v>
      </c>
      <c r="AI18" s="21">
        <v>60</v>
      </c>
      <c r="AJ18" s="20">
        <v>60</v>
      </c>
      <c r="AK18" s="21">
        <v>60</v>
      </c>
      <c r="AL18" s="20">
        <v>180</v>
      </c>
      <c r="AM18" s="21">
        <v>180</v>
      </c>
      <c r="AN18" s="20">
        <v>180</v>
      </c>
      <c r="AO18" s="20">
        <f>Custom!H32</f>
        <v>120</v>
      </c>
      <c r="AP18" s="21">
        <v>18</v>
      </c>
      <c r="AQ18" s="20">
        <v>18</v>
      </c>
      <c r="AR18" s="21">
        <v>18</v>
      </c>
      <c r="AS18" s="21">
        <v>18</v>
      </c>
      <c r="AT18" s="20"/>
      <c r="AU18" s="21"/>
      <c r="AV18" s="20"/>
      <c r="AW18" s="21">
        <v>30</v>
      </c>
      <c r="AX18" s="20">
        <v>30</v>
      </c>
      <c r="AY18" s="21">
        <v>30</v>
      </c>
      <c r="AZ18" s="20">
        <v>30</v>
      </c>
      <c r="BA18" s="21">
        <v>30</v>
      </c>
      <c r="BB18" s="20">
        <v>30</v>
      </c>
      <c r="BC18" s="21">
        <v>30</v>
      </c>
      <c r="BD18" s="20">
        <v>48</v>
      </c>
      <c r="BE18" s="21">
        <v>48</v>
      </c>
      <c r="BF18" s="20">
        <v>48</v>
      </c>
      <c r="BG18" s="21">
        <v>48</v>
      </c>
      <c r="BH18" s="20">
        <v>48</v>
      </c>
      <c r="BI18" s="21">
        <v>48</v>
      </c>
      <c r="BJ18" s="20">
        <v>48</v>
      </c>
      <c r="BK18" s="21">
        <v>60</v>
      </c>
      <c r="BL18" s="20">
        <v>60</v>
      </c>
      <c r="BM18" s="21">
        <v>60</v>
      </c>
      <c r="BN18" s="20">
        <v>60</v>
      </c>
      <c r="BO18" s="21">
        <v>60</v>
      </c>
      <c r="BP18" s="20">
        <v>60</v>
      </c>
      <c r="BQ18" s="21">
        <v>60</v>
      </c>
      <c r="BR18" s="20">
        <v>72</v>
      </c>
      <c r="BS18" s="21">
        <v>72</v>
      </c>
      <c r="BT18" s="20">
        <v>72</v>
      </c>
      <c r="BU18" s="21">
        <v>72</v>
      </c>
      <c r="BV18" s="20">
        <v>72</v>
      </c>
      <c r="BW18" s="21">
        <v>72</v>
      </c>
      <c r="BX18" s="20">
        <v>72</v>
      </c>
      <c r="BY18" s="21">
        <v>90</v>
      </c>
      <c r="BZ18" s="20">
        <v>90</v>
      </c>
      <c r="CA18" s="21">
        <v>90</v>
      </c>
      <c r="CB18" s="20">
        <v>90</v>
      </c>
      <c r="CC18" s="21">
        <v>90</v>
      </c>
      <c r="CD18" s="20">
        <v>90</v>
      </c>
      <c r="CE18" s="21">
        <v>90</v>
      </c>
      <c r="CF18" s="20">
        <v>90</v>
      </c>
      <c r="CG18" s="21">
        <v>120</v>
      </c>
      <c r="CH18" s="20">
        <v>120</v>
      </c>
      <c r="CI18" s="21">
        <v>120</v>
      </c>
      <c r="CJ18" s="20">
        <v>120</v>
      </c>
      <c r="CK18" s="21">
        <v>120</v>
      </c>
      <c r="CL18" s="20">
        <v>120</v>
      </c>
      <c r="CM18" s="21">
        <v>120</v>
      </c>
      <c r="CN18" s="20">
        <v>120</v>
      </c>
      <c r="CO18" s="21">
        <v>120</v>
      </c>
      <c r="CP18" s="20">
        <v>120</v>
      </c>
      <c r="CQ18" s="21">
        <v>120</v>
      </c>
      <c r="CR18" s="20">
        <v>120</v>
      </c>
      <c r="CS18" s="21">
        <v>120</v>
      </c>
      <c r="CT18" s="20">
        <v>120</v>
      </c>
      <c r="CU18" s="21">
        <v>180</v>
      </c>
      <c r="CV18" s="20">
        <v>180</v>
      </c>
      <c r="CW18" s="13">
        <v>180</v>
      </c>
      <c r="CX18" s="13">
        <v>180</v>
      </c>
      <c r="CY18" s="13">
        <v>180</v>
      </c>
      <c r="CZ18" s="13">
        <v>180</v>
      </c>
      <c r="DA18" s="13">
        <v>180</v>
      </c>
      <c r="DB18" s="13">
        <v>180</v>
      </c>
      <c r="DC18" s="13">
        <v>180</v>
      </c>
      <c r="DD18" s="13">
        <v>180</v>
      </c>
      <c r="DE18" s="13">
        <v>180</v>
      </c>
      <c r="DF18" s="13">
        <v>180</v>
      </c>
      <c r="DG18" s="13">
        <v>180</v>
      </c>
      <c r="DH18" s="13">
        <v>180</v>
      </c>
      <c r="DI18" s="13">
        <v>180</v>
      </c>
      <c r="DJ18" s="13">
        <v>180</v>
      </c>
      <c r="DK18" s="13">
        <v>180</v>
      </c>
      <c r="DL18" s="13">
        <v>180</v>
      </c>
      <c r="DM18" s="13">
        <v>180</v>
      </c>
      <c r="DN18" s="13">
        <v>180</v>
      </c>
      <c r="DO18" s="13">
        <v>180</v>
      </c>
      <c r="DP18" s="13">
        <v>240</v>
      </c>
      <c r="DQ18" s="13">
        <v>240</v>
      </c>
      <c r="DR18" s="13">
        <v>240</v>
      </c>
      <c r="DS18" s="13">
        <v>240</v>
      </c>
      <c r="DT18" s="13">
        <v>240</v>
      </c>
      <c r="DU18" s="13">
        <v>240</v>
      </c>
      <c r="DV18" s="13">
        <v>240</v>
      </c>
      <c r="DW18" s="13">
        <v>18</v>
      </c>
      <c r="DX18" s="13">
        <v>30</v>
      </c>
      <c r="DY18" s="13">
        <v>30</v>
      </c>
      <c r="DZ18" s="13">
        <v>60</v>
      </c>
      <c r="EA18" s="13">
        <v>60</v>
      </c>
      <c r="EB18" s="13">
        <v>90</v>
      </c>
      <c r="EC18" s="13">
        <v>120</v>
      </c>
      <c r="ED18" s="13">
        <f>Custom!K32</f>
        <v>0</v>
      </c>
      <c r="EE18" s="655"/>
      <c r="EF18" s="655"/>
      <c r="EG18" s="655"/>
      <c r="EH18" s="655"/>
    </row>
    <row r="19" spans="1:138" s="12" customFormat="1">
      <c r="A19" s="1" t="s">
        <v>492</v>
      </c>
      <c r="B19" s="687"/>
      <c r="C19" s="976"/>
      <c r="D19" s="518" t="s">
        <v>74</v>
      </c>
      <c r="E19" s="518" t="s">
        <v>24</v>
      </c>
      <c r="F19" s="19">
        <v>1800</v>
      </c>
      <c r="G19" s="22">
        <v>1800</v>
      </c>
      <c r="H19" s="19">
        <v>1800</v>
      </c>
      <c r="I19" s="22">
        <v>2500</v>
      </c>
      <c r="J19" s="22">
        <v>2500</v>
      </c>
      <c r="K19" s="19">
        <v>1620</v>
      </c>
      <c r="L19" s="22">
        <v>2500</v>
      </c>
      <c r="M19" s="22">
        <v>2500</v>
      </c>
      <c r="N19" s="22">
        <v>2500</v>
      </c>
      <c r="O19" s="22">
        <v>1560</v>
      </c>
      <c r="P19" s="19">
        <v>1650</v>
      </c>
      <c r="Q19" s="22">
        <v>2500</v>
      </c>
      <c r="R19" s="22">
        <v>2500</v>
      </c>
      <c r="S19" s="19">
        <v>1590</v>
      </c>
      <c r="T19" s="22">
        <v>3000</v>
      </c>
      <c r="U19" s="22">
        <v>3000</v>
      </c>
      <c r="V19" s="22">
        <v>2320</v>
      </c>
      <c r="W19" s="22">
        <v>3000</v>
      </c>
      <c r="X19" s="22">
        <v>3000</v>
      </c>
      <c r="Y19" s="19">
        <v>3000</v>
      </c>
      <c r="Z19" s="19">
        <v>3000</v>
      </c>
      <c r="AA19" s="19">
        <v>3000</v>
      </c>
      <c r="AB19" s="19">
        <v>3000</v>
      </c>
      <c r="AC19" s="19">
        <v>2260</v>
      </c>
      <c r="AD19" s="22">
        <v>2350</v>
      </c>
      <c r="AE19" s="19">
        <v>3000</v>
      </c>
      <c r="AF19" s="19">
        <v>3000</v>
      </c>
      <c r="AG19" s="19">
        <v>2290</v>
      </c>
      <c r="AH19" s="22">
        <v>2120</v>
      </c>
      <c r="AI19" s="22">
        <v>2060</v>
      </c>
      <c r="AJ19" s="19">
        <v>2150</v>
      </c>
      <c r="AK19" s="22">
        <v>2090</v>
      </c>
      <c r="AL19" s="19">
        <v>4600</v>
      </c>
      <c r="AM19" s="22">
        <v>4600</v>
      </c>
      <c r="AN19" s="19">
        <v>4600</v>
      </c>
      <c r="AO19" s="19">
        <f>Custom!H33</f>
        <v>1000</v>
      </c>
      <c r="AP19" s="22">
        <v>250</v>
      </c>
      <c r="AQ19" s="19">
        <v>200</v>
      </c>
      <c r="AR19" s="22">
        <v>200</v>
      </c>
      <c r="AS19" s="22">
        <v>200</v>
      </c>
      <c r="AT19" s="19"/>
      <c r="AU19" s="22"/>
      <c r="AV19" s="19"/>
      <c r="AW19" s="22">
        <v>230</v>
      </c>
      <c r="AX19" s="19">
        <v>230</v>
      </c>
      <c r="AY19" s="22">
        <v>200</v>
      </c>
      <c r="AZ19" s="19">
        <v>200</v>
      </c>
      <c r="BA19" s="22">
        <v>200</v>
      </c>
      <c r="BB19" s="19">
        <v>215</v>
      </c>
      <c r="BC19" s="22">
        <v>215</v>
      </c>
      <c r="BD19" s="19">
        <v>1540</v>
      </c>
      <c r="BE19" s="22">
        <v>1540</v>
      </c>
      <c r="BF19" s="19">
        <v>1490</v>
      </c>
      <c r="BG19" s="22">
        <v>1490</v>
      </c>
      <c r="BH19" s="19">
        <v>1490</v>
      </c>
      <c r="BI19" s="22">
        <v>1510</v>
      </c>
      <c r="BJ19" s="19">
        <v>1510</v>
      </c>
      <c r="BK19" s="22">
        <v>1755</v>
      </c>
      <c r="BL19" s="19">
        <v>1755</v>
      </c>
      <c r="BM19" s="22">
        <v>1715</v>
      </c>
      <c r="BN19" s="19">
        <v>1715</v>
      </c>
      <c r="BO19" s="22">
        <v>1715</v>
      </c>
      <c r="BP19" s="19">
        <v>1745</v>
      </c>
      <c r="BQ19" s="22">
        <v>1745</v>
      </c>
      <c r="BR19" s="19">
        <v>2470</v>
      </c>
      <c r="BS19" s="22">
        <v>2470</v>
      </c>
      <c r="BT19" s="19">
        <v>2390</v>
      </c>
      <c r="BU19" s="22">
        <v>2390</v>
      </c>
      <c r="BV19" s="19">
        <v>2390</v>
      </c>
      <c r="BW19" s="22">
        <v>2435</v>
      </c>
      <c r="BX19" s="19">
        <v>2435</v>
      </c>
      <c r="BY19" s="22">
        <v>2615</v>
      </c>
      <c r="BZ19" s="19">
        <v>2615</v>
      </c>
      <c r="CA19" s="22">
        <v>2525</v>
      </c>
      <c r="CB19" s="19">
        <v>2525</v>
      </c>
      <c r="CC19" s="22">
        <v>2525</v>
      </c>
      <c r="CD19" s="19">
        <v>2570</v>
      </c>
      <c r="CE19" s="22">
        <v>2570</v>
      </c>
      <c r="CF19" s="19">
        <v>1710</v>
      </c>
      <c r="CG19" s="22">
        <v>2310</v>
      </c>
      <c r="CH19" s="19">
        <v>2310</v>
      </c>
      <c r="CI19" s="22">
        <v>2190</v>
      </c>
      <c r="CJ19" s="19">
        <v>2190</v>
      </c>
      <c r="CK19" s="22">
        <v>2190</v>
      </c>
      <c r="CL19" s="19">
        <v>2250</v>
      </c>
      <c r="CM19" s="22">
        <v>2250</v>
      </c>
      <c r="CN19" s="19">
        <v>2120</v>
      </c>
      <c r="CO19" s="22">
        <v>2120</v>
      </c>
      <c r="CP19" s="19">
        <v>2000</v>
      </c>
      <c r="CQ19" s="22">
        <v>2000</v>
      </c>
      <c r="CR19" s="19">
        <v>2000</v>
      </c>
      <c r="CS19" s="22">
        <v>2060</v>
      </c>
      <c r="CT19" s="19">
        <v>2060</v>
      </c>
      <c r="CU19" s="22">
        <v>3180</v>
      </c>
      <c r="CV19" s="42">
        <v>3180</v>
      </c>
      <c r="CW19" s="12">
        <v>3000</v>
      </c>
      <c r="CX19" s="12">
        <v>3000</v>
      </c>
      <c r="CY19" s="12">
        <v>3000</v>
      </c>
      <c r="CZ19" s="12">
        <v>3090</v>
      </c>
      <c r="DA19" s="12">
        <v>3090</v>
      </c>
      <c r="DB19" s="12">
        <v>2180</v>
      </c>
      <c r="DC19" s="12">
        <v>2180</v>
      </c>
      <c r="DD19" s="12">
        <v>2000</v>
      </c>
      <c r="DE19" s="12">
        <v>2000</v>
      </c>
      <c r="DF19" s="12">
        <v>2000</v>
      </c>
      <c r="DG19" s="12">
        <v>2090</v>
      </c>
      <c r="DH19" s="12">
        <v>2090</v>
      </c>
      <c r="DI19" s="12">
        <v>3380</v>
      </c>
      <c r="DJ19" s="12">
        <v>3380</v>
      </c>
      <c r="DK19" s="12">
        <v>3200</v>
      </c>
      <c r="DL19" s="12">
        <v>3200</v>
      </c>
      <c r="DM19" s="12">
        <v>3200</v>
      </c>
      <c r="DN19" s="12">
        <v>3290</v>
      </c>
      <c r="DO19" s="12">
        <v>3290</v>
      </c>
      <c r="DP19" s="12">
        <v>3000</v>
      </c>
      <c r="DQ19" s="12">
        <v>3000</v>
      </c>
      <c r="DR19" s="12">
        <v>3000</v>
      </c>
      <c r="DS19" s="12">
        <v>3000</v>
      </c>
      <c r="DT19" s="12">
        <v>3000</v>
      </c>
      <c r="DU19" s="12">
        <v>3000</v>
      </c>
      <c r="DV19" s="12">
        <v>3000</v>
      </c>
      <c r="DW19" s="12">
        <v>40</v>
      </c>
      <c r="DX19" s="12">
        <v>150</v>
      </c>
      <c r="DY19" s="12">
        <v>300</v>
      </c>
      <c r="DZ19" s="12">
        <v>300</v>
      </c>
      <c r="EA19" s="12">
        <v>2000</v>
      </c>
      <c r="EB19" s="12">
        <v>2000</v>
      </c>
      <c r="EC19" s="12">
        <v>2000</v>
      </c>
      <c r="ED19" s="12">
        <f>IF(Custom!K10="",0,5000)</f>
        <v>0</v>
      </c>
      <c r="EE19" s="655"/>
      <c r="EF19" s="655"/>
      <c r="EG19" s="655"/>
      <c r="EH19" s="655"/>
    </row>
    <row r="20" spans="1:138">
      <c r="A20" s="13" t="s">
        <v>565</v>
      </c>
      <c r="B20" s="687"/>
      <c r="C20" s="976"/>
      <c r="D20" s="7"/>
      <c r="E20" s="7"/>
      <c r="F20" s="20">
        <v>6.3525000000000009</v>
      </c>
      <c r="G20" s="21">
        <v>12.402500000000002</v>
      </c>
      <c r="H20" s="20">
        <v>9.3775000000000013</v>
      </c>
      <c r="I20" s="21">
        <v>14.111500000000001</v>
      </c>
      <c r="J20" s="21">
        <v>14.111500000000001</v>
      </c>
      <c r="K20" s="20">
        <v>14.292320807211006</v>
      </c>
      <c r="L20" s="21">
        <v>28.223000000000003</v>
      </c>
      <c r="M20" s="21">
        <v>28.223000000000003</v>
      </c>
      <c r="N20" s="21">
        <v>28.223000000000003</v>
      </c>
      <c r="O20" s="21">
        <v>23.890278163721707</v>
      </c>
      <c r="P20" s="20">
        <v>10.570841889117039</v>
      </c>
      <c r="Q20" s="21">
        <v>21.167250000000003</v>
      </c>
      <c r="R20" s="21">
        <v>21.167250000000003</v>
      </c>
      <c r="S20" s="20">
        <v>20.77604348451403</v>
      </c>
      <c r="T20" s="21">
        <v>18.030339472237493</v>
      </c>
      <c r="U20" s="21">
        <v>18.030339472237493</v>
      </c>
      <c r="V20" s="21">
        <v>15.977133625888968</v>
      </c>
      <c r="W20" s="21">
        <v>54.050747884680185</v>
      </c>
      <c r="X20" s="21">
        <v>32.763738893643215</v>
      </c>
      <c r="Y20" s="20">
        <v>36.060678944474986</v>
      </c>
      <c r="Z20" s="20">
        <v>36.060678944474986</v>
      </c>
      <c r="AA20" s="20">
        <v>36.060678944474986</v>
      </c>
      <c r="AB20" s="20">
        <v>49.145608340464818</v>
      </c>
      <c r="AC20" s="20">
        <v>24.192171233657618</v>
      </c>
      <c r="AD20" s="21">
        <v>10.6651914893617</v>
      </c>
      <c r="AE20" s="20">
        <v>27.045509208356243</v>
      </c>
      <c r="AF20" s="20">
        <v>27.045509208356247</v>
      </c>
      <c r="AG20" s="20">
        <v>23.212491727219238</v>
      </c>
      <c r="AH20" s="21">
        <v>17.846678646493551</v>
      </c>
      <c r="AI20" s="21">
        <v>27.038940524687479</v>
      </c>
      <c r="AJ20" s="20">
        <v>10.218655999999999</v>
      </c>
      <c r="AK20" s="21">
        <v>20.379901390710359</v>
      </c>
      <c r="AL20" s="20">
        <v>37.584000000000003</v>
      </c>
      <c r="AM20" s="21">
        <v>67.047999999999988</v>
      </c>
      <c r="AN20" s="20">
        <v>57.024000000000008</v>
      </c>
      <c r="AO20" s="20">
        <f t="shared" ref="AO20" si="1">AO5^2*AO10</f>
        <v>68.921600000000012</v>
      </c>
      <c r="AP20" s="21">
        <v>0.87808000000000008</v>
      </c>
      <c r="AQ20" s="20">
        <v>1.7561600000000002</v>
      </c>
      <c r="AR20" s="21">
        <v>1.3171200000000003</v>
      </c>
      <c r="AS20" s="21">
        <v>3.5123200000000003</v>
      </c>
      <c r="AT20" s="20">
        <v>0</v>
      </c>
      <c r="AU20" s="21">
        <v>0</v>
      </c>
      <c r="AV20" s="20">
        <v>0</v>
      </c>
      <c r="AW20" s="21">
        <v>3.3163199999999997</v>
      </c>
      <c r="AX20" s="20">
        <v>3.3163199999999997</v>
      </c>
      <c r="AY20" s="21">
        <v>6.3503999999999987</v>
      </c>
      <c r="AZ20" s="20">
        <v>6.3503999999999987</v>
      </c>
      <c r="BA20" s="21">
        <v>6.3503999999999987</v>
      </c>
      <c r="BB20" s="20">
        <v>4.7980799999999988</v>
      </c>
      <c r="BC20" s="21">
        <v>4.7980800000000006</v>
      </c>
      <c r="BD20" s="20">
        <v>5.9200000000000008</v>
      </c>
      <c r="BE20" s="21">
        <v>5.9200000000000008</v>
      </c>
      <c r="BF20" s="20">
        <v>11.680000000000001</v>
      </c>
      <c r="BG20" s="21">
        <v>11.680000000000001</v>
      </c>
      <c r="BH20" s="20">
        <v>11.680000000000001</v>
      </c>
      <c r="BI20" s="21">
        <v>8.6400000000000023</v>
      </c>
      <c r="BJ20" s="20">
        <v>8.6400000000000023</v>
      </c>
      <c r="BK20" s="21">
        <v>8.0724</v>
      </c>
      <c r="BL20" s="20">
        <v>8.0724</v>
      </c>
      <c r="BM20" s="21">
        <v>16.529199999999999</v>
      </c>
      <c r="BN20" s="20">
        <v>16.529199999999999</v>
      </c>
      <c r="BO20" s="21">
        <v>16.529199999999999</v>
      </c>
      <c r="BP20" s="20">
        <v>12.6852</v>
      </c>
      <c r="BQ20" s="21">
        <v>12.685199999999998</v>
      </c>
      <c r="BR20" s="20">
        <v>9.9904699999999984</v>
      </c>
      <c r="BS20" s="21">
        <v>9.9904699999999984</v>
      </c>
      <c r="BT20" s="20">
        <v>19.493599999999997</v>
      </c>
      <c r="BU20" s="21">
        <v>19.493599999999997</v>
      </c>
      <c r="BV20" s="20">
        <v>19.493599999999997</v>
      </c>
      <c r="BW20" s="21">
        <v>14.968299999999999</v>
      </c>
      <c r="BX20" s="20">
        <v>14.968300000000001</v>
      </c>
      <c r="BY20" s="21">
        <v>12.77952</v>
      </c>
      <c r="BZ20" s="20">
        <v>12.77952</v>
      </c>
      <c r="CA20" s="21">
        <v>24.576000000000001</v>
      </c>
      <c r="CB20" s="20">
        <v>24.576000000000001</v>
      </c>
      <c r="CC20" s="21">
        <v>24.576000000000001</v>
      </c>
      <c r="CD20" s="20">
        <v>19.660800000000002</v>
      </c>
      <c r="CE20" s="21">
        <v>19.018181288981282</v>
      </c>
      <c r="CF20" s="20">
        <v>43.199999999999996</v>
      </c>
      <c r="CG20" s="21">
        <v>16.372399999999999</v>
      </c>
      <c r="CH20" s="20">
        <v>16.372399999999999</v>
      </c>
      <c r="CI20" s="21">
        <v>30.417499999999997</v>
      </c>
      <c r="CJ20" s="20">
        <v>30.417499999999997</v>
      </c>
      <c r="CK20" s="21">
        <v>30.417499999999997</v>
      </c>
      <c r="CL20" s="20">
        <v>23.271299999999997</v>
      </c>
      <c r="CM20" s="21">
        <v>23.2713</v>
      </c>
      <c r="CN20" s="20">
        <v>31.05</v>
      </c>
      <c r="CO20" s="21">
        <v>31.05</v>
      </c>
      <c r="CP20" s="20">
        <v>50.301000000000009</v>
      </c>
      <c r="CQ20" s="21">
        <v>50.301000000000009</v>
      </c>
      <c r="CR20" s="20">
        <v>50.301000000000009</v>
      </c>
      <c r="CS20" s="21">
        <v>45.449999999999996</v>
      </c>
      <c r="CT20" s="20">
        <v>45.45</v>
      </c>
      <c r="CU20" s="21">
        <v>23.784755281591853</v>
      </c>
      <c r="CV20" s="20">
        <v>23.784755281591853</v>
      </c>
      <c r="CW20" s="1">
        <v>45.807661356140073</v>
      </c>
      <c r="CX20" s="1">
        <v>45.807661356140073</v>
      </c>
      <c r="CY20" s="1">
        <v>45.807661356140073</v>
      </c>
      <c r="CZ20" s="1">
        <v>34.355746316488933</v>
      </c>
      <c r="DA20" s="1">
        <v>34.355746316488933</v>
      </c>
      <c r="DB20" s="1">
        <v>23.784755281591853</v>
      </c>
      <c r="DC20" s="1">
        <v>23.784755281591853</v>
      </c>
      <c r="DD20" s="1">
        <v>45.807661356140073</v>
      </c>
      <c r="DE20" s="1">
        <v>45.807661356140073</v>
      </c>
      <c r="DF20" s="1">
        <v>45.807661356140073</v>
      </c>
      <c r="DG20" s="1">
        <v>34.355746316488933</v>
      </c>
      <c r="DH20" s="1">
        <v>34.355746316488933</v>
      </c>
      <c r="DI20" s="1">
        <v>63.536000000000001</v>
      </c>
      <c r="DJ20" s="1">
        <v>63.536000000000001</v>
      </c>
      <c r="DK20" s="1">
        <v>130.43800000000002</v>
      </c>
      <c r="DL20" s="1">
        <v>130.43800000000002</v>
      </c>
      <c r="DM20" s="1">
        <v>130.43800000000002</v>
      </c>
      <c r="DN20" s="1">
        <v>111.012</v>
      </c>
      <c r="DO20" s="1">
        <v>111.01199999999999</v>
      </c>
      <c r="DP20" s="1">
        <v>85.184000000000026</v>
      </c>
      <c r="DQ20" s="1">
        <v>85.184000000000026</v>
      </c>
      <c r="DR20" s="1">
        <v>155.23200000000003</v>
      </c>
      <c r="DS20" s="1">
        <v>155.23200000000003</v>
      </c>
      <c r="DT20" s="1">
        <v>155.23200000000003</v>
      </c>
      <c r="DU20" s="1">
        <v>125.73199999999999</v>
      </c>
      <c r="DV20" s="1">
        <v>125.73199999999997</v>
      </c>
      <c r="DW20" s="1">
        <v>5.6</v>
      </c>
      <c r="DX20" s="1">
        <v>12.96</v>
      </c>
      <c r="DY20" s="1">
        <v>12.96</v>
      </c>
      <c r="DZ20" s="1">
        <v>17.010000000000002</v>
      </c>
      <c r="EA20" s="1">
        <v>14</v>
      </c>
      <c r="EB20" s="1">
        <v>31.68</v>
      </c>
      <c r="EC20" s="1">
        <v>52.488</v>
      </c>
      <c r="ED20" s="1" t="e">
        <f t="shared" ref="ED20" si="2">ED5^2*ED10</f>
        <v>#DIV/0!</v>
      </c>
      <c r="EE20" s="655"/>
      <c r="EF20" s="655"/>
      <c r="EG20" s="655"/>
      <c r="EH20" s="655"/>
    </row>
    <row r="21" spans="1:138">
      <c r="A21" s="13" t="s">
        <v>455</v>
      </c>
      <c r="B21" s="13"/>
      <c r="C21" s="976"/>
      <c r="D21" s="518" t="s">
        <v>75</v>
      </c>
      <c r="E21" s="518" t="s">
        <v>24</v>
      </c>
      <c r="F21" s="19">
        <v>10</v>
      </c>
      <c r="G21" s="22">
        <v>10</v>
      </c>
      <c r="H21" s="19">
        <v>10</v>
      </c>
      <c r="I21" s="22">
        <v>15</v>
      </c>
      <c r="J21" s="22">
        <v>15</v>
      </c>
      <c r="K21" s="19">
        <v>10</v>
      </c>
      <c r="L21" s="22">
        <v>15</v>
      </c>
      <c r="M21" s="22">
        <v>15</v>
      </c>
      <c r="N21" s="22">
        <v>15</v>
      </c>
      <c r="O21" s="22">
        <v>10</v>
      </c>
      <c r="P21" s="19">
        <v>10</v>
      </c>
      <c r="Q21" s="22">
        <v>15</v>
      </c>
      <c r="R21" s="22">
        <v>15</v>
      </c>
      <c r="S21" s="19">
        <v>10</v>
      </c>
      <c r="T21" s="22">
        <v>20</v>
      </c>
      <c r="U21" s="22">
        <v>20</v>
      </c>
      <c r="V21" s="22">
        <v>10</v>
      </c>
      <c r="W21" s="22">
        <v>20</v>
      </c>
      <c r="X21" s="22">
        <v>140</v>
      </c>
      <c r="Y21" s="19">
        <v>20</v>
      </c>
      <c r="Z21" s="19">
        <v>20</v>
      </c>
      <c r="AA21" s="19">
        <v>20</v>
      </c>
      <c r="AB21" s="19">
        <v>-100</v>
      </c>
      <c r="AC21" s="19">
        <v>10</v>
      </c>
      <c r="AD21" s="22">
        <v>10</v>
      </c>
      <c r="AE21" s="19">
        <v>20</v>
      </c>
      <c r="AF21" s="19">
        <v>20</v>
      </c>
      <c r="AG21" s="19">
        <v>10</v>
      </c>
      <c r="AH21" s="22">
        <v>10</v>
      </c>
      <c r="AI21" s="22">
        <v>10</v>
      </c>
      <c r="AJ21" s="19">
        <v>10</v>
      </c>
      <c r="AK21" s="22">
        <v>10</v>
      </c>
      <c r="AL21" s="19">
        <v>50</v>
      </c>
      <c r="AM21" s="22">
        <v>50</v>
      </c>
      <c r="AN21" s="19">
        <v>50</v>
      </c>
      <c r="AO21" s="19"/>
      <c r="AP21" s="22">
        <v>2</v>
      </c>
      <c r="AQ21" s="19">
        <v>2</v>
      </c>
      <c r="AR21" s="22">
        <v>2</v>
      </c>
      <c r="AS21" s="22">
        <v>2</v>
      </c>
      <c r="AT21" s="19">
        <v>0</v>
      </c>
      <c r="AU21" s="22">
        <v>0</v>
      </c>
      <c r="AV21" s="19">
        <v>0</v>
      </c>
      <c r="AW21" s="22">
        <v>5</v>
      </c>
      <c r="AX21" s="19">
        <v>5</v>
      </c>
      <c r="AY21" s="22">
        <v>5</v>
      </c>
      <c r="AZ21" s="19">
        <v>5</v>
      </c>
      <c r="BA21" s="22">
        <v>5</v>
      </c>
      <c r="BB21" s="19">
        <v>5</v>
      </c>
      <c r="BC21" s="22">
        <v>5</v>
      </c>
      <c r="BD21" s="19">
        <v>8</v>
      </c>
      <c r="BE21" s="22">
        <v>8</v>
      </c>
      <c r="BF21" s="19">
        <v>8</v>
      </c>
      <c r="BG21" s="22">
        <v>8</v>
      </c>
      <c r="BH21" s="19">
        <v>8</v>
      </c>
      <c r="BI21" s="22">
        <v>8</v>
      </c>
      <c r="BJ21" s="19">
        <v>8</v>
      </c>
      <c r="BK21" s="22">
        <v>10</v>
      </c>
      <c r="BL21" s="19">
        <v>10</v>
      </c>
      <c r="BM21" s="22">
        <v>10</v>
      </c>
      <c r="BN21" s="19">
        <v>10</v>
      </c>
      <c r="BO21" s="22">
        <v>10</v>
      </c>
      <c r="BP21" s="19">
        <v>10</v>
      </c>
      <c r="BQ21" s="22">
        <v>10</v>
      </c>
      <c r="BR21" s="19">
        <v>14</v>
      </c>
      <c r="BS21" s="22">
        <v>14</v>
      </c>
      <c r="BT21" s="19">
        <v>14</v>
      </c>
      <c r="BU21" s="22">
        <v>14</v>
      </c>
      <c r="BV21" s="19">
        <v>14</v>
      </c>
      <c r="BW21" s="22">
        <v>14</v>
      </c>
      <c r="BX21" s="19">
        <v>14</v>
      </c>
      <c r="BY21" s="22">
        <v>15</v>
      </c>
      <c r="BZ21" s="19">
        <v>15</v>
      </c>
      <c r="CA21" s="22">
        <v>15</v>
      </c>
      <c r="CB21" s="19">
        <v>15</v>
      </c>
      <c r="CC21" s="22">
        <v>15</v>
      </c>
      <c r="CD21" s="19">
        <v>15</v>
      </c>
      <c r="CE21" s="22">
        <v>15</v>
      </c>
      <c r="CF21" s="19">
        <v>15</v>
      </c>
      <c r="CG21" s="22">
        <v>20</v>
      </c>
      <c r="CH21" s="19">
        <v>20</v>
      </c>
      <c r="CI21" s="22">
        <v>20</v>
      </c>
      <c r="CJ21" s="19">
        <v>20</v>
      </c>
      <c r="CK21" s="22">
        <v>20</v>
      </c>
      <c r="CL21" s="19">
        <v>20</v>
      </c>
      <c r="CM21" s="22">
        <v>20</v>
      </c>
      <c r="CN21" s="19">
        <v>20</v>
      </c>
      <c r="CO21" s="22">
        <v>20</v>
      </c>
      <c r="CP21" s="19">
        <v>20</v>
      </c>
      <c r="CQ21" s="22">
        <v>20</v>
      </c>
      <c r="CR21" s="19">
        <v>20</v>
      </c>
      <c r="CS21" s="22">
        <v>20</v>
      </c>
      <c r="CT21" s="19">
        <v>20</v>
      </c>
      <c r="CU21" s="22">
        <v>50</v>
      </c>
      <c r="CV21" s="19">
        <v>50</v>
      </c>
      <c r="CW21" s="1">
        <v>50</v>
      </c>
      <c r="CX21" s="1">
        <v>50</v>
      </c>
      <c r="CY21" s="1">
        <v>50</v>
      </c>
      <c r="CZ21" s="1">
        <v>50</v>
      </c>
      <c r="DA21" s="1">
        <v>50</v>
      </c>
      <c r="DB21" s="1">
        <v>50</v>
      </c>
      <c r="DC21" s="1">
        <v>50</v>
      </c>
      <c r="DD21" s="1">
        <v>50</v>
      </c>
      <c r="DE21" s="1">
        <v>50</v>
      </c>
      <c r="DF21" s="1">
        <v>50</v>
      </c>
      <c r="DG21" s="1">
        <v>50</v>
      </c>
      <c r="DH21" s="1">
        <v>50</v>
      </c>
      <c r="DI21" s="1">
        <v>30</v>
      </c>
      <c r="DJ21" s="1">
        <v>30</v>
      </c>
      <c r="DK21" s="1">
        <v>30</v>
      </c>
      <c r="DL21" s="1">
        <v>30</v>
      </c>
      <c r="DM21" s="1">
        <v>30</v>
      </c>
      <c r="DN21" s="1">
        <v>30</v>
      </c>
      <c r="DO21" s="1">
        <v>30</v>
      </c>
      <c r="DP21" s="1">
        <v>50</v>
      </c>
      <c r="DQ21" s="1">
        <v>50</v>
      </c>
      <c r="DR21" s="1">
        <v>50</v>
      </c>
      <c r="DS21" s="1">
        <v>50</v>
      </c>
      <c r="DT21" s="1">
        <v>50</v>
      </c>
      <c r="DU21" s="1">
        <v>50</v>
      </c>
      <c r="DV21" s="1">
        <v>50</v>
      </c>
      <c r="DW21" s="1">
        <v>-34</v>
      </c>
      <c r="DX21" s="1">
        <v>-55</v>
      </c>
      <c r="DY21" s="1">
        <v>-55</v>
      </c>
      <c r="DZ21" s="1">
        <v>-50</v>
      </c>
      <c r="EA21" s="1">
        <v>-110</v>
      </c>
      <c r="EB21" s="1">
        <v>-165</v>
      </c>
      <c r="EC21" s="1">
        <v>-220</v>
      </c>
      <c r="ED21" s="1" t="s">
        <v>322</v>
      </c>
      <c r="EE21" s="655"/>
      <c r="EF21" s="655"/>
      <c r="EG21" s="655"/>
      <c r="EH21" s="655"/>
    </row>
    <row r="22" spans="1:138">
      <c r="A22" s="12" t="s">
        <v>567</v>
      </c>
      <c r="B22" s="687"/>
      <c r="C22" s="977"/>
      <c r="D22" s="7" t="s">
        <v>624</v>
      </c>
      <c r="E22" s="7"/>
      <c r="F22" s="20">
        <v>240</v>
      </c>
      <c r="G22" s="21">
        <v>240</v>
      </c>
      <c r="H22" s="20">
        <v>240</v>
      </c>
      <c r="I22" s="21">
        <v>240</v>
      </c>
      <c r="J22" s="21">
        <v>240</v>
      </c>
      <c r="K22" s="20">
        <v>240</v>
      </c>
      <c r="L22" s="21">
        <v>240</v>
      </c>
      <c r="M22" s="21">
        <v>240</v>
      </c>
      <c r="N22" s="21">
        <v>240</v>
      </c>
      <c r="O22" s="21">
        <v>240</v>
      </c>
      <c r="P22" s="20">
        <v>240</v>
      </c>
      <c r="Q22" s="21">
        <v>240</v>
      </c>
      <c r="R22" s="21">
        <v>240</v>
      </c>
      <c r="S22" s="20">
        <v>240</v>
      </c>
      <c r="T22" s="21">
        <v>240</v>
      </c>
      <c r="U22" s="21">
        <v>240</v>
      </c>
      <c r="V22" s="21">
        <v>240</v>
      </c>
      <c r="W22" s="21">
        <v>240</v>
      </c>
      <c r="X22" s="21">
        <v>400</v>
      </c>
      <c r="Y22" s="20">
        <v>240</v>
      </c>
      <c r="Z22" s="20">
        <v>240</v>
      </c>
      <c r="AA22" s="20">
        <v>240</v>
      </c>
      <c r="AB22" s="20">
        <v>400</v>
      </c>
      <c r="AC22" s="20">
        <v>240</v>
      </c>
      <c r="AD22" s="21">
        <v>240</v>
      </c>
      <c r="AE22" s="20">
        <v>240</v>
      </c>
      <c r="AF22" s="20">
        <v>240</v>
      </c>
      <c r="AG22" s="20">
        <v>240</v>
      </c>
      <c r="AH22" s="21">
        <v>240</v>
      </c>
      <c r="AI22" s="21">
        <v>240</v>
      </c>
      <c r="AJ22" s="20">
        <v>240</v>
      </c>
      <c r="AK22" s="21">
        <v>240</v>
      </c>
      <c r="AL22" s="20">
        <v>240</v>
      </c>
      <c r="AM22" s="21">
        <v>240</v>
      </c>
      <c r="AN22" s="20">
        <v>240</v>
      </c>
      <c r="AO22" s="20">
        <f>AO5^2*AO10</f>
        <v>68.921600000000012</v>
      </c>
      <c r="AP22" s="21">
        <v>24</v>
      </c>
      <c r="AQ22" s="20">
        <v>24</v>
      </c>
      <c r="AR22" s="21">
        <v>24</v>
      </c>
      <c r="AS22" s="21">
        <v>24</v>
      </c>
      <c r="AT22" s="20"/>
      <c r="AU22" s="21"/>
      <c r="AV22" s="20"/>
      <c r="AW22" s="21">
        <v>240</v>
      </c>
      <c r="AX22" s="20">
        <v>240</v>
      </c>
      <c r="AY22" s="21">
        <v>240</v>
      </c>
      <c r="AZ22" s="20">
        <v>240</v>
      </c>
      <c r="BA22" s="21">
        <v>240</v>
      </c>
      <c r="BB22" s="20">
        <v>240</v>
      </c>
      <c r="BC22" s="21">
        <v>240</v>
      </c>
      <c r="BD22" s="20">
        <v>240</v>
      </c>
      <c r="BE22" s="21">
        <v>240</v>
      </c>
      <c r="BF22" s="20">
        <v>240</v>
      </c>
      <c r="BG22" s="21">
        <v>240</v>
      </c>
      <c r="BH22" s="20">
        <v>240</v>
      </c>
      <c r="BI22" s="21">
        <v>240</v>
      </c>
      <c r="BJ22" s="20">
        <v>240</v>
      </c>
      <c r="BK22" s="21">
        <v>240</v>
      </c>
      <c r="BL22" s="20">
        <v>240</v>
      </c>
      <c r="BM22" s="21">
        <v>240</v>
      </c>
      <c r="BN22" s="20">
        <v>240</v>
      </c>
      <c r="BO22" s="21">
        <v>240</v>
      </c>
      <c r="BP22" s="20">
        <v>240</v>
      </c>
      <c r="BQ22" s="21">
        <v>240</v>
      </c>
      <c r="BR22" s="20">
        <v>240</v>
      </c>
      <c r="BS22" s="21">
        <v>240</v>
      </c>
      <c r="BT22" s="20">
        <v>240</v>
      </c>
      <c r="BU22" s="21">
        <v>240</v>
      </c>
      <c r="BV22" s="20">
        <v>240</v>
      </c>
      <c r="BW22" s="21">
        <v>240</v>
      </c>
      <c r="BX22" s="20">
        <v>240</v>
      </c>
      <c r="BY22" s="21">
        <v>240</v>
      </c>
      <c r="BZ22" s="20">
        <v>240</v>
      </c>
      <c r="CA22" s="21">
        <v>240</v>
      </c>
      <c r="CB22" s="20">
        <v>240</v>
      </c>
      <c r="CC22" s="21">
        <v>240</v>
      </c>
      <c r="CD22" s="20">
        <v>240</v>
      </c>
      <c r="CE22" s="21">
        <v>240</v>
      </c>
      <c r="CF22" s="20">
        <v>240</v>
      </c>
      <c r="CG22" s="21">
        <v>240</v>
      </c>
      <c r="CH22" s="20">
        <v>240</v>
      </c>
      <c r="CI22" s="21">
        <v>240</v>
      </c>
      <c r="CJ22" s="20">
        <v>240</v>
      </c>
      <c r="CK22" s="21">
        <v>240</v>
      </c>
      <c r="CL22" s="20">
        <v>240</v>
      </c>
      <c r="CM22" s="21">
        <v>240</v>
      </c>
      <c r="CN22" s="20">
        <v>240</v>
      </c>
      <c r="CO22" s="21">
        <v>240</v>
      </c>
      <c r="CP22" s="20">
        <v>240</v>
      </c>
      <c r="CQ22" s="21">
        <v>240</v>
      </c>
      <c r="CR22" s="20">
        <v>240</v>
      </c>
      <c r="CS22" s="21">
        <v>240</v>
      </c>
      <c r="CT22" s="20">
        <v>240</v>
      </c>
      <c r="CU22" s="21">
        <v>240</v>
      </c>
      <c r="CV22" s="20">
        <v>240</v>
      </c>
      <c r="CW22" s="1">
        <v>240</v>
      </c>
      <c r="CX22" s="1">
        <v>240</v>
      </c>
      <c r="CY22" s="1">
        <v>240</v>
      </c>
      <c r="CZ22" s="1">
        <v>240</v>
      </c>
      <c r="DA22" s="1">
        <v>240</v>
      </c>
      <c r="DB22" s="1">
        <v>240</v>
      </c>
      <c r="DC22" s="1">
        <v>240</v>
      </c>
      <c r="DD22" s="1">
        <v>240</v>
      </c>
      <c r="DE22" s="1">
        <v>240</v>
      </c>
      <c r="DF22" s="1">
        <v>240</v>
      </c>
      <c r="DG22" s="1">
        <v>240</v>
      </c>
      <c r="DH22" s="1">
        <v>240</v>
      </c>
      <c r="DI22" s="1">
        <v>240</v>
      </c>
      <c r="DJ22" s="1">
        <v>240</v>
      </c>
      <c r="DK22" s="1">
        <v>240</v>
      </c>
      <c r="DL22" s="1">
        <v>240</v>
      </c>
      <c r="DM22" s="1">
        <v>240</v>
      </c>
      <c r="DN22" s="1">
        <v>240</v>
      </c>
      <c r="DO22" s="1">
        <v>240</v>
      </c>
      <c r="DP22" s="1">
        <v>240</v>
      </c>
      <c r="DQ22" s="1">
        <v>240</v>
      </c>
      <c r="DR22" s="1">
        <v>240</v>
      </c>
      <c r="DS22" s="1">
        <v>240</v>
      </c>
      <c r="DT22" s="1">
        <v>240</v>
      </c>
      <c r="DU22" s="1">
        <v>240</v>
      </c>
      <c r="DV22" s="1">
        <v>240</v>
      </c>
      <c r="DW22" s="1">
        <v>75</v>
      </c>
      <c r="DX22" s="1">
        <v>76</v>
      </c>
      <c r="DY22" s="1">
        <v>77</v>
      </c>
      <c r="DZ22" s="1">
        <v>78</v>
      </c>
      <c r="EA22" s="1">
        <v>80</v>
      </c>
      <c r="EB22" s="1">
        <v>81</v>
      </c>
      <c r="EC22" s="1">
        <v>82</v>
      </c>
      <c r="ED22" s="1" t="e">
        <f t="shared" ref="ED22" si="3">ED5^2*ED10</f>
        <v>#DIV/0!</v>
      </c>
      <c r="EE22" s="655"/>
      <c r="EF22" s="655"/>
      <c r="EG22" s="655"/>
      <c r="EH22" s="655"/>
    </row>
    <row r="23" spans="1:138">
      <c r="A23" s="1" t="s">
        <v>566</v>
      </c>
      <c r="B23" s="687"/>
      <c r="C23" s="977"/>
      <c r="D23" s="518"/>
      <c r="E23" s="518" t="s">
        <v>54</v>
      </c>
      <c r="F23" s="19">
        <v>0.34761904761904761</v>
      </c>
      <c r="G23" s="22">
        <v>0.36585365853658536</v>
      </c>
      <c r="H23" s="19">
        <v>0.35483870967741937</v>
      </c>
      <c r="I23" s="22">
        <v>1.1065868263473055</v>
      </c>
      <c r="J23" s="22">
        <v>1.1065868263473055</v>
      </c>
      <c r="K23" s="19">
        <v>1.4706349206349207</v>
      </c>
      <c r="L23" s="22">
        <v>1.1065868263473055</v>
      </c>
      <c r="M23" s="22">
        <v>1.1065868263473055</v>
      </c>
      <c r="N23" s="22">
        <v>1.1065868263473055</v>
      </c>
      <c r="O23" s="22">
        <v>1.4466403162055337</v>
      </c>
      <c r="P23" s="19">
        <v>1.7492307692307691</v>
      </c>
      <c r="Q23" s="22">
        <v>1.1065868263473053</v>
      </c>
      <c r="R23" s="22">
        <v>1.1065868263473055</v>
      </c>
      <c r="S23" s="19">
        <v>1.4789473684210528</v>
      </c>
      <c r="T23" s="22">
        <v>1.2163525835866262</v>
      </c>
      <c r="U23" s="22">
        <v>1.2163525835866262</v>
      </c>
      <c r="V23" s="22">
        <v>1.1004243281471005</v>
      </c>
      <c r="W23" s="22"/>
      <c r="X23" s="22"/>
      <c r="Y23" s="19">
        <v>1.2163525835866262</v>
      </c>
      <c r="Z23" s="19">
        <v>1.2163525835866262</v>
      </c>
      <c r="AA23" s="19">
        <v>1.2163525835866262</v>
      </c>
      <c r="AB23" s="19"/>
      <c r="AC23" s="19">
        <v>1.0751173708920188</v>
      </c>
      <c r="AD23" s="22">
        <v>1.4166666666666665</v>
      </c>
      <c r="AE23" s="19">
        <v>1.216352583586626</v>
      </c>
      <c r="AF23" s="19">
        <v>1.216352583586626</v>
      </c>
      <c r="AG23" s="19">
        <v>1.1111111111111109</v>
      </c>
      <c r="AH23" s="22">
        <v>0.83018867924528317</v>
      </c>
      <c r="AI23" s="22">
        <v>0.820754716981132</v>
      </c>
      <c r="AJ23" s="19">
        <v>1.0902255639097744</v>
      </c>
      <c r="AK23" s="22">
        <v>0.84810126582278478</v>
      </c>
      <c r="AL23" s="19"/>
      <c r="AM23" s="22"/>
      <c r="AN23" s="19"/>
      <c r="AO23" s="19">
        <f>IF($I$1,#REF!,Custom!H37)</f>
        <v>0</v>
      </c>
      <c r="AP23" s="22">
        <v>4.4642857142857144E-2</v>
      </c>
      <c r="AQ23" s="19">
        <v>4.4196428571428574E-2</v>
      </c>
      <c r="AR23" s="22">
        <v>4.1666666666666664E-2</v>
      </c>
      <c r="AS23" s="22">
        <v>4.4642857142857144E-2</v>
      </c>
      <c r="AT23" s="19"/>
      <c r="AU23" s="22"/>
      <c r="AV23" s="19"/>
      <c r="AW23" s="22">
        <v>0.14893617021276595</v>
      </c>
      <c r="AX23" s="19">
        <v>0.14893617021276595</v>
      </c>
      <c r="AY23" s="22">
        <v>0.14444444444444446</v>
      </c>
      <c r="AZ23" s="19">
        <v>0.14444444444444446</v>
      </c>
      <c r="BA23" s="22">
        <v>0.14444444444444446</v>
      </c>
      <c r="BB23" s="19">
        <v>0.14705882352941177</v>
      </c>
      <c r="BC23" s="22">
        <v>0.14705882352941177</v>
      </c>
      <c r="BD23" s="19">
        <v>0.32432432432432434</v>
      </c>
      <c r="BE23" s="22">
        <v>0.32432432432432434</v>
      </c>
      <c r="BF23" s="19">
        <v>0.32876712328767121</v>
      </c>
      <c r="BG23" s="22">
        <v>0.32876712328767121</v>
      </c>
      <c r="BH23" s="19">
        <v>0.32876712328767121</v>
      </c>
      <c r="BI23" s="22">
        <v>0.33333333333333331</v>
      </c>
      <c r="BJ23" s="19">
        <v>0.33333333333333331</v>
      </c>
      <c r="BK23" s="22">
        <v>0.39047619047619042</v>
      </c>
      <c r="BL23" s="19">
        <v>0.39047619047619042</v>
      </c>
      <c r="BM23" s="22">
        <v>0.37209302325581395</v>
      </c>
      <c r="BN23" s="19">
        <v>0.37209302325581395</v>
      </c>
      <c r="BO23" s="22">
        <v>0.37209302325581395</v>
      </c>
      <c r="BP23" s="19">
        <v>0.36363636363636365</v>
      </c>
      <c r="BQ23" s="22">
        <v>0.36363636363636365</v>
      </c>
      <c r="BR23" s="19">
        <v>0.67247386759581884</v>
      </c>
      <c r="BS23" s="22">
        <v>0.67247386759581884</v>
      </c>
      <c r="BT23" s="19">
        <v>0.6964285714285714</v>
      </c>
      <c r="BU23" s="22">
        <v>0.6964285714285714</v>
      </c>
      <c r="BV23" s="19">
        <v>0.6964285714285714</v>
      </c>
      <c r="BW23" s="22">
        <v>0.67441860465116277</v>
      </c>
      <c r="BX23" s="19">
        <v>0.67441860465116277</v>
      </c>
      <c r="BY23" s="22">
        <v>1.2564102564102566</v>
      </c>
      <c r="BZ23" s="19">
        <v>1.2564102564102566</v>
      </c>
      <c r="CA23" s="22">
        <v>1.2666666666666666</v>
      </c>
      <c r="CB23" s="19">
        <v>1.2666666666666666</v>
      </c>
      <c r="CC23" s="22">
        <v>1.2666666666666666</v>
      </c>
      <c r="CD23" s="19">
        <v>1.25</v>
      </c>
      <c r="CE23" s="22">
        <v>1.1994949494949494</v>
      </c>
      <c r="CF23" s="19"/>
      <c r="CG23" s="22">
        <v>1.5454545454545454</v>
      </c>
      <c r="CH23" s="19">
        <v>1.5454545454545454</v>
      </c>
      <c r="CI23" s="22">
        <v>1.4782608695652173</v>
      </c>
      <c r="CJ23" s="19">
        <v>1.4782608695652173</v>
      </c>
      <c r="CK23" s="22">
        <v>1.4782608695652173</v>
      </c>
      <c r="CL23" s="19">
        <v>1.5294117647058822</v>
      </c>
      <c r="CM23" s="22">
        <v>1.5294117647058822</v>
      </c>
      <c r="CN23" s="19">
        <v>1.5797101449275361</v>
      </c>
      <c r="CO23" s="22">
        <v>1.5797101449275361</v>
      </c>
      <c r="CP23" s="19">
        <v>1.5797101449275361</v>
      </c>
      <c r="CQ23" s="22">
        <v>1.5797101449275361</v>
      </c>
      <c r="CR23" s="19">
        <v>1.5797101449275361</v>
      </c>
      <c r="CS23" s="22">
        <v>1.6336633663366338</v>
      </c>
      <c r="CT23" s="19">
        <v>1.6336633663366336</v>
      </c>
      <c r="CU23" s="22">
        <v>2.7037037037037033</v>
      </c>
      <c r="CV23" s="19">
        <v>2.7037037037037033</v>
      </c>
      <c r="CW23" s="1">
        <v>2.8846153846153846</v>
      </c>
      <c r="CX23" s="1">
        <v>2.8846153846153846</v>
      </c>
      <c r="CY23" s="1">
        <v>2.8846153846153846</v>
      </c>
      <c r="CZ23" s="1">
        <v>2.8205128205128207</v>
      </c>
      <c r="DA23" s="1">
        <v>2.8205128205128203</v>
      </c>
      <c r="DB23" s="1">
        <v>2.7037037037037033</v>
      </c>
      <c r="DC23" s="1">
        <v>2.7037037037037033</v>
      </c>
      <c r="DD23" s="1">
        <v>2.8846153846153846</v>
      </c>
      <c r="DE23" s="1">
        <v>2.8846153846153846</v>
      </c>
      <c r="DF23" s="1">
        <v>2.8846153846153846</v>
      </c>
      <c r="DG23" s="1">
        <v>2.8205128205128207</v>
      </c>
      <c r="DH23" s="1">
        <v>2.8205128205128203</v>
      </c>
      <c r="DI23" s="1">
        <v>6.1363636363636358</v>
      </c>
      <c r="DJ23" s="1">
        <v>6.1363636363636358</v>
      </c>
      <c r="DK23" s="1">
        <v>5.9999999999999991</v>
      </c>
      <c r="DL23" s="1">
        <v>5.9999999999999991</v>
      </c>
      <c r="DM23" s="1">
        <v>5.9999999999999991</v>
      </c>
      <c r="DN23" s="1">
        <v>6.0000000000000009</v>
      </c>
      <c r="DO23" s="1">
        <v>6.0000000000000018</v>
      </c>
      <c r="DP23" s="1">
        <v>5.9090909090909083</v>
      </c>
      <c r="DQ23" s="1">
        <v>5.9090909090909083</v>
      </c>
      <c r="DR23" s="1">
        <v>5.9090909090909083</v>
      </c>
      <c r="DS23" s="1">
        <v>5.9090909090909083</v>
      </c>
      <c r="DT23" s="1">
        <v>5.9090909090909083</v>
      </c>
      <c r="DU23" s="1">
        <v>5.882352941176471</v>
      </c>
      <c r="DV23" s="1">
        <v>5.882352941176471</v>
      </c>
      <c r="EE23" s="655"/>
      <c r="EF23" s="655"/>
      <c r="EG23" s="655"/>
      <c r="EH23" s="655"/>
    </row>
    <row r="24" spans="1:138" s="24" customFormat="1" ht="15.75">
      <c r="A24" s="1" t="s">
        <v>493</v>
      </c>
      <c r="B24" s="687"/>
      <c r="C24" s="977"/>
      <c r="D24" s="7" t="s">
        <v>442</v>
      </c>
      <c r="E24" s="7"/>
      <c r="F24" s="20">
        <v>3.4914862437758782</v>
      </c>
      <c r="G24" s="21">
        <v>4.9975603804353943</v>
      </c>
      <c r="H24" s="20">
        <v>4.3105272486425976</v>
      </c>
      <c r="I24" s="21">
        <v>9.1707031577292728</v>
      </c>
      <c r="J24" s="21">
        <v>9.1707031577292728</v>
      </c>
      <c r="K24" s="20">
        <v>7.7754191435023525</v>
      </c>
      <c r="L24" s="21">
        <v>12.969332782158505</v>
      </c>
      <c r="M24" s="21">
        <v>12.969332782158505</v>
      </c>
      <c r="N24" s="21">
        <v>12.969332782158505</v>
      </c>
      <c r="O24" s="21">
        <v>11.232804161386561</v>
      </c>
      <c r="P24" s="20">
        <v>5.2791506802353121</v>
      </c>
      <c r="Q24" s="21">
        <v>11.231771659483575</v>
      </c>
      <c r="R24" s="21">
        <v>11.231771659483575</v>
      </c>
      <c r="S24" s="20">
        <v>9.6584023959506489</v>
      </c>
      <c r="T24" s="21">
        <v>12.834960914056131</v>
      </c>
      <c r="U24" s="21">
        <v>12.834960914056131</v>
      </c>
      <c r="V24" s="21">
        <v>8.2739515588906158</v>
      </c>
      <c r="W24" s="21">
        <v>20.411815750251669</v>
      </c>
      <c r="X24" s="21">
        <v>15.20991387789153</v>
      </c>
      <c r="Y24" s="20">
        <v>18.151375797186759</v>
      </c>
      <c r="Z24" s="20">
        <v>18.151375797186759</v>
      </c>
      <c r="AA24" s="20">
        <v>18.151375797186759</v>
      </c>
      <c r="AB24" s="20">
        <v>18.628264016255407</v>
      </c>
      <c r="AC24" s="20">
        <v>11.941760079771193</v>
      </c>
      <c r="AD24" s="21">
        <v>5.7184521021378192</v>
      </c>
      <c r="AE24" s="20">
        <v>15.719552554001748</v>
      </c>
      <c r="AF24" s="20">
        <v>15.719552554001746</v>
      </c>
      <c r="AG24" s="20">
        <v>10.011151189955536</v>
      </c>
      <c r="AH24" s="21">
        <v>10.077436032103209</v>
      </c>
      <c r="AI24" s="21">
        <v>14.313076222231064</v>
      </c>
      <c r="AJ24" s="20">
        <v>7.418986007768086</v>
      </c>
      <c r="AK24" s="21">
        <v>12.274549155143145</v>
      </c>
      <c r="AL24" s="20">
        <v>18.20382680495581</v>
      </c>
      <c r="AM24" s="21">
        <v>25.74409875465939</v>
      </c>
      <c r="AN24" s="20">
        <v>22.406370847271418</v>
      </c>
      <c r="AO24" s="20">
        <f>IF($I$1,#REF!,Custom!H38)</f>
        <v>0</v>
      </c>
      <c r="AP24" s="21">
        <v>0.31075943842694237</v>
      </c>
      <c r="AQ24" s="20">
        <v>0.4373673268220073</v>
      </c>
      <c r="AR24" s="21">
        <v>0.39279977936178462</v>
      </c>
      <c r="AS24" s="21">
        <v>0.50199601592044529</v>
      </c>
      <c r="AT24" s="20" t="e">
        <v>#DIV/0!</v>
      </c>
      <c r="AU24" s="21" t="e">
        <v>#DIV/0!</v>
      </c>
      <c r="AV24" s="20" t="e">
        <v>#DIV/0!</v>
      </c>
      <c r="AW24" s="21">
        <v>0.9824957365507625</v>
      </c>
      <c r="AX24" s="20">
        <v>0.9824957365507625</v>
      </c>
      <c r="AY24" s="21">
        <v>1.39</v>
      </c>
      <c r="AZ24" s="20">
        <v>1.39</v>
      </c>
      <c r="BA24" s="21">
        <v>1.39</v>
      </c>
      <c r="BB24" s="20">
        <v>1.2271439821557928</v>
      </c>
      <c r="BC24" s="21">
        <v>1.2271439821557926</v>
      </c>
      <c r="BD24" s="20">
        <v>1.8248287590894658</v>
      </c>
      <c r="BE24" s="21">
        <v>1.8248287590894658</v>
      </c>
      <c r="BF24" s="20">
        <v>2.5983134677540987</v>
      </c>
      <c r="BG24" s="21">
        <v>2.5983134677540987</v>
      </c>
      <c r="BH24" s="20">
        <v>2.5983134677540987</v>
      </c>
      <c r="BI24" s="21">
        <v>2.2453655975512463</v>
      </c>
      <c r="BJ24" s="20">
        <v>2.2453655975512468</v>
      </c>
      <c r="BK24" s="21">
        <v>3.5133080327994777</v>
      </c>
      <c r="BL24" s="20">
        <v>3.5133080327994777</v>
      </c>
      <c r="BM24" s="21">
        <v>4.9562035358096521</v>
      </c>
      <c r="BN24" s="20">
        <v>4.9562035358096521</v>
      </c>
      <c r="BO24" s="21">
        <v>4.9562035358096521</v>
      </c>
      <c r="BP24" s="20">
        <v>4.2039753913301023</v>
      </c>
      <c r="BQ24" s="21">
        <v>4.2039753913301023</v>
      </c>
      <c r="BR24" s="20">
        <v>5.6950987546998668</v>
      </c>
      <c r="BS24" s="21">
        <v>5.6950987546998668</v>
      </c>
      <c r="BT24" s="20">
        <v>8.6071482957896261</v>
      </c>
      <c r="BU24" s="21">
        <v>8.6071482957896261</v>
      </c>
      <c r="BV24" s="20">
        <v>8.6071482957896261</v>
      </c>
      <c r="BW24" s="21">
        <v>7.2375821479854183</v>
      </c>
      <c r="BX24" s="20">
        <v>7.2375821479854183</v>
      </c>
      <c r="BY24" s="21">
        <v>11.18929490686614</v>
      </c>
      <c r="BZ24" s="20">
        <v>11.18929490686614</v>
      </c>
      <c r="CA24" s="21">
        <v>15.127872950286172</v>
      </c>
      <c r="CB24" s="20">
        <v>15.127872950286172</v>
      </c>
      <c r="CC24" s="21">
        <v>15.127872950286172</v>
      </c>
      <c r="CD24" s="20">
        <v>13.53309030980483</v>
      </c>
      <c r="CE24" s="21">
        <v>13.273421266621961</v>
      </c>
      <c r="CF24" s="20">
        <v>21.299104519517559</v>
      </c>
      <c r="CG24" s="21">
        <v>13.658463909372692</v>
      </c>
      <c r="CH24" s="20">
        <v>13.658463909372692</v>
      </c>
      <c r="CI24" s="21">
        <v>18.891405913570974</v>
      </c>
      <c r="CJ24" s="20">
        <v>18.891405913570974</v>
      </c>
      <c r="CK24" s="21">
        <v>18.891405913570974</v>
      </c>
      <c r="CL24" s="20">
        <v>16.492422502470642</v>
      </c>
      <c r="CM24" s="21">
        <v>16.492422502470642</v>
      </c>
      <c r="CN24" s="20">
        <v>18.663008634846307</v>
      </c>
      <c r="CO24" s="21">
        <v>18.663008634846307</v>
      </c>
      <c r="CP24" s="20">
        <v>26.78940115965181</v>
      </c>
      <c r="CQ24" s="21">
        <v>26.78940115965181</v>
      </c>
      <c r="CR24" s="20">
        <v>26.78940115965181</v>
      </c>
      <c r="CS24" s="21">
        <v>21.953786858438399</v>
      </c>
      <c r="CT24" s="20">
        <v>21.953786858438402</v>
      </c>
      <c r="CU24" s="21">
        <v>20.265734627691142</v>
      </c>
      <c r="CV24" s="20">
        <v>20.265734627691142</v>
      </c>
      <c r="CW24" s="24">
        <v>29.206032042924068</v>
      </c>
      <c r="CX24" s="24">
        <v>29.206032042924068</v>
      </c>
      <c r="CY24" s="24">
        <v>29.206032042924068</v>
      </c>
      <c r="CZ24" s="24">
        <v>25.521032050508399</v>
      </c>
      <c r="DA24" s="24">
        <v>25.521032050508399</v>
      </c>
      <c r="DB24" s="24">
        <v>23.527726747944133</v>
      </c>
      <c r="DC24" s="24">
        <v>23.527726747944133</v>
      </c>
      <c r="DD24" s="24">
        <v>34.05616288969194</v>
      </c>
      <c r="DE24" s="24">
        <v>34.05616288969194</v>
      </c>
      <c r="DF24" s="24">
        <v>34.05616288969194</v>
      </c>
      <c r="DG24" s="24">
        <v>29.536543640995138</v>
      </c>
      <c r="DH24" s="24">
        <v>29.536543640995134</v>
      </c>
      <c r="DI24" s="24">
        <v>36.27925152079478</v>
      </c>
      <c r="DJ24" s="24">
        <v>36.27925152079478</v>
      </c>
      <c r="DK24" s="24">
        <v>51.2189635513325</v>
      </c>
      <c r="DL24" s="24">
        <v>51.2189635513325</v>
      </c>
      <c r="DM24" s="24">
        <v>51.2189635513325</v>
      </c>
      <c r="DN24" s="24">
        <v>41.75955561124286</v>
      </c>
      <c r="DO24" s="24">
        <v>41.759555611242853</v>
      </c>
      <c r="DP24" s="24">
        <v>44.812741694542837</v>
      </c>
      <c r="DQ24" s="24">
        <v>44.812741694542837</v>
      </c>
      <c r="DR24" s="24">
        <v>62.700587209081512</v>
      </c>
      <c r="DS24" s="24">
        <v>62.700587209081512</v>
      </c>
      <c r="DT24" s="24">
        <v>62.700587209081512</v>
      </c>
      <c r="DU24" s="24">
        <v>54.454514208163303</v>
      </c>
      <c r="DV24" s="24">
        <v>54.454514208163303</v>
      </c>
      <c r="DW24" s="24">
        <v>0.43736732682200702</v>
      </c>
      <c r="DX24" s="24">
        <v>1.39</v>
      </c>
      <c r="DY24" s="24">
        <v>1.39</v>
      </c>
      <c r="DZ24" s="24">
        <v>3.5133080327994799</v>
      </c>
      <c r="EA24" s="24">
        <v>4.4098104915549996</v>
      </c>
      <c r="EB24" s="24">
        <v>14.071247279470301</v>
      </c>
      <c r="EC24" s="24">
        <v>25.342103744997601</v>
      </c>
      <c r="EE24" s="655"/>
      <c r="EF24" s="655"/>
      <c r="EG24" s="655"/>
      <c r="EH24" s="655"/>
    </row>
    <row r="25" spans="1:138" s="24" customFormat="1" ht="12.75" customHeight="1">
      <c r="A25" s="1" t="s">
        <v>568</v>
      </c>
      <c r="B25" s="687"/>
      <c r="C25" s="402"/>
      <c r="E25" s="9"/>
      <c r="F25" s="9"/>
      <c r="G25" s="9"/>
      <c r="H25" s="9"/>
      <c r="I25" s="9"/>
      <c r="J25" s="9"/>
      <c r="K25" s="9"/>
      <c r="L25" s="9"/>
      <c r="M25" s="9"/>
      <c r="N25" s="9"/>
      <c r="O25" s="9"/>
      <c r="T25" s="10"/>
      <c r="U25" s="10"/>
      <c r="V25" s="10"/>
      <c r="W25" s="10"/>
      <c r="X25" s="10"/>
      <c r="Y25" s="10"/>
      <c r="Z25" s="10"/>
      <c r="AA25" s="10"/>
      <c r="AB25" s="10"/>
      <c r="AC25" s="10"/>
      <c r="AD25" s="10"/>
      <c r="AE25" s="10"/>
      <c r="AF25" s="10"/>
      <c r="AG25" s="10"/>
      <c r="AH25" s="10"/>
      <c r="AI25" s="10"/>
      <c r="AJ25" s="10"/>
      <c r="AK25" s="10"/>
      <c r="AL25" s="10"/>
      <c r="AM25" s="10"/>
      <c r="AN25" s="10"/>
      <c r="AP25" s="10"/>
      <c r="AQ25" s="10"/>
      <c r="AR25" s="10"/>
      <c r="AS25" s="10"/>
      <c r="AT25" s="10"/>
      <c r="AU25" s="10"/>
      <c r="AV25" s="10"/>
      <c r="AW25" s="10"/>
      <c r="AX25" s="10"/>
      <c r="AY25" s="10"/>
      <c r="AZ25" s="10"/>
      <c r="BA25" s="10"/>
      <c r="BB25" s="10"/>
      <c r="BC25" s="10"/>
      <c r="BD25" s="10"/>
      <c r="BE25" s="10"/>
      <c r="BF25" s="10"/>
      <c r="BG25" s="10"/>
      <c r="BH25" s="10"/>
      <c r="BI25" s="10"/>
      <c r="BJ25" s="10"/>
      <c r="BK25" s="10"/>
      <c r="BL25" s="10"/>
      <c r="BM25" s="10"/>
      <c r="BN25" s="10"/>
      <c r="BO25" s="10"/>
      <c r="BP25" s="10"/>
      <c r="BQ25" s="10"/>
      <c r="BR25" s="10"/>
      <c r="BS25" s="10"/>
      <c r="BT25" s="10"/>
      <c r="BU25" s="10"/>
      <c r="BV25" s="10"/>
      <c r="BW25" s="10"/>
      <c r="BX25" s="10"/>
      <c r="BY25" s="10"/>
      <c r="BZ25" s="10"/>
      <c r="CA25" s="10"/>
      <c r="CB25" s="10"/>
      <c r="CC25" s="10"/>
      <c r="CD25" s="10"/>
      <c r="CE25" s="10"/>
      <c r="CF25" s="10"/>
      <c r="CG25" s="10"/>
      <c r="CH25" s="10"/>
      <c r="CI25" s="10"/>
      <c r="CJ25" s="10"/>
      <c r="CK25" s="10"/>
      <c r="CL25" s="10"/>
      <c r="CM25" s="10"/>
      <c r="CN25" s="10"/>
      <c r="CO25" s="10"/>
      <c r="CP25" s="10"/>
      <c r="CQ25" s="10"/>
      <c r="CR25" s="10"/>
      <c r="CS25" s="10"/>
      <c r="CT25" s="10"/>
      <c r="CU25" s="10"/>
      <c r="CV25" s="10"/>
      <c r="EE25" s="655"/>
      <c r="EF25" s="655"/>
      <c r="EG25" s="655"/>
      <c r="EH25" s="655"/>
    </row>
    <row r="26" spans="1:138" s="24" customFormat="1">
      <c r="A26" s="1" t="s">
        <v>494</v>
      </c>
      <c r="B26" s="687"/>
      <c r="C26" s="13"/>
      <c r="D26" s="1"/>
      <c r="E26" s="1"/>
      <c r="F26" s="1"/>
      <c r="G26" s="1"/>
      <c r="H26" s="1"/>
      <c r="I26" s="1"/>
      <c r="J26" s="1"/>
      <c r="K26" s="1"/>
      <c r="L26" s="1"/>
      <c r="M26" s="1"/>
      <c r="N26" s="1"/>
      <c r="O26" s="1"/>
      <c r="P26" s="23"/>
      <c r="Q26" s="23"/>
      <c r="R26" s="23"/>
      <c r="S26" s="23"/>
      <c r="T26" s="23"/>
      <c r="U26" s="23"/>
      <c r="V26" s="23"/>
      <c r="W26" s="23"/>
      <c r="X26" s="23"/>
      <c r="Y26" s="23"/>
      <c r="Z26" s="23"/>
      <c r="AA26" s="23"/>
      <c r="AB26" s="23"/>
      <c r="AC26" s="23"/>
      <c r="AD26" s="23"/>
      <c r="AE26" s="23"/>
      <c r="AF26" s="23"/>
      <c r="AG26" s="23"/>
      <c r="AH26" s="4"/>
      <c r="AI26" s="4"/>
      <c r="AJ26" s="4"/>
      <c r="AK26" s="4"/>
      <c r="AL26" s="4"/>
      <c r="AM26" s="4"/>
      <c r="AN26" s="4"/>
      <c r="AO26" s="4"/>
      <c r="AP26" s="23"/>
      <c r="AQ26" s="23"/>
      <c r="AR26" s="23"/>
      <c r="AS26" s="23"/>
      <c r="AT26" s="23"/>
      <c r="AU26" s="23"/>
      <c r="AV26" s="23"/>
      <c r="AW26" s="4"/>
      <c r="AX26" s="4"/>
      <c r="AY26" s="4"/>
      <c r="AZ26" s="3"/>
      <c r="BA26" s="3"/>
      <c r="BB26" s="3"/>
      <c r="BC26" s="3"/>
      <c r="BD26" s="4"/>
      <c r="BE26" s="4"/>
      <c r="BF26" s="3"/>
      <c r="BG26" s="3"/>
      <c r="BH26" s="3"/>
      <c r="BI26" s="3"/>
      <c r="BJ26" s="4"/>
      <c r="BK26" s="4"/>
      <c r="BL26" s="4"/>
      <c r="BM26" s="4"/>
      <c r="BN26" s="4"/>
      <c r="BO26" s="4"/>
      <c r="BP26" s="4"/>
      <c r="BQ26" s="4"/>
      <c r="BR26" s="4"/>
      <c r="BS26" s="4"/>
      <c r="BT26" s="4"/>
      <c r="BU26" s="4"/>
      <c r="BV26" s="4"/>
      <c r="BW26" s="4"/>
      <c r="BX26" s="4"/>
      <c r="BY26" s="3"/>
      <c r="BZ26" s="3"/>
      <c r="CA26" s="3"/>
      <c r="CB26" s="3"/>
      <c r="CC26" s="3"/>
      <c r="CD26" s="1"/>
      <c r="CE26" s="3"/>
      <c r="CF26" s="3"/>
      <c r="CG26" s="3"/>
      <c r="CH26" s="3"/>
      <c r="CI26" s="1"/>
      <c r="CJ26" s="1"/>
      <c r="CK26" s="1"/>
      <c r="CL26" s="1"/>
      <c r="CM26" s="1"/>
      <c r="CN26" s="1"/>
      <c r="CO26" s="1"/>
      <c r="CP26" s="1"/>
      <c r="CQ26" s="1"/>
      <c r="CR26" s="1"/>
      <c r="CS26" s="1"/>
      <c r="CT26" s="1"/>
      <c r="CU26" s="1"/>
      <c r="CV26" s="1"/>
      <c r="EE26" s="655"/>
      <c r="EF26" s="655"/>
      <c r="EG26" s="655"/>
      <c r="EH26" s="655"/>
    </row>
    <row r="27" spans="1:138" s="24" customFormat="1">
      <c r="A27" s="24" t="s">
        <v>456</v>
      </c>
      <c r="B27" s="687"/>
      <c r="C27" s="13"/>
      <c r="D27" s="1" t="s">
        <v>68</v>
      </c>
      <c r="E27" s="1"/>
      <c r="F27" s="688">
        <v>80</v>
      </c>
      <c r="G27" s="688">
        <v>140</v>
      </c>
      <c r="H27" s="688">
        <v>110</v>
      </c>
      <c r="I27" s="688">
        <v>120</v>
      </c>
      <c r="J27" s="1">
        <v>120</v>
      </c>
      <c r="K27" s="1">
        <v>80</v>
      </c>
      <c r="L27" s="1">
        <v>210</v>
      </c>
      <c r="M27" s="1">
        <v>210</v>
      </c>
      <c r="N27" s="1">
        <v>210</v>
      </c>
      <c r="O27" s="1">
        <v>140</v>
      </c>
      <c r="P27" s="1">
        <v>50</v>
      </c>
      <c r="Q27" s="23">
        <v>165</v>
      </c>
      <c r="R27" s="23">
        <v>165</v>
      </c>
      <c r="S27" s="23">
        <v>110</v>
      </c>
      <c r="T27" s="23">
        <v>160</v>
      </c>
      <c r="U27" s="23">
        <v>160</v>
      </c>
      <c r="V27" s="23">
        <v>80</v>
      </c>
      <c r="W27" s="23">
        <v>400</v>
      </c>
      <c r="X27" s="23">
        <v>280</v>
      </c>
      <c r="Y27" s="23">
        <v>280</v>
      </c>
      <c r="Z27" s="23">
        <v>280</v>
      </c>
      <c r="AA27" s="23">
        <v>280</v>
      </c>
      <c r="AB27" s="23">
        <v>400</v>
      </c>
      <c r="AC27" s="23">
        <v>140</v>
      </c>
      <c r="AD27" s="23">
        <v>50</v>
      </c>
      <c r="AE27" s="23">
        <v>220</v>
      </c>
      <c r="AF27" s="23">
        <v>220</v>
      </c>
      <c r="AG27" s="23">
        <v>110</v>
      </c>
      <c r="AH27" s="23">
        <v>80</v>
      </c>
      <c r="AI27" s="23">
        <v>140</v>
      </c>
      <c r="AJ27" s="4">
        <v>50</v>
      </c>
      <c r="AK27" s="4">
        <v>110</v>
      </c>
      <c r="AL27" s="4">
        <v>220</v>
      </c>
      <c r="AM27" s="4">
        <v>400</v>
      </c>
      <c r="AN27" s="4">
        <v>310</v>
      </c>
      <c r="AO27" s="23" t="e">
        <v>#NAME?</v>
      </c>
      <c r="AP27" s="4">
        <v>25</v>
      </c>
      <c r="AQ27" s="23">
        <v>43</v>
      </c>
      <c r="AR27" s="23">
        <v>34</v>
      </c>
      <c r="AS27" s="23">
        <v>79</v>
      </c>
      <c r="AT27" s="23">
        <v>0</v>
      </c>
      <c r="AU27" s="23">
        <v>0</v>
      </c>
      <c r="AV27" s="23">
        <v>0</v>
      </c>
      <c r="AW27" s="23">
        <v>40</v>
      </c>
      <c r="AX27" s="4">
        <v>40</v>
      </c>
      <c r="AY27" s="4">
        <v>70</v>
      </c>
      <c r="AZ27" s="4">
        <v>70</v>
      </c>
      <c r="BA27" s="3">
        <v>70</v>
      </c>
      <c r="BB27" s="3">
        <v>55</v>
      </c>
      <c r="BC27" s="3">
        <v>55</v>
      </c>
      <c r="BD27" s="3">
        <v>64</v>
      </c>
      <c r="BE27" s="4">
        <v>64</v>
      </c>
      <c r="BF27" s="4">
        <v>112</v>
      </c>
      <c r="BG27" s="3">
        <v>112</v>
      </c>
      <c r="BH27" s="3">
        <v>112</v>
      </c>
      <c r="BI27" s="3">
        <v>88</v>
      </c>
      <c r="BJ27" s="3">
        <v>88</v>
      </c>
      <c r="BK27" s="4">
        <v>80</v>
      </c>
      <c r="BL27" s="4">
        <v>80</v>
      </c>
      <c r="BM27" s="4">
        <v>140</v>
      </c>
      <c r="BN27" s="4">
        <v>140</v>
      </c>
      <c r="BO27" s="4">
        <v>140</v>
      </c>
      <c r="BP27" s="4">
        <v>110</v>
      </c>
      <c r="BQ27" s="4">
        <v>110</v>
      </c>
      <c r="BR27" s="4">
        <v>94</v>
      </c>
      <c r="BS27" s="4">
        <v>94</v>
      </c>
      <c r="BT27" s="4">
        <v>166</v>
      </c>
      <c r="BU27" s="4">
        <v>166</v>
      </c>
      <c r="BV27" s="4">
        <v>166</v>
      </c>
      <c r="BW27" s="4">
        <v>130</v>
      </c>
      <c r="BX27" s="4">
        <v>130</v>
      </c>
      <c r="BY27" s="4">
        <v>120</v>
      </c>
      <c r="BZ27" s="3">
        <v>120</v>
      </c>
      <c r="CA27" s="3">
        <v>210</v>
      </c>
      <c r="CB27" s="3">
        <v>210</v>
      </c>
      <c r="CC27" s="3">
        <v>210</v>
      </c>
      <c r="CD27" s="3">
        <v>165</v>
      </c>
      <c r="CE27" s="1">
        <v>165</v>
      </c>
      <c r="CF27" s="3">
        <v>390</v>
      </c>
      <c r="CG27" s="3">
        <v>160</v>
      </c>
      <c r="CH27" s="3">
        <v>160</v>
      </c>
      <c r="CI27" s="3">
        <v>280</v>
      </c>
      <c r="CJ27" s="1">
        <v>280</v>
      </c>
      <c r="CK27" s="1">
        <v>280</v>
      </c>
      <c r="CL27" s="1">
        <v>220</v>
      </c>
      <c r="CM27" s="1">
        <v>220</v>
      </c>
      <c r="CN27" s="1">
        <v>160</v>
      </c>
      <c r="CO27" s="1">
        <v>160</v>
      </c>
      <c r="CP27" s="1">
        <v>280</v>
      </c>
      <c r="CQ27" s="1">
        <v>280</v>
      </c>
      <c r="CR27" s="1">
        <v>280</v>
      </c>
      <c r="CS27" s="1">
        <v>220</v>
      </c>
      <c r="CT27" s="1">
        <v>220</v>
      </c>
      <c r="CU27" s="1">
        <v>220</v>
      </c>
      <c r="CV27" s="1">
        <v>220</v>
      </c>
      <c r="CW27" s="1">
        <v>400</v>
      </c>
      <c r="CX27" s="24">
        <v>400</v>
      </c>
      <c r="CY27" s="24">
        <v>400</v>
      </c>
      <c r="CZ27" s="24">
        <v>310</v>
      </c>
      <c r="DA27" s="24">
        <v>310</v>
      </c>
      <c r="DB27" s="24">
        <v>220</v>
      </c>
      <c r="DC27" s="24">
        <v>220</v>
      </c>
      <c r="DD27" s="24">
        <v>400</v>
      </c>
      <c r="DE27" s="24">
        <v>400</v>
      </c>
      <c r="DF27" s="24">
        <v>400</v>
      </c>
      <c r="DG27" s="24">
        <v>310</v>
      </c>
      <c r="DH27" s="24">
        <v>310</v>
      </c>
      <c r="DI27" s="24">
        <v>240</v>
      </c>
      <c r="DJ27" s="24">
        <v>240</v>
      </c>
      <c r="DK27" s="24">
        <v>420</v>
      </c>
      <c r="DL27" s="24">
        <v>420</v>
      </c>
      <c r="DM27" s="24">
        <v>420</v>
      </c>
      <c r="DN27" s="24">
        <v>330</v>
      </c>
      <c r="DO27" s="24">
        <v>330</v>
      </c>
      <c r="DP27" s="24">
        <v>310</v>
      </c>
      <c r="DQ27" s="24">
        <v>310</v>
      </c>
      <c r="DR27" s="24">
        <v>550</v>
      </c>
      <c r="DS27" s="24">
        <v>550</v>
      </c>
      <c r="DT27" s="24">
        <v>550</v>
      </c>
      <c r="DU27" s="24">
        <v>430</v>
      </c>
      <c r="DV27" s="24">
        <v>430</v>
      </c>
      <c r="DW27" s="24">
        <v>43</v>
      </c>
      <c r="DX27" s="24">
        <v>70</v>
      </c>
      <c r="DY27" s="24">
        <v>70</v>
      </c>
      <c r="DZ27" s="24">
        <v>80</v>
      </c>
      <c r="EA27" s="24">
        <v>140</v>
      </c>
      <c r="EB27" s="24">
        <v>210</v>
      </c>
      <c r="EC27" s="24">
        <v>280</v>
      </c>
      <c r="EE27" s="655"/>
      <c r="EF27" s="655"/>
      <c r="EG27" s="655"/>
      <c r="EH27" s="655"/>
    </row>
    <row r="28" spans="1:138" s="25" customFormat="1">
      <c r="A28" s="24" t="s">
        <v>569</v>
      </c>
      <c r="B28" s="687"/>
      <c r="C28" s="972" t="s">
        <v>78</v>
      </c>
      <c r="D28" s="7" t="s">
        <v>79</v>
      </c>
      <c r="E28" s="7" t="s">
        <v>24</v>
      </c>
      <c r="F28" s="19">
        <v>30</v>
      </c>
      <c r="G28" s="19">
        <v>30</v>
      </c>
      <c r="H28" s="19">
        <v>30</v>
      </c>
      <c r="I28" s="19">
        <v>50</v>
      </c>
      <c r="J28" s="19">
        <v>50</v>
      </c>
      <c r="K28" s="19">
        <v>56</v>
      </c>
      <c r="L28" s="19">
        <v>50</v>
      </c>
      <c r="M28" s="19">
        <v>50</v>
      </c>
      <c r="N28" s="19">
        <v>50</v>
      </c>
      <c r="O28" s="19">
        <v>56</v>
      </c>
      <c r="P28" s="19">
        <v>56</v>
      </c>
      <c r="Q28" s="19">
        <v>50</v>
      </c>
      <c r="R28" s="19">
        <v>50</v>
      </c>
      <c r="S28" s="19">
        <v>56</v>
      </c>
      <c r="T28" s="19">
        <v>60</v>
      </c>
      <c r="U28" s="19">
        <v>60</v>
      </c>
      <c r="V28" s="19">
        <v>60</v>
      </c>
      <c r="W28" s="19">
        <v>60</v>
      </c>
      <c r="X28" s="19">
        <v>60</v>
      </c>
      <c r="Y28" s="19">
        <v>60</v>
      </c>
      <c r="Z28" s="19">
        <v>60</v>
      </c>
      <c r="AA28" s="19">
        <v>60</v>
      </c>
      <c r="AB28" s="19">
        <v>60</v>
      </c>
      <c r="AC28" s="19">
        <v>60</v>
      </c>
      <c r="AD28" s="19">
        <v>60</v>
      </c>
      <c r="AE28" s="19">
        <v>60</v>
      </c>
      <c r="AF28" s="19">
        <v>60</v>
      </c>
      <c r="AG28" s="19">
        <v>60</v>
      </c>
      <c r="AH28" s="19">
        <v>60</v>
      </c>
      <c r="AI28" s="19">
        <v>60</v>
      </c>
      <c r="AJ28" s="19">
        <v>60</v>
      </c>
      <c r="AK28" s="19">
        <v>60</v>
      </c>
      <c r="AL28" s="19">
        <v>80</v>
      </c>
      <c r="AM28" s="19">
        <v>80</v>
      </c>
      <c r="AN28" s="19">
        <v>80</v>
      </c>
      <c r="AO28" s="19"/>
      <c r="AP28" s="19">
        <v>10</v>
      </c>
      <c r="AQ28" s="19">
        <v>10</v>
      </c>
      <c r="AR28" s="19">
        <v>10</v>
      </c>
      <c r="AS28" s="19">
        <v>10</v>
      </c>
      <c r="AT28" s="19">
        <v>0</v>
      </c>
      <c r="AU28" s="19">
        <v>0</v>
      </c>
      <c r="AV28" s="19">
        <v>0</v>
      </c>
      <c r="AW28" s="19">
        <v>20</v>
      </c>
      <c r="AX28" s="19">
        <v>20</v>
      </c>
      <c r="AY28" s="19">
        <v>20</v>
      </c>
      <c r="AZ28" s="19">
        <v>20</v>
      </c>
      <c r="BA28" s="19">
        <v>20</v>
      </c>
      <c r="BB28" s="19">
        <v>20</v>
      </c>
      <c r="BC28" s="19">
        <v>20</v>
      </c>
      <c r="BD28" s="19">
        <v>25</v>
      </c>
      <c r="BE28" s="19">
        <v>25</v>
      </c>
      <c r="BF28" s="19">
        <v>25</v>
      </c>
      <c r="BG28" s="19">
        <v>25</v>
      </c>
      <c r="BH28" s="19">
        <v>25</v>
      </c>
      <c r="BI28" s="19">
        <v>25</v>
      </c>
      <c r="BJ28" s="19">
        <v>25</v>
      </c>
      <c r="BK28" s="19">
        <v>30</v>
      </c>
      <c r="BL28" s="19">
        <v>30</v>
      </c>
      <c r="BM28" s="19">
        <v>30</v>
      </c>
      <c r="BN28" s="19">
        <v>30</v>
      </c>
      <c r="BO28" s="19">
        <v>30</v>
      </c>
      <c r="BP28" s="19">
        <v>30</v>
      </c>
      <c r="BQ28" s="19">
        <v>30</v>
      </c>
      <c r="BR28" s="19">
        <v>40</v>
      </c>
      <c r="BS28" s="19">
        <v>40</v>
      </c>
      <c r="BT28" s="19">
        <v>40</v>
      </c>
      <c r="BU28" s="19">
        <v>40</v>
      </c>
      <c r="BV28" s="19">
        <v>40</v>
      </c>
      <c r="BW28" s="19">
        <v>40</v>
      </c>
      <c r="BX28" s="19">
        <v>40</v>
      </c>
      <c r="BY28" s="19">
        <v>50</v>
      </c>
      <c r="BZ28" s="19">
        <v>50</v>
      </c>
      <c r="CA28" s="19">
        <v>50</v>
      </c>
      <c r="CB28" s="19">
        <v>50</v>
      </c>
      <c r="CC28" s="19">
        <v>50</v>
      </c>
      <c r="CD28" s="19">
        <v>50</v>
      </c>
      <c r="CE28" s="19">
        <v>50</v>
      </c>
      <c r="CF28" s="19">
        <v>50</v>
      </c>
      <c r="CG28" s="19">
        <v>60</v>
      </c>
      <c r="CH28" s="19">
        <v>60</v>
      </c>
      <c r="CI28" s="19">
        <v>60</v>
      </c>
      <c r="CJ28" s="19">
        <v>60</v>
      </c>
      <c r="CK28" s="19">
        <v>60</v>
      </c>
      <c r="CL28" s="1">
        <v>60</v>
      </c>
      <c r="CM28" s="1">
        <v>60</v>
      </c>
      <c r="CN28" s="1">
        <v>60</v>
      </c>
      <c r="CO28" s="1">
        <v>60</v>
      </c>
      <c r="CP28" s="1">
        <v>60</v>
      </c>
      <c r="CQ28" s="1">
        <v>60</v>
      </c>
      <c r="CR28" s="1">
        <v>60</v>
      </c>
      <c r="CS28" s="1">
        <v>60</v>
      </c>
      <c r="CT28" s="1">
        <v>60</v>
      </c>
      <c r="CU28" s="1">
        <v>80</v>
      </c>
      <c r="CV28" s="1">
        <v>80</v>
      </c>
      <c r="CW28" s="1">
        <v>80</v>
      </c>
      <c r="CX28" s="25">
        <v>80</v>
      </c>
      <c r="CY28" s="25">
        <v>80</v>
      </c>
      <c r="CZ28" s="25">
        <v>80</v>
      </c>
      <c r="DA28" s="25">
        <v>80</v>
      </c>
      <c r="DB28" s="11">
        <v>80</v>
      </c>
      <c r="DC28" s="11">
        <v>80</v>
      </c>
      <c r="DD28" s="12">
        <v>80</v>
      </c>
      <c r="DE28" s="12">
        <v>80</v>
      </c>
      <c r="DF28" s="25">
        <v>80</v>
      </c>
      <c r="DG28" s="25">
        <v>80</v>
      </c>
      <c r="DH28" s="25">
        <v>80</v>
      </c>
      <c r="DI28" s="25">
        <v>105</v>
      </c>
      <c r="DJ28" s="25">
        <v>105</v>
      </c>
      <c r="DK28" s="25">
        <v>105</v>
      </c>
      <c r="DL28" s="25">
        <v>105</v>
      </c>
      <c r="DM28" s="25">
        <v>105</v>
      </c>
      <c r="DN28" s="25">
        <v>105</v>
      </c>
      <c r="DO28" s="25">
        <v>105</v>
      </c>
      <c r="DP28" s="25">
        <v>125</v>
      </c>
      <c r="DQ28" s="25">
        <v>125</v>
      </c>
      <c r="DR28" s="25">
        <v>125</v>
      </c>
      <c r="DS28" s="25">
        <v>125</v>
      </c>
      <c r="DT28" s="25">
        <v>125</v>
      </c>
      <c r="DU28" s="25">
        <v>125</v>
      </c>
      <c r="DV28" s="25">
        <v>125</v>
      </c>
      <c r="EE28" s="655"/>
      <c r="EF28" s="655"/>
      <c r="EG28" s="655"/>
      <c r="EH28" s="655"/>
    </row>
    <row r="29" spans="1:138">
      <c r="A29" s="24" t="s">
        <v>495</v>
      </c>
      <c r="B29" s="687"/>
      <c r="C29" s="972"/>
      <c r="D29" s="8" t="s">
        <v>80</v>
      </c>
      <c r="E29" s="8" t="s">
        <v>24</v>
      </c>
      <c r="F29" s="20">
        <v>70</v>
      </c>
      <c r="G29" s="20">
        <v>130</v>
      </c>
      <c r="H29" s="20">
        <v>100</v>
      </c>
      <c r="I29" s="20">
        <v>105</v>
      </c>
      <c r="J29" s="20">
        <v>105</v>
      </c>
      <c r="K29" s="20">
        <v>70</v>
      </c>
      <c r="L29" s="20">
        <v>795</v>
      </c>
      <c r="M29" s="20">
        <v>795</v>
      </c>
      <c r="N29" s="20">
        <v>795</v>
      </c>
      <c r="O29" s="20">
        <v>130</v>
      </c>
      <c r="P29" s="20">
        <v>40</v>
      </c>
      <c r="Q29" s="20">
        <v>150</v>
      </c>
      <c r="R29" s="20">
        <v>150</v>
      </c>
      <c r="S29" s="20">
        <v>100</v>
      </c>
      <c r="T29" s="20">
        <v>140</v>
      </c>
      <c r="U29" s="20">
        <v>140</v>
      </c>
      <c r="V29" s="20">
        <v>70</v>
      </c>
      <c r="W29" s="20">
        <v>380</v>
      </c>
      <c r="X29" s="20">
        <v>260</v>
      </c>
      <c r="Y29" s="20">
        <v>260</v>
      </c>
      <c r="Z29" s="20">
        <v>260</v>
      </c>
      <c r="AA29" s="20">
        <v>260</v>
      </c>
      <c r="AB29" s="20">
        <v>260</v>
      </c>
      <c r="AC29" s="20">
        <v>130</v>
      </c>
      <c r="AD29" s="20">
        <v>40</v>
      </c>
      <c r="AE29" s="20">
        <v>200</v>
      </c>
      <c r="AF29" s="20">
        <v>200</v>
      </c>
      <c r="AG29" s="20">
        <v>100</v>
      </c>
      <c r="AH29" s="20">
        <v>70</v>
      </c>
      <c r="AI29" s="20">
        <v>130</v>
      </c>
      <c r="AJ29" s="20">
        <v>40</v>
      </c>
      <c r="AK29" s="20">
        <v>100</v>
      </c>
      <c r="AL29" s="20">
        <v>200</v>
      </c>
      <c r="AM29" s="20">
        <v>380</v>
      </c>
      <c r="AN29" s="20">
        <v>290</v>
      </c>
      <c r="AO29" s="20"/>
      <c r="AP29" s="20">
        <v>22</v>
      </c>
      <c r="AQ29" s="20">
        <v>40</v>
      </c>
      <c r="AR29" s="20">
        <v>31</v>
      </c>
      <c r="AS29" s="20">
        <v>76</v>
      </c>
      <c r="AT29" s="20"/>
      <c r="AU29" s="20"/>
      <c r="AV29" s="20"/>
      <c r="AW29" s="20">
        <v>34</v>
      </c>
      <c r="AX29" s="20">
        <v>34</v>
      </c>
      <c r="AY29" s="20">
        <v>64</v>
      </c>
      <c r="AZ29" s="20">
        <v>64</v>
      </c>
      <c r="BA29" s="20">
        <v>64</v>
      </c>
      <c r="BB29" s="20">
        <v>49</v>
      </c>
      <c r="BC29" s="20">
        <v>49</v>
      </c>
      <c r="BD29" s="20">
        <v>56</v>
      </c>
      <c r="BE29" s="20">
        <v>56</v>
      </c>
      <c r="BF29" s="20">
        <v>104</v>
      </c>
      <c r="BG29" s="20">
        <v>104</v>
      </c>
      <c r="BH29" s="20">
        <v>104</v>
      </c>
      <c r="BI29" s="20">
        <v>80</v>
      </c>
      <c r="BJ29" s="20">
        <v>80</v>
      </c>
      <c r="BK29" s="20">
        <v>70</v>
      </c>
      <c r="BL29" s="20">
        <v>70</v>
      </c>
      <c r="BM29" s="20">
        <v>130</v>
      </c>
      <c r="BN29" s="20">
        <v>130</v>
      </c>
      <c r="BO29" s="20">
        <v>130</v>
      </c>
      <c r="BP29" s="20">
        <v>100</v>
      </c>
      <c r="BQ29" s="20">
        <v>100</v>
      </c>
      <c r="BR29" s="20">
        <v>84</v>
      </c>
      <c r="BS29" s="20">
        <v>84</v>
      </c>
      <c r="BT29" s="20">
        <v>156</v>
      </c>
      <c r="BU29" s="20">
        <v>156</v>
      </c>
      <c r="BV29" s="20">
        <v>156</v>
      </c>
      <c r="BW29" s="20">
        <v>120</v>
      </c>
      <c r="BX29" s="20">
        <v>120</v>
      </c>
      <c r="BY29" s="20">
        <v>105</v>
      </c>
      <c r="BZ29" s="20">
        <v>105</v>
      </c>
      <c r="CA29" s="20">
        <v>195</v>
      </c>
      <c r="CB29" s="20">
        <v>195</v>
      </c>
      <c r="CC29" s="20">
        <v>195</v>
      </c>
      <c r="CD29" s="20">
        <v>150</v>
      </c>
      <c r="CE29" s="20">
        <v>150</v>
      </c>
      <c r="CF29" s="20">
        <v>375</v>
      </c>
      <c r="CG29" s="20">
        <v>140</v>
      </c>
      <c r="CH29" s="20">
        <v>140</v>
      </c>
      <c r="CI29" s="20">
        <v>260</v>
      </c>
      <c r="CJ29" s="20">
        <v>260</v>
      </c>
      <c r="CK29" s="20">
        <v>260</v>
      </c>
      <c r="CL29" s="1">
        <v>200</v>
      </c>
      <c r="CM29" s="1">
        <v>200</v>
      </c>
      <c r="CN29" s="1">
        <v>140</v>
      </c>
      <c r="CO29" s="1">
        <v>140</v>
      </c>
      <c r="CP29" s="1">
        <v>260</v>
      </c>
      <c r="CQ29" s="1">
        <v>260</v>
      </c>
      <c r="CR29" s="1">
        <v>260</v>
      </c>
      <c r="CS29" s="1">
        <v>200</v>
      </c>
      <c r="CT29" s="1">
        <v>200</v>
      </c>
      <c r="CU29" s="1">
        <v>200</v>
      </c>
      <c r="CV29" s="1">
        <v>200</v>
      </c>
      <c r="CW29" s="1">
        <v>380</v>
      </c>
      <c r="CX29" s="1">
        <v>380</v>
      </c>
      <c r="CY29" s="1">
        <v>380</v>
      </c>
      <c r="CZ29" s="1">
        <v>290</v>
      </c>
      <c r="DA29" s="1">
        <v>290</v>
      </c>
      <c r="DB29" s="1">
        <v>200</v>
      </c>
      <c r="DC29" s="1">
        <v>200</v>
      </c>
      <c r="DD29" s="1">
        <v>380</v>
      </c>
      <c r="DE29" s="1">
        <v>380</v>
      </c>
      <c r="DF29" s="1">
        <v>380</v>
      </c>
      <c r="DG29" s="1">
        <v>290</v>
      </c>
      <c r="DH29" s="1">
        <v>290</v>
      </c>
      <c r="DI29" s="1">
        <v>80</v>
      </c>
      <c r="DJ29" s="1">
        <v>80</v>
      </c>
      <c r="DK29" s="1">
        <v>170</v>
      </c>
      <c r="DL29" s="1">
        <v>170</v>
      </c>
      <c r="DM29" s="1">
        <v>170</v>
      </c>
      <c r="DN29" s="1">
        <v>125</v>
      </c>
      <c r="DO29" s="1">
        <v>125</v>
      </c>
      <c r="DP29" s="1">
        <v>280</v>
      </c>
      <c r="DQ29" s="1">
        <v>280</v>
      </c>
      <c r="DR29" s="1">
        <v>520</v>
      </c>
      <c r="DS29" s="1">
        <v>520</v>
      </c>
      <c r="DT29" s="1">
        <v>520</v>
      </c>
      <c r="DU29" s="1">
        <v>400</v>
      </c>
      <c r="DV29" s="1">
        <v>400</v>
      </c>
      <c r="EE29" s="655"/>
      <c r="EF29" s="655"/>
      <c r="EG29" s="655"/>
      <c r="EH29" s="655"/>
    </row>
    <row r="30" spans="1:138" s="26" customFormat="1">
      <c r="A30" s="24" t="s">
        <v>463</v>
      </c>
      <c r="B30" s="687"/>
      <c r="C30" s="972"/>
      <c r="D30" s="7" t="s">
        <v>81</v>
      </c>
      <c r="E30" s="7" t="s">
        <v>24</v>
      </c>
      <c r="F30" s="19">
        <v>16</v>
      </c>
      <c r="G30" s="19">
        <v>16</v>
      </c>
      <c r="H30" s="19">
        <v>16</v>
      </c>
      <c r="I30" s="19">
        <v>25</v>
      </c>
      <c r="J30" s="19">
        <v>25</v>
      </c>
      <c r="K30" s="19">
        <v>25</v>
      </c>
      <c r="L30" s="19">
        <v>25</v>
      </c>
      <c r="M30" s="19">
        <v>25</v>
      </c>
      <c r="N30" s="19">
        <v>25</v>
      </c>
      <c r="O30" s="19">
        <v>25</v>
      </c>
      <c r="P30" s="19">
        <v>25</v>
      </c>
      <c r="Q30" s="19">
        <v>25</v>
      </c>
      <c r="R30" s="19">
        <v>25</v>
      </c>
      <c r="S30" s="19">
        <v>25</v>
      </c>
      <c r="T30" s="19">
        <v>30</v>
      </c>
      <c r="U30" s="19">
        <v>30</v>
      </c>
      <c r="V30" s="19">
        <v>30</v>
      </c>
      <c r="W30" s="19">
        <v>30</v>
      </c>
      <c r="X30" s="19">
        <v>30</v>
      </c>
      <c r="Y30" s="19">
        <v>30</v>
      </c>
      <c r="Z30" s="19">
        <v>30</v>
      </c>
      <c r="AA30" s="19">
        <v>30</v>
      </c>
      <c r="AB30" s="19">
        <v>30</v>
      </c>
      <c r="AC30" s="19">
        <v>30</v>
      </c>
      <c r="AD30" s="19">
        <v>30</v>
      </c>
      <c r="AE30" s="19">
        <v>30</v>
      </c>
      <c r="AF30" s="19">
        <v>30</v>
      </c>
      <c r="AG30" s="19">
        <v>30</v>
      </c>
      <c r="AH30" s="19">
        <v>30</v>
      </c>
      <c r="AI30" s="19">
        <v>30</v>
      </c>
      <c r="AJ30" s="19">
        <v>30</v>
      </c>
      <c r="AK30" s="19">
        <v>30</v>
      </c>
      <c r="AL30" s="19">
        <v>50</v>
      </c>
      <c r="AM30" s="19">
        <v>50</v>
      </c>
      <c r="AN30" s="19">
        <v>50</v>
      </c>
      <c r="AO30" s="19"/>
      <c r="AP30" s="19">
        <v>4</v>
      </c>
      <c r="AQ30" s="19">
        <v>4</v>
      </c>
      <c r="AR30" s="19">
        <v>4</v>
      </c>
      <c r="AS30" s="19">
        <v>4</v>
      </c>
      <c r="AT30" s="19"/>
      <c r="AU30" s="19"/>
      <c r="AV30" s="19"/>
      <c r="AW30" s="19">
        <v>10</v>
      </c>
      <c r="AX30" s="19">
        <v>10</v>
      </c>
      <c r="AY30" s="19">
        <v>10</v>
      </c>
      <c r="AZ30" s="19">
        <v>10</v>
      </c>
      <c r="BA30" s="19">
        <v>10</v>
      </c>
      <c r="BB30" s="19">
        <v>10</v>
      </c>
      <c r="BC30" s="19">
        <v>10</v>
      </c>
      <c r="BD30" s="19">
        <v>12</v>
      </c>
      <c r="BE30" s="19">
        <v>12</v>
      </c>
      <c r="BF30" s="19">
        <v>12</v>
      </c>
      <c r="BG30" s="19">
        <v>12</v>
      </c>
      <c r="BH30" s="19">
        <v>12</v>
      </c>
      <c r="BI30" s="19">
        <v>12</v>
      </c>
      <c r="BJ30" s="19">
        <v>12</v>
      </c>
      <c r="BK30" s="19">
        <v>16</v>
      </c>
      <c r="BL30" s="19">
        <v>16</v>
      </c>
      <c r="BM30" s="19">
        <v>16</v>
      </c>
      <c r="BN30" s="19">
        <v>16</v>
      </c>
      <c r="BO30" s="19">
        <v>16</v>
      </c>
      <c r="BP30" s="19">
        <v>16</v>
      </c>
      <c r="BQ30" s="19">
        <v>16</v>
      </c>
      <c r="BR30" s="19">
        <v>20</v>
      </c>
      <c r="BS30" s="19">
        <v>20</v>
      </c>
      <c r="BT30" s="19">
        <v>20</v>
      </c>
      <c r="BU30" s="19">
        <v>20</v>
      </c>
      <c r="BV30" s="19">
        <v>20</v>
      </c>
      <c r="BW30" s="19">
        <v>20</v>
      </c>
      <c r="BX30" s="19">
        <v>20</v>
      </c>
      <c r="BY30" s="19">
        <v>25</v>
      </c>
      <c r="BZ30" s="19">
        <v>25</v>
      </c>
      <c r="CA30" s="19">
        <v>25</v>
      </c>
      <c r="CB30" s="19">
        <v>25</v>
      </c>
      <c r="CC30" s="19">
        <v>25</v>
      </c>
      <c r="CD30" s="19">
        <v>25</v>
      </c>
      <c r="CE30" s="19">
        <v>25</v>
      </c>
      <c r="CF30" s="19">
        <v>25</v>
      </c>
      <c r="CG30" s="19">
        <v>30</v>
      </c>
      <c r="CH30" s="19">
        <v>30</v>
      </c>
      <c r="CI30" s="19">
        <v>30</v>
      </c>
      <c r="CJ30" s="19">
        <v>30</v>
      </c>
      <c r="CK30" s="19">
        <v>30</v>
      </c>
      <c r="CL30" s="1">
        <v>30</v>
      </c>
      <c r="CM30" s="1">
        <v>30</v>
      </c>
      <c r="CN30" s="1">
        <v>30</v>
      </c>
      <c r="CO30" s="1">
        <v>30</v>
      </c>
      <c r="CP30" s="1">
        <v>30</v>
      </c>
      <c r="CQ30" s="1">
        <v>30</v>
      </c>
      <c r="CR30" s="1">
        <v>30</v>
      </c>
      <c r="CS30" s="1">
        <v>30</v>
      </c>
      <c r="CT30" s="1">
        <v>30</v>
      </c>
      <c r="CU30" s="1">
        <v>50</v>
      </c>
      <c r="CV30" s="1">
        <v>50</v>
      </c>
      <c r="CW30" s="1">
        <v>50</v>
      </c>
      <c r="CX30" s="26">
        <v>50</v>
      </c>
      <c r="CY30" s="26">
        <v>50</v>
      </c>
      <c r="CZ30" s="26">
        <v>50</v>
      </c>
      <c r="DA30" s="26">
        <v>50</v>
      </c>
      <c r="DB30" s="26">
        <v>50</v>
      </c>
      <c r="DC30" s="26">
        <v>50</v>
      </c>
      <c r="DD30" s="26">
        <v>50</v>
      </c>
      <c r="DE30" s="26">
        <v>50</v>
      </c>
      <c r="DF30" s="26">
        <v>50</v>
      </c>
      <c r="DG30" s="26">
        <v>50</v>
      </c>
      <c r="DH30" s="26">
        <v>50</v>
      </c>
      <c r="DI30" s="26">
        <v>80</v>
      </c>
      <c r="DJ30" s="26">
        <v>80</v>
      </c>
      <c r="DK30" s="26">
        <v>80</v>
      </c>
      <c r="DL30" s="26">
        <v>80</v>
      </c>
      <c r="DM30" s="26">
        <v>80</v>
      </c>
      <c r="DN30" s="26">
        <v>80</v>
      </c>
      <c r="DO30" s="26">
        <v>80</v>
      </c>
      <c r="DP30" s="26">
        <v>80</v>
      </c>
      <c r="DQ30" s="26">
        <v>80</v>
      </c>
      <c r="DR30" s="26">
        <v>80</v>
      </c>
      <c r="DS30" s="26">
        <v>80</v>
      </c>
      <c r="DT30" s="26">
        <v>80</v>
      </c>
      <c r="DU30" s="26">
        <v>80</v>
      </c>
      <c r="DV30" s="26">
        <v>80</v>
      </c>
      <c r="EE30" s="655"/>
      <c r="EF30" s="655"/>
      <c r="EG30" s="655"/>
      <c r="EH30" s="655"/>
    </row>
    <row r="31" spans="1:138">
      <c r="A31" s="25" t="s">
        <v>457</v>
      </c>
      <c r="B31" s="687"/>
      <c r="C31" s="972"/>
      <c r="D31" s="8" t="s">
        <v>422</v>
      </c>
      <c r="E31" s="8"/>
      <c r="F31" s="20">
        <v>1330</v>
      </c>
      <c r="G31" s="20">
        <v>1330</v>
      </c>
      <c r="H31" s="20">
        <v>1330</v>
      </c>
      <c r="I31" s="20" t="s">
        <v>533</v>
      </c>
      <c r="J31" s="20" t="s">
        <v>533</v>
      </c>
      <c r="K31" s="20" t="s">
        <v>533</v>
      </c>
      <c r="L31" s="20" t="s">
        <v>533</v>
      </c>
      <c r="M31" s="20" t="s">
        <v>533</v>
      </c>
      <c r="N31" s="20" t="s">
        <v>533</v>
      </c>
      <c r="O31" s="20" t="s">
        <v>533</v>
      </c>
      <c r="P31" s="20" t="s">
        <v>533</v>
      </c>
      <c r="Q31" s="20" t="s">
        <v>533</v>
      </c>
      <c r="R31" s="20" t="s">
        <v>533</v>
      </c>
      <c r="S31" s="20" t="s">
        <v>533</v>
      </c>
      <c r="T31" s="20" t="s">
        <v>533</v>
      </c>
      <c r="U31" s="20" t="s">
        <v>533</v>
      </c>
      <c r="V31" s="20" t="s">
        <v>533</v>
      </c>
      <c r="W31" s="20" t="s">
        <v>533</v>
      </c>
      <c r="X31" s="20" t="s">
        <v>533</v>
      </c>
      <c r="Y31" s="20" t="s">
        <v>533</v>
      </c>
      <c r="Z31" s="20" t="s">
        <v>533</v>
      </c>
      <c r="AA31" s="20" t="s">
        <v>533</v>
      </c>
      <c r="AB31" s="20" t="s">
        <v>533</v>
      </c>
      <c r="AC31" s="20" t="s">
        <v>533</v>
      </c>
      <c r="AD31" s="20" t="s">
        <v>533</v>
      </c>
      <c r="AE31" s="20" t="s">
        <v>533</v>
      </c>
      <c r="AF31" s="20" t="s">
        <v>533</v>
      </c>
      <c r="AG31" s="20" t="s">
        <v>533</v>
      </c>
      <c r="AH31" s="20" t="s">
        <v>533</v>
      </c>
      <c r="AI31" s="20" t="s">
        <v>533</v>
      </c>
      <c r="AJ31" s="20" t="s">
        <v>533</v>
      </c>
      <c r="AK31" s="20" t="s">
        <v>533</v>
      </c>
      <c r="AL31" s="20">
        <v>2464</v>
      </c>
      <c r="AM31" s="20">
        <v>2464</v>
      </c>
      <c r="AN31" s="20">
        <v>2464</v>
      </c>
      <c r="AO31" s="20"/>
      <c r="AP31" s="20">
        <v>1430</v>
      </c>
      <c r="AQ31" s="20">
        <v>1430</v>
      </c>
      <c r="AR31" s="20">
        <v>1430</v>
      </c>
      <c r="AS31" s="20">
        <v>1430</v>
      </c>
      <c r="AT31" s="20"/>
      <c r="AU31" s="20"/>
      <c r="AV31" s="20"/>
      <c r="AW31" s="20">
        <v>1430</v>
      </c>
      <c r="AX31" s="20">
        <v>1430</v>
      </c>
      <c r="AY31" s="20">
        <v>1430</v>
      </c>
      <c r="AZ31" s="20">
        <v>1430</v>
      </c>
      <c r="BA31" s="20">
        <v>1430</v>
      </c>
      <c r="BB31" s="20">
        <v>1430</v>
      </c>
      <c r="BC31" s="20">
        <v>1430</v>
      </c>
      <c r="BD31" s="20">
        <v>1430</v>
      </c>
      <c r="BE31" s="20">
        <v>1430</v>
      </c>
      <c r="BF31" s="20">
        <v>1430</v>
      </c>
      <c r="BG31" s="20">
        <v>1430</v>
      </c>
      <c r="BH31" s="20">
        <v>1430</v>
      </c>
      <c r="BI31" s="20">
        <v>1430</v>
      </c>
      <c r="BJ31" s="20">
        <v>1430</v>
      </c>
      <c r="BK31" s="20">
        <v>2464</v>
      </c>
      <c r="BL31" s="20">
        <v>2464</v>
      </c>
      <c r="BM31" s="20">
        <v>2464</v>
      </c>
      <c r="BN31" s="20">
        <v>2464</v>
      </c>
      <c r="BO31" s="20">
        <v>2464</v>
      </c>
      <c r="BP31" s="20">
        <v>2464</v>
      </c>
      <c r="BQ31" s="20">
        <v>2464</v>
      </c>
      <c r="BR31" s="20" t="s">
        <v>533</v>
      </c>
      <c r="BS31" s="20" t="s">
        <v>533</v>
      </c>
      <c r="BT31" s="20" t="s">
        <v>533</v>
      </c>
      <c r="BU31" s="20" t="s">
        <v>533</v>
      </c>
      <c r="BV31" s="20" t="s">
        <v>533</v>
      </c>
      <c r="BW31" s="20" t="s">
        <v>533</v>
      </c>
      <c r="BX31" s="20" t="s">
        <v>533</v>
      </c>
      <c r="BY31" s="20">
        <v>1330</v>
      </c>
      <c r="BZ31" s="20">
        <v>1330</v>
      </c>
      <c r="CA31" s="20">
        <v>1330</v>
      </c>
      <c r="CB31" s="20">
        <v>1330</v>
      </c>
      <c r="CC31" s="20">
        <v>1330</v>
      </c>
      <c r="CD31" s="20">
        <v>1330</v>
      </c>
      <c r="CE31" s="20">
        <v>1330</v>
      </c>
      <c r="CF31" s="20">
        <v>1330</v>
      </c>
      <c r="CG31" s="20" t="s">
        <v>533</v>
      </c>
      <c r="CH31" s="20" t="s">
        <v>533</v>
      </c>
      <c r="CI31" s="20" t="s">
        <v>533</v>
      </c>
      <c r="CJ31" s="20" t="s">
        <v>533</v>
      </c>
      <c r="CK31" s="20" t="s">
        <v>533</v>
      </c>
      <c r="CL31" s="1" t="s">
        <v>533</v>
      </c>
      <c r="CM31" s="1" t="s">
        <v>533</v>
      </c>
      <c r="CN31" s="1" t="s">
        <v>533</v>
      </c>
      <c r="CO31" s="1" t="s">
        <v>533</v>
      </c>
      <c r="CP31" s="1" t="s">
        <v>533</v>
      </c>
      <c r="CQ31" s="1" t="s">
        <v>533</v>
      </c>
      <c r="CR31" s="1" t="s">
        <v>533</v>
      </c>
      <c r="CS31" s="1" t="s">
        <v>533</v>
      </c>
      <c r="CT31" s="1" t="s">
        <v>533</v>
      </c>
      <c r="CU31" s="1">
        <v>2464</v>
      </c>
      <c r="CV31" s="1">
        <v>2464</v>
      </c>
      <c r="CW31" s="1">
        <v>2464</v>
      </c>
      <c r="CX31" s="1">
        <v>2464</v>
      </c>
      <c r="CY31" s="1">
        <v>2464</v>
      </c>
      <c r="CZ31" s="1">
        <v>2464</v>
      </c>
      <c r="DA31" s="1">
        <v>2464</v>
      </c>
      <c r="DB31" s="1">
        <v>2464</v>
      </c>
      <c r="DC31" s="1">
        <v>2464</v>
      </c>
      <c r="DD31" s="1">
        <v>2464</v>
      </c>
      <c r="DE31" s="1">
        <v>2464</v>
      </c>
      <c r="DF31" s="1">
        <v>2464</v>
      </c>
      <c r="DG31" s="1">
        <v>2464</v>
      </c>
      <c r="DH31" s="1">
        <v>2464</v>
      </c>
      <c r="DI31" s="1" t="s">
        <v>532</v>
      </c>
      <c r="DJ31" s="1" t="s">
        <v>532</v>
      </c>
      <c r="DK31" s="1" t="s">
        <v>532</v>
      </c>
      <c r="DL31" s="1" t="s">
        <v>532</v>
      </c>
      <c r="DM31" s="1" t="s">
        <v>532</v>
      </c>
      <c r="DN31" s="1" t="s">
        <v>532</v>
      </c>
      <c r="DO31" s="1" t="s">
        <v>532</v>
      </c>
      <c r="DP31" s="1" t="s">
        <v>532</v>
      </c>
      <c r="DQ31" s="1" t="s">
        <v>532</v>
      </c>
      <c r="DR31" s="1" t="s">
        <v>532</v>
      </c>
      <c r="DS31" s="1" t="s">
        <v>532</v>
      </c>
      <c r="DT31" s="1" t="s">
        <v>532</v>
      </c>
      <c r="DU31" s="1" t="s">
        <v>532</v>
      </c>
      <c r="DV31" s="1" t="s">
        <v>532</v>
      </c>
      <c r="EE31" s="655"/>
      <c r="EF31" s="655"/>
      <c r="EG31" s="655"/>
      <c r="EH31" s="655"/>
    </row>
    <row r="32" spans="1:138">
      <c r="A32" s="1" t="s">
        <v>497</v>
      </c>
      <c r="B32" s="687"/>
      <c r="C32" s="972"/>
      <c r="D32" s="7" t="s">
        <v>82</v>
      </c>
      <c r="E32" s="7" t="s">
        <v>24</v>
      </c>
      <c r="F32" s="19">
        <v>5</v>
      </c>
      <c r="G32" s="19">
        <v>5</v>
      </c>
      <c r="H32" s="19">
        <v>5</v>
      </c>
      <c r="I32" s="19">
        <v>9</v>
      </c>
      <c r="J32" s="19">
        <v>9</v>
      </c>
      <c r="K32" s="19">
        <v>8</v>
      </c>
      <c r="L32" s="19">
        <v>9</v>
      </c>
      <c r="M32" s="19">
        <v>9</v>
      </c>
      <c r="N32" s="19">
        <v>9</v>
      </c>
      <c r="O32" s="19">
        <v>8</v>
      </c>
      <c r="P32" s="19">
        <v>8</v>
      </c>
      <c r="Q32" s="19">
        <v>9</v>
      </c>
      <c r="R32" s="19">
        <v>9</v>
      </c>
      <c r="S32" s="19">
        <v>8</v>
      </c>
      <c r="T32" s="19">
        <v>12</v>
      </c>
      <c r="U32" s="19">
        <v>12</v>
      </c>
      <c r="V32" s="19">
        <v>10</v>
      </c>
      <c r="W32" s="19">
        <v>12</v>
      </c>
      <c r="X32" s="19">
        <v>12</v>
      </c>
      <c r="Y32" s="19">
        <v>12</v>
      </c>
      <c r="Z32" s="19">
        <v>12</v>
      </c>
      <c r="AA32" s="19">
        <v>12</v>
      </c>
      <c r="AB32" s="19">
        <v>12</v>
      </c>
      <c r="AC32" s="19">
        <v>10</v>
      </c>
      <c r="AD32" s="19">
        <v>10</v>
      </c>
      <c r="AE32" s="19">
        <v>12</v>
      </c>
      <c r="AF32" s="19">
        <v>12</v>
      </c>
      <c r="AG32" s="19">
        <v>10</v>
      </c>
      <c r="AH32" s="19">
        <v>10</v>
      </c>
      <c r="AI32" s="19">
        <v>10</v>
      </c>
      <c r="AJ32" s="19">
        <v>10</v>
      </c>
      <c r="AK32" s="19">
        <v>10</v>
      </c>
      <c r="AL32" s="19">
        <v>12</v>
      </c>
      <c r="AM32" s="19">
        <v>12</v>
      </c>
      <c r="AN32" s="19">
        <v>12</v>
      </c>
      <c r="AO32" s="19"/>
      <c r="AP32" s="19">
        <v>1</v>
      </c>
      <c r="AQ32" s="19">
        <v>1</v>
      </c>
      <c r="AR32" s="19">
        <v>1</v>
      </c>
      <c r="AS32" s="19">
        <v>1</v>
      </c>
      <c r="AT32" s="19"/>
      <c r="AU32" s="19"/>
      <c r="AV32" s="19"/>
      <c r="AW32" s="19">
        <v>5</v>
      </c>
      <c r="AX32" s="19">
        <v>5</v>
      </c>
      <c r="AY32" s="19">
        <v>5</v>
      </c>
      <c r="AZ32" s="19">
        <v>5</v>
      </c>
      <c r="BA32" s="19">
        <v>5</v>
      </c>
      <c r="BB32" s="19">
        <v>5</v>
      </c>
      <c r="BC32" s="19">
        <v>5</v>
      </c>
      <c r="BD32" s="19">
        <v>5</v>
      </c>
      <c r="BE32" s="19">
        <v>5</v>
      </c>
      <c r="BF32" s="19">
        <v>5</v>
      </c>
      <c r="BG32" s="19">
        <v>5</v>
      </c>
      <c r="BH32" s="19">
        <v>5</v>
      </c>
      <c r="BI32" s="19">
        <v>5</v>
      </c>
      <c r="BJ32" s="19">
        <v>5</v>
      </c>
      <c r="BK32" s="19">
        <v>5</v>
      </c>
      <c r="BL32" s="19">
        <v>5</v>
      </c>
      <c r="BM32" s="19">
        <v>5</v>
      </c>
      <c r="BN32" s="19">
        <v>5</v>
      </c>
      <c r="BO32" s="19">
        <v>5</v>
      </c>
      <c r="BP32" s="19">
        <v>5</v>
      </c>
      <c r="BQ32" s="19">
        <v>5</v>
      </c>
      <c r="BR32" s="19">
        <v>6</v>
      </c>
      <c r="BS32" s="19">
        <v>6</v>
      </c>
      <c r="BT32" s="19">
        <v>6</v>
      </c>
      <c r="BU32" s="19">
        <v>6</v>
      </c>
      <c r="BV32" s="19">
        <v>6</v>
      </c>
      <c r="BW32" s="19">
        <v>6</v>
      </c>
      <c r="BX32" s="19">
        <v>6</v>
      </c>
      <c r="BY32" s="19">
        <v>9</v>
      </c>
      <c r="BZ32" s="19">
        <v>9</v>
      </c>
      <c r="CA32" s="19">
        <v>9</v>
      </c>
      <c r="CB32" s="19">
        <v>9</v>
      </c>
      <c r="CC32" s="19">
        <v>9</v>
      </c>
      <c r="CD32" s="19">
        <v>9</v>
      </c>
      <c r="CE32" s="19">
        <v>9</v>
      </c>
      <c r="CF32" s="19">
        <v>9</v>
      </c>
      <c r="CG32" s="19">
        <v>12</v>
      </c>
      <c r="CH32" s="19">
        <v>12</v>
      </c>
      <c r="CI32" s="19">
        <v>12</v>
      </c>
      <c r="CJ32" s="19">
        <v>12</v>
      </c>
      <c r="CK32" s="19">
        <v>12</v>
      </c>
      <c r="CL32" s="1">
        <v>12</v>
      </c>
      <c r="CM32" s="1">
        <v>12</v>
      </c>
      <c r="CN32" s="1">
        <v>12</v>
      </c>
      <c r="CO32" s="1">
        <v>12</v>
      </c>
      <c r="CP32" s="1">
        <v>12</v>
      </c>
      <c r="CQ32" s="1">
        <v>12</v>
      </c>
      <c r="CR32" s="1">
        <v>12</v>
      </c>
      <c r="CS32" s="1">
        <v>12</v>
      </c>
      <c r="CT32" s="1">
        <v>12</v>
      </c>
      <c r="CU32" s="1">
        <v>12</v>
      </c>
      <c r="CV32" s="1">
        <v>12</v>
      </c>
      <c r="CW32" s="1">
        <v>12</v>
      </c>
      <c r="CX32" s="1">
        <v>12</v>
      </c>
      <c r="CY32" s="1">
        <v>12</v>
      </c>
      <c r="CZ32" s="1">
        <v>12</v>
      </c>
      <c r="DA32" s="1">
        <v>12</v>
      </c>
      <c r="DB32" s="1">
        <v>12</v>
      </c>
      <c r="DC32" s="1">
        <v>12</v>
      </c>
      <c r="DD32" s="1">
        <v>12</v>
      </c>
      <c r="DE32" s="1">
        <v>12</v>
      </c>
      <c r="DF32" s="1">
        <v>12</v>
      </c>
      <c r="DG32" s="1">
        <v>12</v>
      </c>
      <c r="DH32" s="1">
        <v>12</v>
      </c>
      <c r="DI32" s="1">
        <v>13</v>
      </c>
      <c r="DJ32" s="1">
        <v>13</v>
      </c>
      <c r="DK32" s="1">
        <v>13</v>
      </c>
      <c r="DL32" s="1">
        <v>13</v>
      </c>
      <c r="DM32" s="1">
        <v>13</v>
      </c>
      <c r="DN32" s="1">
        <v>13</v>
      </c>
      <c r="DO32" s="1">
        <v>13</v>
      </c>
      <c r="DP32" s="1">
        <v>15</v>
      </c>
      <c r="DQ32" s="1">
        <v>15</v>
      </c>
      <c r="DR32" s="1">
        <v>15</v>
      </c>
      <c r="DS32" s="1">
        <v>15</v>
      </c>
      <c r="DT32" s="1">
        <v>15</v>
      </c>
      <c r="DU32" s="1">
        <v>15</v>
      </c>
      <c r="DV32" s="1">
        <v>15</v>
      </c>
      <c r="EE32" s="655"/>
      <c r="EF32" s="655"/>
      <c r="EG32" s="655"/>
      <c r="EH32" s="655"/>
    </row>
    <row r="33" spans="1:138">
      <c r="A33" s="26" t="s">
        <v>572</v>
      </c>
      <c r="B33" s="687"/>
      <c r="C33" s="972"/>
      <c r="D33" s="8" t="s">
        <v>421</v>
      </c>
      <c r="E33" s="8"/>
      <c r="F33" s="20">
        <v>24</v>
      </c>
      <c r="G33" s="20">
        <v>24</v>
      </c>
      <c r="H33" s="20">
        <v>24</v>
      </c>
      <c r="I33" s="20">
        <v>20</v>
      </c>
      <c r="J33" s="20">
        <v>20</v>
      </c>
      <c r="K33" s="20">
        <v>20</v>
      </c>
      <c r="L33" s="20">
        <v>20</v>
      </c>
      <c r="M33" s="20">
        <v>20</v>
      </c>
      <c r="N33" s="20">
        <v>20</v>
      </c>
      <c r="O33" s="20">
        <v>20</v>
      </c>
      <c r="P33" s="20">
        <v>20</v>
      </c>
      <c r="Q33" s="20">
        <v>20</v>
      </c>
      <c r="R33" s="20">
        <v>20</v>
      </c>
      <c r="S33" s="20">
        <v>20</v>
      </c>
      <c r="T33" s="20">
        <v>20</v>
      </c>
      <c r="U33" s="20">
        <v>20</v>
      </c>
      <c r="V33" s="20">
        <v>20</v>
      </c>
      <c r="W33" s="20">
        <v>20</v>
      </c>
      <c r="X33" s="20">
        <v>20</v>
      </c>
      <c r="Y33" s="20">
        <v>20</v>
      </c>
      <c r="Z33" s="20">
        <v>20</v>
      </c>
      <c r="AA33" s="20">
        <v>20</v>
      </c>
      <c r="AB33" s="20">
        <v>20</v>
      </c>
      <c r="AC33" s="20">
        <v>20</v>
      </c>
      <c r="AD33" s="20">
        <v>20</v>
      </c>
      <c r="AE33" s="20">
        <v>20</v>
      </c>
      <c r="AF33" s="20">
        <v>20</v>
      </c>
      <c r="AG33" s="20">
        <v>20</v>
      </c>
      <c r="AH33" s="20">
        <v>20</v>
      </c>
      <c r="AI33" s="20">
        <v>20</v>
      </c>
      <c r="AJ33" s="20">
        <v>20</v>
      </c>
      <c r="AK33" s="20">
        <v>20</v>
      </c>
      <c r="AL33" s="20">
        <v>16</v>
      </c>
      <c r="AM33" s="20">
        <v>16</v>
      </c>
      <c r="AN33" s="20">
        <v>16</v>
      </c>
      <c r="AO33" s="20"/>
      <c r="AP33" s="20">
        <v>28</v>
      </c>
      <c r="AQ33" s="20">
        <v>28</v>
      </c>
      <c r="AR33" s="20">
        <v>28</v>
      </c>
      <c r="AS33" s="20">
        <v>28</v>
      </c>
      <c r="AT33" s="20"/>
      <c r="AU33" s="20"/>
      <c r="AV33" s="20"/>
      <c r="AW33" s="20">
        <v>28</v>
      </c>
      <c r="AX33" s="20">
        <v>28</v>
      </c>
      <c r="AY33" s="20">
        <v>28</v>
      </c>
      <c r="AZ33" s="20">
        <v>28</v>
      </c>
      <c r="BA33" s="20">
        <v>28</v>
      </c>
      <c r="BB33" s="20">
        <v>28</v>
      </c>
      <c r="BC33" s="20">
        <v>28</v>
      </c>
      <c r="BD33" s="20">
        <v>28</v>
      </c>
      <c r="BE33" s="20">
        <v>28</v>
      </c>
      <c r="BF33" s="20">
        <v>28</v>
      </c>
      <c r="BG33" s="20">
        <v>28</v>
      </c>
      <c r="BH33" s="20">
        <v>28</v>
      </c>
      <c r="BI33" s="20">
        <v>28</v>
      </c>
      <c r="BJ33" s="20">
        <v>28</v>
      </c>
      <c r="BK33" s="20">
        <v>24</v>
      </c>
      <c r="BL33" s="20">
        <v>24</v>
      </c>
      <c r="BM33" s="20">
        <v>24</v>
      </c>
      <c r="BN33" s="20">
        <v>24</v>
      </c>
      <c r="BO33" s="20">
        <v>24</v>
      </c>
      <c r="BP33" s="20">
        <v>24</v>
      </c>
      <c r="BQ33" s="20">
        <v>24</v>
      </c>
      <c r="BR33" s="20">
        <v>25</v>
      </c>
      <c r="BS33" s="20">
        <v>25</v>
      </c>
      <c r="BT33" s="20">
        <v>25</v>
      </c>
      <c r="BU33" s="20">
        <v>25</v>
      </c>
      <c r="BV33" s="20">
        <v>25</v>
      </c>
      <c r="BW33" s="20">
        <v>25</v>
      </c>
      <c r="BX33" s="20">
        <v>25</v>
      </c>
      <c r="BY33" s="20">
        <v>20</v>
      </c>
      <c r="BZ33" s="20">
        <v>20</v>
      </c>
      <c r="CA33" s="20">
        <v>20</v>
      </c>
      <c r="CB33" s="20">
        <v>20</v>
      </c>
      <c r="CC33" s="20">
        <v>20</v>
      </c>
      <c r="CD33" s="20">
        <v>20</v>
      </c>
      <c r="CE33" s="20">
        <v>20</v>
      </c>
      <c r="CF33" s="20">
        <v>20</v>
      </c>
      <c r="CG33" s="20">
        <v>20</v>
      </c>
      <c r="CH33" s="20">
        <v>20</v>
      </c>
      <c r="CI33" s="20">
        <v>20</v>
      </c>
      <c r="CJ33" s="20">
        <v>20</v>
      </c>
      <c r="CK33" s="20">
        <v>20</v>
      </c>
      <c r="CL33" s="1">
        <v>20</v>
      </c>
      <c r="CM33" s="1">
        <v>20</v>
      </c>
      <c r="CN33" s="1">
        <v>20</v>
      </c>
      <c r="CO33" s="1">
        <v>20</v>
      </c>
      <c r="CP33" s="1">
        <v>20</v>
      </c>
      <c r="CQ33" s="1">
        <v>20</v>
      </c>
      <c r="CR33" s="1">
        <v>20</v>
      </c>
      <c r="CS33" s="1">
        <v>20</v>
      </c>
      <c r="CT33" s="1">
        <v>20</v>
      </c>
      <c r="CU33" s="1">
        <v>16</v>
      </c>
      <c r="CV33" s="1">
        <v>16</v>
      </c>
      <c r="CW33" s="1">
        <v>16</v>
      </c>
      <c r="CX33" s="1">
        <v>16</v>
      </c>
      <c r="CY33" s="1">
        <v>16</v>
      </c>
      <c r="CZ33" s="1">
        <v>16</v>
      </c>
      <c r="DA33" s="1">
        <v>16</v>
      </c>
      <c r="DB33" s="1">
        <v>16</v>
      </c>
      <c r="DC33" s="1">
        <v>16</v>
      </c>
      <c r="DD33" s="1">
        <v>16</v>
      </c>
      <c r="DE33" s="1">
        <v>16</v>
      </c>
      <c r="DF33" s="1">
        <v>16</v>
      </c>
      <c r="DG33" s="1">
        <v>16</v>
      </c>
      <c r="DH33" s="1">
        <v>16</v>
      </c>
      <c r="DI33" s="1">
        <v>14</v>
      </c>
      <c r="DJ33" s="1">
        <v>14</v>
      </c>
      <c r="DK33" s="1">
        <v>14</v>
      </c>
      <c r="DL33" s="1">
        <v>14</v>
      </c>
      <c r="DM33" s="1">
        <v>14</v>
      </c>
      <c r="DN33" s="1">
        <v>14</v>
      </c>
      <c r="DO33" s="1">
        <v>14</v>
      </c>
      <c r="DP33" s="1">
        <v>14</v>
      </c>
      <c r="DQ33" s="1">
        <v>14</v>
      </c>
      <c r="DR33" s="1">
        <v>14</v>
      </c>
      <c r="DS33" s="1">
        <v>14</v>
      </c>
      <c r="DT33" s="1">
        <v>14</v>
      </c>
      <c r="DU33" s="1">
        <v>14</v>
      </c>
      <c r="DV33" s="1">
        <v>14</v>
      </c>
      <c r="EE33" s="655"/>
      <c r="EF33" s="655"/>
      <c r="EG33" s="655"/>
      <c r="EH33" s="655"/>
    </row>
    <row r="34" spans="1:138">
      <c r="A34" s="1" t="s">
        <v>469</v>
      </c>
      <c r="B34" s="687"/>
      <c r="C34" s="972"/>
      <c r="D34" s="7" t="s">
        <v>83</v>
      </c>
      <c r="E34" s="7" t="s">
        <v>24</v>
      </c>
      <c r="F34" s="19">
        <v>5</v>
      </c>
      <c r="G34" s="19">
        <v>5</v>
      </c>
      <c r="H34" s="19">
        <v>5</v>
      </c>
      <c r="I34" s="19">
        <v>6</v>
      </c>
      <c r="J34" s="19">
        <v>6</v>
      </c>
      <c r="K34" s="19">
        <v>6</v>
      </c>
      <c r="L34" s="19">
        <v>6</v>
      </c>
      <c r="M34" s="19">
        <v>6</v>
      </c>
      <c r="N34" s="19">
        <v>6</v>
      </c>
      <c r="O34" s="19">
        <v>6</v>
      </c>
      <c r="P34" s="19">
        <v>6</v>
      </c>
      <c r="Q34" s="19">
        <v>6</v>
      </c>
      <c r="R34" s="19">
        <v>6</v>
      </c>
      <c r="S34" s="19">
        <v>6</v>
      </c>
      <c r="T34" s="19">
        <v>6</v>
      </c>
      <c r="U34" s="19">
        <v>6</v>
      </c>
      <c r="V34" s="19">
        <v>6</v>
      </c>
      <c r="W34" s="19">
        <v>6</v>
      </c>
      <c r="X34" s="19">
        <v>6</v>
      </c>
      <c r="Y34" s="19">
        <v>6</v>
      </c>
      <c r="Z34" s="19">
        <v>6</v>
      </c>
      <c r="AA34" s="19">
        <v>6</v>
      </c>
      <c r="AB34" s="19">
        <v>6</v>
      </c>
      <c r="AC34" s="19">
        <v>6</v>
      </c>
      <c r="AD34" s="19">
        <v>6</v>
      </c>
      <c r="AE34" s="19">
        <v>6</v>
      </c>
      <c r="AF34" s="19">
        <v>6</v>
      </c>
      <c r="AG34" s="19">
        <v>6</v>
      </c>
      <c r="AH34" s="19">
        <v>6</v>
      </c>
      <c r="AI34" s="19">
        <v>6</v>
      </c>
      <c r="AJ34" s="19">
        <v>6</v>
      </c>
      <c r="AK34" s="19">
        <v>6</v>
      </c>
      <c r="AL34" s="19">
        <v>7</v>
      </c>
      <c r="AM34" s="19">
        <v>7</v>
      </c>
      <c r="AN34" s="19">
        <v>7</v>
      </c>
      <c r="AO34" s="19"/>
      <c r="AP34" s="19">
        <v>4</v>
      </c>
      <c r="AQ34" s="19">
        <v>4</v>
      </c>
      <c r="AR34" s="19">
        <v>4</v>
      </c>
      <c r="AS34" s="19">
        <v>4</v>
      </c>
      <c r="AT34" s="19"/>
      <c r="AU34" s="19"/>
      <c r="AV34" s="19"/>
      <c r="AW34" s="19">
        <v>4</v>
      </c>
      <c r="AX34" s="19">
        <v>4</v>
      </c>
      <c r="AY34" s="19">
        <v>4</v>
      </c>
      <c r="AZ34" s="19">
        <v>4</v>
      </c>
      <c r="BA34" s="19">
        <v>4</v>
      </c>
      <c r="BB34" s="19">
        <v>4</v>
      </c>
      <c r="BC34" s="19">
        <v>4</v>
      </c>
      <c r="BD34" s="19">
        <v>4</v>
      </c>
      <c r="BE34" s="19">
        <v>4</v>
      </c>
      <c r="BF34" s="19">
        <v>4</v>
      </c>
      <c r="BG34" s="19">
        <v>4</v>
      </c>
      <c r="BH34" s="19">
        <v>4</v>
      </c>
      <c r="BI34" s="19">
        <v>4</v>
      </c>
      <c r="BJ34" s="19">
        <v>4</v>
      </c>
      <c r="BK34" s="19">
        <v>5</v>
      </c>
      <c r="BL34" s="19">
        <v>5</v>
      </c>
      <c r="BM34" s="19">
        <v>5</v>
      </c>
      <c r="BN34" s="19">
        <v>5</v>
      </c>
      <c r="BO34" s="19">
        <v>5</v>
      </c>
      <c r="BP34" s="19">
        <v>5</v>
      </c>
      <c r="BQ34" s="19">
        <v>5</v>
      </c>
      <c r="BR34" s="19">
        <v>5</v>
      </c>
      <c r="BS34" s="19">
        <v>5</v>
      </c>
      <c r="BT34" s="19">
        <v>5</v>
      </c>
      <c r="BU34" s="19">
        <v>5</v>
      </c>
      <c r="BV34" s="19">
        <v>5</v>
      </c>
      <c r="BW34" s="19">
        <v>5</v>
      </c>
      <c r="BX34" s="19">
        <v>5</v>
      </c>
      <c r="BY34" s="19">
        <v>6</v>
      </c>
      <c r="BZ34" s="19">
        <v>6</v>
      </c>
      <c r="CA34" s="19">
        <v>6</v>
      </c>
      <c r="CB34" s="19">
        <v>6</v>
      </c>
      <c r="CC34" s="19">
        <v>6</v>
      </c>
      <c r="CD34" s="19">
        <v>6</v>
      </c>
      <c r="CE34" s="19">
        <v>6</v>
      </c>
      <c r="CF34" s="19">
        <v>6</v>
      </c>
      <c r="CG34" s="19">
        <v>6</v>
      </c>
      <c r="CH34" s="19">
        <v>6</v>
      </c>
      <c r="CI34" s="19">
        <v>6</v>
      </c>
      <c r="CJ34" s="19">
        <v>6</v>
      </c>
      <c r="CK34" s="19">
        <v>6</v>
      </c>
      <c r="CL34" s="1">
        <v>6</v>
      </c>
      <c r="CM34" s="1">
        <v>6</v>
      </c>
      <c r="CN34" s="1">
        <v>6</v>
      </c>
      <c r="CO34" s="1">
        <v>6</v>
      </c>
      <c r="CP34" s="1">
        <v>6</v>
      </c>
      <c r="CQ34" s="1">
        <v>6</v>
      </c>
      <c r="CR34" s="1">
        <v>6</v>
      </c>
      <c r="CS34" s="1">
        <v>6</v>
      </c>
      <c r="CT34" s="1">
        <v>6</v>
      </c>
      <c r="CU34" s="1">
        <v>7</v>
      </c>
      <c r="CV34" s="1">
        <v>7</v>
      </c>
      <c r="CW34" s="1">
        <v>7</v>
      </c>
      <c r="CX34" s="1">
        <v>7</v>
      </c>
      <c r="CY34" s="1">
        <v>7</v>
      </c>
      <c r="CZ34" s="1">
        <v>7</v>
      </c>
      <c r="DA34" s="1">
        <v>7</v>
      </c>
      <c r="DB34" s="1">
        <v>7</v>
      </c>
      <c r="DC34" s="1">
        <v>7</v>
      </c>
      <c r="DD34" s="1">
        <v>7</v>
      </c>
      <c r="DE34" s="1">
        <v>7</v>
      </c>
      <c r="DF34" s="1">
        <v>7</v>
      </c>
      <c r="DG34" s="1">
        <v>7</v>
      </c>
      <c r="DH34" s="1">
        <v>7</v>
      </c>
      <c r="DI34" s="1">
        <v>10</v>
      </c>
      <c r="DJ34" s="1">
        <v>10</v>
      </c>
      <c r="DK34" s="1">
        <v>10</v>
      </c>
      <c r="DL34" s="1">
        <v>10</v>
      </c>
      <c r="DM34" s="1">
        <v>10</v>
      </c>
      <c r="DN34" s="1">
        <v>10</v>
      </c>
      <c r="DO34" s="1">
        <v>10</v>
      </c>
      <c r="DP34" s="1">
        <v>10</v>
      </c>
      <c r="DQ34" s="1">
        <v>10</v>
      </c>
      <c r="DR34" s="1">
        <v>10</v>
      </c>
      <c r="DS34" s="1">
        <v>10</v>
      </c>
      <c r="DT34" s="1">
        <v>10</v>
      </c>
      <c r="DU34" s="1">
        <v>10</v>
      </c>
      <c r="DV34" s="1">
        <v>10</v>
      </c>
      <c r="EE34" s="655"/>
      <c r="EF34" s="655"/>
      <c r="EG34" s="655"/>
      <c r="EH34" s="655"/>
    </row>
    <row r="35" spans="1:138">
      <c r="A35" s="1" t="s">
        <v>496</v>
      </c>
      <c r="B35" s="687"/>
      <c r="C35" s="972"/>
      <c r="D35" s="8" t="s">
        <v>84</v>
      </c>
      <c r="E35" s="8" t="s">
        <v>24</v>
      </c>
      <c r="F35" s="20">
        <v>16</v>
      </c>
      <c r="G35" s="20">
        <v>16</v>
      </c>
      <c r="H35" s="20">
        <v>16</v>
      </c>
      <c r="I35" s="20">
        <v>24</v>
      </c>
      <c r="J35" s="20">
        <v>24</v>
      </c>
      <c r="K35" s="20">
        <v>23.5</v>
      </c>
      <c r="L35" s="20">
        <v>24</v>
      </c>
      <c r="M35" s="20">
        <v>24</v>
      </c>
      <c r="N35" s="20">
        <v>24</v>
      </c>
      <c r="O35" s="20">
        <v>23.5</v>
      </c>
      <c r="P35" s="20">
        <v>23.5</v>
      </c>
      <c r="Q35" s="20">
        <v>24</v>
      </c>
      <c r="R35" s="20">
        <v>24</v>
      </c>
      <c r="S35" s="20">
        <v>23.5</v>
      </c>
      <c r="T35" s="20">
        <v>30</v>
      </c>
      <c r="U35" s="20">
        <v>30</v>
      </c>
      <c r="V35" s="20">
        <v>30</v>
      </c>
      <c r="W35" s="20">
        <v>30</v>
      </c>
      <c r="X35" s="20">
        <v>30</v>
      </c>
      <c r="Y35" s="20">
        <v>30</v>
      </c>
      <c r="Z35" s="20">
        <v>30</v>
      </c>
      <c r="AA35" s="20">
        <v>30</v>
      </c>
      <c r="AB35" s="20">
        <v>30</v>
      </c>
      <c r="AC35" s="20">
        <v>30</v>
      </c>
      <c r="AD35" s="20">
        <v>30</v>
      </c>
      <c r="AE35" s="20">
        <v>30</v>
      </c>
      <c r="AF35" s="20">
        <v>30</v>
      </c>
      <c r="AG35" s="20">
        <v>30</v>
      </c>
      <c r="AH35" s="20">
        <v>21</v>
      </c>
      <c r="AI35" s="20">
        <v>21</v>
      </c>
      <c r="AJ35" s="20">
        <v>21</v>
      </c>
      <c r="AK35" s="20">
        <v>21</v>
      </c>
      <c r="AL35" s="20">
        <v>30</v>
      </c>
      <c r="AM35" s="20">
        <v>30</v>
      </c>
      <c r="AN35" s="20">
        <v>30</v>
      </c>
      <c r="AO35" s="20"/>
      <c r="AP35" s="20">
        <v>5</v>
      </c>
      <c r="AQ35" s="20">
        <v>5</v>
      </c>
      <c r="AR35" s="20">
        <v>5</v>
      </c>
      <c r="AS35" s="20">
        <v>5</v>
      </c>
      <c r="AT35" s="20"/>
      <c r="AU35" s="20"/>
      <c r="AV35" s="20"/>
      <c r="AW35" s="20">
        <v>10</v>
      </c>
      <c r="AX35" s="20">
        <v>10</v>
      </c>
      <c r="AY35" s="20">
        <v>10</v>
      </c>
      <c r="AZ35" s="20">
        <v>10</v>
      </c>
      <c r="BA35" s="20">
        <v>10</v>
      </c>
      <c r="BB35" s="20">
        <v>10</v>
      </c>
      <c r="BC35" s="20">
        <v>10</v>
      </c>
      <c r="BD35" s="20">
        <v>13</v>
      </c>
      <c r="BE35" s="20">
        <v>13</v>
      </c>
      <c r="BF35" s="20">
        <v>13</v>
      </c>
      <c r="BG35" s="20">
        <v>13</v>
      </c>
      <c r="BH35" s="20">
        <v>13</v>
      </c>
      <c r="BI35" s="20">
        <v>13</v>
      </c>
      <c r="BJ35" s="20">
        <v>13</v>
      </c>
      <c r="BK35" s="20">
        <v>15</v>
      </c>
      <c r="BL35" s="20">
        <v>15</v>
      </c>
      <c r="BM35" s="20">
        <v>15</v>
      </c>
      <c r="BN35" s="20">
        <v>15</v>
      </c>
      <c r="BO35" s="20">
        <v>15</v>
      </c>
      <c r="BP35" s="20">
        <v>15</v>
      </c>
      <c r="BQ35" s="20">
        <v>15</v>
      </c>
      <c r="BR35" s="20">
        <v>17</v>
      </c>
      <c r="BS35" s="20">
        <v>17</v>
      </c>
      <c r="BT35" s="20">
        <v>17</v>
      </c>
      <c r="BU35" s="20">
        <v>17</v>
      </c>
      <c r="BV35" s="20">
        <v>17</v>
      </c>
      <c r="BW35" s="20">
        <v>17</v>
      </c>
      <c r="BX35" s="20">
        <v>17</v>
      </c>
      <c r="BY35" s="20">
        <v>23</v>
      </c>
      <c r="BZ35" s="20">
        <v>23</v>
      </c>
      <c r="CA35" s="20">
        <v>23</v>
      </c>
      <c r="CB35" s="20">
        <v>23</v>
      </c>
      <c r="CC35" s="20">
        <v>23</v>
      </c>
      <c r="CD35" s="20">
        <v>23</v>
      </c>
      <c r="CE35" s="20">
        <v>23</v>
      </c>
      <c r="CF35" s="20">
        <v>23</v>
      </c>
      <c r="CG35" s="20">
        <v>30</v>
      </c>
      <c r="CH35" s="20">
        <v>30</v>
      </c>
      <c r="CI35" s="20">
        <v>30</v>
      </c>
      <c r="CJ35" s="20">
        <v>30</v>
      </c>
      <c r="CK35" s="20">
        <v>30</v>
      </c>
      <c r="CL35" s="1">
        <v>30</v>
      </c>
      <c r="CM35" s="1">
        <v>30</v>
      </c>
      <c r="CN35" s="1">
        <v>30</v>
      </c>
      <c r="CO35" s="1">
        <v>30</v>
      </c>
      <c r="CP35" s="1">
        <v>30</v>
      </c>
      <c r="CQ35" s="1">
        <v>30</v>
      </c>
      <c r="CR35" s="1">
        <v>30</v>
      </c>
      <c r="CS35" s="1">
        <v>30</v>
      </c>
      <c r="CT35" s="1">
        <v>30</v>
      </c>
      <c r="CU35" s="1">
        <v>30</v>
      </c>
      <c r="CV35" s="1">
        <v>30</v>
      </c>
      <c r="CW35" s="1">
        <v>30</v>
      </c>
      <c r="CX35" s="1">
        <v>30</v>
      </c>
      <c r="CY35" s="1">
        <v>30</v>
      </c>
      <c r="CZ35" s="1">
        <v>30</v>
      </c>
      <c r="DA35" s="1">
        <v>30</v>
      </c>
      <c r="DB35" s="1">
        <v>30</v>
      </c>
      <c r="DC35" s="1">
        <v>30</v>
      </c>
      <c r="DD35" s="1">
        <v>30</v>
      </c>
      <c r="DE35" s="1">
        <v>30</v>
      </c>
      <c r="DF35" s="1">
        <v>30</v>
      </c>
      <c r="DG35" s="1">
        <v>30</v>
      </c>
      <c r="DH35" s="1">
        <v>30</v>
      </c>
      <c r="DI35" s="1">
        <v>75</v>
      </c>
      <c r="DJ35" s="1">
        <v>75</v>
      </c>
      <c r="DK35" s="1">
        <v>75</v>
      </c>
      <c r="DL35" s="1">
        <v>75</v>
      </c>
      <c r="DM35" s="1">
        <v>75</v>
      </c>
      <c r="DN35" s="1">
        <v>75</v>
      </c>
      <c r="DO35" s="1">
        <v>75</v>
      </c>
      <c r="DP35" s="1">
        <v>75</v>
      </c>
      <c r="DQ35" s="1">
        <v>75</v>
      </c>
      <c r="DR35" s="1">
        <v>75</v>
      </c>
      <c r="DS35" s="1">
        <v>75</v>
      </c>
      <c r="DT35" s="1">
        <v>75</v>
      </c>
      <c r="DU35" s="1">
        <v>75</v>
      </c>
      <c r="DV35" s="1">
        <v>75</v>
      </c>
      <c r="EE35" s="655"/>
      <c r="EF35" s="655"/>
      <c r="EG35" s="655"/>
      <c r="EH35" s="655"/>
    </row>
    <row r="36" spans="1:138">
      <c r="A36" s="1" t="s">
        <v>571</v>
      </c>
      <c r="B36" s="687"/>
      <c r="C36" s="972"/>
      <c r="D36" s="7" t="s">
        <v>85</v>
      </c>
      <c r="E36" s="7" t="s">
        <v>24</v>
      </c>
      <c r="F36" s="19">
        <v>4</v>
      </c>
      <c r="G36" s="19">
        <v>4</v>
      </c>
      <c r="H36" s="19">
        <v>4</v>
      </c>
      <c r="I36" s="19">
        <v>5.3</v>
      </c>
      <c r="J36" s="19">
        <v>5</v>
      </c>
      <c r="K36" s="19">
        <v>5.3</v>
      </c>
      <c r="L36" s="19">
        <v>5</v>
      </c>
      <c r="M36" s="19">
        <v>5</v>
      </c>
      <c r="N36" s="19">
        <v>5</v>
      </c>
      <c r="O36" s="19">
        <v>5.3</v>
      </c>
      <c r="P36" s="19">
        <v>5.3</v>
      </c>
      <c r="Q36" s="19">
        <v>5</v>
      </c>
      <c r="R36" s="19">
        <v>5</v>
      </c>
      <c r="S36" s="19">
        <v>5.3</v>
      </c>
      <c r="T36" s="19">
        <v>5</v>
      </c>
      <c r="U36" s="19">
        <v>5</v>
      </c>
      <c r="V36" s="19">
        <v>5.3</v>
      </c>
      <c r="W36" s="19">
        <v>5</v>
      </c>
      <c r="X36" s="19">
        <v>5</v>
      </c>
      <c r="Y36" s="19">
        <v>5</v>
      </c>
      <c r="Z36" s="19">
        <v>5</v>
      </c>
      <c r="AA36" s="19">
        <v>5</v>
      </c>
      <c r="AB36" s="19">
        <v>5</v>
      </c>
      <c r="AC36" s="19">
        <v>5.3</v>
      </c>
      <c r="AD36" s="19">
        <v>5.3</v>
      </c>
      <c r="AE36" s="19">
        <v>5</v>
      </c>
      <c r="AF36" s="19">
        <v>5</v>
      </c>
      <c r="AG36" s="19">
        <v>5.3</v>
      </c>
      <c r="AH36" s="19">
        <v>5.3</v>
      </c>
      <c r="AI36" s="19">
        <v>5.3</v>
      </c>
      <c r="AJ36" s="19">
        <v>5.3</v>
      </c>
      <c r="AK36" s="19">
        <v>5.3</v>
      </c>
      <c r="AL36" s="19">
        <v>7</v>
      </c>
      <c r="AM36" s="19">
        <v>7</v>
      </c>
      <c r="AN36" s="19">
        <v>7</v>
      </c>
      <c r="AO36" s="19"/>
      <c r="AP36" s="19">
        <v>1</v>
      </c>
      <c r="AQ36" s="19">
        <v>1</v>
      </c>
      <c r="AR36" s="19">
        <v>1</v>
      </c>
      <c r="AS36" s="19">
        <v>1</v>
      </c>
      <c r="AT36" s="19"/>
      <c r="AU36" s="19"/>
      <c r="AV36" s="19"/>
      <c r="AW36" s="19">
        <v>1</v>
      </c>
      <c r="AX36" s="19">
        <v>1</v>
      </c>
      <c r="AY36" s="19">
        <v>1</v>
      </c>
      <c r="AZ36" s="19">
        <v>1</v>
      </c>
      <c r="BA36" s="19">
        <v>1</v>
      </c>
      <c r="BB36" s="19">
        <v>1</v>
      </c>
      <c r="BC36" s="19">
        <v>1</v>
      </c>
      <c r="BD36" s="19">
        <v>1</v>
      </c>
      <c r="BE36" s="19">
        <v>1</v>
      </c>
      <c r="BF36" s="19">
        <v>1</v>
      </c>
      <c r="BG36" s="19">
        <v>1</v>
      </c>
      <c r="BH36" s="19">
        <v>1</v>
      </c>
      <c r="BI36" s="19">
        <v>1</v>
      </c>
      <c r="BJ36" s="19">
        <v>1</v>
      </c>
      <c r="BK36" s="19">
        <v>4</v>
      </c>
      <c r="BL36" s="19">
        <v>4</v>
      </c>
      <c r="BM36" s="19">
        <v>4</v>
      </c>
      <c r="BN36" s="19">
        <v>4</v>
      </c>
      <c r="BO36" s="19">
        <v>4</v>
      </c>
      <c r="BP36" s="19">
        <v>4</v>
      </c>
      <c r="BQ36" s="19">
        <v>4</v>
      </c>
      <c r="BR36" s="19">
        <v>4</v>
      </c>
      <c r="BS36" s="19">
        <v>4</v>
      </c>
      <c r="BT36" s="19">
        <v>4</v>
      </c>
      <c r="BU36" s="19">
        <v>4</v>
      </c>
      <c r="BV36" s="19">
        <v>4</v>
      </c>
      <c r="BW36" s="19">
        <v>4</v>
      </c>
      <c r="BX36" s="19">
        <v>4</v>
      </c>
      <c r="BY36" s="19">
        <v>6</v>
      </c>
      <c r="BZ36" s="19">
        <v>6</v>
      </c>
      <c r="CA36" s="19">
        <v>6</v>
      </c>
      <c r="CB36" s="19">
        <v>6</v>
      </c>
      <c r="CC36" s="19">
        <v>6</v>
      </c>
      <c r="CD36" s="19">
        <v>6</v>
      </c>
      <c r="CE36" s="19">
        <v>6</v>
      </c>
      <c r="CF36" s="19">
        <v>6</v>
      </c>
      <c r="CG36" s="19">
        <v>5</v>
      </c>
      <c r="CH36" s="19">
        <v>5</v>
      </c>
      <c r="CI36" s="19">
        <v>5</v>
      </c>
      <c r="CJ36" s="19">
        <v>5</v>
      </c>
      <c r="CK36" s="19">
        <v>5</v>
      </c>
      <c r="CL36" s="1">
        <v>5</v>
      </c>
      <c r="CM36" s="1">
        <v>5</v>
      </c>
      <c r="CN36" s="1">
        <v>5</v>
      </c>
      <c r="CO36" s="1">
        <v>5</v>
      </c>
      <c r="CP36" s="1">
        <v>5</v>
      </c>
      <c r="CQ36" s="1">
        <v>5</v>
      </c>
      <c r="CR36" s="1">
        <v>5</v>
      </c>
      <c r="CS36" s="1">
        <v>5</v>
      </c>
      <c r="CT36" s="1">
        <v>5</v>
      </c>
      <c r="CU36" s="1">
        <v>7</v>
      </c>
      <c r="CV36" s="1">
        <v>7</v>
      </c>
      <c r="CW36" s="1">
        <v>7</v>
      </c>
      <c r="CX36" s="1">
        <v>7</v>
      </c>
      <c r="CY36" s="1">
        <v>7</v>
      </c>
      <c r="CZ36" s="1">
        <v>7</v>
      </c>
      <c r="DA36" s="1">
        <v>7</v>
      </c>
      <c r="DB36" s="1">
        <v>7</v>
      </c>
      <c r="DC36" s="1">
        <v>7</v>
      </c>
      <c r="DD36" s="1">
        <v>7</v>
      </c>
      <c r="DE36" s="1">
        <v>7</v>
      </c>
      <c r="DF36" s="1">
        <v>7</v>
      </c>
      <c r="DG36" s="1">
        <v>7</v>
      </c>
      <c r="DH36" s="1">
        <v>7</v>
      </c>
      <c r="DI36" s="1">
        <v>14</v>
      </c>
      <c r="DJ36" s="1">
        <v>14</v>
      </c>
      <c r="DK36" s="1">
        <v>14</v>
      </c>
      <c r="DL36" s="1">
        <v>14</v>
      </c>
      <c r="DM36" s="1">
        <v>14</v>
      </c>
      <c r="DN36" s="1">
        <v>14</v>
      </c>
      <c r="DO36" s="1">
        <v>14</v>
      </c>
      <c r="DP36" s="1">
        <v>9</v>
      </c>
      <c r="DQ36" s="1">
        <v>9</v>
      </c>
      <c r="DR36" s="1">
        <v>9</v>
      </c>
      <c r="DS36" s="1">
        <v>9</v>
      </c>
      <c r="DT36" s="1">
        <v>9</v>
      </c>
      <c r="DU36" s="1">
        <v>9</v>
      </c>
      <c r="DV36" s="1">
        <v>9</v>
      </c>
      <c r="EE36" s="655"/>
      <c r="EF36" s="655"/>
      <c r="EG36" s="655"/>
      <c r="EH36" s="655"/>
    </row>
    <row r="37" spans="1:138">
      <c r="A37" s="1" t="s">
        <v>570</v>
      </c>
      <c r="B37" s="687"/>
      <c r="C37" s="972"/>
      <c r="D37" s="8" t="s">
        <v>86</v>
      </c>
      <c r="E37" s="8"/>
      <c r="F37" s="20">
        <v>6</v>
      </c>
      <c r="G37" s="20">
        <v>6</v>
      </c>
      <c r="H37" s="20">
        <v>6</v>
      </c>
      <c r="I37" s="20">
        <v>6</v>
      </c>
      <c r="J37" s="20">
        <v>6</v>
      </c>
      <c r="K37" s="20">
        <v>6</v>
      </c>
      <c r="L37" s="20">
        <v>6</v>
      </c>
      <c r="M37" s="20">
        <v>6</v>
      </c>
      <c r="N37" s="20">
        <v>6</v>
      </c>
      <c r="O37" s="20">
        <v>6</v>
      </c>
      <c r="P37" s="20">
        <v>6</v>
      </c>
      <c r="Q37" s="20">
        <v>6</v>
      </c>
      <c r="R37" s="20">
        <v>6</v>
      </c>
      <c r="S37" s="20">
        <v>6</v>
      </c>
      <c r="T37" s="20">
        <v>6</v>
      </c>
      <c r="U37" s="20">
        <v>6</v>
      </c>
      <c r="V37" s="20">
        <v>6</v>
      </c>
      <c r="W37" s="20">
        <v>6</v>
      </c>
      <c r="X37" s="20">
        <v>6</v>
      </c>
      <c r="Y37" s="20">
        <v>6</v>
      </c>
      <c r="Z37" s="20">
        <v>6</v>
      </c>
      <c r="AA37" s="20">
        <v>6</v>
      </c>
      <c r="AB37" s="20">
        <v>6</v>
      </c>
      <c r="AC37" s="20">
        <v>6</v>
      </c>
      <c r="AD37" s="20">
        <v>6</v>
      </c>
      <c r="AE37" s="20">
        <v>6</v>
      </c>
      <c r="AF37" s="20">
        <v>6</v>
      </c>
      <c r="AG37" s="20">
        <v>6</v>
      </c>
      <c r="AH37" s="20">
        <v>6</v>
      </c>
      <c r="AI37" s="20">
        <v>6</v>
      </c>
      <c r="AJ37" s="20">
        <v>6</v>
      </c>
      <c r="AK37" s="20">
        <v>6</v>
      </c>
      <c r="AL37" s="20">
        <v>6</v>
      </c>
      <c r="AM37" s="20">
        <v>6</v>
      </c>
      <c r="AN37" s="20">
        <v>6</v>
      </c>
      <c r="AO37" s="20"/>
      <c r="AP37" s="20">
        <v>8</v>
      </c>
      <c r="AQ37" s="20">
        <v>8</v>
      </c>
      <c r="AR37" s="20">
        <v>8</v>
      </c>
      <c r="AS37" s="20">
        <v>8</v>
      </c>
      <c r="AT37" s="20"/>
      <c r="AU37" s="20"/>
      <c r="AV37" s="20"/>
      <c r="AW37" s="20">
        <v>8</v>
      </c>
      <c r="AX37" s="20">
        <v>8</v>
      </c>
      <c r="AY37" s="20">
        <v>8</v>
      </c>
      <c r="AZ37" s="20">
        <v>8</v>
      </c>
      <c r="BA37" s="20">
        <v>8</v>
      </c>
      <c r="BB37" s="20">
        <v>8</v>
      </c>
      <c r="BC37" s="20">
        <v>8</v>
      </c>
      <c r="BD37" s="20">
        <v>8</v>
      </c>
      <c r="BE37" s="20">
        <v>8</v>
      </c>
      <c r="BF37" s="20">
        <v>8</v>
      </c>
      <c r="BG37" s="20">
        <v>8</v>
      </c>
      <c r="BH37" s="20">
        <v>8</v>
      </c>
      <c r="BI37" s="20">
        <v>8</v>
      </c>
      <c r="BJ37" s="20">
        <v>8</v>
      </c>
      <c r="BK37" s="20">
        <v>6</v>
      </c>
      <c r="BL37" s="20">
        <v>6</v>
      </c>
      <c r="BM37" s="20">
        <v>6</v>
      </c>
      <c r="BN37" s="20">
        <v>6</v>
      </c>
      <c r="BO37" s="20">
        <v>6</v>
      </c>
      <c r="BP37" s="20">
        <v>6</v>
      </c>
      <c r="BQ37" s="20">
        <v>6</v>
      </c>
      <c r="BR37" s="20">
        <v>6</v>
      </c>
      <c r="BS37" s="20">
        <v>6</v>
      </c>
      <c r="BT37" s="20">
        <v>6</v>
      </c>
      <c r="BU37" s="20">
        <v>6</v>
      </c>
      <c r="BV37" s="20">
        <v>6</v>
      </c>
      <c r="BW37" s="20">
        <v>6</v>
      </c>
      <c r="BX37" s="20">
        <v>6</v>
      </c>
      <c r="BY37" s="20">
        <v>6</v>
      </c>
      <c r="BZ37" s="20">
        <v>6</v>
      </c>
      <c r="CA37" s="20">
        <v>6</v>
      </c>
      <c r="CB37" s="20">
        <v>6</v>
      </c>
      <c r="CC37" s="20">
        <v>6</v>
      </c>
      <c r="CD37" s="20">
        <v>6</v>
      </c>
      <c r="CE37" s="20">
        <v>6</v>
      </c>
      <c r="CF37" s="20">
        <v>6</v>
      </c>
      <c r="CG37" s="20">
        <v>6</v>
      </c>
      <c r="CH37" s="20">
        <v>6</v>
      </c>
      <c r="CI37" s="20">
        <v>6</v>
      </c>
      <c r="CJ37" s="20">
        <v>6</v>
      </c>
      <c r="CK37" s="20">
        <v>6</v>
      </c>
      <c r="CL37" s="1">
        <v>6</v>
      </c>
      <c r="CM37" s="1">
        <v>6</v>
      </c>
      <c r="CN37" s="1">
        <v>6</v>
      </c>
      <c r="CO37" s="1">
        <v>6</v>
      </c>
      <c r="CP37" s="1">
        <v>6</v>
      </c>
      <c r="CQ37" s="1">
        <v>6</v>
      </c>
      <c r="CR37" s="1">
        <v>6</v>
      </c>
      <c r="CS37" s="1">
        <v>6</v>
      </c>
      <c r="CT37" s="1">
        <v>6</v>
      </c>
      <c r="CU37" s="1">
        <v>6</v>
      </c>
      <c r="CV37" s="1">
        <v>6</v>
      </c>
      <c r="CW37" s="1">
        <v>6</v>
      </c>
      <c r="CX37" s="1">
        <v>6</v>
      </c>
      <c r="CY37" s="1">
        <v>6</v>
      </c>
      <c r="CZ37" s="1">
        <v>6</v>
      </c>
      <c r="DA37" s="1">
        <v>6</v>
      </c>
      <c r="DB37" s="1">
        <v>6</v>
      </c>
      <c r="DC37" s="1">
        <v>6</v>
      </c>
      <c r="DD37" s="1">
        <v>6</v>
      </c>
      <c r="DE37" s="1">
        <v>6</v>
      </c>
      <c r="DF37" s="1">
        <v>6</v>
      </c>
      <c r="DG37" s="1">
        <v>6</v>
      </c>
      <c r="DH37" s="1">
        <v>6</v>
      </c>
      <c r="DI37" s="1">
        <v>6</v>
      </c>
      <c r="DJ37" s="1">
        <v>6</v>
      </c>
      <c r="DK37" s="1">
        <v>6</v>
      </c>
      <c r="DL37" s="1">
        <v>6</v>
      </c>
      <c r="DM37" s="1">
        <v>6</v>
      </c>
      <c r="DN37" s="1">
        <v>6</v>
      </c>
      <c r="DO37" s="1">
        <v>6</v>
      </c>
      <c r="DP37" s="1">
        <v>6</v>
      </c>
      <c r="DQ37" s="1">
        <v>6</v>
      </c>
      <c r="DR37" s="1">
        <v>6</v>
      </c>
      <c r="DS37" s="1">
        <v>6</v>
      </c>
      <c r="DT37" s="1">
        <v>6</v>
      </c>
      <c r="DU37" s="1">
        <v>6</v>
      </c>
      <c r="DV37" s="1">
        <v>6</v>
      </c>
      <c r="EE37" s="655"/>
      <c r="EF37" s="655"/>
      <c r="EG37" s="655"/>
      <c r="EH37" s="655"/>
    </row>
    <row r="38" spans="1:138">
      <c r="A38" s="1" t="s">
        <v>475</v>
      </c>
      <c r="B38" s="687"/>
      <c r="C38" s="972"/>
      <c r="D38" s="7" t="s">
        <v>87</v>
      </c>
      <c r="E38" s="7" t="s">
        <v>24</v>
      </c>
      <c r="F38" s="19">
        <v>350</v>
      </c>
      <c r="G38" s="19">
        <v>350</v>
      </c>
      <c r="H38" s="19">
        <v>350</v>
      </c>
      <c r="I38" s="19">
        <v>700</v>
      </c>
      <c r="J38" s="19">
        <v>700</v>
      </c>
      <c r="K38" s="19">
        <v>700</v>
      </c>
      <c r="L38" s="19">
        <v>700</v>
      </c>
      <c r="M38" s="19">
        <v>700</v>
      </c>
      <c r="N38" s="19">
        <v>700</v>
      </c>
      <c r="O38" s="19">
        <v>700</v>
      </c>
      <c r="P38" s="19">
        <v>700</v>
      </c>
      <c r="Q38" s="19">
        <v>700</v>
      </c>
      <c r="R38" s="19">
        <v>700</v>
      </c>
      <c r="S38" s="19">
        <v>700</v>
      </c>
      <c r="T38" s="19">
        <v>750</v>
      </c>
      <c r="U38" s="19">
        <v>750</v>
      </c>
      <c r="V38" s="19">
        <v>750</v>
      </c>
      <c r="W38" s="19">
        <v>750</v>
      </c>
      <c r="X38" s="19">
        <v>750</v>
      </c>
      <c r="Y38" s="19">
        <v>750</v>
      </c>
      <c r="Z38" s="19">
        <v>750</v>
      </c>
      <c r="AA38" s="19">
        <v>750</v>
      </c>
      <c r="AB38" s="19">
        <v>750</v>
      </c>
      <c r="AC38" s="19">
        <v>750</v>
      </c>
      <c r="AD38" s="19">
        <v>750</v>
      </c>
      <c r="AE38" s="19">
        <v>750</v>
      </c>
      <c r="AF38" s="19">
        <v>750</v>
      </c>
      <c r="AG38" s="19">
        <v>750</v>
      </c>
      <c r="AH38" s="19">
        <v>750</v>
      </c>
      <c r="AI38" s="19">
        <v>750</v>
      </c>
      <c r="AJ38" s="19">
        <v>750</v>
      </c>
      <c r="AK38" s="19">
        <v>750</v>
      </c>
      <c r="AL38" s="19">
        <v>550</v>
      </c>
      <c r="AM38" s="19">
        <v>550</v>
      </c>
      <c r="AN38" s="19">
        <v>550</v>
      </c>
      <c r="AO38" s="19"/>
      <c r="AP38" s="19">
        <v>40</v>
      </c>
      <c r="AQ38" s="19">
        <v>40</v>
      </c>
      <c r="AR38" s="19">
        <v>40</v>
      </c>
      <c r="AS38" s="19">
        <v>40</v>
      </c>
      <c r="AT38" s="19"/>
      <c r="AU38" s="19"/>
      <c r="AV38" s="19"/>
      <c r="AW38" s="19">
        <v>300</v>
      </c>
      <c r="AX38" s="19">
        <v>300</v>
      </c>
      <c r="AY38" s="19">
        <v>300</v>
      </c>
      <c r="AZ38" s="19">
        <v>300</v>
      </c>
      <c r="BA38" s="19">
        <v>300</v>
      </c>
      <c r="BB38" s="19">
        <v>300</v>
      </c>
      <c r="BC38" s="19">
        <v>300</v>
      </c>
      <c r="BD38" s="19">
        <v>350</v>
      </c>
      <c r="BE38" s="19">
        <v>350</v>
      </c>
      <c r="BF38" s="19">
        <v>350</v>
      </c>
      <c r="BG38" s="19">
        <v>350</v>
      </c>
      <c r="BH38" s="19">
        <v>350</v>
      </c>
      <c r="BI38" s="19">
        <v>350</v>
      </c>
      <c r="BJ38" s="19">
        <v>350</v>
      </c>
      <c r="BK38" s="19">
        <v>350</v>
      </c>
      <c r="BL38" s="19">
        <v>350</v>
      </c>
      <c r="BM38" s="19">
        <v>350</v>
      </c>
      <c r="BN38" s="19">
        <v>350</v>
      </c>
      <c r="BO38" s="19">
        <v>350</v>
      </c>
      <c r="BP38" s="19">
        <v>350</v>
      </c>
      <c r="BQ38" s="19">
        <v>350</v>
      </c>
      <c r="BR38" s="19">
        <v>300</v>
      </c>
      <c r="BS38" s="19">
        <v>300</v>
      </c>
      <c r="BT38" s="19">
        <v>300</v>
      </c>
      <c r="BU38" s="19">
        <v>300</v>
      </c>
      <c r="BV38" s="19">
        <v>300</v>
      </c>
      <c r="BW38" s="19">
        <v>300</v>
      </c>
      <c r="BX38" s="19">
        <v>300</v>
      </c>
      <c r="BY38" s="19">
        <v>700</v>
      </c>
      <c r="BZ38" s="19">
        <v>700</v>
      </c>
      <c r="CA38" s="19">
        <v>700</v>
      </c>
      <c r="CB38" s="19">
        <v>700</v>
      </c>
      <c r="CC38" s="19">
        <v>700</v>
      </c>
      <c r="CD38" s="19">
        <v>700</v>
      </c>
      <c r="CE38" s="19">
        <v>700</v>
      </c>
      <c r="CF38" s="19">
        <v>500</v>
      </c>
      <c r="CG38" s="19">
        <v>750</v>
      </c>
      <c r="CH38" s="19">
        <v>750</v>
      </c>
      <c r="CI38" s="19">
        <v>750</v>
      </c>
      <c r="CJ38" s="19">
        <v>750</v>
      </c>
      <c r="CK38" s="19">
        <v>750</v>
      </c>
      <c r="CL38" s="1">
        <v>750</v>
      </c>
      <c r="CM38" s="1">
        <v>750</v>
      </c>
      <c r="CN38" s="1">
        <v>750</v>
      </c>
      <c r="CO38" s="1">
        <v>750</v>
      </c>
      <c r="CP38" s="1">
        <v>750</v>
      </c>
      <c r="CQ38" s="1">
        <v>750</v>
      </c>
      <c r="CR38" s="1">
        <v>750</v>
      </c>
      <c r="CS38" s="1">
        <v>750</v>
      </c>
      <c r="CT38" s="1">
        <v>750</v>
      </c>
      <c r="CU38" s="1">
        <v>550</v>
      </c>
      <c r="CV38" s="1">
        <v>550</v>
      </c>
      <c r="CW38" s="1">
        <v>550</v>
      </c>
      <c r="CX38" s="1">
        <v>550</v>
      </c>
      <c r="CY38" s="1">
        <v>550</v>
      </c>
      <c r="CZ38" s="1">
        <v>550</v>
      </c>
      <c r="DA38" s="1">
        <v>550</v>
      </c>
      <c r="DB38" s="1">
        <v>550</v>
      </c>
      <c r="DC38" s="1">
        <v>550</v>
      </c>
      <c r="DD38" s="1">
        <v>550</v>
      </c>
      <c r="DE38" s="1">
        <v>550</v>
      </c>
      <c r="DF38" s="1">
        <v>550</v>
      </c>
      <c r="DG38" s="1">
        <v>550</v>
      </c>
      <c r="DH38" s="1">
        <v>550</v>
      </c>
      <c r="DI38" s="1">
        <v>750</v>
      </c>
      <c r="DJ38" s="1">
        <v>750</v>
      </c>
      <c r="DK38" s="1">
        <v>750</v>
      </c>
      <c r="DL38" s="1">
        <v>750</v>
      </c>
      <c r="DM38" s="1">
        <v>750</v>
      </c>
      <c r="DN38" s="1">
        <v>750</v>
      </c>
      <c r="DO38" s="1">
        <v>750</v>
      </c>
      <c r="DP38" s="1">
        <v>750</v>
      </c>
      <c r="DQ38" s="1">
        <v>750</v>
      </c>
      <c r="DR38" s="1">
        <v>750</v>
      </c>
      <c r="DS38" s="1">
        <v>750</v>
      </c>
      <c r="DT38" s="1">
        <v>750</v>
      </c>
      <c r="DU38" s="1">
        <v>750</v>
      </c>
      <c r="DV38" s="1">
        <v>750</v>
      </c>
      <c r="EE38" s="655"/>
      <c r="EF38" s="655"/>
      <c r="EG38" s="655"/>
      <c r="EH38" s="655"/>
    </row>
    <row r="39" spans="1:138">
      <c r="A39" s="1" t="s">
        <v>498</v>
      </c>
      <c r="B39" s="687"/>
      <c r="C39" s="972"/>
      <c r="D39" s="8" t="s">
        <v>88</v>
      </c>
      <c r="E39" s="8" t="s">
        <v>24</v>
      </c>
      <c r="F39" s="20">
        <v>25</v>
      </c>
      <c r="G39" s="20">
        <v>25</v>
      </c>
      <c r="H39" s="20">
        <v>25</v>
      </c>
      <c r="I39" s="20">
        <v>50</v>
      </c>
      <c r="J39" s="20">
        <v>50</v>
      </c>
      <c r="K39" s="20">
        <v>50</v>
      </c>
      <c r="L39" s="20">
        <v>50</v>
      </c>
      <c r="M39" s="20">
        <v>50</v>
      </c>
      <c r="N39" s="20">
        <v>50</v>
      </c>
      <c r="O39" s="20">
        <v>50</v>
      </c>
      <c r="P39" s="20">
        <v>50</v>
      </c>
      <c r="Q39" s="20">
        <v>50</v>
      </c>
      <c r="R39" s="20">
        <v>50</v>
      </c>
      <c r="S39" s="20">
        <v>50</v>
      </c>
      <c r="T39" s="20">
        <v>50</v>
      </c>
      <c r="U39" s="20">
        <v>50</v>
      </c>
      <c r="V39" s="20">
        <v>50</v>
      </c>
      <c r="W39" s="20">
        <v>50</v>
      </c>
      <c r="X39" s="20">
        <v>50</v>
      </c>
      <c r="Y39" s="20">
        <v>50</v>
      </c>
      <c r="Z39" s="20">
        <v>50</v>
      </c>
      <c r="AA39" s="20">
        <v>50</v>
      </c>
      <c r="AB39" s="20">
        <v>50</v>
      </c>
      <c r="AC39" s="20">
        <v>50</v>
      </c>
      <c r="AD39" s="20">
        <v>50</v>
      </c>
      <c r="AE39" s="20">
        <v>50</v>
      </c>
      <c r="AF39" s="20">
        <v>50</v>
      </c>
      <c r="AG39" s="20">
        <v>50</v>
      </c>
      <c r="AH39" s="20">
        <v>50</v>
      </c>
      <c r="AI39" s="20">
        <v>50</v>
      </c>
      <c r="AJ39" s="20">
        <v>50</v>
      </c>
      <c r="AK39" s="20">
        <v>50</v>
      </c>
      <c r="AL39" s="20">
        <v>60</v>
      </c>
      <c r="AM39" s="20">
        <v>60</v>
      </c>
      <c r="AN39" s="20">
        <v>60</v>
      </c>
      <c r="AO39" s="20"/>
      <c r="AP39" s="20">
        <v>5</v>
      </c>
      <c r="AQ39" s="20">
        <v>5</v>
      </c>
      <c r="AR39" s="20">
        <v>5</v>
      </c>
      <c r="AS39" s="20">
        <v>5</v>
      </c>
      <c r="AT39" s="20"/>
      <c r="AU39" s="20"/>
      <c r="AV39" s="20"/>
      <c r="AW39" s="20">
        <v>10</v>
      </c>
      <c r="AX39" s="20">
        <v>10</v>
      </c>
      <c r="AY39" s="20">
        <v>10</v>
      </c>
      <c r="AZ39" s="20">
        <v>10</v>
      </c>
      <c r="BA39" s="20">
        <v>10</v>
      </c>
      <c r="BB39" s="20">
        <v>10</v>
      </c>
      <c r="BC39" s="20">
        <v>10</v>
      </c>
      <c r="BD39" s="20">
        <v>25</v>
      </c>
      <c r="BE39" s="20">
        <v>25</v>
      </c>
      <c r="BF39" s="20">
        <v>25</v>
      </c>
      <c r="BG39" s="20">
        <v>25</v>
      </c>
      <c r="BH39" s="20">
        <v>25</v>
      </c>
      <c r="BI39" s="20">
        <v>25</v>
      </c>
      <c r="BJ39" s="20">
        <v>25</v>
      </c>
      <c r="BK39" s="20">
        <v>25</v>
      </c>
      <c r="BL39" s="20">
        <v>25</v>
      </c>
      <c r="BM39" s="20">
        <v>25</v>
      </c>
      <c r="BN39" s="20">
        <v>25</v>
      </c>
      <c r="BO39" s="20">
        <v>25</v>
      </c>
      <c r="BP39" s="20">
        <v>25</v>
      </c>
      <c r="BQ39" s="20">
        <v>25</v>
      </c>
      <c r="BR39" s="20">
        <v>25</v>
      </c>
      <c r="BS39" s="20">
        <v>25</v>
      </c>
      <c r="BT39" s="20">
        <v>25</v>
      </c>
      <c r="BU39" s="20">
        <v>25</v>
      </c>
      <c r="BV39" s="20">
        <v>25</v>
      </c>
      <c r="BW39" s="20">
        <v>25</v>
      </c>
      <c r="BX39" s="20">
        <v>25</v>
      </c>
      <c r="BY39" s="20">
        <v>50</v>
      </c>
      <c r="BZ39" s="20">
        <v>50</v>
      </c>
      <c r="CA39" s="20">
        <v>50</v>
      </c>
      <c r="CB39" s="20">
        <v>50</v>
      </c>
      <c r="CC39" s="20">
        <v>50</v>
      </c>
      <c r="CD39" s="20">
        <v>50</v>
      </c>
      <c r="CE39" s="20">
        <v>50</v>
      </c>
      <c r="CF39" s="20">
        <v>50</v>
      </c>
      <c r="CG39" s="20">
        <v>50</v>
      </c>
      <c r="CH39" s="20">
        <v>50</v>
      </c>
      <c r="CI39" s="20">
        <v>50</v>
      </c>
      <c r="CJ39" s="20">
        <v>50</v>
      </c>
      <c r="CK39" s="20">
        <v>50</v>
      </c>
      <c r="CL39" s="1">
        <v>50</v>
      </c>
      <c r="CM39" s="1">
        <v>50</v>
      </c>
      <c r="CN39" s="1">
        <v>50</v>
      </c>
      <c r="CO39" s="1">
        <v>50</v>
      </c>
      <c r="CP39" s="1">
        <v>50</v>
      </c>
      <c r="CQ39" s="1">
        <v>50</v>
      </c>
      <c r="CR39" s="1">
        <v>50</v>
      </c>
      <c r="CS39" s="1">
        <v>50</v>
      </c>
      <c r="CT39" s="1">
        <v>50</v>
      </c>
      <c r="CU39" s="1">
        <v>60</v>
      </c>
      <c r="CV39" s="1">
        <v>60</v>
      </c>
      <c r="CW39" s="1">
        <v>60</v>
      </c>
      <c r="CX39" s="1">
        <v>60</v>
      </c>
      <c r="CY39" s="1">
        <v>60</v>
      </c>
      <c r="CZ39" s="1">
        <v>60</v>
      </c>
      <c r="DA39" s="1">
        <v>60</v>
      </c>
      <c r="DB39" s="1">
        <v>60</v>
      </c>
      <c r="DC39" s="1">
        <v>60</v>
      </c>
      <c r="DD39" s="1">
        <v>60</v>
      </c>
      <c r="DE39" s="1">
        <v>60</v>
      </c>
      <c r="DF39" s="1">
        <v>60</v>
      </c>
      <c r="DG39" s="1">
        <v>60</v>
      </c>
      <c r="DH39" s="1">
        <v>60</v>
      </c>
      <c r="DI39" s="1">
        <v>80</v>
      </c>
      <c r="DJ39" s="1">
        <v>80</v>
      </c>
      <c r="DK39" s="1">
        <v>80</v>
      </c>
      <c r="DL39" s="1">
        <v>80</v>
      </c>
      <c r="DM39" s="1">
        <v>80</v>
      </c>
      <c r="DN39" s="1">
        <v>80</v>
      </c>
      <c r="DO39" s="1">
        <v>80</v>
      </c>
      <c r="DP39" s="1">
        <v>80</v>
      </c>
      <c r="DQ39" s="1">
        <v>80</v>
      </c>
      <c r="DR39" s="1">
        <v>80</v>
      </c>
      <c r="DS39" s="1">
        <v>80</v>
      </c>
      <c r="DT39" s="1">
        <v>80</v>
      </c>
      <c r="DU39" s="1">
        <v>80</v>
      </c>
      <c r="DV39" s="1">
        <v>80</v>
      </c>
      <c r="EE39" s="655"/>
      <c r="EF39" s="655"/>
      <c r="EG39" s="655"/>
      <c r="EH39" s="655"/>
    </row>
    <row r="40" spans="1:138">
      <c r="A40" s="1" t="s">
        <v>573</v>
      </c>
      <c r="B40" s="687"/>
      <c r="C40" s="972"/>
      <c r="D40" s="7" t="s">
        <v>87</v>
      </c>
      <c r="E40" s="7" t="s">
        <v>24</v>
      </c>
      <c r="F40" s="19">
        <v>800</v>
      </c>
      <c r="G40" s="19">
        <v>800</v>
      </c>
      <c r="H40" s="19">
        <v>800</v>
      </c>
      <c r="I40" s="19">
        <v>1500</v>
      </c>
      <c r="J40" s="19">
        <v>1500</v>
      </c>
      <c r="K40" s="19">
        <v>1500</v>
      </c>
      <c r="L40" s="19">
        <v>1500</v>
      </c>
      <c r="M40" s="19">
        <v>1500</v>
      </c>
      <c r="N40" s="19">
        <v>1500</v>
      </c>
      <c r="O40" s="19">
        <v>1500</v>
      </c>
      <c r="P40" s="19">
        <v>1500</v>
      </c>
      <c r="Q40" s="19">
        <v>1500</v>
      </c>
      <c r="R40" s="19">
        <v>1500</v>
      </c>
      <c r="S40" s="19">
        <v>1500</v>
      </c>
      <c r="T40" s="19">
        <v>1500</v>
      </c>
      <c r="U40" s="19">
        <v>1500</v>
      </c>
      <c r="V40" s="19">
        <v>1500</v>
      </c>
      <c r="W40" s="19">
        <v>1500</v>
      </c>
      <c r="X40" s="19">
        <v>1500</v>
      </c>
      <c r="Y40" s="19">
        <v>1500</v>
      </c>
      <c r="Z40" s="19">
        <v>1500</v>
      </c>
      <c r="AA40" s="19">
        <v>1500</v>
      </c>
      <c r="AB40" s="19">
        <v>1500</v>
      </c>
      <c r="AC40" s="19">
        <v>1500</v>
      </c>
      <c r="AD40" s="19">
        <v>1500</v>
      </c>
      <c r="AE40" s="19">
        <v>1500</v>
      </c>
      <c r="AF40" s="19">
        <v>1500</v>
      </c>
      <c r="AG40" s="19">
        <v>1500</v>
      </c>
      <c r="AH40" s="19">
        <v>1500</v>
      </c>
      <c r="AI40" s="19">
        <v>1500</v>
      </c>
      <c r="AJ40" s="19">
        <v>1500</v>
      </c>
      <c r="AK40" s="19">
        <v>1500</v>
      </c>
      <c r="AL40" s="19">
        <v>1000</v>
      </c>
      <c r="AM40" s="19">
        <v>1000</v>
      </c>
      <c r="AN40" s="19">
        <v>1000</v>
      </c>
      <c r="AO40" s="19"/>
      <c r="AP40" s="19"/>
      <c r="AQ40" s="19"/>
      <c r="AR40" s="19"/>
      <c r="AS40" s="19"/>
      <c r="AT40" s="19"/>
      <c r="AU40" s="19"/>
      <c r="AV40" s="19"/>
      <c r="AW40" s="19"/>
      <c r="AX40" s="19"/>
      <c r="AY40" s="19"/>
      <c r="AZ40" s="19"/>
      <c r="BA40" s="19"/>
      <c r="BB40" s="19"/>
      <c r="BC40" s="19"/>
      <c r="BD40" s="19">
        <v>800</v>
      </c>
      <c r="BE40" s="19">
        <v>800</v>
      </c>
      <c r="BF40" s="19">
        <v>800</v>
      </c>
      <c r="BG40" s="19">
        <v>800</v>
      </c>
      <c r="BH40" s="19">
        <v>800</v>
      </c>
      <c r="BI40" s="19">
        <v>800</v>
      </c>
      <c r="BJ40" s="19">
        <v>800</v>
      </c>
      <c r="BK40" s="19">
        <v>800</v>
      </c>
      <c r="BL40" s="19">
        <v>800</v>
      </c>
      <c r="BM40" s="19">
        <v>800</v>
      </c>
      <c r="BN40" s="19">
        <v>800</v>
      </c>
      <c r="BO40" s="19">
        <v>800</v>
      </c>
      <c r="BP40" s="19">
        <v>800</v>
      </c>
      <c r="BQ40" s="19">
        <v>800</v>
      </c>
      <c r="BR40" s="19">
        <v>700</v>
      </c>
      <c r="BS40" s="19">
        <v>700</v>
      </c>
      <c r="BT40" s="19">
        <v>700</v>
      </c>
      <c r="BU40" s="19">
        <v>700</v>
      </c>
      <c r="BV40" s="19">
        <v>700</v>
      </c>
      <c r="BW40" s="19">
        <v>700</v>
      </c>
      <c r="BX40" s="19">
        <v>700</v>
      </c>
      <c r="BY40" s="19">
        <v>1500</v>
      </c>
      <c r="BZ40" s="19">
        <v>1500</v>
      </c>
      <c r="CA40" s="19">
        <v>1500</v>
      </c>
      <c r="CB40" s="19">
        <v>1500</v>
      </c>
      <c r="CC40" s="19">
        <v>1500</v>
      </c>
      <c r="CD40" s="19">
        <v>1500</v>
      </c>
      <c r="CE40" s="19">
        <v>1500</v>
      </c>
      <c r="CF40" s="19">
        <v>1300</v>
      </c>
      <c r="CG40" s="19">
        <v>1500</v>
      </c>
      <c r="CH40" s="19">
        <v>1500</v>
      </c>
      <c r="CI40" s="19">
        <v>1500</v>
      </c>
      <c r="CJ40" s="19">
        <v>1500</v>
      </c>
      <c r="CK40" s="19">
        <v>1500</v>
      </c>
      <c r="CL40" s="1">
        <v>1500</v>
      </c>
      <c r="CM40" s="1">
        <v>1500</v>
      </c>
      <c r="CN40" s="1">
        <v>1500</v>
      </c>
      <c r="CO40" s="1">
        <v>1500</v>
      </c>
      <c r="CP40" s="1">
        <v>1500</v>
      </c>
      <c r="CQ40" s="1">
        <v>1500</v>
      </c>
      <c r="CR40" s="1">
        <v>1500</v>
      </c>
      <c r="CS40" s="1">
        <v>1500</v>
      </c>
      <c r="CT40" s="1">
        <v>1500</v>
      </c>
      <c r="CU40" s="1">
        <v>1000</v>
      </c>
      <c r="CV40" s="1">
        <v>1000</v>
      </c>
      <c r="CW40" s="1">
        <v>1000</v>
      </c>
      <c r="CX40" s="1">
        <v>1000</v>
      </c>
      <c r="CY40" s="1">
        <v>1000</v>
      </c>
      <c r="CZ40" s="1">
        <v>1000</v>
      </c>
      <c r="DA40" s="1">
        <v>1000</v>
      </c>
      <c r="DB40" s="1">
        <v>1000</v>
      </c>
      <c r="DC40" s="1">
        <v>1000</v>
      </c>
      <c r="DD40" s="1">
        <v>1000</v>
      </c>
      <c r="DE40" s="1">
        <v>1000</v>
      </c>
      <c r="DF40" s="1">
        <v>1000</v>
      </c>
      <c r="DG40" s="1">
        <v>1000</v>
      </c>
      <c r="DH40" s="1">
        <v>1000</v>
      </c>
      <c r="DI40" s="1">
        <v>3850</v>
      </c>
      <c r="DJ40" s="1">
        <v>3850</v>
      </c>
      <c r="DK40" s="1">
        <v>3850</v>
      </c>
      <c r="DL40" s="1">
        <v>3850</v>
      </c>
      <c r="DM40" s="1">
        <v>3850</v>
      </c>
      <c r="DN40" s="1">
        <v>3850</v>
      </c>
      <c r="DO40" s="1">
        <v>3850</v>
      </c>
      <c r="DP40" s="1">
        <v>3000</v>
      </c>
      <c r="DQ40" s="1">
        <v>3000</v>
      </c>
      <c r="DR40" s="1">
        <v>3000</v>
      </c>
      <c r="DS40" s="1">
        <v>3000</v>
      </c>
      <c r="DT40" s="1">
        <v>3000</v>
      </c>
      <c r="DU40" s="1">
        <v>3000</v>
      </c>
      <c r="DV40" s="1">
        <v>3000</v>
      </c>
      <c r="EE40" s="655"/>
      <c r="EF40" s="655"/>
      <c r="EG40" s="655"/>
      <c r="EH40" s="655"/>
    </row>
    <row r="41" spans="1:138">
      <c r="A41" s="1" t="s">
        <v>462</v>
      </c>
      <c r="B41" s="687"/>
      <c r="C41" s="972"/>
      <c r="D41" s="8" t="s">
        <v>88</v>
      </c>
      <c r="E41" s="8" t="s">
        <v>24</v>
      </c>
      <c r="F41" s="20">
        <v>40</v>
      </c>
      <c r="G41" s="20">
        <v>40</v>
      </c>
      <c r="H41" s="20">
        <v>40</v>
      </c>
      <c r="I41" s="20">
        <v>70</v>
      </c>
      <c r="J41" s="20">
        <v>70</v>
      </c>
      <c r="K41" s="20">
        <v>70</v>
      </c>
      <c r="L41" s="20">
        <v>70</v>
      </c>
      <c r="M41" s="20">
        <v>70</v>
      </c>
      <c r="N41" s="20">
        <v>70</v>
      </c>
      <c r="O41" s="20">
        <v>70</v>
      </c>
      <c r="P41" s="20">
        <v>70</v>
      </c>
      <c r="Q41" s="20">
        <v>70</v>
      </c>
      <c r="R41" s="20">
        <v>70</v>
      </c>
      <c r="S41" s="20">
        <v>70</v>
      </c>
      <c r="T41" s="20">
        <v>70</v>
      </c>
      <c r="U41" s="20">
        <v>70</v>
      </c>
      <c r="V41" s="20">
        <v>70</v>
      </c>
      <c r="W41" s="20">
        <v>70</v>
      </c>
      <c r="X41" s="20">
        <v>70</v>
      </c>
      <c r="Y41" s="20">
        <v>70</v>
      </c>
      <c r="Z41" s="20">
        <v>70</v>
      </c>
      <c r="AA41" s="20">
        <v>70</v>
      </c>
      <c r="AB41" s="20">
        <v>70</v>
      </c>
      <c r="AC41" s="20">
        <v>70</v>
      </c>
      <c r="AD41" s="20">
        <v>70</v>
      </c>
      <c r="AE41" s="20">
        <v>70</v>
      </c>
      <c r="AF41" s="20">
        <v>70</v>
      </c>
      <c r="AG41" s="20">
        <v>70</v>
      </c>
      <c r="AH41" s="20">
        <v>70</v>
      </c>
      <c r="AI41" s="20">
        <v>70</v>
      </c>
      <c r="AJ41" s="20">
        <v>70</v>
      </c>
      <c r="AK41" s="20">
        <v>70</v>
      </c>
      <c r="AL41" s="20">
        <v>80</v>
      </c>
      <c r="AM41" s="20">
        <v>80</v>
      </c>
      <c r="AN41" s="20">
        <v>80</v>
      </c>
      <c r="AO41" s="20"/>
      <c r="AP41" s="20"/>
      <c r="AQ41" s="20"/>
      <c r="AR41" s="20"/>
      <c r="AS41" s="20"/>
      <c r="AT41" s="20"/>
      <c r="AU41" s="20"/>
      <c r="AV41" s="20"/>
      <c r="AW41" s="20"/>
      <c r="AX41" s="20"/>
      <c r="AY41" s="20"/>
      <c r="AZ41" s="20"/>
      <c r="BA41" s="20"/>
      <c r="BB41" s="20"/>
      <c r="BC41" s="20"/>
      <c r="BD41" s="20">
        <v>40</v>
      </c>
      <c r="BE41" s="20">
        <v>40</v>
      </c>
      <c r="BF41" s="20">
        <v>40</v>
      </c>
      <c r="BG41" s="20">
        <v>40</v>
      </c>
      <c r="BH41" s="20">
        <v>40</v>
      </c>
      <c r="BI41" s="20">
        <v>40</v>
      </c>
      <c r="BJ41" s="20">
        <v>40</v>
      </c>
      <c r="BK41" s="20">
        <v>40</v>
      </c>
      <c r="BL41" s="20">
        <v>40</v>
      </c>
      <c r="BM41" s="20">
        <v>40</v>
      </c>
      <c r="BN41" s="20">
        <v>40</v>
      </c>
      <c r="BO41" s="20">
        <v>40</v>
      </c>
      <c r="BP41" s="20">
        <v>40</v>
      </c>
      <c r="BQ41" s="20">
        <v>40</v>
      </c>
      <c r="BR41" s="20">
        <v>40</v>
      </c>
      <c r="BS41" s="20">
        <v>40</v>
      </c>
      <c r="BT41" s="20">
        <v>40</v>
      </c>
      <c r="BU41" s="20">
        <v>40</v>
      </c>
      <c r="BV41" s="20">
        <v>40</v>
      </c>
      <c r="BW41" s="20">
        <v>40</v>
      </c>
      <c r="BX41" s="20">
        <v>40</v>
      </c>
      <c r="BY41" s="20">
        <v>70</v>
      </c>
      <c r="BZ41" s="20">
        <v>70</v>
      </c>
      <c r="CA41" s="20">
        <v>70</v>
      </c>
      <c r="CB41" s="20">
        <v>70</v>
      </c>
      <c r="CC41" s="20">
        <v>70</v>
      </c>
      <c r="CD41" s="20">
        <v>70</v>
      </c>
      <c r="CE41" s="20">
        <v>70</v>
      </c>
      <c r="CF41" s="20">
        <v>70</v>
      </c>
      <c r="CG41" s="20">
        <v>70</v>
      </c>
      <c r="CH41" s="20">
        <v>70</v>
      </c>
      <c r="CI41" s="20">
        <v>70</v>
      </c>
      <c r="CJ41" s="20">
        <v>70</v>
      </c>
      <c r="CK41" s="20">
        <v>70</v>
      </c>
      <c r="CL41" s="1">
        <v>70</v>
      </c>
      <c r="CM41" s="1">
        <v>70</v>
      </c>
      <c r="CN41" s="1">
        <v>70</v>
      </c>
      <c r="CO41" s="1">
        <v>70</v>
      </c>
      <c r="CP41" s="1">
        <v>70</v>
      </c>
      <c r="CQ41" s="1">
        <v>70</v>
      </c>
      <c r="CR41" s="1">
        <v>70</v>
      </c>
      <c r="CS41" s="1">
        <v>70</v>
      </c>
      <c r="CT41" s="1">
        <v>70</v>
      </c>
      <c r="CU41" s="1">
        <v>80</v>
      </c>
      <c r="CV41" s="1">
        <v>80</v>
      </c>
      <c r="CW41" s="1">
        <v>80</v>
      </c>
      <c r="CX41" s="1">
        <v>80</v>
      </c>
      <c r="CY41" s="1">
        <v>80</v>
      </c>
      <c r="CZ41" s="1">
        <v>80</v>
      </c>
      <c r="DA41" s="1">
        <v>80</v>
      </c>
      <c r="DB41" s="1">
        <v>80</v>
      </c>
      <c r="DC41" s="1">
        <v>80</v>
      </c>
      <c r="DD41" s="1">
        <v>80</v>
      </c>
      <c r="DE41" s="1">
        <v>80</v>
      </c>
      <c r="DF41" s="1">
        <v>80</v>
      </c>
      <c r="DG41" s="1">
        <v>80</v>
      </c>
      <c r="DH41" s="1">
        <v>80</v>
      </c>
      <c r="DI41" s="1">
        <v>100</v>
      </c>
      <c r="DJ41" s="1">
        <v>100</v>
      </c>
      <c r="DK41" s="1">
        <v>100</v>
      </c>
      <c r="DL41" s="1">
        <v>100</v>
      </c>
      <c r="DM41" s="1">
        <v>100</v>
      </c>
      <c r="DN41" s="1">
        <v>100</v>
      </c>
      <c r="DO41" s="1">
        <v>100</v>
      </c>
      <c r="DP41" s="1">
        <v>100</v>
      </c>
      <c r="DQ41" s="1">
        <v>100</v>
      </c>
      <c r="DR41" s="1">
        <v>100</v>
      </c>
      <c r="DS41" s="1">
        <v>100</v>
      </c>
      <c r="DT41" s="1">
        <v>100</v>
      </c>
      <c r="DU41" s="1">
        <v>100</v>
      </c>
      <c r="DV41" s="1">
        <v>100</v>
      </c>
      <c r="EE41" s="655"/>
      <c r="EF41" s="655"/>
      <c r="EG41" s="655"/>
      <c r="EH41" s="655"/>
    </row>
    <row r="42" spans="1:138">
      <c r="A42" s="1" t="s">
        <v>468</v>
      </c>
      <c r="B42" s="687"/>
      <c r="C42" s="972"/>
      <c r="D42" s="7" t="s">
        <v>87</v>
      </c>
      <c r="E42" s="7" t="s">
        <v>24</v>
      </c>
      <c r="F42" s="19">
        <v>1800</v>
      </c>
      <c r="G42" s="19">
        <v>1800</v>
      </c>
      <c r="H42" s="19">
        <v>1800</v>
      </c>
      <c r="I42" s="19">
        <v>2500</v>
      </c>
      <c r="J42" s="19">
        <v>2500</v>
      </c>
      <c r="K42" s="19">
        <v>1620</v>
      </c>
      <c r="L42" s="19">
        <v>2500</v>
      </c>
      <c r="M42" s="19">
        <v>2500</v>
      </c>
      <c r="N42" s="19">
        <v>2500</v>
      </c>
      <c r="O42" s="19">
        <v>1560</v>
      </c>
      <c r="P42" s="19">
        <v>1650</v>
      </c>
      <c r="Q42" s="19">
        <v>2500</v>
      </c>
      <c r="R42" s="19">
        <v>2500</v>
      </c>
      <c r="S42" s="19">
        <v>1590</v>
      </c>
      <c r="T42" s="19">
        <v>3000</v>
      </c>
      <c r="U42" s="19">
        <v>3000</v>
      </c>
      <c r="V42" s="19">
        <v>2320</v>
      </c>
      <c r="W42" s="19">
        <v>3000</v>
      </c>
      <c r="X42" s="19">
        <v>3000</v>
      </c>
      <c r="Y42" s="19">
        <v>3000</v>
      </c>
      <c r="Z42" s="19">
        <v>3000</v>
      </c>
      <c r="AA42" s="19">
        <v>3000</v>
      </c>
      <c r="AB42" s="19">
        <v>3000</v>
      </c>
      <c r="AC42" s="19">
        <v>2260</v>
      </c>
      <c r="AD42" s="19">
        <v>2350</v>
      </c>
      <c r="AE42" s="19">
        <v>3000</v>
      </c>
      <c r="AF42" s="19">
        <v>3000</v>
      </c>
      <c r="AG42" s="19">
        <v>2290</v>
      </c>
      <c r="AH42" s="19">
        <v>2120</v>
      </c>
      <c r="AI42" s="19">
        <v>2060</v>
      </c>
      <c r="AJ42" s="19">
        <v>2150</v>
      </c>
      <c r="AK42" s="19">
        <v>2090</v>
      </c>
      <c r="AL42" s="19">
        <v>4600</v>
      </c>
      <c r="AM42" s="19">
        <v>4600</v>
      </c>
      <c r="AN42" s="19">
        <v>4600</v>
      </c>
      <c r="AO42" s="19"/>
      <c r="AP42" s="19"/>
      <c r="AQ42" s="19"/>
      <c r="AR42" s="19"/>
      <c r="AS42" s="19"/>
      <c r="AT42" s="19"/>
      <c r="AU42" s="19"/>
      <c r="AV42" s="19"/>
      <c r="AW42" s="19"/>
      <c r="AX42" s="19"/>
      <c r="AY42" s="19"/>
      <c r="AZ42" s="19"/>
      <c r="BA42" s="19"/>
      <c r="BB42" s="19"/>
      <c r="BC42" s="19"/>
      <c r="BD42" s="19">
        <v>1540</v>
      </c>
      <c r="BE42" s="19">
        <v>1540</v>
      </c>
      <c r="BF42" s="19">
        <v>1490</v>
      </c>
      <c r="BG42" s="19">
        <v>1490</v>
      </c>
      <c r="BH42" s="19">
        <v>1490</v>
      </c>
      <c r="BI42" s="19">
        <v>1510</v>
      </c>
      <c r="BJ42" s="19">
        <v>1510</v>
      </c>
      <c r="BK42" s="19">
        <v>1755</v>
      </c>
      <c r="BL42" s="19">
        <v>1755</v>
      </c>
      <c r="BM42" s="19">
        <v>1715</v>
      </c>
      <c r="BN42" s="19">
        <v>1715</v>
      </c>
      <c r="BO42" s="19">
        <v>1715</v>
      </c>
      <c r="BP42" s="19">
        <v>1745</v>
      </c>
      <c r="BQ42" s="19">
        <v>1745</v>
      </c>
      <c r="BR42" s="19">
        <v>2470</v>
      </c>
      <c r="BS42" s="19">
        <v>2470</v>
      </c>
      <c r="BT42" s="19">
        <v>2390</v>
      </c>
      <c r="BU42" s="19">
        <v>2390</v>
      </c>
      <c r="BV42" s="19">
        <v>2390</v>
      </c>
      <c r="BW42" s="19">
        <v>2435</v>
      </c>
      <c r="BX42" s="19">
        <v>2435</v>
      </c>
      <c r="BY42" s="19">
        <v>2615</v>
      </c>
      <c r="BZ42" s="19">
        <v>2615</v>
      </c>
      <c r="CA42" s="19">
        <v>2525</v>
      </c>
      <c r="CB42" s="19">
        <v>2525</v>
      </c>
      <c r="CC42" s="19">
        <v>2525</v>
      </c>
      <c r="CD42" s="19">
        <v>2570</v>
      </c>
      <c r="CE42" s="19">
        <v>2570</v>
      </c>
      <c r="CF42" s="19">
        <v>1710</v>
      </c>
      <c r="CG42" s="19">
        <v>2310</v>
      </c>
      <c r="CH42" s="19">
        <v>2310</v>
      </c>
      <c r="CI42" s="19">
        <v>2190</v>
      </c>
      <c r="CJ42" s="19">
        <v>2190</v>
      </c>
      <c r="CK42" s="19">
        <v>2190</v>
      </c>
      <c r="CL42" s="1">
        <v>2250</v>
      </c>
      <c r="CM42" s="1">
        <v>2250</v>
      </c>
      <c r="CN42" s="1">
        <v>2120</v>
      </c>
      <c r="CO42" s="1">
        <v>2120</v>
      </c>
      <c r="CP42" s="1">
        <v>2000</v>
      </c>
      <c r="CQ42" s="1">
        <v>2000</v>
      </c>
      <c r="CR42" s="1">
        <v>2000</v>
      </c>
      <c r="CS42" s="1">
        <v>2060</v>
      </c>
      <c r="CT42" s="1">
        <v>2060</v>
      </c>
      <c r="CU42" s="1">
        <v>3180</v>
      </c>
      <c r="CV42" s="1">
        <v>3180</v>
      </c>
      <c r="CW42" s="1">
        <v>3000</v>
      </c>
      <c r="CX42" s="1">
        <v>3000</v>
      </c>
      <c r="CY42" s="1">
        <v>3000</v>
      </c>
      <c r="CZ42" s="1">
        <v>3090</v>
      </c>
      <c r="DA42" s="1">
        <v>3090</v>
      </c>
      <c r="DB42" s="1">
        <v>2180</v>
      </c>
      <c r="DC42" s="1">
        <v>2180</v>
      </c>
      <c r="DD42" s="1">
        <v>2000</v>
      </c>
      <c r="DE42" s="1">
        <v>2000</v>
      </c>
      <c r="DF42" s="1">
        <v>2000</v>
      </c>
      <c r="DG42" s="1">
        <v>2090</v>
      </c>
      <c r="DH42" s="1">
        <v>2090</v>
      </c>
      <c r="EE42" s="655"/>
      <c r="EF42" s="655"/>
      <c r="EG42" s="655"/>
      <c r="EH42" s="655"/>
    </row>
    <row r="43" spans="1:138">
      <c r="A43" s="1" t="s">
        <v>461</v>
      </c>
      <c r="B43" s="687"/>
      <c r="C43" s="972"/>
      <c r="D43" s="8" t="s">
        <v>88</v>
      </c>
      <c r="E43" s="8" t="s">
        <v>24</v>
      </c>
      <c r="F43" s="20">
        <v>60</v>
      </c>
      <c r="G43" s="20">
        <v>60</v>
      </c>
      <c r="H43" s="20">
        <v>60</v>
      </c>
      <c r="I43" s="20">
        <v>100</v>
      </c>
      <c r="J43" s="20">
        <v>100</v>
      </c>
      <c r="K43" s="20">
        <v>100</v>
      </c>
      <c r="L43" s="20">
        <v>100</v>
      </c>
      <c r="M43" s="20">
        <v>100</v>
      </c>
      <c r="N43" s="20">
        <v>100</v>
      </c>
      <c r="O43" s="20">
        <v>100</v>
      </c>
      <c r="P43" s="20">
        <v>100</v>
      </c>
      <c r="Q43" s="20">
        <v>100</v>
      </c>
      <c r="R43" s="20">
        <v>100</v>
      </c>
      <c r="S43" s="20">
        <v>100</v>
      </c>
      <c r="T43" s="20">
        <v>100</v>
      </c>
      <c r="U43" s="20">
        <v>100</v>
      </c>
      <c r="V43" s="20">
        <v>100</v>
      </c>
      <c r="W43" s="20">
        <v>100</v>
      </c>
      <c r="X43" s="20">
        <v>100</v>
      </c>
      <c r="Y43" s="20">
        <v>100</v>
      </c>
      <c r="Z43" s="20">
        <v>100</v>
      </c>
      <c r="AA43" s="20">
        <v>100</v>
      </c>
      <c r="AB43" s="20">
        <v>100</v>
      </c>
      <c r="AC43" s="20">
        <v>100</v>
      </c>
      <c r="AD43" s="20">
        <v>100</v>
      </c>
      <c r="AE43" s="20">
        <v>100</v>
      </c>
      <c r="AF43" s="20">
        <v>100</v>
      </c>
      <c r="AG43" s="20">
        <v>100</v>
      </c>
      <c r="AH43" s="20">
        <v>100</v>
      </c>
      <c r="AI43" s="20">
        <v>100</v>
      </c>
      <c r="AJ43" s="20">
        <v>100</v>
      </c>
      <c r="AK43" s="20">
        <v>100</v>
      </c>
      <c r="AL43" s="20">
        <v>100</v>
      </c>
      <c r="AM43" s="20">
        <v>100</v>
      </c>
      <c r="AN43" s="20">
        <v>100</v>
      </c>
      <c r="AO43" s="20"/>
      <c r="AP43" s="20"/>
      <c r="AQ43" s="20"/>
      <c r="AR43" s="20"/>
      <c r="AS43" s="20"/>
      <c r="AT43" s="20"/>
      <c r="AU43" s="20"/>
      <c r="AV43" s="20"/>
      <c r="AW43" s="20"/>
      <c r="AX43" s="20"/>
      <c r="AY43" s="20"/>
      <c r="AZ43" s="20"/>
      <c r="BA43" s="20"/>
      <c r="BB43" s="20"/>
      <c r="BC43" s="20"/>
      <c r="BD43" s="20">
        <v>60</v>
      </c>
      <c r="BE43" s="20">
        <v>60</v>
      </c>
      <c r="BF43" s="20">
        <v>60</v>
      </c>
      <c r="BG43" s="20">
        <v>60</v>
      </c>
      <c r="BH43" s="20">
        <v>60</v>
      </c>
      <c r="BI43" s="20">
        <v>60</v>
      </c>
      <c r="BJ43" s="20">
        <v>60</v>
      </c>
      <c r="BK43" s="20">
        <v>60</v>
      </c>
      <c r="BL43" s="20">
        <v>60</v>
      </c>
      <c r="BM43" s="20">
        <v>60</v>
      </c>
      <c r="BN43" s="20">
        <v>60</v>
      </c>
      <c r="BO43" s="20">
        <v>60</v>
      </c>
      <c r="BP43" s="20">
        <v>60</v>
      </c>
      <c r="BQ43" s="20">
        <v>60</v>
      </c>
      <c r="BR43" s="20">
        <v>60</v>
      </c>
      <c r="BS43" s="20">
        <v>60</v>
      </c>
      <c r="BT43" s="20">
        <v>60</v>
      </c>
      <c r="BU43" s="20">
        <v>60</v>
      </c>
      <c r="BV43" s="20">
        <v>60</v>
      </c>
      <c r="BW43" s="20">
        <v>60</v>
      </c>
      <c r="BX43" s="20">
        <v>60</v>
      </c>
      <c r="BY43" s="20">
        <v>100</v>
      </c>
      <c r="BZ43" s="20">
        <v>100</v>
      </c>
      <c r="CA43" s="20">
        <v>100</v>
      </c>
      <c r="CB43" s="20">
        <v>100</v>
      </c>
      <c r="CC43" s="20">
        <v>100</v>
      </c>
      <c r="CD43" s="20">
        <v>100</v>
      </c>
      <c r="CE43" s="20">
        <v>100</v>
      </c>
      <c r="CF43" s="20">
        <v>100</v>
      </c>
      <c r="CG43" s="20">
        <v>100</v>
      </c>
      <c r="CH43" s="20">
        <v>100</v>
      </c>
      <c r="CI43" s="20">
        <v>100</v>
      </c>
      <c r="CJ43" s="20">
        <v>100</v>
      </c>
      <c r="CK43" s="20">
        <v>100</v>
      </c>
      <c r="CL43" s="1">
        <v>100</v>
      </c>
      <c r="CM43" s="1">
        <v>100</v>
      </c>
      <c r="CN43" s="1">
        <v>100</v>
      </c>
      <c r="CO43" s="1">
        <v>100</v>
      </c>
      <c r="CP43" s="1">
        <v>100</v>
      </c>
      <c r="CQ43" s="1">
        <v>100</v>
      </c>
      <c r="CR43" s="1">
        <v>100</v>
      </c>
      <c r="CS43" s="1">
        <v>100</v>
      </c>
      <c r="CT43" s="1">
        <v>100</v>
      </c>
      <c r="CU43" s="1">
        <v>100</v>
      </c>
      <c r="CV43" s="1">
        <v>100</v>
      </c>
      <c r="CW43" s="1">
        <v>100</v>
      </c>
      <c r="CX43" s="1">
        <v>100</v>
      </c>
      <c r="CY43" s="1">
        <v>100</v>
      </c>
      <c r="CZ43" s="1">
        <v>100</v>
      </c>
      <c r="DA43" s="1">
        <v>100</v>
      </c>
      <c r="DB43" s="1">
        <v>100</v>
      </c>
      <c r="DC43" s="1">
        <v>100</v>
      </c>
      <c r="DD43" s="1">
        <v>100</v>
      </c>
      <c r="DE43" s="1">
        <v>100</v>
      </c>
      <c r="DF43" s="1">
        <v>100</v>
      </c>
      <c r="DG43" s="1">
        <v>100</v>
      </c>
      <c r="DH43" s="1">
        <v>100</v>
      </c>
      <c r="EE43" s="655"/>
      <c r="EF43" s="655"/>
      <c r="EG43" s="655"/>
      <c r="EH43" s="655"/>
    </row>
    <row r="44" spans="1:138">
      <c r="A44" s="1" t="s">
        <v>609</v>
      </c>
      <c r="B44" s="687"/>
      <c r="D44" s="2" t="s">
        <v>89</v>
      </c>
      <c r="F44" s="19">
        <v>0.1</v>
      </c>
      <c r="G44" s="19">
        <v>0.1</v>
      </c>
      <c r="H44" s="19">
        <v>0.1</v>
      </c>
      <c r="I44" s="19">
        <v>0.2</v>
      </c>
      <c r="J44" s="19">
        <v>0.2</v>
      </c>
      <c r="K44" s="19">
        <v>0.2</v>
      </c>
      <c r="L44" s="19">
        <v>0.2</v>
      </c>
      <c r="M44" s="19">
        <v>0.2</v>
      </c>
      <c r="N44" s="19">
        <v>0.2</v>
      </c>
      <c r="O44" s="19">
        <v>0.2</v>
      </c>
      <c r="P44" s="19">
        <v>0.2</v>
      </c>
      <c r="Q44" s="19">
        <v>0.2</v>
      </c>
      <c r="R44" s="19">
        <v>0.2</v>
      </c>
      <c r="S44" s="19">
        <v>0.2</v>
      </c>
      <c r="T44" s="19">
        <v>0.2</v>
      </c>
      <c r="U44" s="19">
        <v>0.2</v>
      </c>
      <c r="V44" s="19">
        <v>0.2</v>
      </c>
      <c r="W44" s="19">
        <v>0.2</v>
      </c>
      <c r="X44" s="19">
        <v>0.2</v>
      </c>
      <c r="Y44" s="19">
        <v>0.2</v>
      </c>
      <c r="Z44" s="19">
        <v>0.2</v>
      </c>
      <c r="AA44" s="19">
        <v>0.2</v>
      </c>
      <c r="AB44" s="19">
        <v>0.2</v>
      </c>
      <c r="AC44" s="19">
        <v>0.2</v>
      </c>
      <c r="AD44" s="19">
        <v>0.2</v>
      </c>
      <c r="AE44" s="19">
        <v>0.2</v>
      </c>
      <c r="AF44" s="19">
        <v>0.2</v>
      </c>
      <c r="AG44" s="19">
        <v>0.2</v>
      </c>
      <c r="AH44" s="19"/>
      <c r="AI44" s="19"/>
      <c r="AJ44" s="19"/>
      <c r="AK44" s="19"/>
      <c r="AL44" s="19">
        <v>0.2</v>
      </c>
      <c r="AM44" s="19">
        <v>0.2</v>
      </c>
      <c r="AN44" s="19">
        <v>0.2</v>
      </c>
      <c r="AO44" s="19">
        <v>0.2</v>
      </c>
      <c r="AP44" s="19">
        <v>0.1</v>
      </c>
      <c r="AQ44" s="19">
        <v>0.1</v>
      </c>
      <c r="AR44" s="19">
        <v>0.1</v>
      </c>
      <c r="AS44" s="19"/>
      <c r="AT44" s="19"/>
      <c r="AU44" s="19"/>
      <c r="AV44" s="19"/>
      <c r="AW44" s="19">
        <v>0.1</v>
      </c>
      <c r="AX44" s="19">
        <v>0.1</v>
      </c>
      <c r="AY44" s="19">
        <v>0.1</v>
      </c>
      <c r="AZ44" s="19">
        <v>0.1</v>
      </c>
      <c r="BA44" s="19">
        <v>0.1</v>
      </c>
      <c r="BB44" s="19">
        <v>0.1</v>
      </c>
      <c r="BC44" s="19">
        <v>0.1</v>
      </c>
      <c r="BD44" s="19">
        <v>0.2</v>
      </c>
      <c r="BE44" s="19">
        <v>0.2</v>
      </c>
      <c r="BF44" s="19">
        <v>0.2</v>
      </c>
      <c r="BG44" s="19">
        <v>0.2</v>
      </c>
      <c r="BH44" s="19">
        <v>0.2</v>
      </c>
      <c r="BI44" s="19">
        <v>0.2</v>
      </c>
      <c r="BJ44" s="19">
        <v>0.2</v>
      </c>
      <c r="BK44" s="19">
        <v>0.1</v>
      </c>
      <c r="BL44" s="19">
        <v>0.1</v>
      </c>
      <c r="BM44" s="19">
        <v>0.1</v>
      </c>
      <c r="BN44" s="19">
        <v>0.1</v>
      </c>
      <c r="BO44" s="19">
        <v>0.1</v>
      </c>
      <c r="BP44" s="19">
        <v>0.1</v>
      </c>
      <c r="BQ44" s="19">
        <v>0.1</v>
      </c>
      <c r="BR44" s="19">
        <v>0.2</v>
      </c>
      <c r="BS44" s="19">
        <v>0.2</v>
      </c>
      <c r="BT44" s="19">
        <v>0.2</v>
      </c>
      <c r="BU44" s="19">
        <v>0.2</v>
      </c>
      <c r="BV44" s="19">
        <v>0.2</v>
      </c>
      <c r="BW44" s="19">
        <v>0.2</v>
      </c>
      <c r="BX44" s="19">
        <v>0.2</v>
      </c>
      <c r="BY44" s="19">
        <v>0.2</v>
      </c>
      <c r="BZ44" s="19">
        <v>0.2</v>
      </c>
      <c r="CA44" s="19">
        <v>0.2</v>
      </c>
      <c r="CB44" s="19">
        <v>0.2</v>
      </c>
      <c r="CC44" s="19">
        <v>0.2</v>
      </c>
      <c r="CD44" s="19">
        <v>0.2</v>
      </c>
      <c r="CE44" s="19">
        <v>0.2</v>
      </c>
      <c r="CF44" s="19">
        <v>0.2</v>
      </c>
      <c r="CG44" s="19">
        <v>0.2</v>
      </c>
      <c r="CH44" s="19">
        <v>0.2</v>
      </c>
      <c r="CI44" s="19">
        <v>0.2</v>
      </c>
      <c r="CJ44" s="19">
        <v>0.2</v>
      </c>
      <c r="CK44" s="19">
        <v>0.2</v>
      </c>
      <c r="CL44" s="1">
        <v>0.2</v>
      </c>
      <c r="CM44" s="1">
        <v>0.2</v>
      </c>
      <c r="CN44" s="1">
        <v>0.2</v>
      </c>
      <c r="CO44" s="1">
        <v>0.2</v>
      </c>
      <c r="CP44" s="1">
        <v>0.2</v>
      </c>
      <c r="CQ44" s="1">
        <v>0.2</v>
      </c>
      <c r="CR44" s="1">
        <v>0.2</v>
      </c>
      <c r="CS44" s="1">
        <v>0.2</v>
      </c>
      <c r="CT44" s="1">
        <v>0.2</v>
      </c>
      <c r="CU44" s="1">
        <v>0.2</v>
      </c>
      <c r="CV44" s="1">
        <v>0.2</v>
      </c>
      <c r="CW44" s="1">
        <v>0.2</v>
      </c>
      <c r="CX44" s="1">
        <v>0.2</v>
      </c>
      <c r="CY44" s="1">
        <v>0.2</v>
      </c>
      <c r="CZ44" s="1">
        <v>0.2</v>
      </c>
      <c r="DA44" s="1">
        <v>0.2</v>
      </c>
      <c r="DB44" s="1">
        <v>0.2</v>
      </c>
      <c r="DC44" s="1">
        <v>0.2</v>
      </c>
      <c r="DD44" s="1">
        <v>0.2</v>
      </c>
      <c r="DE44" s="1">
        <v>0.2</v>
      </c>
      <c r="DF44" s="1">
        <v>0.2</v>
      </c>
      <c r="DG44" s="1">
        <v>0.2</v>
      </c>
      <c r="DH44" s="1">
        <v>0.2</v>
      </c>
      <c r="DI44" s="1">
        <v>0.2</v>
      </c>
      <c r="DJ44" s="1">
        <v>0.2</v>
      </c>
      <c r="DK44" s="1">
        <v>0.2</v>
      </c>
      <c r="DL44" s="1">
        <v>0.2</v>
      </c>
      <c r="DM44" s="1">
        <v>0.2</v>
      </c>
      <c r="DN44" s="1">
        <v>0.2</v>
      </c>
      <c r="DO44" s="1">
        <v>0.2</v>
      </c>
      <c r="DP44" s="1">
        <v>1.2</v>
      </c>
      <c r="DQ44" s="1">
        <v>1.2</v>
      </c>
      <c r="DR44" s="1">
        <v>2.2000000000000002</v>
      </c>
      <c r="DS44" s="1">
        <v>2.2000000000000002</v>
      </c>
      <c r="DT44" s="1">
        <v>2.2000000000000002</v>
      </c>
      <c r="DU44" s="1">
        <v>1.2</v>
      </c>
      <c r="DV44" s="1">
        <v>1.2</v>
      </c>
      <c r="EE44" s="655"/>
      <c r="EF44" s="655"/>
      <c r="EG44" s="655"/>
      <c r="EH44" s="655"/>
    </row>
    <row r="45" spans="1:138">
      <c r="A45" s="1" t="s">
        <v>499</v>
      </c>
      <c r="B45" s="687"/>
      <c r="D45" s="2" t="s">
        <v>90</v>
      </c>
      <c r="F45" s="20" t="s">
        <v>455</v>
      </c>
      <c r="G45" s="20" t="s">
        <v>457</v>
      </c>
      <c r="H45" s="20" t="s">
        <v>456</v>
      </c>
      <c r="I45" s="20" t="s">
        <v>461</v>
      </c>
      <c r="J45" s="687" t="s">
        <v>609</v>
      </c>
      <c r="K45" s="20" t="s">
        <v>462</v>
      </c>
      <c r="L45" s="20" t="s">
        <v>465</v>
      </c>
      <c r="M45" s="20" t="s">
        <v>611</v>
      </c>
      <c r="N45" s="20" t="s">
        <v>612</v>
      </c>
      <c r="O45" s="20" t="s">
        <v>617</v>
      </c>
      <c r="P45" s="20" t="s">
        <v>463</v>
      </c>
      <c r="Q45" s="20" t="s">
        <v>250</v>
      </c>
      <c r="R45" s="20" t="s">
        <v>610</v>
      </c>
      <c r="S45" s="20" t="s">
        <v>464</v>
      </c>
      <c r="T45" s="20" t="s">
        <v>467</v>
      </c>
      <c r="U45" s="20" t="s">
        <v>613</v>
      </c>
      <c r="V45" s="20" t="s">
        <v>468</v>
      </c>
      <c r="W45" s="20" t="s">
        <v>622</v>
      </c>
      <c r="X45" s="20" t="s">
        <v>621</v>
      </c>
      <c r="Y45" s="20" t="s">
        <v>472</v>
      </c>
      <c r="Z45" s="20" t="s">
        <v>615</v>
      </c>
      <c r="AA45" s="20" t="s">
        <v>616</v>
      </c>
      <c r="AB45" s="20" t="s">
        <v>620</v>
      </c>
      <c r="AC45" s="20" t="s">
        <v>618</v>
      </c>
      <c r="AD45" s="20" t="s">
        <v>469</v>
      </c>
      <c r="AE45" s="20" t="s">
        <v>470</v>
      </c>
      <c r="AF45" s="20" t="s">
        <v>614</v>
      </c>
      <c r="AG45" s="20" t="s">
        <v>471</v>
      </c>
      <c r="AH45" s="20" t="s">
        <v>474</v>
      </c>
      <c r="AI45" s="20" t="s">
        <v>619</v>
      </c>
      <c r="AJ45" s="20" t="s">
        <v>475</v>
      </c>
      <c r="AK45" s="20" t="s">
        <v>477</v>
      </c>
      <c r="AL45" s="20" t="s">
        <v>479</v>
      </c>
      <c r="AM45" s="20" t="s">
        <v>481</v>
      </c>
      <c r="AN45" s="20" t="s">
        <v>480</v>
      </c>
      <c r="AO45" s="20" t="s">
        <v>362</v>
      </c>
      <c r="AP45" s="20" t="s">
        <v>482</v>
      </c>
      <c r="AQ45" s="20" t="s">
        <v>484</v>
      </c>
      <c r="AR45" s="20" t="s">
        <v>483</v>
      </c>
      <c r="AS45" s="20" t="s">
        <v>608</v>
      </c>
      <c r="AT45" s="20" t="s">
        <v>485</v>
      </c>
      <c r="AU45" s="20" t="s">
        <v>487</v>
      </c>
      <c r="AV45" s="20" t="s">
        <v>486</v>
      </c>
      <c r="AW45" s="20" t="s">
        <v>488</v>
      </c>
      <c r="AX45" s="20" t="s">
        <v>560</v>
      </c>
      <c r="AY45" s="20" t="s">
        <v>490</v>
      </c>
      <c r="AZ45" s="20" t="s">
        <v>563</v>
      </c>
      <c r="BA45" s="20" t="s">
        <v>562</v>
      </c>
      <c r="BB45" s="20" t="s">
        <v>489</v>
      </c>
      <c r="BC45" s="20" t="s">
        <v>561</v>
      </c>
      <c r="BD45" s="20" t="s">
        <v>491</v>
      </c>
      <c r="BE45" s="20" t="s">
        <v>564</v>
      </c>
      <c r="BF45" s="20" t="s">
        <v>493</v>
      </c>
      <c r="BG45" s="20" t="s">
        <v>567</v>
      </c>
      <c r="BH45" s="20" t="s">
        <v>566</v>
      </c>
      <c r="BI45" s="20" t="s">
        <v>492</v>
      </c>
      <c r="BJ45" s="20" t="s">
        <v>565</v>
      </c>
      <c r="BK45" s="20" t="s">
        <v>494</v>
      </c>
      <c r="BL45" s="20" t="s">
        <v>568</v>
      </c>
      <c r="BM45" s="20" t="s">
        <v>496</v>
      </c>
      <c r="BN45" s="20" t="s">
        <v>571</v>
      </c>
      <c r="BO45" s="20" t="s">
        <v>570</v>
      </c>
      <c r="BP45" s="20" t="s">
        <v>495</v>
      </c>
      <c r="BQ45" s="20" t="s">
        <v>569</v>
      </c>
      <c r="BR45" s="20" t="s">
        <v>497</v>
      </c>
      <c r="BS45" s="20" t="s">
        <v>572</v>
      </c>
      <c r="BT45" s="20" t="s">
        <v>499</v>
      </c>
      <c r="BU45" s="20" t="s">
        <v>575</v>
      </c>
      <c r="BV45" s="20" t="s">
        <v>574</v>
      </c>
      <c r="BW45" s="20" t="s">
        <v>498</v>
      </c>
      <c r="BX45" s="20" t="s">
        <v>573</v>
      </c>
      <c r="BY45" s="20" t="s">
        <v>500</v>
      </c>
      <c r="BZ45" s="20" t="s">
        <v>576</v>
      </c>
      <c r="CA45" s="20" t="s">
        <v>502</v>
      </c>
      <c r="CB45" s="20" t="s">
        <v>579</v>
      </c>
      <c r="CC45" s="20" t="s">
        <v>578</v>
      </c>
      <c r="CD45" s="20" t="s">
        <v>501</v>
      </c>
      <c r="CE45" s="20" t="s">
        <v>577</v>
      </c>
      <c r="CF45" s="20" t="s">
        <v>503</v>
      </c>
      <c r="CG45" s="20" t="s">
        <v>504</v>
      </c>
      <c r="CH45" s="20" t="s">
        <v>580</v>
      </c>
      <c r="CI45" s="20" t="s">
        <v>506</v>
      </c>
      <c r="CJ45" s="20" t="s">
        <v>583</v>
      </c>
      <c r="CK45" s="20" t="s">
        <v>582</v>
      </c>
      <c r="CL45" s="1" t="s">
        <v>505</v>
      </c>
      <c r="CM45" s="1" t="s">
        <v>581</v>
      </c>
      <c r="CN45" s="1" t="s">
        <v>507</v>
      </c>
      <c r="CO45" s="1" t="s">
        <v>584</v>
      </c>
      <c r="CP45" s="1" t="s">
        <v>509</v>
      </c>
      <c r="CQ45" s="1" t="s">
        <v>587</v>
      </c>
      <c r="CR45" s="1" t="s">
        <v>586</v>
      </c>
      <c r="CS45" s="1" t="s">
        <v>508</v>
      </c>
      <c r="CT45" s="1" t="s">
        <v>585</v>
      </c>
      <c r="CU45" s="1" t="s">
        <v>513</v>
      </c>
      <c r="CV45" s="1" t="s">
        <v>588</v>
      </c>
      <c r="CW45" s="1" t="s">
        <v>515</v>
      </c>
      <c r="CX45" s="1" t="s">
        <v>591</v>
      </c>
      <c r="CY45" s="1" t="s">
        <v>590</v>
      </c>
      <c r="CZ45" s="1" t="s">
        <v>514</v>
      </c>
      <c r="DA45" s="1" t="s">
        <v>589</v>
      </c>
      <c r="DB45" s="1" t="s">
        <v>516</v>
      </c>
      <c r="DC45" s="1" t="s">
        <v>592</v>
      </c>
      <c r="DD45" s="1" t="s">
        <v>518</v>
      </c>
      <c r="DE45" s="1" t="s">
        <v>595</v>
      </c>
      <c r="DF45" s="1" t="s">
        <v>594</v>
      </c>
      <c r="DG45" s="1" t="s">
        <v>517</v>
      </c>
      <c r="DH45" s="1" t="s">
        <v>593</v>
      </c>
      <c r="DI45" s="1" t="s">
        <v>519</v>
      </c>
      <c r="DJ45" s="1" t="s">
        <v>596</v>
      </c>
      <c r="DK45" s="1" t="s">
        <v>521</v>
      </c>
      <c r="DL45" s="1" t="s">
        <v>599</v>
      </c>
      <c r="DM45" s="1" t="s">
        <v>598</v>
      </c>
      <c r="DN45" s="1" t="s">
        <v>520</v>
      </c>
      <c r="DO45" s="1" t="s">
        <v>597</v>
      </c>
      <c r="DP45" s="1" t="s">
        <v>522</v>
      </c>
      <c r="DQ45" s="1" t="s">
        <v>600</v>
      </c>
      <c r="DR45" s="1" t="s">
        <v>524</v>
      </c>
      <c r="DS45" s="1" t="s">
        <v>603</v>
      </c>
      <c r="DT45" s="1" t="s">
        <v>602</v>
      </c>
      <c r="DU45" s="1" t="s">
        <v>523</v>
      </c>
      <c r="DV45" s="1" t="s">
        <v>601</v>
      </c>
      <c r="EE45" s="655"/>
      <c r="EF45" s="655"/>
      <c r="EG45" s="655"/>
      <c r="EH45" s="655"/>
    </row>
    <row r="46" spans="1:138">
      <c r="A46" s="1" t="s">
        <v>575</v>
      </c>
      <c r="B46" s="687"/>
      <c r="D46" s="2" t="s">
        <v>91</v>
      </c>
      <c r="F46" s="19">
        <v>15</v>
      </c>
      <c r="G46" s="19">
        <v>15</v>
      </c>
      <c r="H46" s="19">
        <v>15</v>
      </c>
      <c r="I46" s="19">
        <v>20</v>
      </c>
      <c r="J46" s="19">
        <v>20</v>
      </c>
      <c r="K46" s="19"/>
      <c r="L46" s="19">
        <v>20</v>
      </c>
      <c r="M46" s="19"/>
      <c r="N46" s="19"/>
      <c r="O46" s="19"/>
      <c r="P46" s="19">
        <v>21</v>
      </c>
      <c r="Q46" s="19">
        <v>20</v>
      </c>
      <c r="R46" s="19"/>
      <c r="S46" s="19"/>
      <c r="T46" s="19">
        <v>25</v>
      </c>
      <c r="U46" s="19"/>
      <c r="V46" s="19"/>
      <c r="W46" s="19"/>
      <c r="X46" s="19"/>
      <c r="Y46" s="19">
        <v>25</v>
      </c>
      <c r="Z46" s="19"/>
      <c r="AA46" s="19"/>
      <c r="AB46" s="19"/>
      <c r="AC46" s="19"/>
      <c r="AD46" s="19">
        <v>26</v>
      </c>
      <c r="AE46" s="19">
        <v>25</v>
      </c>
      <c r="AF46" s="19"/>
      <c r="AG46" s="19"/>
      <c r="AH46" s="19"/>
      <c r="AI46" s="19"/>
      <c r="AJ46" s="19"/>
      <c r="AK46" s="19"/>
      <c r="AL46" s="19">
        <v>30</v>
      </c>
      <c r="AM46" s="19">
        <v>30</v>
      </c>
      <c r="AN46" s="19">
        <v>30</v>
      </c>
      <c r="AO46" s="19">
        <v>26</v>
      </c>
      <c r="AP46" s="19">
        <v>10</v>
      </c>
      <c r="AQ46" s="19">
        <v>10</v>
      </c>
      <c r="AR46" s="19">
        <v>10</v>
      </c>
      <c r="AS46" s="19"/>
      <c r="AT46" s="19"/>
      <c r="AU46" s="19"/>
      <c r="AV46" s="19"/>
      <c r="AW46" s="19">
        <v>10</v>
      </c>
      <c r="AX46" s="19">
        <v>10</v>
      </c>
      <c r="AY46" s="19">
        <v>10</v>
      </c>
      <c r="AZ46" s="19">
        <v>10</v>
      </c>
      <c r="BA46" s="19">
        <v>10</v>
      </c>
      <c r="BB46" s="19">
        <v>10</v>
      </c>
      <c r="BC46" s="19">
        <v>10</v>
      </c>
      <c r="BD46" s="19">
        <v>15</v>
      </c>
      <c r="BE46" s="19">
        <v>15</v>
      </c>
      <c r="BF46" s="19">
        <v>15</v>
      </c>
      <c r="BG46" s="19">
        <v>15</v>
      </c>
      <c r="BH46" s="19">
        <v>15</v>
      </c>
      <c r="BI46" s="19">
        <v>15</v>
      </c>
      <c r="BJ46" s="19">
        <v>15</v>
      </c>
      <c r="BK46" s="19">
        <v>15</v>
      </c>
      <c r="BL46" s="19">
        <v>15</v>
      </c>
      <c r="BM46" s="19">
        <v>15</v>
      </c>
      <c r="BN46" s="19">
        <v>15</v>
      </c>
      <c r="BO46" s="19">
        <v>15</v>
      </c>
      <c r="BP46" s="19">
        <v>15</v>
      </c>
      <c r="BQ46" s="19">
        <v>15</v>
      </c>
      <c r="BR46" s="19">
        <v>20</v>
      </c>
      <c r="BS46" s="19">
        <v>20</v>
      </c>
      <c r="BT46" s="19">
        <v>20</v>
      </c>
      <c r="BU46" s="19">
        <v>20</v>
      </c>
      <c r="BV46" s="19">
        <v>20</v>
      </c>
      <c r="BW46" s="19">
        <v>20</v>
      </c>
      <c r="BX46" s="19">
        <v>20</v>
      </c>
      <c r="BY46" s="19">
        <v>20</v>
      </c>
      <c r="BZ46" s="19">
        <v>20</v>
      </c>
      <c r="CA46" s="19">
        <v>20</v>
      </c>
      <c r="CB46" s="19">
        <v>20</v>
      </c>
      <c r="CC46" s="19">
        <v>20</v>
      </c>
      <c r="CD46" s="19">
        <v>20</v>
      </c>
      <c r="CE46" s="19">
        <v>20</v>
      </c>
      <c r="CF46" s="19">
        <v>20</v>
      </c>
      <c r="CG46" s="19">
        <v>25</v>
      </c>
      <c r="CH46" s="19">
        <v>25</v>
      </c>
      <c r="CI46" s="19">
        <v>25</v>
      </c>
      <c r="CJ46" s="19">
        <v>25</v>
      </c>
      <c r="CK46" s="19">
        <v>25</v>
      </c>
      <c r="CL46" s="1">
        <v>25</v>
      </c>
      <c r="CM46" s="1">
        <v>25</v>
      </c>
      <c r="CN46" s="1">
        <v>25</v>
      </c>
      <c r="CO46" s="1">
        <v>25</v>
      </c>
      <c r="CP46" s="1">
        <v>25</v>
      </c>
      <c r="CQ46" s="1">
        <v>25</v>
      </c>
      <c r="CR46" s="1">
        <v>25</v>
      </c>
      <c r="CS46" s="1">
        <v>25</v>
      </c>
      <c r="CT46" s="1">
        <v>25</v>
      </c>
      <c r="CU46" s="1">
        <v>30</v>
      </c>
      <c r="CV46" s="1">
        <v>30</v>
      </c>
      <c r="CW46" s="1">
        <v>30</v>
      </c>
      <c r="CX46" s="1">
        <v>30</v>
      </c>
      <c r="CY46" s="1">
        <v>30</v>
      </c>
      <c r="CZ46" s="1">
        <v>30</v>
      </c>
      <c r="DA46" s="1">
        <v>30</v>
      </c>
      <c r="DB46" s="1">
        <v>30</v>
      </c>
      <c r="DC46" s="1">
        <v>30</v>
      </c>
      <c r="DD46" s="1">
        <v>30</v>
      </c>
      <c r="DE46" s="1">
        <v>30</v>
      </c>
      <c r="DF46" s="1">
        <v>30</v>
      </c>
      <c r="DG46" s="1">
        <v>30</v>
      </c>
      <c r="DH46" s="1">
        <v>30</v>
      </c>
      <c r="DI46" s="1">
        <v>40</v>
      </c>
      <c r="DJ46" s="1">
        <v>40</v>
      </c>
      <c r="DK46" s="1">
        <v>40</v>
      </c>
      <c r="DL46" s="1">
        <v>40</v>
      </c>
      <c r="DM46" s="1">
        <v>40</v>
      </c>
      <c r="DN46" s="1">
        <v>40</v>
      </c>
      <c r="DO46" s="1">
        <v>40</v>
      </c>
      <c r="DP46" s="1">
        <v>41</v>
      </c>
      <c r="DQ46" s="1">
        <v>41</v>
      </c>
      <c r="DR46" s="1">
        <v>42</v>
      </c>
      <c r="DS46" s="1">
        <v>42</v>
      </c>
      <c r="DT46" s="1">
        <v>42</v>
      </c>
      <c r="DU46" s="1">
        <v>41</v>
      </c>
      <c r="DV46" s="1">
        <v>41</v>
      </c>
      <c r="EE46" s="655"/>
      <c r="EF46" s="655"/>
      <c r="EG46" s="655"/>
      <c r="EH46" s="655"/>
    </row>
    <row r="47" spans="1:138">
      <c r="A47" s="1" t="s">
        <v>574</v>
      </c>
      <c r="B47" s="687"/>
      <c r="D47" s="1" t="s">
        <v>259</v>
      </c>
      <c r="F47" s="19">
        <v>6.3525000000000009</v>
      </c>
      <c r="G47" s="19">
        <v>12.402500000000002</v>
      </c>
      <c r="H47" s="19">
        <v>9.3775000000000013</v>
      </c>
      <c r="I47" s="19">
        <v>14.111500000000001</v>
      </c>
      <c r="J47" s="19">
        <v>14.111500000000001</v>
      </c>
      <c r="K47" s="19">
        <v>14.292320807211006</v>
      </c>
      <c r="L47" s="19">
        <v>28.223000000000003</v>
      </c>
      <c r="M47" s="19">
        <v>28.223000000000003</v>
      </c>
      <c r="N47" s="19">
        <v>28.223000000000003</v>
      </c>
      <c r="O47" s="19">
        <v>23.890278163721707</v>
      </c>
      <c r="P47" s="19">
        <v>10.570841889117039</v>
      </c>
      <c r="Q47" s="19">
        <v>21.167250000000003</v>
      </c>
      <c r="R47" s="19">
        <v>21.167250000000003</v>
      </c>
      <c r="S47" s="19">
        <v>20.77604348451403</v>
      </c>
      <c r="T47" s="19">
        <v>18.030339472237493</v>
      </c>
      <c r="U47" s="19">
        <v>18.030339472237493</v>
      </c>
      <c r="V47" s="19">
        <v>15.977133625888968</v>
      </c>
      <c r="W47" s="19">
        <v>54.050747884680185</v>
      </c>
      <c r="X47" s="19">
        <v>32.763738893643215</v>
      </c>
      <c r="Y47" s="19">
        <v>36.060678944474986</v>
      </c>
      <c r="Z47" s="19">
        <v>36.060678944474986</v>
      </c>
      <c r="AA47" s="19">
        <v>36.060678944474986</v>
      </c>
      <c r="AB47" s="19">
        <v>49.145608340464818</v>
      </c>
      <c r="AC47" s="19">
        <v>24.192171233657618</v>
      </c>
      <c r="AD47" s="19">
        <v>10.6651914893617</v>
      </c>
      <c r="AE47" s="19">
        <v>27.045509208356243</v>
      </c>
      <c r="AF47" s="19">
        <v>27.045509208356247</v>
      </c>
      <c r="AG47" s="19">
        <v>23.212491727219238</v>
      </c>
      <c r="AH47" s="19">
        <v>17.846678646493551</v>
      </c>
      <c r="AI47" s="19">
        <v>27.038940524687479</v>
      </c>
      <c r="AJ47" s="19">
        <v>10.218655999999999</v>
      </c>
      <c r="AK47" s="19">
        <v>20.379901390710359</v>
      </c>
      <c r="AL47" s="19">
        <v>37.584000000000003</v>
      </c>
      <c r="AM47" s="19">
        <v>67.047999999999988</v>
      </c>
      <c r="AN47" s="19">
        <v>57.024000000000008</v>
      </c>
      <c r="AO47" s="19" t="e">
        <v>#NAME?</v>
      </c>
      <c r="AP47" s="19">
        <v>0.87808000000000008</v>
      </c>
      <c r="AQ47" s="19">
        <v>1.7561600000000002</v>
      </c>
      <c r="AR47" s="19">
        <v>1.3171200000000003</v>
      </c>
      <c r="AS47" s="19">
        <v>3.5123200000000003</v>
      </c>
      <c r="AT47" s="19">
        <v>0</v>
      </c>
      <c r="AU47" s="19">
        <v>0</v>
      </c>
      <c r="AV47" s="19">
        <v>0</v>
      </c>
      <c r="AW47" s="19">
        <v>3.3163199999999997</v>
      </c>
      <c r="AX47" s="19">
        <v>3.3163199999999997</v>
      </c>
      <c r="AY47" s="19">
        <v>6.3503999999999987</v>
      </c>
      <c r="AZ47" s="19">
        <v>6.3503999999999987</v>
      </c>
      <c r="BA47" s="19">
        <v>6.3503999999999987</v>
      </c>
      <c r="BB47" s="19">
        <v>4.7980799999999988</v>
      </c>
      <c r="BC47" s="19">
        <v>4.7980800000000006</v>
      </c>
      <c r="BD47" s="19">
        <v>5.9200000000000008</v>
      </c>
      <c r="BE47" s="19">
        <v>5.9200000000000008</v>
      </c>
      <c r="BF47" s="19">
        <v>11.680000000000001</v>
      </c>
      <c r="BG47" s="19">
        <v>11.680000000000001</v>
      </c>
      <c r="BH47" s="19">
        <v>11.680000000000001</v>
      </c>
      <c r="BI47" s="19">
        <v>8.6400000000000023</v>
      </c>
      <c r="BJ47" s="19">
        <v>8.6400000000000023</v>
      </c>
      <c r="BK47" s="19">
        <v>8.0724</v>
      </c>
      <c r="BL47" s="19">
        <v>8.0724</v>
      </c>
      <c r="BM47" s="19">
        <v>16.529199999999999</v>
      </c>
      <c r="BN47" s="19">
        <v>16.529199999999999</v>
      </c>
      <c r="BO47" s="19">
        <v>16.529199999999999</v>
      </c>
      <c r="BP47" s="19">
        <v>12.6852</v>
      </c>
      <c r="BQ47" s="19">
        <v>12.685199999999998</v>
      </c>
      <c r="BR47" s="19">
        <v>9.9904699999999984</v>
      </c>
      <c r="BS47" s="19">
        <v>9.9904699999999984</v>
      </c>
      <c r="BT47" s="19">
        <v>19.493599999999997</v>
      </c>
      <c r="BU47" s="19">
        <v>19.493599999999997</v>
      </c>
      <c r="BV47" s="19">
        <v>19.493599999999997</v>
      </c>
      <c r="BW47" s="19">
        <v>14.968299999999999</v>
      </c>
      <c r="BX47" s="19">
        <v>14.968300000000001</v>
      </c>
      <c r="BY47" s="19">
        <v>12.77952</v>
      </c>
      <c r="BZ47" s="19">
        <v>12.77952</v>
      </c>
      <c r="CA47" s="19">
        <v>24.576000000000001</v>
      </c>
      <c r="CB47" s="19">
        <v>24.576000000000001</v>
      </c>
      <c r="CC47" s="19">
        <v>24.576000000000001</v>
      </c>
      <c r="CD47" s="19">
        <v>19.660800000000002</v>
      </c>
      <c r="CE47" s="19">
        <v>19.018181288981282</v>
      </c>
      <c r="CF47" s="19">
        <v>43.199999999999996</v>
      </c>
      <c r="CG47" s="19">
        <v>16.372399999999999</v>
      </c>
      <c r="CH47" s="19">
        <v>16.372399999999999</v>
      </c>
      <c r="CI47" s="19">
        <v>30.417499999999997</v>
      </c>
      <c r="CJ47" s="19">
        <v>30.417499999999997</v>
      </c>
      <c r="CK47" s="19">
        <v>30.417499999999997</v>
      </c>
      <c r="CL47" s="1">
        <v>23.271299999999997</v>
      </c>
      <c r="CM47" s="1">
        <v>23.2713</v>
      </c>
      <c r="CN47" s="1">
        <v>31.05</v>
      </c>
      <c r="CO47" s="1">
        <v>31.05</v>
      </c>
      <c r="CP47" s="1">
        <v>50.301000000000009</v>
      </c>
      <c r="CQ47" s="1">
        <v>50.301000000000009</v>
      </c>
      <c r="CR47" s="1">
        <v>50.301000000000009</v>
      </c>
      <c r="CS47" s="1">
        <v>45.449999999999996</v>
      </c>
      <c r="CT47" s="1">
        <v>45.45</v>
      </c>
      <c r="CU47" s="1">
        <v>23.784755281591853</v>
      </c>
      <c r="CV47" s="1">
        <v>23.784755281591853</v>
      </c>
      <c r="CW47" s="1">
        <v>45.807661356140073</v>
      </c>
      <c r="CX47" s="1">
        <v>45.807661356140073</v>
      </c>
      <c r="CY47" s="1">
        <v>45.807661356140073</v>
      </c>
      <c r="CZ47" s="1">
        <v>34.355746316488933</v>
      </c>
      <c r="DA47" s="1">
        <v>34.355746316488933</v>
      </c>
      <c r="DB47" s="1">
        <v>23.784755281591853</v>
      </c>
      <c r="DC47" s="1">
        <v>23.784755281591853</v>
      </c>
      <c r="DD47" s="1">
        <v>45.807661356140073</v>
      </c>
      <c r="DE47" s="1">
        <v>45.807661356140073</v>
      </c>
      <c r="DF47" s="1">
        <v>45.807661356140073</v>
      </c>
      <c r="DG47" s="1">
        <v>34.355746316488933</v>
      </c>
      <c r="DH47" s="1">
        <v>34.355746316488933</v>
      </c>
      <c r="DI47" s="1">
        <v>63.536000000000001</v>
      </c>
      <c r="DJ47" s="1">
        <v>63.536000000000001</v>
      </c>
      <c r="DK47" s="1">
        <v>130.43800000000002</v>
      </c>
      <c r="DL47" s="1">
        <v>130.43800000000002</v>
      </c>
      <c r="DM47" s="1">
        <v>130.43800000000002</v>
      </c>
      <c r="DN47" s="1">
        <v>111.012</v>
      </c>
      <c r="DO47" s="1">
        <v>111.01199999999999</v>
      </c>
      <c r="DP47" s="1">
        <v>85.184000000000026</v>
      </c>
      <c r="DQ47" s="1">
        <v>85.184000000000026</v>
      </c>
      <c r="DR47" s="1">
        <v>155.23200000000003</v>
      </c>
      <c r="DS47" s="1">
        <v>155.23200000000003</v>
      </c>
      <c r="DT47" s="1">
        <v>155.23200000000003</v>
      </c>
      <c r="DU47" s="1">
        <v>125.73199999999999</v>
      </c>
      <c r="DV47" s="1">
        <v>125.73199999999997</v>
      </c>
      <c r="EE47" s="655"/>
      <c r="EF47" s="655"/>
      <c r="EG47" s="655"/>
      <c r="EH47" s="655"/>
    </row>
    <row r="48" spans="1:138">
      <c r="A48" s="1" t="s">
        <v>500</v>
      </c>
      <c r="B48" s="687"/>
      <c r="D48" s="7" t="s">
        <v>260</v>
      </c>
      <c r="E48" s="7" t="s">
        <v>66</v>
      </c>
      <c r="F48" s="20">
        <v>17.316017316017302</v>
      </c>
      <c r="G48" s="20">
        <v>8.8691796008869197</v>
      </c>
      <c r="H48" s="20">
        <v>11.7302052785924</v>
      </c>
      <c r="I48" s="20">
        <v>7.7950607660418818</v>
      </c>
      <c r="J48" s="20">
        <v>7.79506076604188</v>
      </c>
      <c r="K48" s="20">
        <v>7.6964407309204059</v>
      </c>
      <c r="L48" s="20">
        <v>3.8975303830209409</v>
      </c>
      <c r="M48" s="20">
        <v>3.89753038302094</v>
      </c>
      <c r="N48" s="20">
        <v>3.89753038302094</v>
      </c>
      <c r="O48" s="20">
        <v>4.6043833916944159</v>
      </c>
      <c r="P48" s="20">
        <v>10.40598290598291</v>
      </c>
      <c r="Q48" s="20">
        <v>5.1967071773612545</v>
      </c>
      <c r="R48" s="20">
        <v>5.1967071773612528</v>
      </c>
      <c r="S48" s="20">
        <v>5.2945595768506832</v>
      </c>
      <c r="T48" s="20">
        <v>6.1008280054501549</v>
      </c>
      <c r="U48" s="20">
        <v>6.100828005450162</v>
      </c>
      <c r="V48" s="20">
        <v>6.8848394571701279</v>
      </c>
      <c r="W48" s="20">
        <v>2.0351244766250076</v>
      </c>
      <c r="X48" s="20">
        <v>3.3573701816230161</v>
      </c>
      <c r="Y48" s="20">
        <v>3.0504140027250775</v>
      </c>
      <c r="Z48" s="20">
        <v>3.050414002725081</v>
      </c>
      <c r="AA48" s="20">
        <v>3.050414002725081</v>
      </c>
      <c r="AB48" s="20">
        <v>2.2382467877486776</v>
      </c>
      <c r="AC48" s="20">
        <v>4.5469254883150514</v>
      </c>
      <c r="AD48" s="20">
        <v>10.313926394075779</v>
      </c>
      <c r="AE48" s="20">
        <v>4.067218670300103</v>
      </c>
      <c r="AF48" s="20">
        <v>4.0672186703001074</v>
      </c>
      <c r="AG48" s="20">
        <v>4.7388277524300726</v>
      </c>
      <c r="AH48" s="20">
        <v>6.163611850634874</v>
      </c>
      <c r="AI48" s="20">
        <v>4.0682067368566539</v>
      </c>
      <c r="AJ48" s="20">
        <v>10.764625015266196</v>
      </c>
      <c r="AK48" s="20">
        <v>5.3974745947564102</v>
      </c>
      <c r="AL48" s="20">
        <v>2.9267773520647098</v>
      </c>
      <c r="AM48" s="20">
        <v>1.6406156783200101</v>
      </c>
      <c r="AN48" s="20">
        <v>1.92901234567901</v>
      </c>
      <c r="AO48" s="20" t="e">
        <v>#NAME?</v>
      </c>
      <c r="AP48" s="20">
        <v>125.3</v>
      </c>
      <c r="AQ48" s="20">
        <v>62.6</v>
      </c>
      <c r="AR48" s="20">
        <v>83.5</v>
      </c>
      <c r="AS48" s="20">
        <v>31.3</v>
      </c>
      <c r="AT48" s="20">
        <v>0</v>
      </c>
      <c r="AU48" s="20">
        <v>0</v>
      </c>
      <c r="AV48" s="20">
        <v>0</v>
      </c>
      <c r="AW48" s="20">
        <v>33.200000000000003</v>
      </c>
      <c r="AX48" s="20">
        <v>33.16929608722922</v>
      </c>
      <c r="AY48" s="20">
        <v>17.3</v>
      </c>
      <c r="AZ48" s="20">
        <v>17.321743512219705</v>
      </c>
      <c r="BA48" s="20">
        <v>17.321743512219705</v>
      </c>
      <c r="BB48" s="20">
        <v>22.9</v>
      </c>
      <c r="BC48" s="20">
        <v>22.925837001467251</v>
      </c>
      <c r="BD48" s="20">
        <v>18.600000000000001</v>
      </c>
      <c r="BE48" s="20">
        <v>18.581081081081077</v>
      </c>
      <c r="BF48" s="20">
        <v>9.4</v>
      </c>
      <c r="BG48" s="20">
        <v>9.417808219178081</v>
      </c>
      <c r="BH48" s="20">
        <v>9.417808219178081</v>
      </c>
      <c r="BI48" s="20">
        <v>12.7</v>
      </c>
      <c r="BJ48" s="20">
        <v>12.731481481481477</v>
      </c>
      <c r="BK48" s="20">
        <v>13.6</v>
      </c>
      <c r="BL48" s="20">
        <v>13.626678559040682</v>
      </c>
      <c r="BM48" s="20">
        <v>6.7</v>
      </c>
      <c r="BN48" s="20">
        <v>6.6548895288338219</v>
      </c>
      <c r="BO48" s="20">
        <v>6.6548895288338219</v>
      </c>
      <c r="BP48" s="20">
        <v>8.6999999999999993</v>
      </c>
      <c r="BQ48" s="20">
        <v>8.6715227193895252</v>
      </c>
      <c r="BR48" s="20">
        <v>11</v>
      </c>
      <c r="BS48" s="20">
        <v>11.010492999828839</v>
      </c>
      <c r="BT48" s="20">
        <v>5.6</v>
      </c>
      <c r="BU48" s="20">
        <v>5.6428776624122801</v>
      </c>
      <c r="BV48" s="20">
        <v>5.6428776624122801</v>
      </c>
      <c r="BW48" s="20">
        <v>7.3</v>
      </c>
      <c r="BX48" s="20">
        <v>7.3488639324438978</v>
      </c>
      <c r="BY48" s="20">
        <v>8.6</v>
      </c>
      <c r="BZ48" s="20">
        <v>8.6075220352564106</v>
      </c>
      <c r="CA48" s="20">
        <v>4.5</v>
      </c>
      <c r="CB48" s="20">
        <v>4.475911458333333</v>
      </c>
      <c r="CC48" s="20">
        <v>4.475911458333333</v>
      </c>
      <c r="CD48" s="20">
        <v>5.6</v>
      </c>
      <c r="CE48" s="20">
        <v>5.7839389754756203</v>
      </c>
      <c r="CF48" s="20">
        <v>2.5462962962962998</v>
      </c>
      <c r="CG48" s="20">
        <v>6.7</v>
      </c>
      <c r="CH48" s="20">
        <v>6.7186240257995165</v>
      </c>
      <c r="CI48" s="20">
        <v>3.6</v>
      </c>
      <c r="CJ48" s="20">
        <v>3.6163392783759352</v>
      </c>
      <c r="CK48" s="20">
        <v>3.6163392783759352</v>
      </c>
      <c r="CL48" s="1">
        <v>4.7</v>
      </c>
      <c r="CM48" s="1">
        <v>4.7268523889941685</v>
      </c>
      <c r="CN48" s="1">
        <v>3.5</v>
      </c>
      <c r="CO48" s="1">
        <v>3.5426731078904989</v>
      </c>
      <c r="CP48" s="1">
        <v>2.2000000000000002</v>
      </c>
      <c r="CQ48" s="1">
        <v>2.1868352517842582</v>
      </c>
      <c r="CR48" s="1">
        <v>2.1868352517842582</v>
      </c>
      <c r="CS48" s="1">
        <v>2.4</v>
      </c>
      <c r="CT48" s="1">
        <v>2.4202420242024201</v>
      </c>
      <c r="CU48" s="1">
        <v>4.5999999999999996</v>
      </c>
      <c r="CV48" s="1">
        <v>4.6248110900318657</v>
      </c>
      <c r="CW48" s="1">
        <v>2.4</v>
      </c>
      <c r="CX48" s="1">
        <v>2.4013450314519398</v>
      </c>
      <c r="CY48" s="1">
        <v>2.4013450314519398</v>
      </c>
      <c r="CZ48" s="1">
        <v>3.2</v>
      </c>
      <c r="DA48" s="1">
        <v>3.2017933473680893</v>
      </c>
      <c r="DB48" s="1">
        <v>4.5999999999999996</v>
      </c>
      <c r="DC48" s="1">
        <v>4.6248110900318657</v>
      </c>
      <c r="DD48" s="1">
        <v>2.4</v>
      </c>
      <c r="DE48" s="1">
        <v>2.4013450314519398</v>
      </c>
      <c r="DF48" s="1">
        <v>2.4013450314519398</v>
      </c>
      <c r="DG48" s="1">
        <v>3.2</v>
      </c>
      <c r="DH48" s="1">
        <v>3.2017933473680893</v>
      </c>
      <c r="DI48" s="1">
        <v>1.7</v>
      </c>
      <c r="DJ48" s="1">
        <v>1.7313019390581716</v>
      </c>
      <c r="DK48" s="1">
        <v>0.8</v>
      </c>
      <c r="DL48" s="1">
        <v>0.84331253162421982</v>
      </c>
      <c r="DM48" s="1">
        <v>0.84331253162421982</v>
      </c>
      <c r="DN48" s="1">
        <v>1</v>
      </c>
      <c r="DO48" s="1">
        <v>0.99088386841062237</v>
      </c>
      <c r="DP48" s="1">
        <v>1.3</v>
      </c>
      <c r="DQ48" s="1">
        <v>1.2913223140495864</v>
      </c>
      <c r="DR48" s="1">
        <v>0.7</v>
      </c>
      <c r="DS48" s="1">
        <v>0.70861678004535134</v>
      </c>
      <c r="DT48" s="1">
        <v>0.70861678004535134</v>
      </c>
      <c r="DU48" s="1">
        <v>0.9</v>
      </c>
      <c r="DV48" s="1">
        <v>0.87487672191645738</v>
      </c>
    </row>
    <row r="49" spans="1:105">
      <c r="A49" s="1" t="s">
        <v>576</v>
      </c>
      <c r="B49" s="687"/>
      <c r="Q49" s="14"/>
      <c r="R49" s="14"/>
      <c r="S49" s="14"/>
      <c r="T49" s="14"/>
      <c r="U49" s="14"/>
      <c r="V49" s="14"/>
      <c r="W49" s="14"/>
      <c r="X49" s="14"/>
      <c r="Y49" s="14"/>
      <c r="Z49" s="14"/>
      <c r="AA49" s="14"/>
      <c r="AB49" s="14"/>
      <c r="AC49" s="14"/>
      <c r="AD49" s="14"/>
      <c r="AE49" s="14"/>
      <c r="AF49" s="14"/>
      <c r="AG49" s="14"/>
      <c r="AH49" s="14"/>
      <c r="AI49" s="14"/>
      <c r="AJ49" s="14"/>
      <c r="AK49" s="14"/>
      <c r="AL49" s="14"/>
      <c r="AM49" s="14"/>
      <c r="AN49" s="14"/>
      <c r="AO49" s="14"/>
      <c r="AP49" s="14"/>
      <c r="AQ49" s="14"/>
      <c r="AR49" s="14"/>
      <c r="AS49" s="14"/>
      <c r="AT49" s="14"/>
      <c r="AU49" s="14"/>
      <c r="AV49" s="14"/>
      <c r="AW49" s="14"/>
      <c r="AX49" s="14"/>
      <c r="AY49" s="14"/>
      <c r="AZ49" s="14"/>
      <c r="BA49" s="14"/>
      <c r="BB49" s="14"/>
      <c r="BC49" s="14"/>
      <c r="BD49" s="14"/>
      <c r="BE49" s="14"/>
      <c r="BF49" s="14"/>
      <c r="BG49" s="14"/>
      <c r="BH49" s="14"/>
      <c r="BI49" s="14"/>
      <c r="BJ49" s="14"/>
      <c r="BK49" s="14"/>
      <c r="BL49" s="14"/>
      <c r="BM49" s="14"/>
      <c r="BN49" s="14"/>
      <c r="BO49" s="14"/>
      <c r="BP49" s="14"/>
      <c r="BQ49" s="14"/>
      <c r="BR49" s="14"/>
      <c r="BS49" s="14"/>
      <c r="BT49" s="14"/>
      <c r="BU49" s="14"/>
      <c r="BV49" s="14"/>
      <c r="BW49" s="14"/>
      <c r="BX49" s="14"/>
      <c r="BY49" s="14"/>
      <c r="BZ49" s="14"/>
      <c r="CA49" s="14"/>
      <c r="CB49" s="14"/>
      <c r="CC49" s="14"/>
      <c r="CD49" s="14"/>
      <c r="CE49" s="14"/>
      <c r="CF49" s="14"/>
      <c r="CG49" s="14"/>
      <c r="CH49" s="14"/>
      <c r="CI49" s="14"/>
      <c r="CJ49" s="14"/>
      <c r="CK49" s="14"/>
    </row>
    <row r="50" spans="1:105">
      <c r="A50" s="1" t="s">
        <v>474</v>
      </c>
      <c r="B50" s="687"/>
      <c r="P50" s="27"/>
      <c r="Q50" s="27"/>
      <c r="R50" s="27"/>
      <c r="S50" s="27"/>
      <c r="T50" s="27"/>
      <c r="U50" s="27"/>
      <c r="V50" s="27"/>
      <c r="W50" s="27"/>
      <c r="X50" s="27"/>
      <c r="Y50" s="27"/>
      <c r="Z50" s="27"/>
      <c r="AA50" s="27"/>
      <c r="AB50" s="27"/>
      <c r="AC50" s="27"/>
      <c r="AD50" s="27"/>
      <c r="AE50" s="27"/>
      <c r="AF50" s="27"/>
      <c r="AG50" s="27"/>
      <c r="AH50" s="27"/>
      <c r="AI50" s="27"/>
      <c r="AJ50" s="27"/>
      <c r="AL50" s="27"/>
      <c r="AM50" s="27"/>
      <c r="AN50" s="27"/>
      <c r="AO50" s="27"/>
      <c r="AQ50" s="27"/>
      <c r="AR50" s="27"/>
      <c r="AS50" s="27"/>
      <c r="AT50" s="27"/>
      <c r="AU50" s="27"/>
      <c r="AV50" s="27"/>
      <c r="AW50" s="27"/>
      <c r="AX50" s="27"/>
      <c r="AY50" s="27"/>
      <c r="AZ50" s="27"/>
      <c r="BA50" s="27"/>
      <c r="BB50" s="27"/>
      <c r="BC50" s="27"/>
      <c r="BD50" s="27"/>
      <c r="BE50" s="27"/>
      <c r="BF50" s="27"/>
      <c r="BG50" s="27"/>
      <c r="BH50" s="27"/>
      <c r="BI50" s="27"/>
      <c r="BJ50" s="27"/>
      <c r="BK50" s="27"/>
      <c r="BL50" s="27"/>
      <c r="BM50" s="27"/>
      <c r="BN50" s="27">
        <f>(BN5^2*BN10)*BN12</f>
        <v>110</v>
      </c>
      <c r="BO50" s="27"/>
      <c r="BP50" s="27"/>
      <c r="BQ50" s="27"/>
      <c r="BR50" s="27"/>
      <c r="BS50" s="27"/>
      <c r="BT50" s="27"/>
      <c r="BU50" s="27"/>
      <c r="BV50" s="27"/>
      <c r="BW50" s="27"/>
      <c r="BX50" s="27"/>
      <c r="BY50" s="27"/>
      <c r="BZ50" s="27"/>
      <c r="CA50" s="27"/>
      <c r="CB50" s="27"/>
      <c r="CC50" s="27"/>
      <c r="CD50" s="27"/>
      <c r="CE50" s="27"/>
      <c r="CF50" s="27"/>
      <c r="CG50" s="27"/>
      <c r="CH50" s="27"/>
      <c r="CI50" s="27"/>
      <c r="CJ50" s="27"/>
    </row>
    <row r="51" spans="1:105">
      <c r="A51" s="1" t="s">
        <v>464</v>
      </c>
      <c r="B51" s="687"/>
      <c r="P51" s="14"/>
      <c r="Q51" s="14"/>
      <c r="R51" s="14"/>
      <c r="S51" s="14"/>
      <c r="T51" s="14"/>
      <c r="U51" s="14"/>
      <c r="V51" s="14"/>
      <c r="W51" s="14"/>
      <c r="X51" s="14"/>
      <c r="Y51" s="14"/>
      <c r="Z51" s="14"/>
      <c r="AA51" s="14"/>
      <c r="AB51" s="14"/>
      <c r="AC51" s="14"/>
      <c r="AD51" s="14"/>
      <c r="AE51" s="14"/>
      <c r="AF51" s="14"/>
      <c r="AG51" s="14"/>
      <c r="AH51" s="14"/>
      <c r="AI51" s="14"/>
      <c r="AJ51" s="14"/>
      <c r="AL51" s="14"/>
      <c r="AM51" s="14"/>
      <c r="AN51" s="14"/>
      <c r="AO51" s="14"/>
      <c r="AQ51" s="14"/>
      <c r="AR51" s="14"/>
      <c r="AS51" s="14"/>
      <c r="AT51" s="14"/>
      <c r="AU51" s="14"/>
      <c r="AV51" s="14"/>
      <c r="AW51" s="14"/>
      <c r="AX51" s="14"/>
      <c r="AY51" s="14"/>
      <c r="AZ51" s="14"/>
      <c r="BA51" s="14"/>
      <c r="BB51" s="14"/>
      <c r="BC51" s="14"/>
      <c r="BD51" s="14"/>
      <c r="BE51" s="14"/>
      <c r="BF51" s="14"/>
      <c r="BG51" s="14"/>
      <c r="BH51" s="14"/>
      <c r="BI51" s="14"/>
      <c r="BJ51" s="14"/>
      <c r="BK51" s="14"/>
      <c r="BL51" s="14"/>
      <c r="BM51" s="14"/>
      <c r="BN51" s="14">
        <f>((BN5*2)^2*(BN10/2))*BO51</f>
        <v>110</v>
      </c>
      <c r="BO51" s="14">
        <f>BN12/2</f>
        <v>3.3274447644169109</v>
      </c>
      <c r="BP51" s="14"/>
      <c r="BQ51" s="14"/>
      <c r="BR51" s="14"/>
      <c r="BS51" s="14"/>
      <c r="BT51" s="14"/>
      <c r="BU51" s="14"/>
      <c r="BV51" s="14"/>
      <c r="BW51" s="14"/>
      <c r="BX51" s="14"/>
      <c r="BY51" s="14"/>
      <c r="BZ51" s="14"/>
      <c r="CA51" s="14"/>
      <c r="CB51" s="14"/>
      <c r="CC51" s="14"/>
      <c r="CD51" s="14"/>
      <c r="CE51" s="14"/>
      <c r="CF51" s="14"/>
      <c r="CG51" s="14"/>
      <c r="CH51" s="14"/>
      <c r="CI51" s="14"/>
      <c r="CJ51" s="14"/>
    </row>
    <row r="52" spans="1:105">
      <c r="A52" s="1" t="s">
        <v>471</v>
      </c>
      <c r="B52" s="687"/>
      <c r="P52" s="14"/>
      <c r="Q52" s="14"/>
      <c r="R52" s="14"/>
      <c r="S52" s="14"/>
      <c r="T52" s="14"/>
      <c r="U52" s="14"/>
      <c r="V52" s="14"/>
      <c r="W52" s="14"/>
      <c r="X52" s="14"/>
      <c r="Y52" s="14"/>
      <c r="Z52" s="14"/>
      <c r="AA52" s="14"/>
      <c r="AB52" s="14"/>
      <c r="AC52" s="14"/>
      <c r="AD52" s="14"/>
      <c r="AE52" s="14"/>
      <c r="AF52" s="14"/>
      <c r="AG52" s="14"/>
      <c r="AH52" s="14"/>
      <c r="AI52" s="14"/>
      <c r="AJ52" s="14"/>
      <c r="AL52" s="14"/>
      <c r="AM52" s="14"/>
      <c r="AN52" s="14"/>
      <c r="AO52" s="14"/>
      <c r="AQ52" s="14"/>
      <c r="AR52" s="14"/>
      <c r="AS52" s="14"/>
      <c r="AT52" s="14"/>
      <c r="AU52" s="14"/>
      <c r="AV52" s="14"/>
      <c r="AW52" s="14"/>
      <c r="AX52" s="14"/>
      <c r="AY52" s="14"/>
      <c r="AZ52" s="14"/>
      <c r="BA52" s="14"/>
      <c r="BB52" s="14"/>
      <c r="BC52" s="14"/>
      <c r="BD52" s="14"/>
      <c r="BE52" s="14"/>
      <c r="BF52" s="14"/>
      <c r="BG52" s="14"/>
      <c r="BH52" s="14"/>
      <c r="BI52" s="14"/>
      <c r="BJ52" s="14"/>
      <c r="BK52" s="14"/>
      <c r="BL52" s="14"/>
      <c r="BM52" s="14"/>
      <c r="BN52" s="14"/>
      <c r="BO52" s="14"/>
      <c r="BP52" s="14"/>
      <c r="BQ52" s="14"/>
      <c r="BR52" s="14"/>
      <c r="BS52" s="14"/>
      <c r="BT52" s="14"/>
      <c r="BU52" s="14"/>
      <c r="BV52" s="14"/>
      <c r="BW52" s="14"/>
      <c r="BX52" s="14"/>
      <c r="BY52" s="14"/>
      <c r="BZ52" s="14"/>
      <c r="CA52" s="14"/>
      <c r="CB52" s="14"/>
      <c r="CC52" s="14"/>
      <c r="CD52" s="14"/>
      <c r="CE52" s="14"/>
      <c r="CF52" s="14"/>
      <c r="CG52" s="14"/>
      <c r="CH52" s="14"/>
      <c r="CI52" s="14"/>
      <c r="CJ52" s="14"/>
    </row>
    <row r="53" spans="1:105">
      <c r="A53" s="1" t="s">
        <v>250</v>
      </c>
      <c r="B53" s="687"/>
      <c r="P53" s="4"/>
      <c r="Q53" s="4"/>
      <c r="R53" s="4"/>
      <c r="S53" s="4"/>
      <c r="T53" s="3"/>
      <c r="U53" s="3"/>
      <c r="V53" s="3"/>
      <c r="W53" s="3"/>
      <c r="X53" s="3"/>
      <c r="Y53" s="3"/>
      <c r="Z53" s="3"/>
      <c r="AA53" s="3"/>
      <c r="AB53" s="3"/>
      <c r="AC53" s="3"/>
      <c r="AD53" s="3"/>
      <c r="AE53" s="3"/>
      <c r="AF53" s="3"/>
      <c r="AG53" s="3"/>
      <c r="AH53" s="4"/>
      <c r="AI53" s="4"/>
      <c r="AJ53" s="4"/>
      <c r="AL53" s="4"/>
      <c r="AM53" s="4"/>
      <c r="AN53" s="3"/>
      <c r="AO53" s="4"/>
      <c r="CE53" s="4"/>
      <c r="CF53" s="4"/>
      <c r="CG53" s="4"/>
      <c r="CH53" s="4"/>
      <c r="DA53" s="481"/>
    </row>
    <row r="54" spans="1:105">
      <c r="A54" s="1" t="s">
        <v>610</v>
      </c>
      <c r="B54" s="687"/>
      <c r="P54" s="3"/>
      <c r="Q54" s="3"/>
      <c r="R54" s="3"/>
      <c r="S54" s="3"/>
      <c r="T54" s="3"/>
      <c r="U54" s="3"/>
      <c r="V54" s="3"/>
      <c r="W54" s="3"/>
      <c r="X54" s="3"/>
      <c r="Y54" s="3"/>
      <c r="Z54" s="3"/>
      <c r="AA54" s="3"/>
      <c r="AB54" s="3"/>
      <c r="AC54" s="3"/>
      <c r="AD54" s="3"/>
      <c r="AE54" s="3"/>
      <c r="AF54" s="3"/>
      <c r="AG54" s="3"/>
      <c r="AH54" s="3"/>
      <c r="AI54" s="3"/>
      <c r="AJ54" s="3"/>
      <c r="AL54" s="3"/>
      <c r="AM54" s="3"/>
      <c r="AN54" s="3"/>
      <c r="AQ54" s="3"/>
      <c r="AR54" s="3"/>
      <c r="AS54" s="3"/>
      <c r="BA54" s="3"/>
      <c r="BB54" s="3"/>
      <c r="BC54" s="3"/>
      <c r="BH54" s="3"/>
      <c r="BI54" s="3"/>
      <c r="BN54" s="3"/>
      <c r="BO54" s="3"/>
      <c r="BP54" s="3"/>
      <c r="BQ54" s="3"/>
      <c r="BR54" s="3"/>
      <c r="BS54" s="3"/>
      <c r="BT54" s="3"/>
      <c r="BU54" s="3"/>
      <c r="BV54" s="3"/>
      <c r="BW54" s="3"/>
      <c r="BX54" s="3"/>
      <c r="BY54" s="3"/>
      <c r="BZ54" s="3"/>
      <c r="CA54" s="3"/>
      <c r="CB54" s="3"/>
      <c r="CE54" s="3"/>
      <c r="DA54" s="481"/>
    </row>
    <row r="55" spans="1:105">
      <c r="A55" s="1" t="s">
        <v>467</v>
      </c>
      <c r="B55" s="687"/>
      <c r="P55" s="3"/>
      <c r="Q55" s="3"/>
      <c r="R55" s="3"/>
      <c r="S55" s="3"/>
      <c r="T55" s="3"/>
      <c r="U55" s="3"/>
      <c r="V55" s="3"/>
      <c r="W55" s="3"/>
      <c r="X55" s="3"/>
      <c r="Y55" s="3"/>
      <c r="Z55" s="3"/>
      <c r="AA55" s="3"/>
      <c r="AB55" s="3"/>
      <c r="AC55" s="3"/>
      <c r="AD55" s="3"/>
      <c r="AE55" s="3"/>
      <c r="AF55" s="3"/>
      <c r="AG55" s="3"/>
      <c r="AH55" s="3"/>
      <c r="AI55" s="3"/>
      <c r="AJ55" s="3"/>
      <c r="AL55" s="3"/>
      <c r="AM55" s="3"/>
      <c r="AN55" s="3"/>
      <c r="AQ55" s="3"/>
      <c r="AR55" s="3"/>
      <c r="AS55" s="3"/>
      <c r="BA55" s="3"/>
      <c r="BB55" s="3"/>
      <c r="BC55" s="3"/>
      <c r="BH55" s="3"/>
      <c r="BI55" s="3"/>
      <c r="BN55" s="3"/>
      <c r="BO55" s="3"/>
      <c r="BP55" s="3"/>
      <c r="BQ55" s="3"/>
      <c r="BR55" s="3"/>
      <c r="BS55" s="3"/>
      <c r="BT55" s="3"/>
      <c r="BU55" s="3"/>
      <c r="BV55" s="3"/>
      <c r="BW55" s="3"/>
      <c r="BX55" s="3"/>
      <c r="BY55" s="3"/>
      <c r="BZ55" s="3"/>
      <c r="CA55" s="3"/>
      <c r="CB55" s="3"/>
      <c r="DA55" s="481"/>
    </row>
    <row r="56" spans="1:105">
      <c r="A56" s="1" t="s">
        <v>613</v>
      </c>
      <c r="B56" s="687"/>
      <c r="P56" s="3"/>
      <c r="Q56" s="3"/>
      <c r="R56" s="3"/>
      <c r="S56" s="3"/>
      <c r="T56" s="3"/>
      <c r="U56" s="3"/>
      <c r="V56" s="3"/>
      <c r="W56" s="3"/>
      <c r="X56" s="3"/>
      <c r="Y56" s="3"/>
      <c r="Z56" s="3"/>
      <c r="AA56" s="3"/>
      <c r="AB56" s="3"/>
      <c r="AC56" s="3"/>
      <c r="AD56" s="3"/>
      <c r="AE56" s="3"/>
      <c r="AF56" s="3"/>
      <c r="AG56" s="3"/>
      <c r="AH56" s="3"/>
      <c r="AI56" s="3"/>
      <c r="AJ56" s="3"/>
      <c r="AL56" s="3"/>
      <c r="AM56" s="3"/>
      <c r="AN56" s="3"/>
      <c r="AQ56" s="3"/>
      <c r="AR56" s="3"/>
      <c r="AS56" s="3"/>
      <c r="BA56" s="3"/>
      <c r="BB56" s="3"/>
      <c r="BC56" s="3"/>
      <c r="BH56" s="3"/>
      <c r="BI56" s="3"/>
      <c r="BN56" s="3"/>
      <c r="BO56" s="3"/>
      <c r="BP56" s="3"/>
      <c r="BQ56" s="3"/>
      <c r="BR56" s="3"/>
      <c r="BS56" s="3"/>
      <c r="BT56" s="3"/>
      <c r="BU56" s="3"/>
      <c r="BV56" s="3"/>
      <c r="BW56" s="3"/>
      <c r="BX56" s="3"/>
      <c r="BY56" s="3"/>
      <c r="BZ56" s="3"/>
      <c r="CA56" s="3"/>
      <c r="CB56" s="3"/>
      <c r="DA56" s="481"/>
    </row>
    <row r="57" spans="1:105">
      <c r="A57" s="1" t="s">
        <v>617</v>
      </c>
      <c r="B57" s="687"/>
      <c r="P57" s="4"/>
      <c r="Q57" s="4"/>
      <c r="R57" s="4"/>
      <c r="S57" s="4"/>
      <c r="T57" s="3"/>
      <c r="U57" s="3"/>
      <c r="V57" s="3"/>
      <c r="W57" s="3"/>
      <c r="X57" s="3"/>
      <c r="Y57" s="3"/>
      <c r="Z57" s="3"/>
      <c r="AA57" s="3"/>
      <c r="AB57" s="3"/>
      <c r="AC57" s="3"/>
      <c r="AD57" s="3"/>
      <c r="AE57" s="3"/>
      <c r="AF57" s="3"/>
      <c r="AG57" s="3"/>
      <c r="AH57" s="4"/>
      <c r="AI57" s="4"/>
      <c r="AJ57" s="4"/>
      <c r="AL57" s="4"/>
      <c r="AM57" s="4"/>
      <c r="AN57" s="3"/>
      <c r="AO57" s="4"/>
      <c r="DA57" s="481"/>
    </row>
    <row r="58" spans="1:105">
      <c r="A58" s="1" t="s">
        <v>580</v>
      </c>
      <c r="B58" s="687"/>
      <c r="P58" s="3"/>
      <c r="Q58" s="3"/>
      <c r="R58" s="3"/>
      <c r="S58" s="3"/>
      <c r="T58" s="3"/>
      <c r="U58" s="3"/>
      <c r="V58" s="3"/>
      <c r="W58" s="3"/>
      <c r="X58" s="3"/>
      <c r="Y58" s="3"/>
      <c r="Z58" s="3"/>
      <c r="AA58" s="3"/>
      <c r="AB58" s="3"/>
      <c r="AC58" s="3"/>
      <c r="AD58" s="3"/>
      <c r="AE58" s="3"/>
      <c r="AF58" s="3"/>
      <c r="AG58" s="3"/>
      <c r="AH58" s="3"/>
      <c r="AI58" s="3"/>
      <c r="AJ58" s="3"/>
      <c r="AL58" s="3"/>
      <c r="AM58" s="3"/>
      <c r="AN58" s="3"/>
      <c r="AQ58" s="3"/>
      <c r="AR58" s="3"/>
      <c r="AS58" s="3"/>
      <c r="BA58" s="3"/>
      <c r="BB58" s="3"/>
      <c r="BC58" s="3"/>
      <c r="BH58" s="3"/>
      <c r="BI58" s="3"/>
      <c r="BN58" s="3"/>
      <c r="BO58" s="3"/>
      <c r="BP58" s="3"/>
      <c r="BQ58" s="3"/>
      <c r="BR58" s="3"/>
      <c r="BS58" s="3"/>
      <c r="BT58" s="3"/>
      <c r="BU58" s="3"/>
      <c r="BV58" s="3"/>
      <c r="BW58" s="3"/>
      <c r="BX58" s="3"/>
      <c r="BY58" s="3"/>
      <c r="BZ58" s="3"/>
      <c r="CA58" s="3"/>
      <c r="CB58" s="3"/>
      <c r="DA58" s="481"/>
    </row>
    <row r="59" spans="1:105">
      <c r="A59" s="1" t="s">
        <v>477</v>
      </c>
      <c r="B59" s="687"/>
      <c r="AN59" s="3"/>
      <c r="DA59" s="481"/>
    </row>
    <row r="60" spans="1:105">
      <c r="A60" s="1" t="s">
        <v>504</v>
      </c>
      <c r="B60" s="687"/>
      <c r="AN60" s="3"/>
      <c r="DA60" s="481"/>
    </row>
    <row r="61" spans="1:105">
      <c r="A61" s="1" t="s">
        <v>577</v>
      </c>
      <c r="B61" s="687"/>
      <c r="AN61" s="3"/>
      <c r="DA61" s="481"/>
    </row>
    <row r="62" spans="1:105">
      <c r="A62" s="1" t="s">
        <v>618</v>
      </c>
      <c r="B62" s="687"/>
      <c r="AN62" s="3"/>
      <c r="DA62" s="481"/>
    </row>
    <row r="63" spans="1:105">
      <c r="A63" s="1" t="s">
        <v>501</v>
      </c>
      <c r="B63" s="687"/>
      <c r="AN63" s="3"/>
      <c r="DA63" s="481"/>
    </row>
    <row r="64" spans="1:105">
      <c r="A64" s="1" t="s">
        <v>465</v>
      </c>
      <c r="B64" s="687"/>
      <c r="AN64" s="3"/>
      <c r="DA64" s="481"/>
    </row>
    <row r="65" spans="1:105">
      <c r="A65" s="1" t="s">
        <v>611</v>
      </c>
      <c r="B65" s="687"/>
      <c r="AN65" s="3"/>
      <c r="DA65" s="481"/>
    </row>
    <row r="66" spans="1:105">
      <c r="A66" s="1" t="s">
        <v>612</v>
      </c>
      <c r="B66" s="687"/>
      <c r="AN66" s="3"/>
      <c r="DA66" s="481"/>
    </row>
    <row r="67" spans="1:105">
      <c r="A67" s="1" t="s">
        <v>619</v>
      </c>
      <c r="B67" s="687"/>
      <c r="AN67" s="3"/>
      <c r="DA67" s="481"/>
    </row>
    <row r="68" spans="1:105">
      <c r="A68" s="1" t="s">
        <v>579</v>
      </c>
      <c r="B68" s="687"/>
      <c r="AN68" s="3"/>
      <c r="DA68" s="481"/>
    </row>
    <row r="69" spans="1:105">
      <c r="A69" s="1" t="s">
        <v>578</v>
      </c>
      <c r="B69" s="687"/>
      <c r="AN69" s="3"/>
    </row>
    <row r="70" spans="1:105">
      <c r="A70" s="1" t="s">
        <v>502</v>
      </c>
      <c r="B70" s="687"/>
      <c r="AN70" s="3"/>
    </row>
    <row r="71" spans="1:105">
      <c r="A71" s="1" t="s">
        <v>581</v>
      </c>
      <c r="B71" s="687"/>
      <c r="AN71" s="3"/>
    </row>
    <row r="72" spans="1:105">
      <c r="A72" s="1" t="s">
        <v>470</v>
      </c>
      <c r="B72" s="687"/>
    </row>
    <row r="73" spans="1:105">
      <c r="A73" s="1" t="s">
        <v>614</v>
      </c>
      <c r="B73" s="687"/>
    </row>
    <row r="74" spans="1:105">
      <c r="A74" s="1" t="s">
        <v>505</v>
      </c>
      <c r="B74" s="687"/>
    </row>
    <row r="75" spans="1:105">
      <c r="A75" s="1" t="s">
        <v>621</v>
      </c>
      <c r="B75" s="687"/>
    </row>
    <row r="76" spans="1:105">
      <c r="A76" s="1" t="s">
        <v>588</v>
      </c>
      <c r="B76" s="687"/>
    </row>
    <row r="77" spans="1:105">
      <c r="A77" s="1" t="s">
        <v>513</v>
      </c>
      <c r="B77" s="687"/>
    </row>
    <row r="78" spans="1:105">
      <c r="A78" s="1" t="s">
        <v>584</v>
      </c>
      <c r="B78" s="687"/>
    </row>
    <row r="79" spans="1:105">
      <c r="A79" s="1" t="s">
        <v>507</v>
      </c>
      <c r="B79" s="687"/>
    </row>
    <row r="80" spans="1:105">
      <c r="A80" s="1" t="s">
        <v>583</v>
      </c>
      <c r="B80" s="687"/>
    </row>
    <row r="81" spans="1:2">
      <c r="A81" s="1" t="s">
        <v>582</v>
      </c>
      <c r="B81" s="687"/>
    </row>
    <row r="82" spans="1:2">
      <c r="A82" s="1" t="s">
        <v>472</v>
      </c>
      <c r="B82" s="687"/>
    </row>
    <row r="83" spans="1:2">
      <c r="A83" s="1" t="s">
        <v>615</v>
      </c>
      <c r="B83" s="687"/>
    </row>
    <row r="84" spans="1:2">
      <c r="A84" s="1" t="s">
        <v>616</v>
      </c>
      <c r="B84" s="687"/>
    </row>
    <row r="85" spans="1:2">
      <c r="A85" s="1" t="s">
        <v>479</v>
      </c>
      <c r="B85" s="687"/>
    </row>
    <row r="86" spans="1:2">
      <c r="A86" s="1" t="s">
        <v>506</v>
      </c>
      <c r="B86" s="687"/>
    </row>
    <row r="87" spans="1:2">
      <c r="A87" s="1" t="s">
        <v>592</v>
      </c>
      <c r="B87" s="687"/>
    </row>
    <row r="88" spans="1:2">
      <c r="A88" s="1" t="s">
        <v>516</v>
      </c>
      <c r="B88" s="687"/>
    </row>
    <row r="89" spans="1:2">
      <c r="A89" s="1" t="s">
        <v>620</v>
      </c>
      <c r="B89" s="687"/>
    </row>
    <row r="90" spans="1:2">
      <c r="A90" s="1" t="s">
        <v>503</v>
      </c>
      <c r="B90" s="687"/>
    </row>
    <row r="91" spans="1:2">
      <c r="A91" s="1" t="s">
        <v>508</v>
      </c>
      <c r="B91" s="687"/>
    </row>
    <row r="92" spans="1:2">
      <c r="A92" s="1" t="s">
        <v>585</v>
      </c>
      <c r="B92" s="687"/>
    </row>
    <row r="93" spans="1:2">
      <c r="A93" s="1" t="s">
        <v>514</v>
      </c>
      <c r="B93" s="687"/>
    </row>
    <row r="94" spans="1:2">
      <c r="A94" s="1" t="s">
        <v>589</v>
      </c>
      <c r="B94" s="687"/>
    </row>
    <row r="95" spans="1:2">
      <c r="A95" s="1" t="s">
        <v>622</v>
      </c>
      <c r="B95" s="687"/>
    </row>
    <row r="96" spans="1:2">
      <c r="A96" s="1" t="s">
        <v>480</v>
      </c>
      <c r="B96" s="687"/>
    </row>
    <row r="97" spans="1:2">
      <c r="A97" s="1" t="s">
        <v>593</v>
      </c>
      <c r="B97" s="687"/>
    </row>
    <row r="98" spans="1:2">
      <c r="A98" s="1" t="s">
        <v>517</v>
      </c>
      <c r="B98" s="687"/>
    </row>
    <row r="99" spans="1:2">
      <c r="A99" s="1" t="s">
        <v>587</v>
      </c>
      <c r="B99" s="687"/>
    </row>
    <row r="100" spans="1:2">
      <c r="A100" s="1" t="s">
        <v>586</v>
      </c>
      <c r="B100" s="687"/>
    </row>
    <row r="101" spans="1:2">
      <c r="A101" s="1" t="s">
        <v>509</v>
      </c>
      <c r="B101" s="687"/>
    </row>
    <row r="102" spans="1:2">
      <c r="A102" s="1" t="s">
        <v>591</v>
      </c>
      <c r="B102" s="687"/>
    </row>
    <row r="103" spans="1:2">
      <c r="A103" s="1" t="s">
        <v>590</v>
      </c>
      <c r="B103" s="687"/>
    </row>
    <row r="104" spans="1:2">
      <c r="A104" s="1" t="s">
        <v>515</v>
      </c>
      <c r="B104" s="687"/>
    </row>
    <row r="105" spans="1:2">
      <c r="A105" s="1" t="s">
        <v>481</v>
      </c>
      <c r="B105" s="687"/>
    </row>
    <row r="106" spans="1:2">
      <c r="A106" s="1" t="s">
        <v>595</v>
      </c>
      <c r="B106" s="687"/>
    </row>
    <row r="107" spans="1:2">
      <c r="A107" s="1" t="s">
        <v>594</v>
      </c>
      <c r="B107" s="687"/>
    </row>
    <row r="108" spans="1:2">
      <c r="A108" s="1" t="s">
        <v>518</v>
      </c>
      <c r="B108" s="687"/>
    </row>
    <row r="109" spans="1:2">
      <c r="A109" s="1" t="s">
        <v>519</v>
      </c>
      <c r="B109" s="687"/>
    </row>
    <row r="110" spans="1:2">
      <c r="A110" s="1" t="s">
        <v>596</v>
      </c>
      <c r="B110" s="687"/>
    </row>
    <row r="111" spans="1:2">
      <c r="A111" s="1" t="s">
        <v>600</v>
      </c>
      <c r="B111" s="687"/>
    </row>
    <row r="112" spans="1:2">
      <c r="A112" s="1" t="s">
        <v>522</v>
      </c>
      <c r="B112" s="687"/>
    </row>
    <row r="113" spans="1:2">
      <c r="A113" s="1" t="s">
        <v>597</v>
      </c>
      <c r="B113" s="687"/>
    </row>
    <row r="114" spans="1:2">
      <c r="A114" s="1" t="s">
        <v>520</v>
      </c>
      <c r="B114" s="687"/>
    </row>
    <row r="115" spans="1:2">
      <c r="A115" s="1" t="s">
        <v>599</v>
      </c>
      <c r="B115" s="687"/>
    </row>
    <row r="116" spans="1:2">
      <c r="A116" s="1" t="s">
        <v>598</v>
      </c>
      <c r="B116" s="687"/>
    </row>
    <row r="117" spans="1:2">
      <c r="A117" s="1" t="s">
        <v>521</v>
      </c>
      <c r="B117" s="687"/>
    </row>
    <row r="118" spans="1:2">
      <c r="A118" s="1" t="s">
        <v>523</v>
      </c>
      <c r="B118" s="687"/>
    </row>
    <row r="119" spans="1:2">
      <c r="A119" s="1" t="s">
        <v>601</v>
      </c>
      <c r="B119" s="687"/>
    </row>
    <row r="120" spans="1:2">
      <c r="A120" s="1" t="s">
        <v>524</v>
      </c>
      <c r="B120" s="687"/>
    </row>
    <row r="121" spans="1:2">
      <c r="A121" s="1" t="s">
        <v>603</v>
      </c>
      <c r="B121" s="687"/>
    </row>
    <row r="122" spans="1:2">
      <c r="A122" s="1" t="s">
        <v>602</v>
      </c>
      <c r="B122" s="687"/>
    </row>
    <row r="123" spans="1:2">
      <c r="B123" s="687"/>
    </row>
  </sheetData>
  <sortState ref="B3:B122">
    <sortCondition ref="B3"/>
  </sortState>
  <mergeCells count="4">
    <mergeCell ref="C28:C43"/>
    <mergeCell ref="C4:C12"/>
    <mergeCell ref="F1:G1"/>
    <mergeCell ref="C13:C24"/>
  </mergeCells>
  <phoneticPr fontId="7" type="noConversion"/>
  <printOptions headings="1" gridLines="1"/>
  <pageMargins left="0.59027777777777779" right="0.59027777777777779" top="0.98402777777777783" bottom="0.98402777777777795" header="0.51180555555555562" footer="0.51180555555555562"/>
  <pageSetup paperSize="9" scale="71" firstPageNumber="0" orientation="landscape" horizontalDpi="300" verticalDpi="300" r:id="rId1"/>
  <headerFooter alignWithMargins="0">
    <oddFooter>&amp;R&amp;D &amp;F &amp;A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CD132"/>
  <sheetViews>
    <sheetView workbookViewId="0">
      <pane xSplit="1" ySplit="4" topLeftCell="AA5" activePane="bottomRight" state="frozen"/>
      <selection activeCell="A30" sqref="A30"/>
      <selection pane="topRight" activeCell="A30" sqref="A30"/>
      <selection pane="bottomLeft" activeCell="A30" sqref="A30"/>
      <selection pane="bottomRight"/>
    </sheetView>
  </sheetViews>
  <sheetFormatPr defaultColWidth="10.28515625" defaultRowHeight="12.75"/>
  <cols>
    <col min="1" max="1" width="12.85546875" style="15" customWidth="1"/>
    <col min="2" max="6" width="10.28515625" style="15" customWidth="1"/>
    <col min="7" max="7" width="12.42578125" style="15" bestFit="1" customWidth="1"/>
    <col min="8" max="29" width="10.28515625" style="15" customWidth="1"/>
    <col min="30" max="30" width="12.42578125" style="15" bestFit="1" customWidth="1"/>
    <col min="31" max="31" width="11.42578125" style="15" customWidth="1"/>
    <col min="32" max="44" width="10.28515625" style="15" customWidth="1"/>
    <col min="45" max="46" width="10.28515625" style="404" customWidth="1"/>
    <col min="47" max="50" width="10.28515625" style="15" customWidth="1"/>
    <col min="51" max="51" width="12.42578125" style="15" bestFit="1" customWidth="1"/>
    <col min="52" max="16384" width="10.28515625" style="15"/>
  </cols>
  <sheetData>
    <row r="1" spans="1:82">
      <c r="A1" s="504"/>
      <c r="B1" s="505" t="s">
        <v>122</v>
      </c>
      <c r="C1" s="404"/>
      <c r="D1" s="404"/>
      <c r="E1" s="404"/>
      <c r="F1" s="404"/>
      <c r="G1" s="404"/>
      <c r="H1" s="404"/>
      <c r="I1" s="505"/>
      <c r="J1" s="505"/>
      <c r="K1" s="505"/>
      <c r="L1" s="404"/>
      <c r="M1" s="404"/>
      <c r="N1" s="404"/>
      <c r="O1" s="404"/>
      <c r="P1" s="404"/>
      <c r="Q1" s="404"/>
      <c r="R1" s="404"/>
      <c r="S1" s="404"/>
      <c r="T1" s="404"/>
      <c r="U1" s="404"/>
      <c r="V1" s="404"/>
      <c r="W1" s="404"/>
      <c r="X1" s="404"/>
      <c r="Y1" s="404"/>
      <c r="Z1" s="404"/>
      <c r="AA1" s="404"/>
      <c r="AB1" s="404"/>
      <c r="AC1" s="404"/>
      <c r="AD1" s="404"/>
      <c r="AE1" s="404"/>
      <c r="AF1" s="404"/>
      <c r="AG1" s="404"/>
      <c r="AH1" s="404"/>
      <c r="AI1" s="404"/>
      <c r="AJ1" s="404"/>
      <c r="AK1" s="404"/>
      <c r="AL1" s="404"/>
      <c r="AM1" s="404"/>
      <c r="AN1" s="404"/>
      <c r="AO1" s="404"/>
      <c r="AP1" s="404"/>
      <c r="AQ1" s="404"/>
      <c r="AR1" s="404"/>
      <c r="AU1" s="404"/>
      <c r="AV1" s="404"/>
      <c r="AW1" s="404"/>
      <c r="AX1" s="404"/>
      <c r="AY1" s="404"/>
      <c r="AZ1" s="404"/>
      <c r="BA1" s="404"/>
      <c r="BB1" s="404"/>
      <c r="BC1" s="404"/>
      <c r="BD1" s="404"/>
      <c r="BE1" s="404"/>
      <c r="BF1" s="404"/>
      <c r="BG1" s="404"/>
      <c r="BH1" s="404"/>
      <c r="BI1" s="404"/>
      <c r="BJ1" s="404"/>
      <c r="BK1" s="404"/>
      <c r="BL1" s="404"/>
      <c r="BM1" s="404"/>
      <c r="BN1" s="404"/>
      <c r="BO1" s="404"/>
      <c r="BP1" s="404"/>
      <c r="BQ1" s="404"/>
      <c r="BR1" s="404"/>
      <c r="BS1" s="404"/>
      <c r="BT1" s="404"/>
      <c r="BU1" s="404"/>
      <c r="BV1" s="404"/>
      <c r="BW1" s="404"/>
      <c r="BX1" s="404"/>
      <c r="BY1" s="404"/>
      <c r="BZ1" s="404"/>
      <c r="CA1" s="404"/>
      <c r="CB1" s="404"/>
      <c r="CC1" s="404"/>
      <c r="CD1" s="404"/>
    </row>
    <row r="2" spans="1:82" s="16" customFormat="1">
      <c r="A2" s="506" t="s">
        <v>121</v>
      </c>
      <c r="B2" s="507" t="s">
        <v>455</v>
      </c>
      <c r="C2" s="507" t="s">
        <v>456</v>
      </c>
      <c r="D2" s="507" t="s">
        <v>457</v>
      </c>
      <c r="E2" s="507" t="s">
        <v>458</v>
      </c>
      <c r="F2" s="507" t="s">
        <v>459</v>
      </c>
      <c r="G2" s="507" t="s">
        <v>460</v>
      </c>
      <c r="H2" s="507" t="s">
        <v>461</v>
      </c>
      <c r="I2" s="507" t="s">
        <v>462</v>
      </c>
      <c r="J2" s="507" t="s">
        <v>463</v>
      </c>
      <c r="K2" s="507" t="s">
        <v>250</v>
      </c>
      <c r="L2" s="507" t="s">
        <v>464</v>
      </c>
      <c r="M2" s="507" t="s">
        <v>465</v>
      </c>
      <c r="N2" s="507" t="s">
        <v>466</v>
      </c>
      <c r="O2" s="507" t="s">
        <v>467</v>
      </c>
      <c r="P2" s="507" t="s">
        <v>468</v>
      </c>
      <c r="Q2" s="507" t="s">
        <v>469</v>
      </c>
      <c r="R2" s="507" t="s">
        <v>470</v>
      </c>
      <c r="S2" s="507" t="s">
        <v>471</v>
      </c>
      <c r="T2" s="507" t="s">
        <v>472</v>
      </c>
      <c r="U2" s="507" t="s">
        <v>473</v>
      </c>
      <c r="V2" s="507" t="s">
        <v>474</v>
      </c>
      <c r="W2" s="507" t="s">
        <v>475</v>
      </c>
      <c r="X2" s="507" t="s">
        <v>476</v>
      </c>
      <c r="Y2" s="507" t="s">
        <v>477</v>
      </c>
      <c r="Z2" s="507" t="s">
        <v>478</v>
      </c>
      <c r="AA2" s="507" t="s">
        <v>479</v>
      </c>
      <c r="AB2" s="507" t="s">
        <v>480</v>
      </c>
      <c r="AC2" s="507" t="s">
        <v>481</v>
      </c>
      <c r="AD2" s="507" t="s">
        <v>482</v>
      </c>
      <c r="AE2" s="507" t="s">
        <v>483</v>
      </c>
      <c r="AF2" s="507" t="s">
        <v>484</v>
      </c>
      <c r="AG2" s="507" t="s">
        <v>485</v>
      </c>
      <c r="AH2" s="507" t="s">
        <v>486</v>
      </c>
      <c r="AI2" s="507" t="s">
        <v>487</v>
      </c>
      <c r="AJ2" s="507" t="s">
        <v>488</v>
      </c>
      <c r="AK2" s="507" t="s">
        <v>489</v>
      </c>
      <c r="AL2" s="507" t="s">
        <v>490</v>
      </c>
      <c r="AM2" s="507" t="s">
        <v>491</v>
      </c>
      <c r="AN2" s="507" t="s">
        <v>492</v>
      </c>
      <c r="AO2" s="507" t="s">
        <v>493</v>
      </c>
      <c r="AP2" s="507" t="s">
        <v>494</v>
      </c>
      <c r="AQ2" s="507" t="s">
        <v>495</v>
      </c>
      <c r="AR2" s="507" t="s">
        <v>496</v>
      </c>
      <c r="AS2" s="507" t="s">
        <v>497</v>
      </c>
      <c r="AT2" s="507" t="s">
        <v>498</v>
      </c>
      <c r="AU2" s="507" t="s">
        <v>499</v>
      </c>
      <c r="AV2" s="507" t="s">
        <v>500</v>
      </c>
      <c r="AW2" s="507" t="s">
        <v>501</v>
      </c>
      <c r="AX2" s="507" t="s">
        <v>502</v>
      </c>
      <c r="AY2" s="507" t="s">
        <v>503</v>
      </c>
      <c r="AZ2" s="507" t="s">
        <v>504</v>
      </c>
      <c r="BA2" s="507" t="s">
        <v>505</v>
      </c>
      <c r="BB2" s="507" t="s">
        <v>506</v>
      </c>
      <c r="BC2" s="507" t="s">
        <v>507</v>
      </c>
      <c r="BD2" s="507" t="s">
        <v>508</v>
      </c>
      <c r="BE2" s="507" t="s">
        <v>509</v>
      </c>
      <c r="BF2" s="507" t="s">
        <v>510</v>
      </c>
      <c r="BG2" s="507" t="s">
        <v>511</v>
      </c>
      <c r="BH2" s="507" t="s">
        <v>512</v>
      </c>
      <c r="BI2" s="507" t="s">
        <v>513</v>
      </c>
      <c r="BJ2" s="507" t="s">
        <v>514</v>
      </c>
      <c r="BK2" s="507" t="s">
        <v>515</v>
      </c>
      <c r="BL2" s="507" t="s">
        <v>516</v>
      </c>
      <c r="BM2" s="507" t="s">
        <v>517</v>
      </c>
      <c r="BN2" s="507" t="s">
        <v>518</v>
      </c>
      <c r="BO2" s="507" t="s">
        <v>519</v>
      </c>
      <c r="BP2" s="507" t="s">
        <v>520</v>
      </c>
      <c r="BQ2" s="507" t="s">
        <v>521</v>
      </c>
      <c r="BR2" s="507" t="s">
        <v>522</v>
      </c>
      <c r="BS2" s="507" t="s">
        <v>523</v>
      </c>
      <c r="BT2" s="507" t="s">
        <v>524</v>
      </c>
      <c r="BU2" s="507" t="s">
        <v>525</v>
      </c>
      <c r="BV2" s="507" t="s">
        <v>526</v>
      </c>
      <c r="BW2" s="507" t="s">
        <v>527</v>
      </c>
      <c r="BX2" s="507" t="s">
        <v>314</v>
      </c>
      <c r="BY2" s="507" t="s">
        <v>315</v>
      </c>
      <c r="BZ2" s="507" t="s">
        <v>316</v>
      </c>
      <c r="CA2" s="507" t="s">
        <v>317</v>
      </c>
      <c r="CB2" s="507" t="s">
        <v>311</v>
      </c>
      <c r="CC2" s="507" t="s">
        <v>312</v>
      </c>
      <c r="CD2" s="507" t="s">
        <v>313</v>
      </c>
    </row>
    <row r="3" spans="1:82" s="16" customFormat="1">
      <c r="A3" s="506" t="s">
        <v>124</v>
      </c>
      <c r="B3" s="507">
        <v>0.15</v>
      </c>
      <c r="C3" s="507">
        <v>0.2</v>
      </c>
      <c r="D3" s="507">
        <v>0.3</v>
      </c>
      <c r="E3" s="507">
        <v>0.3</v>
      </c>
      <c r="F3" s="507">
        <v>0.5</v>
      </c>
      <c r="G3" s="507">
        <v>0.7</v>
      </c>
      <c r="H3" s="507">
        <v>0.8</v>
      </c>
      <c r="I3" s="507">
        <v>0</v>
      </c>
      <c r="J3" s="507">
        <v>0</v>
      </c>
      <c r="K3" s="507">
        <v>1.1000000000000001</v>
      </c>
      <c r="L3" s="507">
        <v>0</v>
      </c>
      <c r="M3" s="507">
        <v>1.5</v>
      </c>
      <c r="N3" s="507">
        <v>2.6</v>
      </c>
      <c r="O3" s="507">
        <v>1.2</v>
      </c>
      <c r="P3" s="507">
        <v>0</v>
      </c>
      <c r="Q3" s="507">
        <v>0</v>
      </c>
      <c r="R3" s="507">
        <v>1.7</v>
      </c>
      <c r="S3" s="507">
        <v>0</v>
      </c>
      <c r="T3" s="507">
        <v>2.2000000000000002</v>
      </c>
      <c r="U3" s="507">
        <v>1.3</v>
      </c>
      <c r="V3" s="507">
        <v>0</v>
      </c>
      <c r="W3" s="507">
        <v>0</v>
      </c>
      <c r="X3" s="507">
        <v>1.9</v>
      </c>
      <c r="Y3" s="507">
        <v>0</v>
      </c>
      <c r="Z3" s="507">
        <v>1.3</v>
      </c>
      <c r="AA3" s="507">
        <v>3</v>
      </c>
      <c r="AB3" s="507">
        <v>4.2</v>
      </c>
      <c r="AC3" s="507">
        <v>5.4</v>
      </c>
      <c r="AD3" s="507">
        <v>0.01</v>
      </c>
      <c r="AE3" s="507">
        <v>0.01</v>
      </c>
      <c r="AF3" s="507">
        <v>0.01</v>
      </c>
      <c r="AG3" s="507">
        <v>0</v>
      </c>
      <c r="AH3" s="507">
        <v>0</v>
      </c>
      <c r="AI3" s="507">
        <v>0</v>
      </c>
      <c r="AJ3" s="507">
        <v>0.05</v>
      </c>
      <c r="AK3" s="507">
        <v>0.06</v>
      </c>
      <c r="AL3" s="507">
        <v>0.08</v>
      </c>
      <c r="AM3" s="507">
        <v>0.09</v>
      </c>
      <c r="AN3" s="507">
        <v>0.12</v>
      </c>
      <c r="AO3" s="507">
        <v>0.16</v>
      </c>
      <c r="AP3" s="507">
        <v>0.15</v>
      </c>
      <c r="AQ3" s="507">
        <v>0.2</v>
      </c>
      <c r="AR3" s="507">
        <v>0.3</v>
      </c>
      <c r="AS3" s="507">
        <v>0.3</v>
      </c>
      <c r="AT3" s="507">
        <v>0.5</v>
      </c>
      <c r="AU3" s="507">
        <v>0.7</v>
      </c>
      <c r="AV3" s="507">
        <v>0.8</v>
      </c>
      <c r="AW3" s="507">
        <v>1.1000000000000001</v>
      </c>
      <c r="AX3" s="507">
        <v>1.5</v>
      </c>
      <c r="AY3" s="507">
        <v>2.6</v>
      </c>
      <c r="AZ3" s="507">
        <v>1.2</v>
      </c>
      <c r="BA3" s="507">
        <v>1.7</v>
      </c>
      <c r="BB3" s="507">
        <v>2.2000000000000002</v>
      </c>
      <c r="BC3" s="507">
        <v>1.3</v>
      </c>
      <c r="BD3" s="507">
        <v>1.9</v>
      </c>
      <c r="BE3" s="507">
        <v>1.3</v>
      </c>
      <c r="BF3" s="507">
        <v>0</v>
      </c>
      <c r="BG3" s="507">
        <v>0</v>
      </c>
      <c r="BH3" s="507">
        <v>0</v>
      </c>
      <c r="BI3" s="507">
        <v>3</v>
      </c>
      <c r="BJ3" s="507">
        <v>4.2</v>
      </c>
      <c r="BK3" s="507">
        <v>5.4</v>
      </c>
      <c r="BL3" s="507">
        <v>3</v>
      </c>
      <c r="BM3" s="507">
        <v>4.2</v>
      </c>
      <c r="BN3" s="507">
        <v>5.4</v>
      </c>
      <c r="BO3" s="507">
        <v>10</v>
      </c>
      <c r="BP3" s="507">
        <v>13</v>
      </c>
      <c r="BQ3" s="507">
        <v>15</v>
      </c>
      <c r="BR3" s="507">
        <v>12</v>
      </c>
      <c r="BS3" s="507">
        <v>21</v>
      </c>
      <c r="BT3" s="507">
        <v>27</v>
      </c>
      <c r="BU3" s="507">
        <v>0</v>
      </c>
      <c r="BV3" s="507">
        <v>42</v>
      </c>
      <c r="BW3" s="507">
        <v>0</v>
      </c>
      <c r="BX3" s="507">
        <v>0</v>
      </c>
      <c r="BY3" s="507">
        <v>0</v>
      </c>
      <c r="BZ3" s="507">
        <v>0</v>
      </c>
      <c r="CA3" s="507">
        <v>0</v>
      </c>
      <c r="CB3" s="507">
        <v>0.5</v>
      </c>
      <c r="CC3" s="507">
        <v>2.7</v>
      </c>
      <c r="CD3" s="507">
        <v>4.4000000000000004</v>
      </c>
    </row>
    <row r="4" spans="1:82" s="16" customFormat="1">
      <c r="A4" s="506" t="s">
        <v>123</v>
      </c>
      <c r="B4" s="508"/>
      <c r="C4" s="508"/>
      <c r="D4" s="508"/>
      <c r="E4" s="508"/>
      <c r="F4" s="508"/>
      <c r="G4" s="508"/>
      <c r="H4" s="509"/>
      <c r="I4" s="509"/>
      <c r="J4" s="509"/>
      <c r="K4" s="509"/>
      <c r="L4" s="509"/>
      <c r="M4" s="509"/>
      <c r="N4" s="509"/>
      <c r="O4" s="509"/>
      <c r="P4" s="509"/>
      <c r="Q4" s="509"/>
      <c r="R4" s="509"/>
      <c r="S4" s="509"/>
      <c r="T4" s="509"/>
      <c r="U4" s="509"/>
      <c r="V4" s="509"/>
      <c r="W4" s="509"/>
      <c r="X4" s="509"/>
      <c r="Y4" s="509"/>
      <c r="Z4" s="509"/>
      <c r="AA4" s="509"/>
      <c r="AB4" s="509"/>
      <c r="AC4" s="509"/>
      <c r="AD4" s="508"/>
      <c r="AE4" s="508"/>
      <c r="AF4" s="508"/>
      <c r="AG4" s="508"/>
      <c r="AH4" s="508"/>
      <c r="AI4" s="508"/>
      <c r="AJ4" s="509"/>
      <c r="AK4" s="509"/>
      <c r="AL4" s="509"/>
      <c r="AM4" s="509"/>
      <c r="AN4" s="509"/>
      <c r="AO4" s="509"/>
      <c r="AP4" s="509"/>
      <c r="AQ4" s="509"/>
      <c r="AR4" s="509"/>
      <c r="AS4" s="509"/>
      <c r="AT4" s="509"/>
      <c r="AU4" s="509"/>
      <c r="AV4" s="509"/>
      <c r="AW4" s="509"/>
      <c r="AX4" s="509"/>
      <c r="AY4" s="509"/>
      <c r="AZ4" s="509"/>
      <c r="BA4" s="509"/>
      <c r="BB4" s="509"/>
      <c r="BC4" s="510"/>
      <c r="BD4" s="510"/>
      <c r="BE4" s="510"/>
      <c r="BF4" s="510"/>
      <c r="BG4" s="510"/>
      <c r="BH4" s="510"/>
      <c r="BI4" s="509"/>
      <c r="BJ4" s="509"/>
      <c r="BK4" s="509"/>
      <c r="BL4" s="509" t="s">
        <v>416</v>
      </c>
      <c r="BM4" s="509" t="s">
        <v>416</v>
      </c>
      <c r="BN4" s="509" t="s">
        <v>416</v>
      </c>
      <c r="BO4" s="510"/>
      <c r="BP4" s="510"/>
      <c r="BQ4" s="510"/>
      <c r="BR4" s="510"/>
      <c r="BS4" s="510"/>
      <c r="BT4" s="510"/>
      <c r="BU4" s="510"/>
      <c r="BV4" s="510"/>
      <c r="BW4" s="510"/>
      <c r="BX4" s="509"/>
      <c r="BY4" s="509"/>
      <c r="BZ4" s="509"/>
      <c r="CA4" s="509"/>
      <c r="CB4" s="509"/>
      <c r="CC4" s="509"/>
      <c r="CD4" s="509"/>
    </row>
    <row r="5" spans="1:82" s="16" customFormat="1">
      <c r="A5" s="506">
        <v>1</v>
      </c>
      <c r="B5" s="506">
        <v>2</v>
      </c>
      <c r="C5" s="506">
        <v>3</v>
      </c>
      <c r="D5" s="506">
        <v>4</v>
      </c>
      <c r="E5" s="506">
        <v>5</v>
      </c>
      <c r="F5" s="506">
        <v>6</v>
      </c>
      <c r="G5" s="506">
        <v>7</v>
      </c>
      <c r="H5" s="506">
        <v>8</v>
      </c>
      <c r="I5" s="506">
        <v>9</v>
      </c>
      <c r="J5" s="506">
        <v>10</v>
      </c>
      <c r="K5" s="506">
        <v>11</v>
      </c>
      <c r="L5" s="506">
        <v>12</v>
      </c>
      <c r="M5" s="506">
        <v>13</v>
      </c>
      <c r="N5" s="506">
        <v>14</v>
      </c>
      <c r="O5" s="506">
        <v>15</v>
      </c>
      <c r="P5" s="506">
        <v>16</v>
      </c>
      <c r="Q5" s="506">
        <v>17</v>
      </c>
      <c r="R5" s="506">
        <v>18</v>
      </c>
      <c r="S5" s="506">
        <v>19</v>
      </c>
      <c r="T5" s="506">
        <v>20</v>
      </c>
      <c r="U5" s="506">
        <v>21</v>
      </c>
      <c r="V5" s="506">
        <v>22</v>
      </c>
      <c r="W5" s="506">
        <v>23</v>
      </c>
      <c r="X5" s="506">
        <v>24</v>
      </c>
      <c r="Y5" s="506">
        <v>25</v>
      </c>
      <c r="Z5" s="506">
        <v>26</v>
      </c>
      <c r="AA5" s="506">
        <v>27</v>
      </c>
      <c r="AB5" s="506">
        <v>28</v>
      </c>
      <c r="AC5" s="506">
        <v>29</v>
      </c>
      <c r="AD5" s="506">
        <v>30</v>
      </c>
      <c r="AE5" s="506">
        <v>31</v>
      </c>
      <c r="AF5" s="506">
        <v>32</v>
      </c>
      <c r="AG5" s="506">
        <v>33</v>
      </c>
      <c r="AH5" s="506">
        <v>34</v>
      </c>
      <c r="AI5" s="506">
        <v>35</v>
      </c>
      <c r="AJ5" s="506">
        <v>36</v>
      </c>
      <c r="AK5" s="506">
        <v>37</v>
      </c>
      <c r="AL5" s="506">
        <v>38</v>
      </c>
      <c r="AM5" s="506">
        <v>39</v>
      </c>
      <c r="AN5" s="506">
        <v>40</v>
      </c>
      <c r="AO5" s="506">
        <v>41</v>
      </c>
      <c r="AP5" s="506">
        <v>42</v>
      </c>
      <c r="AQ5" s="506">
        <v>43</v>
      </c>
      <c r="AR5" s="506">
        <v>44</v>
      </c>
      <c r="AS5" s="506">
        <v>45</v>
      </c>
      <c r="AT5" s="506">
        <v>46</v>
      </c>
      <c r="AU5" s="506">
        <v>47</v>
      </c>
      <c r="AV5" s="506">
        <v>48</v>
      </c>
      <c r="AW5" s="506">
        <v>49</v>
      </c>
      <c r="AX5" s="506">
        <v>50</v>
      </c>
      <c r="AY5" s="506">
        <v>51</v>
      </c>
      <c r="AZ5" s="506">
        <v>52</v>
      </c>
      <c r="BA5" s="506">
        <v>53</v>
      </c>
      <c r="BB5" s="506">
        <v>54</v>
      </c>
      <c r="BC5" s="506">
        <v>55</v>
      </c>
      <c r="BD5" s="506">
        <v>56</v>
      </c>
      <c r="BE5" s="506">
        <v>57</v>
      </c>
      <c r="BF5" s="506">
        <v>58</v>
      </c>
      <c r="BG5" s="506">
        <v>59</v>
      </c>
      <c r="BH5" s="506">
        <v>60</v>
      </c>
      <c r="BI5" s="506">
        <v>61</v>
      </c>
      <c r="BJ5" s="506">
        <v>62</v>
      </c>
      <c r="BK5" s="506">
        <v>63</v>
      </c>
      <c r="BL5" s="506">
        <v>64</v>
      </c>
      <c r="BM5" s="506">
        <v>65</v>
      </c>
      <c r="BN5" s="506">
        <v>66</v>
      </c>
      <c r="BO5" s="506">
        <v>67</v>
      </c>
      <c r="BP5" s="506">
        <v>68</v>
      </c>
      <c r="BQ5" s="506">
        <v>69</v>
      </c>
      <c r="BR5" s="506">
        <v>70</v>
      </c>
      <c r="BS5" s="506">
        <v>71</v>
      </c>
      <c r="BT5" s="506">
        <v>72</v>
      </c>
      <c r="BU5" s="506">
        <v>73</v>
      </c>
      <c r="BV5" s="506">
        <v>74</v>
      </c>
      <c r="BW5" s="506">
        <v>75</v>
      </c>
      <c r="BX5" s="506">
        <v>76</v>
      </c>
      <c r="BY5" s="506">
        <v>77</v>
      </c>
      <c r="BZ5" s="506">
        <v>78</v>
      </c>
      <c r="CA5" s="506">
        <v>79</v>
      </c>
      <c r="CB5" s="506">
        <v>80</v>
      </c>
      <c r="CC5" s="506">
        <v>81</v>
      </c>
      <c r="CD5" s="506">
        <v>82</v>
      </c>
    </row>
    <row r="6" spans="1:82" s="16" customFormat="1">
      <c r="A6" s="506">
        <v>20</v>
      </c>
      <c r="B6" s="405"/>
      <c r="C6" s="405"/>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405"/>
      <c r="AD6" s="405">
        <v>0.01</v>
      </c>
      <c r="AE6" s="405">
        <v>0.01</v>
      </c>
      <c r="AF6" s="405">
        <v>0.01</v>
      </c>
      <c r="AG6" s="405"/>
      <c r="AH6" s="405"/>
      <c r="AI6" s="405"/>
      <c r="AJ6" s="405"/>
      <c r="AK6" s="405"/>
      <c r="AL6" s="405"/>
      <c r="AM6" s="405"/>
      <c r="AN6" s="405"/>
      <c r="AO6" s="405"/>
      <c r="AP6" s="405"/>
      <c r="AQ6" s="405"/>
      <c r="AR6" s="405"/>
      <c r="AS6" s="405"/>
      <c r="AT6" s="405"/>
      <c r="AU6" s="405"/>
      <c r="AV6" s="405"/>
      <c r="AW6" s="405"/>
      <c r="AX6" s="405"/>
      <c r="AY6" s="405"/>
      <c r="AZ6" s="405"/>
      <c r="BA6" s="405"/>
      <c r="BB6" s="405"/>
      <c r="BC6" s="405"/>
      <c r="BD6" s="405"/>
      <c r="BE6" s="405"/>
      <c r="BF6" s="405"/>
      <c r="BG6" s="405"/>
      <c r="BH6" s="405"/>
      <c r="BI6" s="405"/>
      <c r="BJ6" s="405"/>
      <c r="BK6" s="405"/>
      <c r="BL6" s="405"/>
      <c r="BM6" s="405"/>
      <c r="BN6" s="405"/>
      <c r="BO6" s="405"/>
      <c r="BP6" s="405"/>
      <c r="BQ6" s="405"/>
      <c r="BR6" s="405"/>
      <c r="BS6" s="405"/>
      <c r="BT6" s="405"/>
      <c r="BU6" s="405"/>
      <c r="BV6" s="405"/>
      <c r="BW6" s="405"/>
      <c r="BX6" s="405">
        <v>0.115</v>
      </c>
      <c r="BY6" s="405">
        <v>0.6</v>
      </c>
      <c r="BZ6" s="405">
        <v>0.8</v>
      </c>
      <c r="CA6" s="405">
        <v>2.2999999999999998</v>
      </c>
      <c r="CB6" s="405"/>
      <c r="CC6" s="405"/>
      <c r="CD6" s="405"/>
    </row>
    <row r="7" spans="1:82">
      <c r="A7" s="404">
        <v>25</v>
      </c>
      <c r="B7" s="405"/>
      <c r="C7" s="405"/>
      <c r="D7" s="405"/>
      <c r="E7" s="405"/>
      <c r="F7" s="405"/>
      <c r="G7" s="405"/>
      <c r="H7" s="405"/>
      <c r="I7" s="405"/>
      <c r="J7" s="405"/>
      <c r="K7" s="405"/>
      <c r="L7" s="405"/>
      <c r="M7" s="405"/>
      <c r="N7" s="405"/>
      <c r="O7" s="405"/>
      <c r="P7" s="405"/>
      <c r="Q7" s="405"/>
      <c r="R7" s="405"/>
      <c r="S7" s="405"/>
      <c r="T7" s="405"/>
      <c r="U7" s="405"/>
      <c r="V7" s="405"/>
      <c r="W7" s="405"/>
      <c r="X7" s="405"/>
      <c r="Y7" s="405"/>
      <c r="Z7" s="405"/>
      <c r="AA7" s="405"/>
      <c r="AB7" s="405"/>
      <c r="AC7" s="405"/>
      <c r="AD7" s="405"/>
      <c r="AE7" s="405"/>
      <c r="AF7" s="405"/>
      <c r="AG7" s="405">
        <v>0.02</v>
      </c>
      <c r="AH7" s="405">
        <v>0.03</v>
      </c>
      <c r="AI7" s="405">
        <v>0.03</v>
      </c>
      <c r="AJ7" s="405">
        <v>0.02</v>
      </c>
      <c r="AK7" s="405">
        <v>0.03</v>
      </c>
      <c r="AL7" s="405">
        <v>0.03</v>
      </c>
      <c r="AM7" s="405"/>
      <c r="AN7" s="405"/>
      <c r="AO7" s="405"/>
      <c r="AP7" s="405"/>
      <c r="AQ7" s="405"/>
      <c r="AR7" s="405"/>
      <c r="AS7" s="405"/>
      <c r="AT7" s="405"/>
      <c r="AU7" s="405"/>
      <c r="AV7" s="405"/>
      <c r="AW7" s="405"/>
      <c r="AX7" s="405"/>
      <c r="AY7" s="405"/>
      <c r="AZ7" s="405"/>
      <c r="BA7" s="405"/>
      <c r="BB7" s="405"/>
      <c r="BC7" s="405"/>
      <c r="BD7" s="405"/>
      <c r="BE7" s="405"/>
      <c r="BF7" s="405"/>
      <c r="BG7" s="405"/>
      <c r="BH7" s="405"/>
      <c r="BI7" s="405"/>
      <c r="BJ7" s="405"/>
      <c r="BK7" s="405"/>
      <c r="BL7" s="405"/>
      <c r="BM7" s="405"/>
      <c r="BN7" s="405"/>
      <c r="BO7" s="405"/>
      <c r="BP7" s="405"/>
      <c r="BQ7" s="405"/>
      <c r="BR7" s="405"/>
      <c r="BS7" s="405"/>
      <c r="BT7" s="405"/>
      <c r="BU7" s="405"/>
      <c r="BV7" s="405"/>
      <c r="BW7" s="405"/>
      <c r="BX7" s="405">
        <v>0.3</v>
      </c>
      <c r="BY7" s="405">
        <v>0.6</v>
      </c>
      <c r="BZ7" s="405">
        <v>0.8</v>
      </c>
      <c r="CA7" s="405">
        <v>2.2999999999999998</v>
      </c>
      <c r="CB7" s="405"/>
      <c r="CC7" s="405"/>
      <c r="CD7" s="405"/>
    </row>
    <row r="8" spans="1:82">
      <c r="A8" s="404">
        <v>30</v>
      </c>
      <c r="B8" s="405"/>
      <c r="C8" s="405"/>
      <c r="D8" s="405"/>
      <c r="E8" s="405"/>
      <c r="F8" s="405"/>
      <c r="G8" s="405"/>
      <c r="H8" s="405"/>
      <c r="I8" s="405"/>
      <c r="J8" s="405"/>
      <c r="K8" s="405"/>
      <c r="L8" s="405"/>
      <c r="M8" s="405"/>
      <c r="N8" s="405"/>
      <c r="O8" s="405"/>
      <c r="P8" s="405"/>
      <c r="Q8" s="405"/>
      <c r="R8" s="405"/>
      <c r="S8" s="405"/>
      <c r="T8" s="405"/>
      <c r="U8" s="405"/>
      <c r="V8" s="405"/>
      <c r="W8" s="405"/>
      <c r="X8" s="405"/>
      <c r="Y8" s="405"/>
      <c r="Z8" s="405"/>
      <c r="AA8" s="405"/>
      <c r="AB8" s="405"/>
      <c r="AC8" s="405"/>
      <c r="AD8" s="405">
        <v>0.01</v>
      </c>
      <c r="AE8" s="405">
        <v>0.01</v>
      </c>
      <c r="AF8" s="405">
        <v>0.01</v>
      </c>
      <c r="AG8" s="405"/>
      <c r="AH8" s="405"/>
      <c r="AI8" s="405"/>
      <c r="AJ8" s="405"/>
      <c r="AK8" s="405"/>
      <c r="AL8" s="405"/>
      <c r="AM8" s="405"/>
      <c r="AN8" s="405"/>
      <c r="AO8" s="405"/>
      <c r="AP8" s="405"/>
      <c r="AQ8" s="405"/>
      <c r="AR8" s="405"/>
      <c r="AS8" s="405"/>
      <c r="AT8" s="405"/>
      <c r="AU8" s="405"/>
      <c r="AV8" s="405"/>
      <c r="AW8" s="405"/>
      <c r="AX8" s="405"/>
      <c r="AY8" s="405"/>
      <c r="AZ8" s="405"/>
      <c r="BA8" s="405"/>
      <c r="BB8" s="405"/>
      <c r="BC8" s="405"/>
      <c r="BD8" s="405"/>
      <c r="BE8" s="405"/>
      <c r="BF8" s="405"/>
      <c r="BG8" s="405"/>
      <c r="BH8" s="405"/>
      <c r="BI8" s="405"/>
      <c r="BJ8" s="405"/>
      <c r="BK8" s="405"/>
      <c r="BL8" s="405"/>
      <c r="BM8" s="405"/>
      <c r="BN8" s="405"/>
      <c r="BO8" s="405"/>
      <c r="BP8" s="405"/>
      <c r="BQ8" s="405"/>
      <c r="BR8" s="405"/>
      <c r="BS8" s="405"/>
      <c r="BT8" s="405"/>
      <c r="BU8" s="405"/>
      <c r="BV8" s="405"/>
      <c r="BW8" s="405"/>
      <c r="BX8" s="405">
        <v>0.3</v>
      </c>
      <c r="BY8" s="405">
        <v>0.6</v>
      </c>
      <c r="BZ8" s="405">
        <v>0.8</v>
      </c>
      <c r="CA8" s="405">
        <v>2.2999999999999998</v>
      </c>
      <c r="CB8" s="405"/>
      <c r="CC8" s="405"/>
      <c r="CD8" s="405"/>
    </row>
    <row r="9" spans="1:82">
      <c r="A9" s="404">
        <v>40</v>
      </c>
      <c r="B9" s="405"/>
      <c r="C9" s="405"/>
      <c r="D9" s="405"/>
      <c r="E9" s="405"/>
      <c r="F9" s="405"/>
      <c r="G9" s="405"/>
      <c r="H9" s="405"/>
      <c r="I9" s="405"/>
      <c r="J9" s="405"/>
      <c r="K9" s="405"/>
      <c r="L9" s="405"/>
      <c r="M9" s="405"/>
      <c r="N9" s="405"/>
      <c r="O9" s="405"/>
      <c r="P9" s="405"/>
      <c r="Q9" s="405"/>
      <c r="R9" s="405"/>
      <c r="S9" s="405"/>
      <c r="T9" s="405"/>
      <c r="U9" s="405"/>
      <c r="V9" s="405"/>
      <c r="W9" s="405"/>
      <c r="X9" s="405"/>
      <c r="Y9" s="405"/>
      <c r="Z9" s="405"/>
      <c r="AA9" s="405"/>
      <c r="AB9" s="405"/>
      <c r="AC9" s="405"/>
      <c r="AD9" s="405">
        <v>0.01</v>
      </c>
      <c r="AE9" s="405">
        <v>0.01</v>
      </c>
      <c r="AF9" s="405">
        <v>0.01</v>
      </c>
      <c r="AG9" s="405"/>
      <c r="AH9" s="405"/>
      <c r="AI9" s="405"/>
      <c r="AJ9" s="405"/>
      <c r="AK9" s="405"/>
      <c r="AL9" s="405"/>
      <c r="AM9" s="405"/>
      <c r="AN9" s="405"/>
      <c r="AO9" s="405"/>
      <c r="AP9" s="405"/>
      <c r="AQ9" s="405"/>
      <c r="AR9" s="405"/>
      <c r="AS9" s="405"/>
      <c r="AT9" s="405"/>
      <c r="AU9" s="405"/>
      <c r="AV9" s="405"/>
      <c r="AW9" s="405"/>
      <c r="AX9" s="405"/>
      <c r="AY9" s="405"/>
      <c r="AZ9" s="405"/>
      <c r="BA9" s="405"/>
      <c r="BB9" s="405"/>
      <c r="BC9" s="405"/>
      <c r="BD9" s="405"/>
      <c r="BE9" s="405"/>
      <c r="BF9" s="405"/>
      <c r="BG9" s="405"/>
      <c r="BH9" s="405"/>
      <c r="BI9" s="405"/>
      <c r="BJ9" s="405"/>
      <c r="BK9" s="405"/>
      <c r="BL9" s="405"/>
      <c r="BM9" s="405"/>
      <c r="BN9" s="405"/>
      <c r="BO9" s="405"/>
      <c r="BP9" s="405"/>
      <c r="BQ9" s="405"/>
      <c r="BR9" s="405"/>
      <c r="BS9" s="405"/>
      <c r="BT9" s="405"/>
      <c r="BU9" s="405"/>
      <c r="BV9" s="405"/>
      <c r="BW9" s="405"/>
      <c r="BX9" s="405">
        <v>0.3</v>
      </c>
      <c r="BY9" s="405">
        <v>0.6</v>
      </c>
      <c r="BZ9" s="405">
        <v>0.8</v>
      </c>
      <c r="CA9" s="405">
        <v>2.2999999999999998</v>
      </c>
      <c r="CB9" s="405"/>
      <c r="CC9" s="405"/>
      <c r="CD9" s="405"/>
    </row>
    <row r="10" spans="1:82">
      <c r="A10" s="404">
        <v>50</v>
      </c>
      <c r="B10" s="405"/>
      <c r="C10" s="405"/>
      <c r="D10" s="405"/>
      <c r="E10" s="405"/>
      <c r="F10" s="405"/>
      <c r="G10" s="405"/>
      <c r="H10" s="405"/>
      <c r="I10" s="405"/>
      <c r="J10" s="405"/>
      <c r="K10" s="405"/>
      <c r="L10" s="405"/>
      <c r="M10" s="405"/>
      <c r="N10" s="405"/>
      <c r="O10" s="405"/>
      <c r="P10" s="405"/>
      <c r="Q10" s="405"/>
      <c r="R10" s="405"/>
      <c r="S10" s="405"/>
      <c r="T10" s="405"/>
      <c r="U10" s="405"/>
      <c r="V10" s="405"/>
      <c r="W10" s="405"/>
      <c r="X10" s="405"/>
      <c r="Y10" s="405"/>
      <c r="Z10" s="405"/>
      <c r="AA10" s="405"/>
      <c r="AB10" s="405"/>
      <c r="AC10" s="405"/>
      <c r="AD10" s="405" t="s">
        <v>322</v>
      </c>
      <c r="AE10" s="405" t="s">
        <v>322</v>
      </c>
      <c r="AF10" s="405" t="s">
        <v>322</v>
      </c>
      <c r="AG10" s="405">
        <v>0.03</v>
      </c>
      <c r="AH10" s="405">
        <v>0.04</v>
      </c>
      <c r="AI10" s="405">
        <v>0.04</v>
      </c>
      <c r="AJ10" s="405">
        <v>0.03</v>
      </c>
      <c r="AK10" s="405">
        <v>0.04</v>
      </c>
      <c r="AL10" s="405">
        <v>0.04</v>
      </c>
      <c r="AM10" s="405">
        <v>0.11</v>
      </c>
      <c r="AN10" s="405">
        <v>0.13</v>
      </c>
      <c r="AO10" s="405">
        <v>0.15</v>
      </c>
      <c r="AP10" s="405"/>
      <c r="AQ10" s="405"/>
      <c r="AR10" s="405"/>
      <c r="AS10" s="405"/>
      <c r="AT10" s="405"/>
      <c r="AU10" s="405"/>
      <c r="AV10" s="405"/>
      <c r="AW10" s="405"/>
      <c r="AX10" s="405"/>
      <c r="AY10" s="405"/>
      <c r="AZ10" s="405"/>
      <c r="BA10" s="405"/>
      <c r="BB10" s="405"/>
      <c r="BC10" s="405"/>
      <c r="BD10" s="405"/>
      <c r="BE10" s="405"/>
      <c r="BF10" s="405"/>
      <c r="BG10" s="405"/>
      <c r="BH10" s="405"/>
      <c r="BI10" s="405"/>
      <c r="BJ10" s="405"/>
      <c r="BK10" s="405"/>
      <c r="BL10" s="405"/>
      <c r="BM10" s="405"/>
      <c r="BN10" s="405"/>
      <c r="BO10" s="405"/>
      <c r="BP10" s="405"/>
      <c r="BQ10" s="405"/>
      <c r="BR10" s="405"/>
      <c r="BS10" s="405"/>
      <c r="BT10" s="405"/>
      <c r="BU10" s="405"/>
      <c r="BV10" s="405"/>
      <c r="BW10" s="405"/>
      <c r="BX10" s="405" t="s">
        <v>322</v>
      </c>
      <c r="BY10" s="405">
        <v>0.6</v>
      </c>
      <c r="BZ10" s="405">
        <v>0.8</v>
      </c>
      <c r="CA10" s="405">
        <v>2.2999999999999998</v>
      </c>
      <c r="CB10" s="405"/>
      <c r="CC10" s="405"/>
      <c r="CD10" s="405"/>
    </row>
    <row r="11" spans="1:82">
      <c r="A11" s="404">
        <v>100</v>
      </c>
      <c r="B11" s="405">
        <v>0.28000000000000003</v>
      </c>
      <c r="C11" s="405">
        <v>0.33</v>
      </c>
      <c r="D11" s="405">
        <v>0.37</v>
      </c>
      <c r="E11" s="405">
        <v>0.47</v>
      </c>
      <c r="F11" s="405">
        <v>0.55000000000000004</v>
      </c>
      <c r="G11" s="405">
        <v>0.63</v>
      </c>
      <c r="H11" s="405">
        <v>0.9</v>
      </c>
      <c r="I11" s="405">
        <v>0.77</v>
      </c>
      <c r="J11" s="405">
        <v>0.66</v>
      </c>
      <c r="K11" s="405">
        <v>1.06</v>
      </c>
      <c r="L11" s="405">
        <v>0.87</v>
      </c>
      <c r="M11" s="405">
        <v>1.21</v>
      </c>
      <c r="N11" s="405">
        <v>1.83</v>
      </c>
      <c r="O11" s="405">
        <v>1.81</v>
      </c>
      <c r="P11" s="405">
        <v>1.36</v>
      </c>
      <c r="Q11" s="405">
        <v>1.19</v>
      </c>
      <c r="R11" s="405">
        <v>2.15</v>
      </c>
      <c r="S11" s="405">
        <v>1.53</v>
      </c>
      <c r="T11" s="405">
        <v>2.48</v>
      </c>
      <c r="U11" s="405">
        <v>2.2000000000000002</v>
      </c>
      <c r="V11" s="405">
        <v>1.7</v>
      </c>
      <c r="W11" s="405">
        <v>1.5</v>
      </c>
      <c r="X11" s="405">
        <v>2.6</v>
      </c>
      <c r="Y11" s="405">
        <v>1.9</v>
      </c>
      <c r="Z11" s="405">
        <v>3.1</v>
      </c>
      <c r="AA11" s="405">
        <v>3.91</v>
      </c>
      <c r="AB11" s="405">
        <v>4.8099999999999996</v>
      </c>
      <c r="AC11" s="405">
        <v>5.71</v>
      </c>
      <c r="AD11" s="405" t="s">
        <v>322</v>
      </c>
      <c r="AE11" s="405" t="s">
        <v>322</v>
      </c>
      <c r="AF11" s="405" t="s">
        <v>322</v>
      </c>
      <c r="AG11" s="405">
        <v>0.05</v>
      </c>
      <c r="AH11" s="405">
        <v>0.05</v>
      </c>
      <c r="AI11" s="405">
        <v>0.06</v>
      </c>
      <c r="AJ11" s="405">
        <v>0.05</v>
      </c>
      <c r="AK11" s="405">
        <v>0.05</v>
      </c>
      <c r="AL11" s="405">
        <v>0.06</v>
      </c>
      <c r="AM11" s="405">
        <v>0.15</v>
      </c>
      <c r="AN11" s="405">
        <v>0.17</v>
      </c>
      <c r="AO11" s="405">
        <v>0.18</v>
      </c>
      <c r="AP11" s="405">
        <v>0.28000000000000003</v>
      </c>
      <c r="AQ11" s="405">
        <v>0.33</v>
      </c>
      <c r="AR11" s="405">
        <v>0.37</v>
      </c>
      <c r="AS11" s="405">
        <v>0.47</v>
      </c>
      <c r="AT11" s="405">
        <v>0.55000000000000004</v>
      </c>
      <c r="AU11" s="405">
        <v>0.63</v>
      </c>
      <c r="AV11" s="405">
        <v>0.9</v>
      </c>
      <c r="AW11" s="405">
        <v>1.06</v>
      </c>
      <c r="AX11" s="405">
        <v>1.21</v>
      </c>
      <c r="AY11" s="405">
        <v>1.83</v>
      </c>
      <c r="AZ11" s="405">
        <v>1.81</v>
      </c>
      <c r="BA11" s="405">
        <v>2.15</v>
      </c>
      <c r="BB11" s="405">
        <v>2.48</v>
      </c>
      <c r="BC11" s="405">
        <v>2.2999999999999998</v>
      </c>
      <c r="BD11" s="405">
        <v>2.7</v>
      </c>
      <c r="BE11" s="405">
        <v>3.1</v>
      </c>
      <c r="BF11" s="405">
        <v>2.2999999999999998</v>
      </c>
      <c r="BG11" s="405">
        <v>2.7</v>
      </c>
      <c r="BH11" s="405">
        <v>3.1</v>
      </c>
      <c r="BI11" s="405">
        <v>3.91</v>
      </c>
      <c r="BJ11" s="405">
        <v>4.8099999999999996</v>
      </c>
      <c r="BK11" s="405">
        <v>5.71</v>
      </c>
      <c r="BL11" s="405">
        <v>4.0999999999999996</v>
      </c>
      <c r="BM11" s="405">
        <v>5.04</v>
      </c>
      <c r="BN11" s="405">
        <v>5.99</v>
      </c>
      <c r="BO11" s="405">
        <v>7.48</v>
      </c>
      <c r="BP11" s="405">
        <v>8.76</v>
      </c>
      <c r="BQ11" s="405">
        <v>10.029999999999999</v>
      </c>
      <c r="BR11" s="405">
        <v>10.48</v>
      </c>
      <c r="BS11" s="405">
        <v>12.89</v>
      </c>
      <c r="BT11" s="405">
        <v>15.31</v>
      </c>
      <c r="BU11" s="405">
        <v>25.69</v>
      </c>
      <c r="BV11" s="405">
        <v>33.11</v>
      </c>
      <c r="BW11" s="405">
        <v>40.53</v>
      </c>
      <c r="BX11" s="405" t="s">
        <v>322</v>
      </c>
      <c r="BY11" s="405">
        <v>0.7</v>
      </c>
      <c r="BZ11" s="405">
        <v>1.1000000000000001</v>
      </c>
      <c r="CA11" s="405">
        <v>2.2999999999999998</v>
      </c>
      <c r="CB11" s="405"/>
      <c r="CC11" s="405"/>
      <c r="CD11" s="405"/>
    </row>
    <row r="12" spans="1:82">
      <c r="A12" s="404">
        <v>150</v>
      </c>
      <c r="B12" s="405">
        <v>0.35</v>
      </c>
      <c r="C12" s="405">
        <v>0.4</v>
      </c>
      <c r="D12" s="405">
        <v>0.44</v>
      </c>
      <c r="E12" s="405">
        <v>0.57999999999999996</v>
      </c>
      <c r="F12" s="405">
        <v>0.66</v>
      </c>
      <c r="G12" s="405">
        <v>0.74</v>
      </c>
      <c r="H12" s="405">
        <v>1.08</v>
      </c>
      <c r="I12" s="405">
        <v>0.94</v>
      </c>
      <c r="J12" s="405">
        <v>0.83</v>
      </c>
      <c r="K12" s="405">
        <v>1.23</v>
      </c>
      <c r="L12" s="405">
        <v>1.04</v>
      </c>
      <c r="M12" s="405">
        <v>1.38</v>
      </c>
      <c r="N12" s="405">
        <v>2</v>
      </c>
      <c r="O12" s="405">
        <v>2.09</v>
      </c>
      <c r="P12" s="405">
        <v>1.64</v>
      </c>
      <c r="Q12" s="405">
        <v>1.47</v>
      </c>
      <c r="R12" s="405">
        <v>2.4300000000000002</v>
      </c>
      <c r="S12" s="405">
        <v>1.81</v>
      </c>
      <c r="T12" s="405">
        <v>2.76</v>
      </c>
      <c r="U12" s="405">
        <v>2.6</v>
      </c>
      <c r="V12" s="405">
        <v>2</v>
      </c>
      <c r="W12" s="405">
        <v>1.8</v>
      </c>
      <c r="X12" s="405">
        <v>3</v>
      </c>
      <c r="Y12" s="405">
        <v>2.2000000000000002</v>
      </c>
      <c r="Z12" s="405">
        <v>3.4</v>
      </c>
      <c r="AA12" s="405">
        <v>4.41</v>
      </c>
      <c r="AB12" s="405">
        <v>5.31</v>
      </c>
      <c r="AC12" s="405">
        <v>6.21</v>
      </c>
      <c r="AD12" s="405" t="s">
        <v>322</v>
      </c>
      <c r="AE12" s="405" t="s">
        <v>322</v>
      </c>
      <c r="AF12" s="405" t="s">
        <v>322</v>
      </c>
      <c r="AG12" s="405" t="s">
        <v>322</v>
      </c>
      <c r="AH12" s="405" t="s">
        <v>322</v>
      </c>
      <c r="AI12" s="405" t="s">
        <v>322</v>
      </c>
      <c r="AJ12" s="405">
        <v>7.0000000000000007E-2</v>
      </c>
      <c r="AK12" s="405">
        <v>7.0000000000000007E-2</v>
      </c>
      <c r="AL12" s="405">
        <v>0.08</v>
      </c>
      <c r="AM12" s="405">
        <v>0.19</v>
      </c>
      <c r="AN12" s="405">
        <v>0.21</v>
      </c>
      <c r="AO12" s="405">
        <v>0.22</v>
      </c>
      <c r="AP12" s="405">
        <v>0.35</v>
      </c>
      <c r="AQ12" s="405">
        <v>0.4</v>
      </c>
      <c r="AR12" s="405">
        <v>0.44</v>
      </c>
      <c r="AS12" s="405">
        <v>0.57999999999999996</v>
      </c>
      <c r="AT12" s="405">
        <v>0.66</v>
      </c>
      <c r="AU12" s="405">
        <v>0.74</v>
      </c>
      <c r="AV12" s="405">
        <v>1.08</v>
      </c>
      <c r="AW12" s="405">
        <v>1.23</v>
      </c>
      <c r="AX12" s="405">
        <v>1.38</v>
      </c>
      <c r="AY12" s="405">
        <v>2</v>
      </c>
      <c r="AZ12" s="405">
        <v>2.09</v>
      </c>
      <c r="BA12" s="405">
        <v>2.4300000000000002</v>
      </c>
      <c r="BB12" s="405">
        <v>2.76</v>
      </c>
      <c r="BC12" s="405">
        <v>2.6</v>
      </c>
      <c r="BD12" s="405">
        <v>3</v>
      </c>
      <c r="BE12" s="405">
        <v>3.5</v>
      </c>
      <c r="BF12" s="405">
        <v>2.6</v>
      </c>
      <c r="BG12" s="405">
        <v>3</v>
      </c>
      <c r="BH12" s="405">
        <v>3.5</v>
      </c>
      <c r="BI12" s="405">
        <v>4.41</v>
      </c>
      <c r="BJ12" s="405">
        <v>5.31</v>
      </c>
      <c r="BK12" s="405">
        <v>6.21</v>
      </c>
      <c r="BL12" s="405">
        <v>4.62</v>
      </c>
      <c r="BM12" s="405">
        <v>5.57</v>
      </c>
      <c r="BN12" s="405">
        <v>6.51</v>
      </c>
      <c r="BO12" s="405">
        <v>8.19</v>
      </c>
      <c r="BP12" s="405">
        <v>9.4700000000000006</v>
      </c>
      <c r="BQ12" s="405">
        <v>10.74</v>
      </c>
      <c r="BR12" s="405">
        <v>11.48</v>
      </c>
      <c r="BS12" s="405">
        <v>13.9</v>
      </c>
      <c r="BT12" s="405">
        <v>16.309999999999999</v>
      </c>
      <c r="BU12" s="405">
        <v>28.44</v>
      </c>
      <c r="BV12" s="405">
        <v>35.86</v>
      </c>
      <c r="BW12" s="405">
        <v>43.28</v>
      </c>
      <c r="BX12" s="405" t="s">
        <v>322</v>
      </c>
      <c r="BY12" s="405">
        <v>0.9</v>
      </c>
      <c r="BZ12" s="405">
        <v>1.3</v>
      </c>
      <c r="CA12" s="405">
        <v>2.9</v>
      </c>
      <c r="CB12" s="405"/>
      <c r="CC12" s="405"/>
      <c r="CD12" s="405"/>
    </row>
    <row r="13" spans="1:82">
      <c r="A13" s="404">
        <v>200</v>
      </c>
      <c r="B13" s="405">
        <v>0.42</v>
      </c>
      <c r="C13" s="405">
        <v>0.47</v>
      </c>
      <c r="D13" s="405">
        <v>0.51</v>
      </c>
      <c r="E13" s="405">
        <v>0.69</v>
      </c>
      <c r="F13" s="405">
        <v>0.77</v>
      </c>
      <c r="G13" s="405">
        <v>0.85</v>
      </c>
      <c r="H13" s="405">
        <v>1.25</v>
      </c>
      <c r="I13" s="405">
        <v>1.1100000000000001</v>
      </c>
      <c r="J13" s="405">
        <v>1.01</v>
      </c>
      <c r="K13" s="405">
        <v>1.4</v>
      </c>
      <c r="L13" s="405">
        <v>1.21</v>
      </c>
      <c r="M13" s="405">
        <v>1.56</v>
      </c>
      <c r="N13" s="405">
        <v>2.17</v>
      </c>
      <c r="O13" s="405">
        <v>2.37</v>
      </c>
      <c r="P13" s="405">
        <v>1.92</v>
      </c>
      <c r="Q13" s="405">
        <v>1.75</v>
      </c>
      <c r="R13" s="405">
        <v>2.71</v>
      </c>
      <c r="S13" s="405">
        <v>2.09</v>
      </c>
      <c r="T13" s="405">
        <v>3.05</v>
      </c>
      <c r="U13" s="405">
        <v>2.9</v>
      </c>
      <c r="V13" s="405">
        <v>2.4</v>
      </c>
      <c r="W13" s="405">
        <v>2.2000000000000002</v>
      </c>
      <c r="X13" s="405">
        <v>3.3</v>
      </c>
      <c r="Y13" s="405">
        <v>2.6</v>
      </c>
      <c r="Z13" s="405">
        <v>3.8</v>
      </c>
      <c r="AA13" s="405">
        <v>4.91</v>
      </c>
      <c r="AB13" s="405">
        <v>5.81</v>
      </c>
      <c r="AC13" s="405">
        <v>6.71</v>
      </c>
      <c r="AD13" s="405" t="s">
        <v>322</v>
      </c>
      <c r="AE13" s="405" t="s">
        <v>322</v>
      </c>
      <c r="AF13" s="405" t="s">
        <v>322</v>
      </c>
      <c r="AG13" s="405" t="s">
        <v>322</v>
      </c>
      <c r="AH13" s="405" t="s">
        <v>322</v>
      </c>
      <c r="AI13" s="405" t="s">
        <v>322</v>
      </c>
      <c r="AJ13" s="405">
        <v>0.08</v>
      </c>
      <c r="AK13" s="405">
        <v>0.09</v>
      </c>
      <c r="AL13" s="405">
        <v>0.1</v>
      </c>
      <c r="AM13" s="405">
        <v>0.23</v>
      </c>
      <c r="AN13" s="405">
        <v>0.24</v>
      </c>
      <c r="AO13" s="405">
        <v>0.26</v>
      </c>
      <c r="AP13" s="405">
        <v>0.42</v>
      </c>
      <c r="AQ13" s="405">
        <v>0.47</v>
      </c>
      <c r="AR13" s="405">
        <v>0.51</v>
      </c>
      <c r="AS13" s="405">
        <v>0.69</v>
      </c>
      <c r="AT13" s="405">
        <v>0.77</v>
      </c>
      <c r="AU13" s="405">
        <v>0.85</v>
      </c>
      <c r="AV13" s="405">
        <v>1.25</v>
      </c>
      <c r="AW13" s="405">
        <v>1.4</v>
      </c>
      <c r="AX13" s="405">
        <v>1.56</v>
      </c>
      <c r="AY13" s="405">
        <v>2.17</v>
      </c>
      <c r="AZ13" s="405">
        <v>2.37</v>
      </c>
      <c r="BA13" s="405">
        <v>2.71</v>
      </c>
      <c r="BB13" s="405">
        <v>3.05</v>
      </c>
      <c r="BC13" s="405">
        <v>3</v>
      </c>
      <c r="BD13" s="405">
        <v>3.4</v>
      </c>
      <c r="BE13" s="405">
        <v>3.8</v>
      </c>
      <c r="BF13" s="405">
        <v>3</v>
      </c>
      <c r="BG13" s="405">
        <v>3.4</v>
      </c>
      <c r="BH13" s="405">
        <v>3.8</v>
      </c>
      <c r="BI13" s="405">
        <v>4.91</v>
      </c>
      <c r="BJ13" s="405">
        <v>5.81</v>
      </c>
      <c r="BK13" s="405">
        <v>6.71</v>
      </c>
      <c r="BL13" s="405">
        <v>5.15</v>
      </c>
      <c r="BM13" s="405">
        <v>6.09</v>
      </c>
      <c r="BN13" s="405">
        <v>7.04</v>
      </c>
      <c r="BO13" s="405">
        <v>8.9</v>
      </c>
      <c r="BP13" s="405">
        <v>10.18</v>
      </c>
      <c r="BQ13" s="405">
        <v>11.45</v>
      </c>
      <c r="BR13" s="405">
        <v>12.49</v>
      </c>
      <c r="BS13" s="405">
        <v>14.9</v>
      </c>
      <c r="BT13" s="405">
        <v>17.32</v>
      </c>
      <c r="BU13" s="405">
        <v>31.19</v>
      </c>
      <c r="BV13" s="405">
        <v>38.61</v>
      </c>
      <c r="BW13" s="405">
        <v>46.03</v>
      </c>
      <c r="BX13" s="405" t="s">
        <v>322</v>
      </c>
      <c r="BY13" s="405" t="s">
        <v>322</v>
      </c>
      <c r="BZ13" s="405">
        <v>1.6</v>
      </c>
      <c r="CA13" s="405">
        <v>3.5</v>
      </c>
      <c r="CB13" s="405"/>
      <c r="CC13" s="405"/>
      <c r="CD13" s="405"/>
    </row>
    <row r="14" spans="1:82">
      <c r="A14" s="404">
        <v>250</v>
      </c>
      <c r="B14" s="405">
        <v>0.49</v>
      </c>
      <c r="C14" s="405">
        <v>0.54</v>
      </c>
      <c r="D14" s="405">
        <v>0.57999999999999996</v>
      </c>
      <c r="E14" s="405">
        <v>0.8</v>
      </c>
      <c r="F14" s="405">
        <v>0.88</v>
      </c>
      <c r="G14" s="405">
        <v>0.96</v>
      </c>
      <c r="H14" s="405">
        <v>1.42</v>
      </c>
      <c r="I14" s="405">
        <v>1.28</v>
      </c>
      <c r="J14" s="405">
        <v>1.18</v>
      </c>
      <c r="K14" s="405">
        <v>1.57</v>
      </c>
      <c r="L14" s="405">
        <v>1.38</v>
      </c>
      <c r="M14" s="405">
        <v>1.73</v>
      </c>
      <c r="N14" s="405">
        <v>2.35</v>
      </c>
      <c r="O14" s="405">
        <v>2.65</v>
      </c>
      <c r="P14" s="405">
        <v>2.2000000000000002</v>
      </c>
      <c r="Q14" s="405">
        <v>2.0299999999999998</v>
      </c>
      <c r="R14" s="405">
        <v>2.99</v>
      </c>
      <c r="S14" s="405">
        <v>2.37</v>
      </c>
      <c r="T14" s="405">
        <v>3.33</v>
      </c>
      <c r="U14" s="405">
        <v>3.3</v>
      </c>
      <c r="V14" s="405">
        <v>2.7</v>
      </c>
      <c r="W14" s="405">
        <v>2.5</v>
      </c>
      <c r="X14" s="405">
        <v>3.7</v>
      </c>
      <c r="Y14" s="405">
        <v>2.9</v>
      </c>
      <c r="Z14" s="405">
        <v>4.0999999999999996</v>
      </c>
      <c r="AA14" s="405">
        <v>5.41</v>
      </c>
      <c r="AB14" s="405">
        <v>6.31</v>
      </c>
      <c r="AC14" s="405">
        <v>7.21</v>
      </c>
      <c r="AD14" s="405" t="s">
        <v>322</v>
      </c>
      <c r="AE14" s="405" t="s">
        <v>322</v>
      </c>
      <c r="AF14" s="405" t="s">
        <v>322</v>
      </c>
      <c r="AG14" s="405" t="s">
        <v>322</v>
      </c>
      <c r="AH14" s="405" t="s">
        <v>322</v>
      </c>
      <c r="AI14" s="405" t="s">
        <v>322</v>
      </c>
      <c r="AJ14" s="405">
        <v>0.1</v>
      </c>
      <c r="AK14" s="405">
        <v>0.11</v>
      </c>
      <c r="AL14" s="405">
        <v>0.11</v>
      </c>
      <c r="AM14" s="405">
        <v>0.27</v>
      </c>
      <c r="AN14" s="405">
        <v>0.28000000000000003</v>
      </c>
      <c r="AO14" s="405">
        <v>0.3</v>
      </c>
      <c r="AP14" s="405">
        <v>0.49</v>
      </c>
      <c r="AQ14" s="405">
        <v>0.54</v>
      </c>
      <c r="AR14" s="405">
        <v>0.57999999999999996</v>
      </c>
      <c r="AS14" s="405">
        <v>0.8</v>
      </c>
      <c r="AT14" s="405">
        <v>0.88</v>
      </c>
      <c r="AU14" s="405">
        <v>0.96</v>
      </c>
      <c r="AV14" s="405">
        <v>1.42</v>
      </c>
      <c r="AW14" s="405">
        <v>1.57</v>
      </c>
      <c r="AX14" s="405">
        <v>1.73</v>
      </c>
      <c r="AY14" s="405">
        <v>2.35</v>
      </c>
      <c r="AZ14" s="405">
        <v>2.65</v>
      </c>
      <c r="BA14" s="405">
        <v>2.99</v>
      </c>
      <c r="BB14" s="405">
        <v>3.33</v>
      </c>
      <c r="BC14" s="405">
        <v>3.3</v>
      </c>
      <c r="BD14" s="405">
        <v>3.8</v>
      </c>
      <c r="BE14" s="405">
        <v>4.2</v>
      </c>
      <c r="BF14" s="405">
        <v>3.3</v>
      </c>
      <c r="BG14" s="405">
        <v>3.8</v>
      </c>
      <c r="BH14" s="405">
        <v>4.2</v>
      </c>
      <c r="BI14" s="405">
        <v>5.41</v>
      </c>
      <c r="BJ14" s="405">
        <v>6.31</v>
      </c>
      <c r="BK14" s="405">
        <v>7.21</v>
      </c>
      <c r="BL14" s="405">
        <v>5.67</v>
      </c>
      <c r="BM14" s="405">
        <v>6.62</v>
      </c>
      <c r="BN14" s="405">
        <v>7.57</v>
      </c>
      <c r="BO14" s="405">
        <v>9.61</v>
      </c>
      <c r="BP14" s="405">
        <v>10.89</v>
      </c>
      <c r="BQ14" s="405">
        <v>12.16</v>
      </c>
      <c r="BR14" s="405">
        <v>13.49</v>
      </c>
      <c r="BS14" s="405">
        <v>15.91</v>
      </c>
      <c r="BT14" s="405">
        <v>18.32</v>
      </c>
      <c r="BU14" s="405">
        <v>33.94</v>
      </c>
      <c r="BV14" s="405">
        <v>41.36</v>
      </c>
      <c r="BW14" s="405">
        <v>48.78</v>
      </c>
      <c r="BX14" s="405" t="s">
        <v>322</v>
      </c>
      <c r="BY14" s="405" t="s">
        <v>322</v>
      </c>
      <c r="BZ14" s="405">
        <v>2</v>
      </c>
      <c r="CA14" s="405">
        <v>4.0999999999999996</v>
      </c>
      <c r="CB14" s="405"/>
      <c r="CC14" s="405"/>
      <c r="CD14" s="405"/>
    </row>
    <row r="15" spans="1:82">
      <c r="A15" s="404">
        <v>300</v>
      </c>
      <c r="B15" s="405">
        <v>0.56000000000000005</v>
      </c>
      <c r="C15" s="405">
        <v>0.61</v>
      </c>
      <c r="D15" s="405">
        <v>0.65</v>
      </c>
      <c r="E15" s="405">
        <v>0.91</v>
      </c>
      <c r="F15" s="405">
        <v>0.99</v>
      </c>
      <c r="G15" s="405">
        <v>1.07</v>
      </c>
      <c r="H15" s="405">
        <v>1.59</v>
      </c>
      <c r="I15" s="405">
        <v>1.45</v>
      </c>
      <c r="J15" s="405">
        <v>1.35</v>
      </c>
      <c r="K15" s="405">
        <v>1.75</v>
      </c>
      <c r="L15" s="405">
        <v>1.56</v>
      </c>
      <c r="M15" s="405">
        <v>1.9</v>
      </c>
      <c r="N15" s="405">
        <v>2.52</v>
      </c>
      <c r="O15" s="405">
        <v>2.93</v>
      </c>
      <c r="P15" s="405">
        <v>2.48</v>
      </c>
      <c r="Q15" s="405">
        <v>2.31</v>
      </c>
      <c r="R15" s="405">
        <v>3.27</v>
      </c>
      <c r="S15" s="405">
        <v>2.65</v>
      </c>
      <c r="T15" s="405">
        <v>3.61</v>
      </c>
      <c r="U15" s="405">
        <v>3.6</v>
      </c>
      <c r="V15" s="405">
        <v>3.1</v>
      </c>
      <c r="W15" s="405">
        <v>2.8</v>
      </c>
      <c r="X15" s="405">
        <v>4</v>
      </c>
      <c r="Y15" s="405">
        <v>3.3</v>
      </c>
      <c r="Z15" s="405">
        <v>4.5</v>
      </c>
      <c r="AA15" s="405">
        <v>5.91</v>
      </c>
      <c r="AB15" s="405">
        <v>6.81</v>
      </c>
      <c r="AC15" s="405">
        <v>7.71</v>
      </c>
      <c r="AD15" s="405" t="s">
        <v>322</v>
      </c>
      <c r="AE15" s="405" t="s">
        <v>322</v>
      </c>
      <c r="AF15" s="405" t="s">
        <v>322</v>
      </c>
      <c r="AG15" s="405" t="s">
        <v>322</v>
      </c>
      <c r="AH15" s="405" t="s">
        <v>322</v>
      </c>
      <c r="AI15" s="405" t="s">
        <v>322</v>
      </c>
      <c r="AJ15" s="405">
        <v>0.12</v>
      </c>
      <c r="AK15" s="405">
        <v>0.12</v>
      </c>
      <c r="AL15" s="405">
        <v>0.13</v>
      </c>
      <c r="AM15" s="405">
        <v>0.31</v>
      </c>
      <c r="AN15" s="405">
        <v>0.32</v>
      </c>
      <c r="AO15" s="405">
        <v>0.34</v>
      </c>
      <c r="AP15" s="405">
        <v>0.56000000000000005</v>
      </c>
      <c r="AQ15" s="405">
        <v>0.61</v>
      </c>
      <c r="AR15" s="405">
        <v>0.65</v>
      </c>
      <c r="AS15" s="405">
        <v>0.91</v>
      </c>
      <c r="AT15" s="405">
        <v>0.99</v>
      </c>
      <c r="AU15" s="405">
        <v>1.07</v>
      </c>
      <c r="AV15" s="405">
        <v>1.59</v>
      </c>
      <c r="AW15" s="405">
        <v>1.75</v>
      </c>
      <c r="AX15" s="405">
        <v>1.9</v>
      </c>
      <c r="AY15" s="405">
        <v>2.52</v>
      </c>
      <c r="AZ15" s="405">
        <v>2.93</v>
      </c>
      <c r="BA15" s="405">
        <v>3.27</v>
      </c>
      <c r="BB15" s="405">
        <v>3.61</v>
      </c>
      <c r="BC15" s="405">
        <v>3.7</v>
      </c>
      <c r="BD15" s="405">
        <v>4.0999999999999996</v>
      </c>
      <c r="BE15" s="405">
        <v>4.5999999999999996</v>
      </c>
      <c r="BF15" s="405">
        <v>3.7</v>
      </c>
      <c r="BG15" s="405">
        <v>4.0999999999999996</v>
      </c>
      <c r="BH15" s="405">
        <v>4.5999999999999996</v>
      </c>
      <c r="BI15" s="405">
        <v>5.91</v>
      </c>
      <c r="BJ15" s="405">
        <v>6.81</v>
      </c>
      <c r="BK15" s="405">
        <v>7.71</v>
      </c>
      <c r="BL15" s="405">
        <v>6.2</v>
      </c>
      <c r="BM15" s="405">
        <v>7.15</v>
      </c>
      <c r="BN15" s="405">
        <v>8.09</v>
      </c>
      <c r="BO15" s="405">
        <v>10.32</v>
      </c>
      <c r="BP15" s="405">
        <v>11.6</v>
      </c>
      <c r="BQ15" s="405">
        <v>12.87</v>
      </c>
      <c r="BR15" s="405">
        <v>14.5</v>
      </c>
      <c r="BS15" s="405">
        <v>16.920000000000002</v>
      </c>
      <c r="BT15" s="405">
        <v>19.329999999999998</v>
      </c>
      <c r="BU15" s="405">
        <v>36.69</v>
      </c>
      <c r="BV15" s="405">
        <v>44.11</v>
      </c>
      <c r="BW15" s="405">
        <v>51.53</v>
      </c>
      <c r="BX15" s="405" t="s">
        <v>322</v>
      </c>
      <c r="BY15" s="405" t="s">
        <v>322</v>
      </c>
      <c r="BZ15" s="405">
        <v>2.2000000000000002</v>
      </c>
      <c r="CA15" s="405">
        <v>4.7</v>
      </c>
      <c r="CB15" s="405"/>
      <c r="CC15" s="405"/>
      <c r="CD15" s="405"/>
    </row>
    <row r="16" spans="1:82">
      <c r="A16" s="404">
        <v>350</v>
      </c>
      <c r="B16" s="405">
        <v>0.64</v>
      </c>
      <c r="C16" s="405">
        <v>0.68</v>
      </c>
      <c r="D16" s="405">
        <v>0.72</v>
      </c>
      <c r="E16" s="405">
        <v>1.05</v>
      </c>
      <c r="F16" s="405">
        <v>1.1299999999999999</v>
      </c>
      <c r="G16" s="405">
        <v>1.21</v>
      </c>
      <c r="H16" s="405">
        <v>1.76</v>
      </c>
      <c r="I16" s="405">
        <v>1.62</v>
      </c>
      <c r="J16" s="405">
        <v>1.52</v>
      </c>
      <c r="K16" s="405">
        <v>1.92</v>
      </c>
      <c r="L16" s="405">
        <v>1.73</v>
      </c>
      <c r="M16" s="405">
        <v>2.0699999999999998</v>
      </c>
      <c r="N16" s="405">
        <v>2.69</v>
      </c>
      <c r="O16" s="405">
        <v>3.21</v>
      </c>
      <c r="P16" s="405">
        <v>2.76</v>
      </c>
      <c r="Q16" s="405">
        <v>2.6</v>
      </c>
      <c r="R16" s="405">
        <v>3.55</v>
      </c>
      <c r="S16" s="405">
        <v>2.93</v>
      </c>
      <c r="T16" s="405">
        <v>3.89</v>
      </c>
      <c r="U16" s="405">
        <v>4</v>
      </c>
      <c r="V16" s="405">
        <v>3.4</v>
      </c>
      <c r="W16" s="405">
        <v>3.2</v>
      </c>
      <c r="X16" s="405">
        <v>4.4000000000000004</v>
      </c>
      <c r="Y16" s="405">
        <v>3.6</v>
      </c>
      <c r="Z16" s="405">
        <v>4.8</v>
      </c>
      <c r="AA16" s="405">
        <v>6.41</v>
      </c>
      <c r="AB16" s="405">
        <v>7.31</v>
      </c>
      <c r="AC16" s="405">
        <v>8.2200000000000006</v>
      </c>
      <c r="AD16" s="405" t="s">
        <v>322</v>
      </c>
      <c r="AE16" s="405" t="s">
        <v>322</v>
      </c>
      <c r="AF16" s="405" t="s">
        <v>322</v>
      </c>
      <c r="AG16" s="405" t="s">
        <v>322</v>
      </c>
      <c r="AH16" s="405" t="s">
        <v>322</v>
      </c>
      <c r="AI16" s="405" t="s">
        <v>322</v>
      </c>
      <c r="AJ16" s="405" t="s">
        <v>322</v>
      </c>
      <c r="AK16" s="405" t="s">
        <v>322</v>
      </c>
      <c r="AL16" s="405" t="s">
        <v>322</v>
      </c>
      <c r="AM16" s="405">
        <v>0.34</v>
      </c>
      <c r="AN16" s="405">
        <v>0.36</v>
      </c>
      <c r="AO16" s="405">
        <v>0.38</v>
      </c>
      <c r="AP16" s="405">
        <v>0.64</v>
      </c>
      <c r="AQ16" s="405">
        <v>0.68</v>
      </c>
      <c r="AR16" s="405">
        <v>0.72</v>
      </c>
      <c r="AS16" s="405">
        <v>1.05</v>
      </c>
      <c r="AT16" s="405">
        <v>1.1299999999999999</v>
      </c>
      <c r="AU16" s="405">
        <v>1.21</v>
      </c>
      <c r="AV16" s="405">
        <v>1.76</v>
      </c>
      <c r="AW16" s="405">
        <v>1.92</v>
      </c>
      <c r="AX16" s="405">
        <v>2.0699999999999998</v>
      </c>
      <c r="AY16" s="405">
        <v>2.69</v>
      </c>
      <c r="AZ16" s="405">
        <v>3.21</v>
      </c>
      <c r="BA16" s="405">
        <v>3.55</v>
      </c>
      <c r="BB16" s="405">
        <v>3.89</v>
      </c>
      <c r="BC16" s="405">
        <v>4.0999999999999996</v>
      </c>
      <c r="BD16" s="405">
        <v>4.5</v>
      </c>
      <c r="BE16" s="405">
        <v>4.9000000000000004</v>
      </c>
      <c r="BF16" s="405">
        <v>4.0999999999999996</v>
      </c>
      <c r="BG16" s="405">
        <v>4.5</v>
      </c>
      <c r="BH16" s="405">
        <v>4.9000000000000004</v>
      </c>
      <c r="BI16" s="405">
        <v>6.41</v>
      </c>
      <c r="BJ16" s="405">
        <v>7.31</v>
      </c>
      <c r="BK16" s="405">
        <v>8.2200000000000006</v>
      </c>
      <c r="BL16" s="405">
        <v>6.72</v>
      </c>
      <c r="BM16" s="405">
        <v>7.67</v>
      </c>
      <c r="BN16" s="405">
        <v>8.6199999999999992</v>
      </c>
      <c r="BO16" s="405">
        <v>11.03</v>
      </c>
      <c r="BP16" s="405">
        <v>12.31</v>
      </c>
      <c r="BQ16" s="405">
        <v>13.58</v>
      </c>
      <c r="BR16" s="405">
        <v>15.51</v>
      </c>
      <c r="BS16" s="405">
        <v>17.920000000000002</v>
      </c>
      <c r="BT16" s="405">
        <v>20.34</v>
      </c>
      <c r="BU16" s="405">
        <v>39.43</v>
      </c>
      <c r="BV16" s="405">
        <v>46.86</v>
      </c>
      <c r="BW16" s="405">
        <v>54.28</v>
      </c>
      <c r="BX16" s="405" t="s">
        <v>322</v>
      </c>
      <c r="BY16" s="405" t="s">
        <v>322</v>
      </c>
      <c r="BZ16" s="405" t="s">
        <v>322</v>
      </c>
      <c r="CA16" s="405" t="s">
        <v>322</v>
      </c>
      <c r="CB16" s="405"/>
      <c r="CC16" s="405"/>
      <c r="CD16" s="405"/>
    </row>
    <row r="17" spans="1:82">
      <c r="A17" s="404">
        <v>400</v>
      </c>
      <c r="B17" s="405">
        <v>0.72</v>
      </c>
      <c r="C17" s="405">
        <v>0.77</v>
      </c>
      <c r="D17" s="405">
        <v>0.81</v>
      </c>
      <c r="E17" s="405">
        <v>1.1599999999999999</v>
      </c>
      <c r="F17" s="405">
        <v>1.24</v>
      </c>
      <c r="G17" s="405">
        <v>1.32</v>
      </c>
      <c r="H17" s="405">
        <v>1.93</v>
      </c>
      <c r="I17" s="405">
        <v>1.8</v>
      </c>
      <c r="J17" s="405">
        <v>1.69</v>
      </c>
      <c r="K17" s="405">
        <v>2.09</v>
      </c>
      <c r="L17" s="405">
        <v>1.9</v>
      </c>
      <c r="M17" s="405">
        <v>2.2400000000000002</v>
      </c>
      <c r="N17" s="405">
        <v>2.86</v>
      </c>
      <c r="O17" s="405">
        <v>3.5</v>
      </c>
      <c r="P17" s="405">
        <v>3.05</v>
      </c>
      <c r="Q17" s="405">
        <v>2.88</v>
      </c>
      <c r="R17" s="405">
        <v>3.83</v>
      </c>
      <c r="S17" s="405">
        <v>3.21</v>
      </c>
      <c r="T17" s="405">
        <v>4.17</v>
      </c>
      <c r="U17" s="405">
        <v>4.3</v>
      </c>
      <c r="V17" s="405">
        <v>3.8</v>
      </c>
      <c r="W17" s="405">
        <v>3.5</v>
      </c>
      <c r="X17" s="405">
        <v>4.7</v>
      </c>
      <c r="Y17" s="405">
        <v>4</v>
      </c>
      <c r="Z17" s="405">
        <v>5.0999999999999996</v>
      </c>
      <c r="AA17" s="405">
        <v>6.91</v>
      </c>
      <c r="AB17" s="405">
        <v>7.82</v>
      </c>
      <c r="AC17" s="405">
        <v>8.7200000000000006</v>
      </c>
      <c r="AD17" s="405" t="s">
        <v>322</v>
      </c>
      <c r="AE17" s="405" t="s">
        <v>322</v>
      </c>
      <c r="AF17" s="405" t="s">
        <v>322</v>
      </c>
      <c r="AG17" s="405" t="s">
        <v>322</v>
      </c>
      <c r="AH17" s="405" t="s">
        <v>322</v>
      </c>
      <c r="AI17" s="405" t="s">
        <v>322</v>
      </c>
      <c r="AJ17" s="405" t="s">
        <v>322</v>
      </c>
      <c r="AK17" s="405" t="s">
        <v>322</v>
      </c>
      <c r="AL17" s="405" t="s">
        <v>322</v>
      </c>
      <c r="AM17" s="405">
        <v>0.39</v>
      </c>
      <c r="AN17" s="405">
        <v>0.41</v>
      </c>
      <c r="AO17" s="405">
        <v>0.43</v>
      </c>
      <c r="AP17" s="405">
        <v>0.72</v>
      </c>
      <c r="AQ17" s="405">
        <v>0.77</v>
      </c>
      <c r="AR17" s="405">
        <v>0.81</v>
      </c>
      <c r="AS17" s="405">
        <v>1.1599999999999999</v>
      </c>
      <c r="AT17" s="405">
        <v>1.24</v>
      </c>
      <c r="AU17" s="405">
        <v>1.32</v>
      </c>
      <c r="AV17" s="405">
        <v>1.93</v>
      </c>
      <c r="AW17" s="405">
        <v>2.09</v>
      </c>
      <c r="AX17" s="405">
        <v>2.2400000000000002</v>
      </c>
      <c r="AY17" s="405">
        <v>2.86</v>
      </c>
      <c r="AZ17" s="405">
        <v>3.5</v>
      </c>
      <c r="BA17" s="405">
        <v>3.83</v>
      </c>
      <c r="BB17" s="405">
        <v>4.17</v>
      </c>
      <c r="BC17" s="405">
        <v>4.4000000000000004</v>
      </c>
      <c r="BD17" s="405">
        <v>4.8</v>
      </c>
      <c r="BE17" s="405">
        <v>5.3</v>
      </c>
      <c r="BF17" s="405">
        <v>4.4000000000000004</v>
      </c>
      <c r="BG17" s="405">
        <v>4.8</v>
      </c>
      <c r="BH17" s="405">
        <v>5.3</v>
      </c>
      <c r="BI17" s="405">
        <v>6.91</v>
      </c>
      <c r="BJ17" s="405">
        <v>7.82</v>
      </c>
      <c r="BK17" s="405">
        <v>8.7200000000000006</v>
      </c>
      <c r="BL17" s="405">
        <v>7.25</v>
      </c>
      <c r="BM17" s="405">
        <v>8.1999999999999993</v>
      </c>
      <c r="BN17" s="405">
        <v>9.14</v>
      </c>
      <c r="BO17" s="405">
        <v>11.74</v>
      </c>
      <c r="BP17" s="405">
        <v>13.02</v>
      </c>
      <c r="BQ17" s="405">
        <v>14.29</v>
      </c>
      <c r="BR17" s="405">
        <v>16.510000000000002</v>
      </c>
      <c r="BS17" s="405">
        <v>18.93</v>
      </c>
      <c r="BT17" s="405">
        <v>21.34</v>
      </c>
      <c r="BU17" s="405">
        <v>42.18</v>
      </c>
      <c r="BV17" s="405">
        <v>49.61</v>
      </c>
      <c r="BW17" s="405">
        <v>57.03</v>
      </c>
      <c r="BX17" s="405" t="s">
        <v>322</v>
      </c>
      <c r="BY17" s="405" t="s">
        <v>322</v>
      </c>
      <c r="BZ17" s="405" t="s">
        <v>322</v>
      </c>
      <c r="CA17" s="405" t="s">
        <v>322</v>
      </c>
      <c r="CB17" s="405"/>
      <c r="CC17" s="405"/>
      <c r="CD17" s="405"/>
    </row>
    <row r="18" spans="1:82">
      <c r="A18" s="404">
        <v>450</v>
      </c>
      <c r="B18" s="405">
        <v>0.79</v>
      </c>
      <c r="C18" s="405">
        <v>0.84</v>
      </c>
      <c r="D18" s="405">
        <v>0.88</v>
      </c>
      <c r="E18" s="405">
        <v>1.27</v>
      </c>
      <c r="F18" s="405">
        <v>1.35</v>
      </c>
      <c r="G18" s="405">
        <v>1.43</v>
      </c>
      <c r="H18" s="405">
        <v>2.11</v>
      </c>
      <c r="I18" s="405">
        <v>1.97</v>
      </c>
      <c r="J18" s="405">
        <v>1.87</v>
      </c>
      <c r="K18" s="405">
        <v>2.2599999999999998</v>
      </c>
      <c r="L18" s="405">
        <v>2.0699999999999998</v>
      </c>
      <c r="M18" s="405">
        <v>2.42</v>
      </c>
      <c r="N18" s="405">
        <v>3.03</v>
      </c>
      <c r="O18" s="405">
        <v>3.78</v>
      </c>
      <c r="P18" s="405">
        <v>3.33</v>
      </c>
      <c r="Q18" s="405">
        <v>3.16</v>
      </c>
      <c r="R18" s="405">
        <v>4.12</v>
      </c>
      <c r="S18" s="405">
        <v>3.5</v>
      </c>
      <c r="T18" s="405">
        <v>4.45</v>
      </c>
      <c r="U18" s="405">
        <v>4.7</v>
      </c>
      <c r="V18" s="405">
        <v>4.0999999999999996</v>
      </c>
      <c r="W18" s="405">
        <v>3.9</v>
      </c>
      <c r="X18" s="405">
        <v>5.0999999999999996</v>
      </c>
      <c r="Y18" s="405">
        <v>4.3</v>
      </c>
      <c r="Z18" s="405">
        <v>5.5</v>
      </c>
      <c r="AA18" s="405">
        <v>7.41</v>
      </c>
      <c r="AB18" s="405">
        <v>8.32</v>
      </c>
      <c r="AC18" s="405">
        <v>9.2200000000000006</v>
      </c>
      <c r="AD18" s="405" t="s">
        <v>322</v>
      </c>
      <c r="AE18" s="405" t="s">
        <v>322</v>
      </c>
      <c r="AF18" s="405" t="s">
        <v>322</v>
      </c>
      <c r="AG18" s="405" t="s">
        <v>322</v>
      </c>
      <c r="AH18" s="405" t="s">
        <v>322</v>
      </c>
      <c r="AI18" s="405" t="s">
        <v>322</v>
      </c>
      <c r="AJ18" s="405" t="s">
        <v>322</v>
      </c>
      <c r="AK18" s="405" t="s">
        <v>322</v>
      </c>
      <c r="AL18" s="405" t="s">
        <v>322</v>
      </c>
      <c r="AM18" s="405">
        <v>0.43</v>
      </c>
      <c r="AN18" s="405">
        <v>0.45</v>
      </c>
      <c r="AO18" s="405">
        <v>0.47</v>
      </c>
      <c r="AP18" s="405">
        <v>0.79</v>
      </c>
      <c r="AQ18" s="405">
        <v>0.84</v>
      </c>
      <c r="AR18" s="405">
        <v>0.88</v>
      </c>
      <c r="AS18" s="405">
        <v>1.27</v>
      </c>
      <c r="AT18" s="405">
        <v>1.35</v>
      </c>
      <c r="AU18" s="405">
        <v>1.43</v>
      </c>
      <c r="AV18" s="405">
        <v>2.11</v>
      </c>
      <c r="AW18" s="405">
        <v>2.2599999999999998</v>
      </c>
      <c r="AX18" s="405">
        <v>2.42</v>
      </c>
      <c r="AY18" s="405">
        <v>3.03</v>
      </c>
      <c r="AZ18" s="405">
        <v>3.78</v>
      </c>
      <c r="BA18" s="405">
        <v>4.12</v>
      </c>
      <c r="BB18" s="405">
        <v>4.45</v>
      </c>
      <c r="BC18" s="405">
        <v>4.8</v>
      </c>
      <c r="BD18" s="405">
        <v>5.2</v>
      </c>
      <c r="BE18" s="405">
        <v>5.6</v>
      </c>
      <c r="BF18" s="405">
        <v>4.8</v>
      </c>
      <c r="BG18" s="405">
        <v>5.2</v>
      </c>
      <c r="BH18" s="405">
        <v>5.6</v>
      </c>
      <c r="BI18" s="405">
        <v>7.41</v>
      </c>
      <c r="BJ18" s="405">
        <v>8.32</v>
      </c>
      <c r="BK18" s="405">
        <v>9.2200000000000006</v>
      </c>
      <c r="BL18" s="405">
        <v>7.78</v>
      </c>
      <c r="BM18" s="405">
        <v>8.7200000000000006</v>
      </c>
      <c r="BN18" s="405">
        <v>9.67</v>
      </c>
      <c r="BO18" s="405">
        <v>12.45</v>
      </c>
      <c r="BP18" s="405">
        <v>13.73</v>
      </c>
      <c r="BQ18" s="405">
        <v>15</v>
      </c>
      <c r="BR18" s="405">
        <v>17.52</v>
      </c>
      <c r="BS18" s="405">
        <v>19.93</v>
      </c>
      <c r="BT18" s="405">
        <v>22.35</v>
      </c>
      <c r="BU18" s="405">
        <v>44.93</v>
      </c>
      <c r="BV18" s="405">
        <v>52.35</v>
      </c>
      <c r="BW18" s="405">
        <v>59.78</v>
      </c>
      <c r="BX18" s="405" t="s">
        <v>322</v>
      </c>
      <c r="BY18" s="405" t="s">
        <v>322</v>
      </c>
      <c r="BZ18" s="405" t="s">
        <v>322</v>
      </c>
      <c r="CA18" s="405" t="s">
        <v>322</v>
      </c>
      <c r="CB18" s="405"/>
      <c r="CC18" s="405"/>
      <c r="CD18" s="405"/>
    </row>
    <row r="19" spans="1:82">
      <c r="A19" s="404">
        <v>500</v>
      </c>
      <c r="B19" s="405">
        <v>0.86</v>
      </c>
      <c r="C19" s="405">
        <v>0.91</v>
      </c>
      <c r="D19" s="405">
        <v>0.95</v>
      </c>
      <c r="E19" s="405">
        <v>1.38</v>
      </c>
      <c r="F19" s="405">
        <v>1.46</v>
      </c>
      <c r="G19" s="405">
        <v>1.54</v>
      </c>
      <c r="H19" s="405">
        <v>2.2799999999999998</v>
      </c>
      <c r="I19" s="405">
        <v>2.14</v>
      </c>
      <c r="J19" s="405">
        <v>2.04</v>
      </c>
      <c r="K19" s="405">
        <v>2.4300000000000002</v>
      </c>
      <c r="L19" s="405">
        <v>2.2400000000000002</v>
      </c>
      <c r="M19" s="405">
        <v>2.59</v>
      </c>
      <c r="N19" s="405">
        <v>3.21</v>
      </c>
      <c r="O19" s="405">
        <v>4.0599999999999996</v>
      </c>
      <c r="P19" s="405">
        <v>3.61</v>
      </c>
      <c r="Q19" s="405">
        <v>3.44</v>
      </c>
      <c r="R19" s="405">
        <v>4.4000000000000004</v>
      </c>
      <c r="S19" s="405">
        <v>3.78</v>
      </c>
      <c r="T19" s="405">
        <v>4.7300000000000004</v>
      </c>
      <c r="U19" s="405">
        <v>5</v>
      </c>
      <c r="V19" s="405">
        <v>4.5</v>
      </c>
      <c r="W19" s="405">
        <v>4.2</v>
      </c>
      <c r="X19" s="405">
        <v>5.4</v>
      </c>
      <c r="Y19" s="405">
        <v>4.7</v>
      </c>
      <c r="Z19" s="405">
        <v>5.8</v>
      </c>
      <c r="AA19" s="405">
        <v>7.92</v>
      </c>
      <c r="AB19" s="405">
        <v>8.82</v>
      </c>
      <c r="AC19" s="405">
        <v>9.7200000000000006</v>
      </c>
      <c r="AD19" s="405" t="s">
        <v>322</v>
      </c>
      <c r="AE19" s="405" t="s">
        <v>322</v>
      </c>
      <c r="AF19" s="405" t="s">
        <v>322</v>
      </c>
      <c r="AG19" s="405" t="s">
        <v>322</v>
      </c>
      <c r="AH19" s="405" t="s">
        <v>322</v>
      </c>
      <c r="AI19" s="405" t="s">
        <v>322</v>
      </c>
      <c r="AJ19" s="405" t="s">
        <v>322</v>
      </c>
      <c r="AK19" s="405" t="s">
        <v>322</v>
      </c>
      <c r="AL19" s="405" t="s">
        <v>322</v>
      </c>
      <c r="AM19" s="405">
        <v>0.47</v>
      </c>
      <c r="AN19" s="405">
        <v>0.49</v>
      </c>
      <c r="AO19" s="405">
        <v>0.51</v>
      </c>
      <c r="AP19" s="405">
        <v>0.86</v>
      </c>
      <c r="AQ19" s="405">
        <v>0.91</v>
      </c>
      <c r="AR19" s="405">
        <v>0.95</v>
      </c>
      <c r="AS19" s="405">
        <v>1.38</v>
      </c>
      <c r="AT19" s="405">
        <v>1.46</v>
      </c>
      <c r="AU19" s="405">
        <v>1.54</v>
      </c>
      <c r="AV19" s="405">
        <v>2.2799999999999998</v>
      </c>
      <c r="AW19" s="405">
        <v>2.4300000000000002</v>
      </c>
      <c r="AX19" s="405">
        <v>2.59</v>
      </c>
      <c r="AY19" s="405">
        <v>3.21</v>
      </c>
      <c r="AZ19" s="405">
        <v>4.0599999999999996</v>
      </c>
      <c r="BA19" s="405">
        <v>4.4000000000000004</v>
      </c>
      <c r="BB19" s="405">
        <v>4.7300000000000004</v>
      </c>
      <c r="BC19" s="405">
        <v>5.0999999999999996</v>
      </c>
      <c r="BD19" s="405">
        <v>5.6</v>
      </c>
      <c r="BE19" s="405">
        <v>6</v>
      </c>
      <c r="BF19" s="405">
        <v>5.0999999999999996</v>
      </c>
      <c r="BG19" s="405">
        <v>5.6</v>
      </c>
      <c r="BH19" s="405">
        <v>6</v>
      </c>
      <c r="BI19" s="405">
        <v>7.92</v>
      </c>
      <c r="BJ19" s="405">
        <v>8.82</v>
      </c>
      <c r="BK19" s="405">
        <v>9.7200000000000006</v>
      </c>
      <c r="BL19" s="405">
        <v>8.3000000000000007</v>
      </c>
      <c r="BM19" s="405">
        <v>9.25</v>
      </c>
      <c r="BN19" s="405">
        <v>10.19</v>
      </c>
      <c r="BO19" s="405">
        <v>13.16</v>
      </c>
      <c r="BP19" s="405">
        <v>14.44</v>
      </c>
      <c r="BQ19" s="405">
        <v>15.71</v>
      </c>
      <c r="BR19" s="405">
        <v>18.52</v>
      </c>
      <c r="BS19" s="405">
        <v>20.94</v>
      </c>
      <c r="BT19" s="405">
        <v>23.35</v>
      </c>
      <c r="BU19" s="405">
        <v>47.68</v>
      </c>
      <c r="BV19" s="405">
        <v>55.1</v>
      </c>
      <c r="BW19" s="405">
        <v>62.53</v>
      </c>
      <c r="BX19" s="405" t="s">
        <v>322</v>
      </c>
      <c r="BY19" s="405" t="s">
        <v>322</v>
      </c>
      <c r="BZ19" s="405" t="s">
        <v>322</v>
      </c>
      <c r="CA19" s="405" t="s">
        <v>322</v>
      </c>
      <c r="CB19" s="405"/>
      <c r="CC19" s="405"/>
      <c r="CD19" s="405"/>
    </row>
    <row r="20" spans="1:82">
      <c r="A20" s="404">
        <v>550</v>
      </c>
      <c r="B20" s="405">
        <v>0.93</v>
      </c>
      <c r="C20" s="405">
        <v>0.98</v>
      </c>
      <c r="D20" s="405">
        <v>1.02</v>
      </c>
      <c r="E20" s="405">
        <v>1.49</v>
      </c>
      <c r="F20" s="405">
        <v>1.57</v>
      </c>
      <c r="G20" s="405">
        <v>1.65</v>
      </c>
      <c r="H20" s="405">
        <v>2.4500000000000002</v>
      </c>
      <c r="I20" s="405">
        <v>2.31</v>
      </c>
      <c r="J20" s="405">
        <v>2.21</v>
      </c>
      <c r="K20" s="405">
        <v>2.6</v>
      </c>
      <c r="L20" s="405">
        <v>2.42</v>
      </c>
      <c r="M20" s="405">
        <v>2.76</v>
      </c>
      <c r="N20" s="405">
        <v>3.38</v>
      </c>
      <c r="O20" s="405">
        <v>4.34</v>
      </c>
      <c r="P20" s="405">
        <v>3.89</v>
      </c>
      <c r="Q20" s="405">
        <v>3.72</v>
      </c>
      <c r="R20" s="405">
        <v>4.68</v>
      </c>
      <c r="S20" s="405">
        <v>4.0599999999999996</v>
      </c>
      <c r="T20" s="405">
        <v>5.0199999999999996</v>
      </c>
      <c r="U20" s="405">
        <v>5.4</v>
      </c>
      <c r="V20" s="405">
        <v>4.8</v>
      </c>
      <c r="W20" s="405">
        <v>4.5999999999999996</v>
      </c>
      <c r="X20" s="405">
        <v>5.8</v>
      </c>
      <c r="Y20" s="405">
        <v>5</v>
      </c>
      <c r="Z20" s="405">
        <v>6.2</v>
      </c>
      <c r="AA20" s="405">
        <v>8.42</v>
      </c>
      <c r="AB20" s="405">
        <v>9.32</v>
      </c>
      <c r="AC20" s="405">
        <v>10.220000000000001</v>
      </c>
      <c r="AD20" s="405" t="s">
        <v>322</v>
      </c>
      <c r="AE20" s="405" t="s">
        <v>322</v>
      </c>
      <c r="AF20" s="405" t="s">
        <v>322</v>
      </c>
      <c r="AG20" s="405" t="s">
        <v>322</v>
      </c>
      <c r="AH20" s="405" t="s">
        <v>322</v>
      </c>
      <c r="AI20" s="405" t="s">
        <v>322</v>
      </c>
      <c r="AJ20" s="405" t="s">
        <v>322</v>
      </c>
      <c r="AK20" s="405" t="s">
        <v>322</v>
      </c>
      <c r="AL20" s="405" t="s">
        <v>322</v>
      </c>
      <c r="AM20" s="405">
        <v>0.51</v>
      </c>
      <c r="AN20" s="405">
        <v>0.53</v>
      </c>
      <c r="AO20" s="405">
        <v>0.55000000000000004</v>
      </c>
      <c r="AP20" s="405">
        <v>0.93</v>
      </c>
      <c r="AQ20" s="405">
        <v>0.98</v>
      </c>
      <c r="AR20" s="405">
        <v>1.02</v>
      </c>
      <c r="AS20" s="405">
        <v>1.49</v>
      </c>
      <c r="AT20" s="405">
        <v>1.57</v>
      </c>
      <c r="AU20" s="405">
        <v>1.65</v>
      </c>
      <c r="AV20" s="405">
        <v>2.4500000000000002</v>
      </c>
      <c r="AW20" s="405">
        <v>2.6</v>
      </c>
      <c r="AX20" s="405">
        <v>2.76</v>
      </c>
      <c r="AY20" s="405">
        <v>3.38</v>
      </c>
      <c r="AZ20" s="405">
        <v>4.34</v>
      </c>
      <c r="BA20" s="405">
        <v>4.68</v>
      </c>
      <c r="BB20" s="405">
        <v>5.0199999999999996</v>
      </c>
      <c r="BC20" s="405">
        <v>5.5</v>
      </c>
      <c r="BD20" s="405">
        <v>5.9</v>
      </c>
      <c r="BE20" s="405">
        <v>6.4</v>
      </c>
      <c r="BF20" s="405">
        <v>5.5</v>
      </c>
      <c r="BG20" s="405">
        <v>5.9</v>
      </c>
      <c r="BH20" s="405">
        <v>6.4</v>
      </c>
      <c r="BI20" s="405">
        <v>8.42</v>
      </c>
      <c r="BJ20" s="405">
        <v>9.32</v>
      </c>
      <c r="BK20" s="405">
        <v>10.220000000000001</v>
      </c>
      <c r="BL20" s="405">
        <v>8.83</v>
      </c>
      <c r="BM20" s="405">
        <v>9.77</v>
      </c>
      <c r="BN20" s="405">
        <v>10.72</v>
      </c>
      <c r="BO20" s="405">
        <v>13.87</v>
      </c>
      <c r="BP20" s="405">
        <v>15.15</v>
      </c>
      <c r="BQ20" s="405">
        <v>16.420000000000002</v>
      </c>
      <c r="BR20" s="405">
        <v>19.53</v>
      </c>
      <c r="BS20" s="405">
        <v>21.95</v>
      </c>
      <c r="BT20" s="405">
        <v>24.36</v>
      </c>
      <c r="BU20" s="405">
        <v>50.43</v>
      </c>
      <c r="BV20" s="405">
        <v>57.85</v>
      </c>
      <c r="BW20" s="405">
        <v>65.27</v>
      </c>
      <c r="BX20" s="405" t="s">
        <v>322</v>
      </c>
      <c r="BY20" s="405" t="s">
        <v>322</v>
      </c>
      <c r="BZ20" s="405" t="s">
        <v>322</v>
      </c>
      <c r="CA20" s="405" t="s">
        <v>322</v>
      </c>
      <c r="CB20" s="405"/>
      <c r="CC20" s="405"/>
      <c r="CD20" s="405"/>
    </row>
    <row r="21" spans="1:82">
      <c r="A21" s="404">
        <v>600</v>
      </c>
      <c r="B21" s="405">
        <v>1.01</v>
      </c>
      <c r="C21" s="405">
        <v>1.05</v>
      </c>
      <c r="D21" s="405">
        <v>1.0900000000000001</v>
      </c>
      <c r="E21" s="405">
        <v>1.6</v>
      </c>
      <c r="F21" s="405">
        <v>1.68</v>
      </c>
      <c r="G21" s="405">
        <v>1.76</v>
      </c>
      <c r="H21" s="405">
        <v>2.62</v>
      </c>
      <c r="I21" s="405">
        <v>2.48</v>
      </c>
      <c r="J21" s="405">
        <v>2.38</v>
      </c>
      <c r="K21" s="405">
        <v>2.78</v>
      </c>
      <c r="L21" s="405">
        <v>2.59</v>
      </c>
      <c r="M21" s="405">
        <v>2.93</v>
      </c>
      <c r="N21" s="405">
        <v>3.55</v>
      </c>
      <c r="O21" s="405">
        <v>4.62</v>
      </c>
      <c r="P21" s="405">
        <v>4.17</v>
      </c>
      <c r="Q21" s="405">
        <v>4</v>
      </c>
      <c r="R21" s="405">
        <v>4.96</v>
      </c>
      <c r="S21" s="405">
        <v>4.34</v>
      </c>
      <c r="T21" s="405">
        <v>5.3</v>
      </c>
      <c r="U21" s="405">
        <v>5.7</v>
      </c>
      <c r="V21" s="405">
        <v>5.0999999999999996</v>
      </c>
      <c r="W21" s="405">
        <v>4.9000000000000004</v>
      </c>
      <c r="X21" s="405">
        <v>6.1</v>
      </c>
      <c r="Y21" s="405">
        <v>5.4</v>
      </c>
      <c r="Z21" s="405">
        <v>6.5</v>
      </c>
      <c r="AA21" s="405">
        <v>9.09</v>
      </c>
      <c r="AB21" s="405">
        <v>9.99</v>
      </c>
      <c r="AC21" s="405">
        <v>10.89</v>
      </c>
      <c r="AD21" s="405" t="s">
        <v>322</v>
      </c>
      <c r="AE21" s="405" t="s">
        <v>322</v>
      </c>
      <c r="AF21" s="405" t="s">
        <v>322</v>
      </c>
      <c r="AG21" s="405" t="s">
        <v>322</v>
      </c>
      <c r="AH21" s="405" t="s">
        <v>322</v>
      </c>
      <c r="AI21" s="405" t="s">
        <v>322</v>
      </c>
      <c r="AJ21" s="405" t="s">
        <v>322</v>
      </c>
      <c r="AK21" s="405" t="s">
        <v>322</v>
      </c>
      <c r="AL21" s="405" t="s">
        <v>322</v>
      </c>
      <c r="AM21" s="405">
        <v>0.55000000000000004</v>
      </c>
      <c r="AN21" s="405">
        <v>0.56999999999999995</v>
      </c>
      <c r="AO21" s="405">
        <v>0.59</v>
      </c>
      <c r="AP21" s="405">
        <v>1.01</v>
      </c>
      <c r="AQ21" s="405">
        <v>1.05</v>
      </c>
      <c r="AR21" s="405">
        <v>1.0900000000000001</v>
      </c>
      <c r="AS21" s="405">
        <v>1.6</v>
      </c>
      <c r="AT21" s="405">
        <v>1.68</v>
      </c>
      <c r="AU21" s="405">
        <v>1.76</v>
      </c>
      <c r="AV21" s="405">
        <v>2.62</v>
      </c>
      <c r="AW21" s="405">
        <v>2.78</v>
      </c>
      <c r="AX21" s="405">
        <v>2.93</v>
      </c>
      <c r="AY21" s="405">
        <v>3.55</v>
      </c>
      <c r="AZ21" s="405">
        <v>4.62</v>
      </c>
      <c r="BA21" s="405">
        <v>4.96</v>
      </c>
      <c r="BB21" s="405">
        <v>5.3</v>
      </c>
      <c r="BC21" s="405">
        <v>5.9</v>
      </c>
      <c r="BD21" s="405">
        <v>6.3</v>
      </c>
      <c r="BE21" s="405">
        <v>6.7</v>
      </c>
      <c r="BF21" s="405">
        <v>5.9</v>
      </c>
      <c r="BG21" s="405">
        <v>6.3</v>
      </c>
      <c r="BH21" s="405">
        <v>6.7</v>
      </c>
      <c r="BI21" s="405">
        <v>9.09</v>
      </c>
      <c r="BJ21" s="405">
        <v>9.99</v>
      </c>
      <c r="BK21" s="405">
        <v>10.89</v>
      </c>
      <c r="BL21" s="405">
        <v>9.5299999999999994</v>
      </c>
      <c r="BM21" s="405">
        <v>10.48</v>
      </c>
      <c r="BN21" s="405">
        <v>11.43</v>
      </c>
      <c r="BO21" s="405">
        <v>14.58</v>
      </c>
      <c r="BP21" s="405">
        <v>15.86</v>
      </c>
      <c r="BQ21" s="405">
        <v>17.13</v>
      </c>
      <c r="BR21" s="405">
        <v>20.54</v>
      </c>
      <c r="BS21" s="405">
        <v>22.95</v>
      </c>
      <c r="BT21" s="405">
        <v>25.37</v>
      </c>
      <c r="BU21" s="405">
        <v>53.18</v>
      </c>
      <c r="BV21" s="405">
        <v>60.6</v>
      </c>
      <c r="BW21" s="405">
        <v>68.02</v>
      </c>
      <c r="BX21" s="405" t="s">
        <v>322</v>
      </c>
      <c r="BY21" s="405" t="s">
        <v>322</v>
      </c>
      <c r="BZ21" s="405" t="s">
        <v>322</v>
      </c>
      <c r="CA21" s="405" t="s">
        <v>322</v>
      </c>
      <c r="CB21" s="405"/>
      <c r="CC21" s="405"/>
      <c r="CD21" s="405"/>
    </row>
    <row r="22" spans="1:82">
      <c r="A22" s="404">
        <v>650</v>
      </c>
      <c r="B22" s="405">
        <v>1.08</v>
      </c>
      <c r="C22" s="405">
        <v>1.1200000000000001</v>
      </c>
      <c r="D22" s="405">
        <v>1.1599999999999999</v>
      </c>
      <c r="E22" s="405">
        <v>1.71</v>
      </c>
      <c r="F22" s="405">
        <v>1.79</v>
      </c>
      <c r="G22" s="405">
        <v>1.87</v>
      </c>
      <c r="H22" s="405">
        <v>2.79</v>
      </c>
      <c r="I22" s="405">
        <v>2.66</v>
      </c>
      <c r="J22" s="405">
        <v>2.5499999999999998</v>
      </c>
      <c r="K22" s="405">
        <v>2.95</v>
      </c>
      <c r="L22" s="405">
        <v>2.76</v>
      </c>
      <c r="M22" s="405">
        <v>3.1</v>
      </c>
      <c r="N22" s="405">
        <v>3.72</v>
      </c>
      <c r="O22" s="405">
        <v>4.9000000000000004</v>
      </c>
      <c r="P22" s="405">
        <v>4.45</v>
      </c>
      <c r="Q22" s="405">
        <v>4.28</v>
      </c>
      <c r="R22" s="405">
        <v>5.24</v>
      </c>
      <c r="S22" s="405">
        <v>4.62</v>
      </c>
      <c r="T22" s="405">
        <v>5.58</v>
      </c>
      <c r="U22" s="405">
        <v>6.1</v>
      </c>
      <c r="V22" s="405">
        <v>5.5</v>
      </c>
      <c r="W22" s="405">
        <v>5.3</v>
      </c>
      <c r="X22" s="405">
        <v>6.5</v>
      </c>
      <c r="Y22" s="405">
        <v>5.7</v>
      </c>
      <c r="Z22" s="405">
        <v>6.9</v>
      </c>
      <c r="AA22" s="405">
        <v>9.59</v>
      </c>
      <c r="AB22" s="405">
        <v>10.49</v>
      </c>
      <c r="AC22" s="405">
        <v>11.4</v>
      </c>
      <c r="AD22" s="405" t="s">
        <v>322</v>
      </c>
      <c r="AE22" s="405" t="s">
        <v>322</v>
      </c>
      <c r="AF22" s="405" t="s">
        <v>322</v>
      </c>
      <c r="AG22" s="405" t="s">
        <v>322</v>
      </c>
      <c r="AH22" s="405" t="s">
        <v>322</v>
      </c>
      <c r="AI22" s="405" t="s">
        <v>322</v>
      </c>
      <c r="AJ22" s="405" t="s">
        <v>322</v>
      </c>
      <c r="AK22" s="405" t="s">
        <v>322</v>
      </c>
      <c r="AL22" s="405" t="s">
        <v>322</v>
      </c>
      <c r="AM22" s="405">
        <v>0.59</v>
      </c>
      <c r="AN22" s="405">
        <v>0.61</v>
      </c>
      <c r="AO22" s="405">
        <v>0.63</v>
      </c>
      <c r="AP22" s="405">
        <v>1.08</v>
      </c>
      <c r="AQ22" s="405">
        <v>1.1200000000000001</v>
      </c>
      <c r="AR22" s="405">
        <v>1.1599999999999999</v>
      </c>
      <c r="AS22" s="405">
        <v>1.71</v>
      </c>
      <c r="AT22" s="405">
        <v>1.79</v>
      </c>
      <c r="AU22" s="405">
        <v>1.87</v>
      </c>
      <c r="AV22" s="405">
        <v>2.79</v>
      </c>
      <c r="AW22" s="405">
        <v>2.95</v>
      </c>
      <c r="AX22" s="405">
        <v>3.1</v>
      </c>
      <c r="AY22" s="405">
        <v>3.72</v>
      </c>
      <c r="AZ22" s="405">
        <v>4.9000000000000004</v>
      </c>
      <c r="BA22" s="405">
        <v>5.24</v>
      </c>
      <c r="BB22" s="405">
        <v>5.58</v>
      </c>
      <c r="BC22" s="405">
        <v>6.2</v>
      </c>
      <c r="BD22" s="405">
        <v>6.6</v>
      </c>
      <c r="BE22" s="405">
        <v>7.1</v>
      </c>
      <c r="BF22" s="405">
        <v>6.2</v>
      </c>
      <c r="BG22" s="405">
        <v>6.6</v>
      </c>
      <c r="BH22" s="405">
        <v>7.1</v>
      </c>
      <c r="BI22" s="405">
        <v>9.59</v>
      </c>
      <c r="BJ22" s="405">
        <v>10.49</v>
      </c>
      <c r="BK22" s="405">
        <v>11.4</v>
      </c>
      <c r="BL22" s="405">
        <v>10.06</v>
      </c>
      <c r="BM22" s="405">
        <v>11.01</v>
      </c>
      <c r="BN22" s="405">
        <v>11.95</v>
      </c>
      <c r="BO22" s="405">
        <v>15.29</v>
      </c>
      <c r="BP22" s="405">
        <v>16.57</v>
      </c>
      <c r="BQ22" s="405">
        <v>17.84</v>
      </c>
      <c r="BR22" s="405">
        <v>21.54</v>
      </c>
      <c r="BS22" s="405">
        <v>23.96</v>
      </c>
      <c r="BT22" s="405">
        <v>26.37</v>
      </c>
      <c r="BU22" s="405">
        <v>55.93</v>
      </c>
      <c r="BV22" s="405">
        <v>63.35</v>
      </c>
      <c r="BW22" s="405">
        <v>70.77</v>
      </c>
      <c r="BX22" s="405" t="s">
        <v>322</v>
      </c>
      <c r="BY22" s="405" t="s">
        <v>322</v>
      </c>
      <c r="BZ22" s="405" t="s">
        <v>322</v>
      </c>
      <c r="CA22" s="405" t="s">
        <v>322</v>
      </c>
      <c r="CB22" s="405"/>
      <c r="CC22" s="405"/>
      <c r="CD22" s="405"/>
    </row>
    <row r="23" spans="1:82">
      <c r="A23" s="404">
        <v>700</v>
      </c>
      <c r="B23" s="405">
        <v>1.1499999999999999</v>
      </c>
      <c r="C23" s="405">
        <v>1.19</v>
      </c>
      <c r="D23" s="405">
        <v>1.23</v>
      </c>
      <c r="E23" s="405">
        <v>1.82</v>
      </c>
      <c r="F23" s="405">
        <v>1.9</v>
      </c>
      <c r="G23" s="405">
        <v>1.98</v>
      </c>
      <c r="H23" s="405">
        <v>2.96</v>
      </c>
      <c r="I23" s="405">
        <v>2.83</v>
      </c>
      <c r="J23" s="405">
        <v>2.72</v>
      </c>
      <c r="K23" s="405">
        <v>3.12</v>
      </c>
      <c r="L23" s="405">
        <v>2.93</v>
      </c>
      <c r="M23" s="405">
        <v>3.27</v>
      </c>
      <c r="N23" s="405">
        <v>3.89</v>
      </c>
      <c r="O23" s="405">
        <v>5.19</v>
      </c>
      <c r="P23" s="405">
        <v>4.7300000000000004</v>
      </c>
      <c r="Q23" s="405">
        <v>4.57</v>
      </c>
      <c r="R23" s="405">
        <v>5.52</v>
      </c>
      <c r="S23" s="405">
        <v>4.9000000000000004</v>
      </c>
      <c r="T23" s="405">
        <v>5.86</v>
      </c>
      <c r="U23" s="405">
        <v>6.4</v>
      </c>
      <c r="V23" s="405">
        <v>5.8</v>
      </c>
      <c r="W23" s="405">
        <v>5.6</v>
      </c>
      <c r="X23" s="405">
        <v>6.8</v>
      </c>
      <c r="Y23" s="405">
        <v>6.1</v>
      </c>
      <c r="Z23" s="405">
        <v>7.2</v>
      </c>
      <c r="AA23" s="405">
        <v>10.09</v>
      </c>
      <c r="AB23" s="405">
        <v>10.99</v>
      </c>
      <c r="AC23" s="405">
        <v>11.9</v>
      </c>
      <c r="AD23" s="405" t="s">
        <v>322</v>
      </c>
      <c r="AE23" s="405" t="s">
        <v>322</v>
      </c>
      <c r="AF23" s="405" t="s">
        <v>322</v>
      </c>
      <c r="AG23" s="405" t="s">
        <v>322</v>
      </c>
      <c r="AH23" s="405" t="s">
        <v>322</v>
      </c>
      <c r="AI23" s="405" t="s">
        <v>322</v>
      </c>
      <c r="AJ23" s="405" t="s">
        <v>322</v>
      </c>
      <c r="AK23" s="405" t="s">
        <v>322</v>
      </c>
      <c r="AL23" s="405" t="s">
        <v>322</v>
      </c>
      <c r="AM23" s="405">
        <v>0.63</v>
      </c>
      <c r="AN23" s="405">
        <v>0.65</v>
      </c>
      <c r="AO23" s="405">
        <v>0.67</v>
      </c>
      <c r="AP23" s="405">
        <v>1.1499999999999999</v>
      </c>
      <c r="AQ23" s="405">
        <v>1.19</v>
      </c>
      <c r="AR23" s="405">
        <v>1.23</v>
      </c>
      <c r="AS23" s="405">
        <v>1.82</v>
      </c>
      <c r="AT23" s="405">
        <v>1.9</v>
      </c>
      <c r="AU23" s="405">
        <v>1.98</v>
      </c>
      <c r="AV23" s="405">
        <v>2.96</v>
      </c>
      <c r="AW23" s="405">
        <v>3.12</v>
      </c>
      <c r="AX23" s="405">
        <v>3.27</v>
      </c>
      <c r="AY23" s="405">
        <v>3.89</v>
      </c>
      <c r="AZ23" s="405">
        <v>5.19</v>
      </c>
      <c r="BA23" s="405">
        <v>5.52</v>
      </c>
      <c r="BB23" s="405">
        <v>5.86</v>
      </c>
      <c r="BC23" s="405">
        <v>6.6</v>
      </c>
      <c r="BD23" s="405">
        <v>7</v>
      </c>
      <c r="BE23" s="405">
        <v>7.4</v>
      </c>
      <c r="BF23" s="405">
        <v>6.6</v>
      </c>
      <c r="BG23" s="405">
        <v>7</v>
      </c>
      <c r="BH23" s="405">
        <v>7.4</v>
      </c>
      <c r="BI23" s="405">
        <v>10.09</v>
      </c>
      <c r="BJ23" s="405">
        <v>10.99</v>
      </c>
      <c r="BK23" s="405">
        <v>11.9</v>
      </c>
      <c r="BL23" s="405">
        <v>10.58</v>
      </c>
      <c r="BM23" s="405">
        <v>11.53</v>
      </c>
      <c r="BN23" s="405">
        <v>12.48</v>
      </c>
      <c r="BO23" s="405">
        <v>16</v>
      </c>
      <c r="BP23" s="405">
        <v>17.28</v>
      </c>
      <c r="BQ23" s="405">
        <v>18.55</v>
      </c>
      <c r="BR23" s="405">
        <v>22.55</v>
      </c>
      <c r="BS23" s="405">
        <v>24.96</v>
      </c>
      <c r="BT23" s="405">
        <v>27.38</v>
      </c>
      <c r="BU23" s="405">
        <v>58.68</v>
      </c>
      <c r="BV23" s="405">
        <v>66.099999999999994</v>
      </c>
      <c r="BW23" s="405">
        <v>73.52</v>
      </c>
      <c r="BX23" s="405" t="s">
        <v>322</v>
      </c>
      <c r="BY23" s="405" t="s">
        <v>322</v>
      </c>
      <c r="BZ23" s="405" t="s">
        <v>322</v>
      </c>
      <c r="CA23" s="405" t="s">
        <v>322</v>
      </c>
      <c r="CB23" s="405"/>
      <c r="CC23" s="405"/>
      <c r="CD23" s="405"/>
    </row>
    <row r="24" spans="1:82">
      <c r="A24" s="404">
        <v>750</v>
      </c>
      <c r="B24" s="405">
        <v>1.22</v>
      </c>
      <c r="C24" s="405">
        <v>1.26</v>
      </c>
      <c r="D24" s="405">
        <v>1.3</v>
      </c>
      <c r="E24" s="405">
        <v>1.97</v>
      </c>
      <c r="F24" s="405">
        <v>2.0499999999999998</v>
      </c>
      <c r="G24" s="405">
        <v>2.13</v>
      </c>
      <c r="H24" s="405">
        <v>3.2</v>
      </c>
      <c r="I24" s="405">
        <v>3.06</v>
      </c>
      <c r="J24" s="405">
        <v>2.96</v>
      </c>
      <c r="K24" s="405">
        <v>3.35</v>
      </c>
      <c r="L24" s="405">
        <v>3.16</v>
      </c>
      <c r="M24" s="405">
        <v>3.5</v>
      </c>
      <c r="N24" s="405">
        <v>4.12</v>
      </c>
      <c r="O24" s="405">
        <v>5.47</v>
      </c>
      <c r="P24" s="405">
        <v>5.0199999999999996</v>
      </c>
      <c r="Q24" s="405">
        <v>4.8499999999999996</v>
      </c>
      <c r="R24" s="405">
        <v>5.8</v>
      </c>
      <c r="S24" s="405">
        <v>5.19</v>
      </c>
      <c r="T24" s="405">
        <v>6.14</v>
      </c>
      <c r="U24" s="405">
        <v>6.8</v>
      </c>
      <c r="V24" s="405">
        <v>6.2</v>
      </c>
      <c r="W24" s="405">
        <v>6</v>
      </c>
      <c r="X24" s="405">
        <v>7.2</v>
      </c>
      <c r="Y24" s="405">
        <v>6.4</v>
      </c>
      <c r="Z24" s="405">
        <v>7.6</v>
      </c>
      <c r="AA24" s="405">
        <v>10.59</v>
      </c>
      <c r="AB24" s="405">
        <v>11.5</v>
      </c>
      <c r="AC24" s="405">
        <v>12.4</v>
      </c>
      <c r="AD24" s="405" t="s">
        <v>322</v>
      </c>
      <c r="AE24" s="405" t="s">
        <v>322</v>
      </c>
      <c r="AF24" s="405" t="s">
        <v>322</v>
      </c>
      <c r="AG24" s="405" t="s">
        <v>322</v>
      </c>
      <c r="AH24" s="405" t="s">
        <v>322</v>
      </c>
      <c r="AI24" s="405" t="s">
        <v>322</v>
      </c>
      <c r="AJ24" s="405" t="s">
        <v>322</v>
      </c>
      <c r="AK24" s="405" t="s">
        <v>322</v>
      </c>
      <c r="AL24" s="405" t="s">
        <v>322</v>
      </c>
      <c r="AM24" s="405">
        <v>0.67</v>
      </c>
      <c r="AN24" s="405">
        <v>0.69</v>
      </c>
      <c r="AO24" s="405">
        <v>0.71</v>
      </c>
      <c r="AP24" s="405">
        <v>1.22</v>
      </c>
      <c r="AQ24" s="405">
        <v>1.26</v>
      </c>
      <c r="AR24" s="405">
        <v>1.3</v>
      </c>
      <c r="AS24" s="405">
        <v>1.97</v>
      </c>
      <c r="AT24" s="405">
        <v>2.0499999999999998</v>
      </c>
      <c r="AU24" s="405">
        <v>2.13</v>
      </c>
      <c r="AV24" s="405">
        <v>3.2</v>
      </c>
      <c r="AW24" s="405">
        <v>3.35</v>
      </c>
      <c r="AX24" s="405">
        <v>3.5</v>
      </c>
      <c r="AY24" s="405">
        <v>4.12</v>
      </c>
      <c r="AZ24" s="405">
        <v>5.47</v>
      </c>
      <c r="BA24" s="405">
        <v>5.8</v>
      </c>
      <c r="BB24" s="405">
        <v>6.14</v>
      </c>
      <c r="BC24" s="405">
        <v>6.9</v>
      </c>
      <c r="BD24" s="405">
        <v>7.4</v>
      </c>
      <c r="BE24" s="405">
        <v>7.8</v>
      </c>
      <c r="BF24" s="405">
        <v>6.9</v>
      </c>
      <c r="BG24" s="405">
        <v>7.4</v>
      </c>
      <c r="BH24" s="405">
        <v>7.8</v>
      </c>
      <c r="BI24" s="405">
        <v>10.59</v>
      </c>
      <c r="BJ24" s="405">
        <v>11.5</v>
      </c>
      <c r="BK24" s="405">
        <v>12.4</v>
      </c>
      <c r="BL24" s="405">
        <v>11.11</v>
      </c>
      <c r="BM24" s="405">
        <v>12.06</v>
      </c>
      <c r="BN24" s="405">
        <v>13</v>
      </c>
      <c r="BO24" s="405">
        <v>16.71</v>
      </c>
      <c r="BP24" s="405">
        <v>17.989999999999998</v>
      </c>
      <c r="BQ24" s="405">
        <v>19.260000000000002</v>
      </c>
      <c r="BR24" s="405">
        <v>23.56</v>
      </c>
      <c r="BS24" s="405">
        <v>25.97</v>
      </c>
      <c r="BT24" s="405">
        <v>28.39</v>
      </c>
      <c r="BU24" s="405">
        <v>61.43</v>
      </c>
      <c r="BV24" s="405">
        <v>68.849999999999994</v>
      </c>
      <c r="BW24" s="405">
        <v>76.27</v>
      </c>
      <c r="BX24" s="405" t="s">
        <v>322</v>
      </c>
      <c r="BY24" s="405" t="s">
        <v>322</v>
      </c>
      <c r="BZ24" s="405" t="s">
        <v>322</v>
      </c>
      <c r="CA24" s="405" t="s">
        <v>322</v>
      </c>
      <c r="CB24" s="405"/>
      <c r="CC24" s="405"/>
      <c r="CD24" s="405"/>
    </row>
    <row r="25" spans="1:82">
      <c r="A25" s="404">
        <v>800</v>
      </c>
      <c r="B25" s="405">
        <v>1.29</v>
      </c>
      <c r="C25" s="405">
        <v>1.33</v>
      </c>
      <c r="D25" s="405">
        <v>1.37</v>
      </c>
      <c r="E25" s="405">
        <v>2.08</v>
      </c>
      <c r="F25" s="405">
        <v>2.16</v>
      </c>
      <c r="G25" s="405">
        <v>2.2400000000000002</v>
      </c>
      <c r="H25" s="405">
        <v>3.37</v>
      </c>
      <c r="I25" s="405">
        <v>3.23</v>
      </c>
      <c r="J25" s="405">
        <v>3.13</v>
      </c>
      <c r="K25" s="405">
        <v>3.52</v>
      </c>
      <c r="L25" s="405">
        <v>3.33</v>
      </c>
      <c r="M25" s="405">
        <v>3.68</v>
      </c>
      <c r="N25" s="405">
        <v>4.3</v>
      </c>
      <c r="O25" s="405">
        <v>5.84</v>
      </c>
      <c r="P25" s="405">
        <v>5.39</v>
      </c>
      <c r="Q25" s="405">
        <v>5.23</v>
      </c>
      <c r="R25" s="405">
        <v>6.18</v>
      </c>
      <c r="S25" s="405">
        <v>5.56</v>
      </c>
      <c r="T25" s="405">
        <v>6.52</v>
      </c>
      <c r="U25" s="405">
        <v>7.2</v>
      </c>
      <c r="V25" s="405">
        <v>6.7</v>
      </c>
      <c r="W25" s="405">
        <v>6.4</v>
      </c>
      <c r="X25" s="405">
        <v>7.6</v>
      </c>
      <c r="Y25" s="405">
        <v>6.9</v>
      </c>
      <c r="Z25" s="405">
        <v>8</v>
      </c>
      <c r="AA25" s="405">
        <v>11.09</v>
      </c>
      <c r="AB25" s="405">
        <v>12</v>
      </c>
      <c r="AC25" s="405">
        <v>12.9</v>
      </c>
      <c r="AD25" s="405" t="s">
        <v>322</v>
      </c>
      <c r="AE25" s="405" t="s">
        <v>322</v>
      </c>
      <c r="AF25" s="405" t="s">
        <v>322</v>
      </c>
      <c r="AG25" s="405" t="s">
        <v>322</v>
      </c>
      <c r="AH25" s="405" t="s">
        <v>322</v>
      </c>
      <c r="AI25" s="405" t="s">
        <v>322</v>
      </c>
      <c r="AJ25" s="405" t="s">
        <v>322</v>
      </c>
      <c r="AK25" s="405" t="s">
        <v>322</v>
      </c>
      <c r="AL25" s="405" t="s">
        <v>322</v>
      </c>
      <c r="AM25" s="405">
        <v>0.71</v>
      </c>
      <c r="AN25" s="405">
        <v>0.73</v>
      </c>
      <c r="AO25" s="405">
        <v>0.75</v>
      </c>
      <c r="AP25" s="405">
        <v>1.29</v>
      </c>
      <c r="AQ25" s="405">
        <v>1.33</v>
      </c>
      <c r="AR25" s="405">
        <v>1.37</v>
      </c>
      <c r="AS25" s="405">
        <v>2.08</v>
      </c>
      <c r="AT25" s="405">
        <v>2.16</v>
      </c>
      <c r="AU25" s="405">
        <v>2.2400000000000002</v>
      </c>
      <c r="AV25" s="405">
        <v>3.37</v>
      </c>
      <c r="AW25" s="405">
        <v>3.52</v>
      </c>
      <c r="AX25" s="405">
        <v>3.68</v>
      </c>
      <c r="AY25" s="405">
        <v>4.3</v>
      </c>
      <c r="AZ25" s="405">
        <v>5.84</v>
      </c>
      <c r="BA25" s="405">
        <v>6.18</v>
      </c>
      <c r="BB25" s="405">
        <v>6.52</v>
      </c>
      <c r="BC25" s="405">
        <v>7.4</v>
      </c>
      <c r="BD25" s="405">
        <v>7.8</v>
      </c>
      <c r="BE25" s="405">
        <v>8.3000000000000007</v>
      </c>
      <c r="BF25" s="405">
        <v>7.4</v>
      </c>
      <c r="BG25" s="405">
        <v>7.8</v>
      </c>
      <c r="BH25" s="405">
        <v>8.3000000000000007</v>
      </c>
      <c r="BI25" s="405">
        <v>11.09</v>
      </c>
      <c r="BJ25" s="405">
        <v>12</v>
      </c>
      <c r="BK25" s="405">
        <v>12.9</v>
      </c>
      <c r="BL25" s="405">
        <v>11.64</v>
      </c>
      <c r="BM25" s="405">
        <v>12.58</v>
      </c>
      <c r="BN25" s="405">
        <v>13.53</v>
      </c>
      <c r="BO25" s="405">
        <v>17.45</v>
      </c>
      <c r="BP25" s="405">
        <v>18.73</v>
      </c>
      <c r="BQ25" s="405">
        <v>20</v>
      </c>
      <c r="BR25" s="405">
        <v>25.12</v>
      </c>
      <c r="BS25" s="405">
        <v>27.53</v>
      </c>
      <c r="BT25" s="405">
        <v>29.95</v>
      </c>
      <c r="BU25" s="405">
        <v>64.23</v>
      </c>
      <c r="BV25" s="405">
        <v>71.66</v>
      </c>
      <c r="BW25" s="405">
        <v>79.08</v>
      </c>
      <c r="BX25" s="405" t="s">
        <v>322</v>
      </c>
      <c r="BY25" s="405" t="s">
        <v>322</v>
      </c>
      <c r="BZ25" s="405" t="s">
        <v>322</v>
      </c>
      <c r="CA25" s="405" t="s">
        <v>322</v>
      </c>
      <c r="CB25" s="405"/>
      <c r="CC25" s="405"/>
      <c r="CD25" s="405"/>
    </row>
    <row r="26" spans="1:82">
      <c r="A26" s="404">
        <v>850</v>
      </c>
      <c r="B26" s="405">
        <v>1.38</v>
      </c>
      <c r="C26" s="405">
        <v>1.42</v>
      </c>
      <c r="D26" s="405">
        <v>1.47</v>
      </c>
      <c r="E26" s="405">
        <v>2.19</v>
      </c>
      <c r="F26" s="405">
        <v>2.27</v>
      </c>
      <c r="G26" s="405">
        <v>2.35</v>
      </c>
      <c r="H26" s="405">
        <v>3.54</v>
      </c>
      <c r="I26" s="405">
        <v>3.4</v>
      </c>
      <c r="J26" s="405">
        <v>3.3</v>
      </c>
      <c r="K26" s="405">
        <v>3.69</v>
      </c>
      <c r="L26" s="405">
        <v>3.5</v>
      </c>
      <c r="M26" s="405">
        <v>3.85</v>
      </c>
      <c r="N26" s="405">
        <v>4.47</v>
      </c>
      <c r="O26" s="405">
        <v>6.13</v>
      </c>
      <c r="P26" s="405">
        <v>5.68</v>
      </c>
      <c r="Q26" s="405">
        <v>5.51</v>
      </c>
      <c r="R26" s="405">
        <v>6.46</v>
      </c>
      <c r="S26" s="405">
        <v>5.84</v>
      </c>
      <c r="T26" s="405">
        <v>6.8</v>
      </c>
      <c r="U26" s="405">
        <v>7.6</v>
      </c>
      <c r="V26" s="405">
        <v>7</v>
      </c>
      <c r="W26" s="405">
        <v>6.8</v>
      </c>
      <c r="X26" s="405">
        <v>8</v>
      </c>
      <c r="Y26" s="405">
        <v>7.2</v>
      </c>
      <c r="Z26" s="405">
        <v>8.4</v>
      </c>
      <c r="AA26" s="405">
        <v>11.6</v>
      </c>
      <c r="AB26" s="405">
        <v>12.5</v>
      </c>
      <c r="AC26" s="405">
        <v>13.4</v>
      </c>
      <c r="AD26" s="405" t="s">
        <v>322</v>
      </c>
      <c r="AE26" s="405" t="s">
        <v>322</v>
      </c>
      <c r="AF26" s="405" t="s">
        <v>322</v>
      </c>
      <c r="AG26" s="405" t="s">
        <v>322</v>
      </c>
      <c r="AH26" s="405" t="s">
        <v>322</v>
      </c>
      <c r="AI26" s="405" t="s">
        <v>322</v>
      </c>
      <c r="AJ26" s="405" t="s">
        <v>322</v>
      </c>
      <c r="AK26" s="405" t="s">
        <v>322</v>
      </c>
      <c r="AL26" s="405" t="s">
        <v>322</v>
      </c>
      <c r="AM26" s="405">
        <v>0.76</v>
      </c>
      <c r="AN26" s="405">
        <v>0.78</v>
      </c>
      <c r="AO26" s="405">
        <v>0.8</v>
      </c>
      <c r="AP26" s="405">
        <v>1.38</v>
      </c>
      <c r="AQ26" s="405">
        <v>1.42</v>
      </c>
      <c r="AR26" s="405">
        <v>1.47</v>
      </c>
      <c r="AS26" s="405">
        <v>2.19</v>
      </c>
      <c r="AT26" s="405">
        <v>2.27</v>
      </c>
      <c r="AU26" s="405">
        <v>2.35</v>
      </c>
      <c r="AV26" s="405">
        <v>3.54</v>
      </c>
      <c r="AW26" s="405">
        <v>3.69</v>
      </c>
      <c r="AX26" s="405">
        <v>3.85</v>
      </c>
      <c r="AY26" s="405">
        <v>4.47</v>
      </c>
      <c r="AZ26" s="405">
        <v>6.13</v>
      </c>
      <c r="BA26" s="405">
        <v>6.46</v>
      </c>
      <c r="BB26" s="405">
        <v>6.8</v>
      </c>
      <c r="BC26" s="405">
        <v>7.8</v>
      </c>
      <c r="BD26" s="405">
        <v>8.1999999999999993</v>
      </c>
      <c r="BE26" s="405">
        <v>8.6</v>
      </c>
      <c r="BF26" s="405">
        <v>7.8</v>
      </c>
      <c r="BG26" s="405">
        <v>8.1999999999999993</v>
      </c>
      <c r="BH26" s="405">
        <v>8.6</v>
      </c>
      <c r="BI26" s="405">
        <v>11.6</v>
      </c>
      <c r="BJ26" s="405">
        <v>12.5</v>
      </c>
      <c r="BK26" s="405">
        <v>13.4</v>
      </c>
      <c r="BL26" s="405">
        <v>12.16</v>
      </c>
      <c r="BM26" s="405">
        <v>13.11</v>
      </c>
      <c r="BN26" s="405">
        <v>14.05</v>
      </c>
      <c r="BO26" s="405">
        <v>18.16</v>
      </c>
      <c r="BP26" s="405">
        <v>19.440000000000001</v>
      </c>
      <c r="BQ26" s="405">
        <v>20.71</v>
      </c>
      <c r="BR26" s="405">
        <v>26.12</v>
      </c>
      <c r="BS26" s="405">
        <v>28.54</v>
      </c>
      <c r="BT26" s="405">
        <v>30.95</v>
      </c>
      <c r="BU26" s="405">
        <v>66.98</v>
      </c>
      <c r="BV26" s="405">
        <v>74.400000000000006</v>
      </c>
      <c r="BW26" s="405">
        <v>81.83</v>
      </c>
      <c r="BX26" s="405" t="s">
        <v>322</v>
      </c>
      <c r="BY26" s="405" t="s">
        <v>322</v>
      </c>
      <c r="BZ26" s="405" t="s">
        <v>322</v>
      </c>
      <c r="CA26" s="405" t="s">
        <v>322</v>
      </c>
      <c r="CB26" s="405"/>
      <c r="CC26" s="405"/>
      <c r="CD26" s="405"/>
    </row>
    <row r="27" spans="1:82">
      <c r="A27" s="404">
        <v>900</v>
      </c>
      <c r="B27" s="405">
        <v>1.45</v>
      </c>
      <c r="C27" s="405">
        <v>1.49</v>
      </c>
      <c r="D27" s="405">
        <v>1.54</v>
      </c>
      <c r="E27" s="405">
        <v>2.2999999999999998</v>
      </c>
      <c r="F27" s="405">
        <v>2.38</v>
      </c>
      <c r="G27" s="405">
        <v>2.46</v>
      </c>
      <c r="H27" s="405">
        <v>3.71</v>
      </c>
      <c r="I27" s="405">
        <v>3.57</v>
      </c>
      <c r="J27" s="405">
        <v>3.47</v>
      </c>
      <c r="K27" s="405">
        <v>3.87</v>
      </c>
      <c r="L27" s="405">
        <v>3.68</v>
      </c>
      <c r="M27" s="405">
        <v>4.0199999999999996</v>
      </c>
      <c r="N27" s="405">
        <v>4.6399999999999997</v>
      </c>
      <c r="O27" s="405">
        <v>6.41</v>
      </c>
      <c r="P27" s="405">
        <v>5.96</v>
      </c>
      <c r="Q27" s="405">
        <v>5.79</v>
      </c>
      <c r="R27" s="405">
        <v>6.75</v>
      </c>
      <c r="S27" s="405">
        <v>6.13</v>
      </c>
      <c r="T27" s="405">
        <v>7.08</v>
      </c>
      <c r="U27" s="405">
        <v>7.9</v>
      </c>
      <c r="V27" s="405">
        <v>7.4</v>
      </c>
      <c r="W27" s="405">
        <v>7.1</v>
      </c>
      <c r="X27" s="405">
        <v>8.3000000000000007</v>
      </c>
      <c r="Y27" s="405">
        <v>7.6</v>
      </c>
      <c r="Z27" s="405">
        <v>8.6999999999999993</v>
      </c>
      <c r="AA27" s="405">
        <v>12.1</v>
      </c>
      <c r="AB27" s="405">
        <v>13</v>
      </c>
      <c r="AC27" s="405">
        <v>13.9</v>
      </c>
      <c r="AD27" s="405" t="s">
        <v>322</v>
      </c>
      <c r="AE27" s="405" t="s">
        <v>322</v>
      </c>
      <c r="AF27" s="405" t="s">
        <v>322</v>
      </c>
      <c r="AG27" s="405" t="s">
        <v>322</v>
      </c>
      <c r="AH27" s="405" t="s">
        <v>322</v>
      </c>
      <c r="AI27" s="405" t="s">
        <v>322</v>
      </c>
      <c r="AJ27" s="405" t="s">
        <v>322</v>
      </c>
      <c r="AK27" s="405" t="s">
        <v>322</v>
      </c>
      <c r="AL27" s="405" t="s">
        <v>322</v>
      </c>
      <c r="AM27" s="405">
        <v>0.8</v>
      </c>
      <c r="AN27" s="405">
        <v>0.82</v>
      </c>
      <c r="AO27" s="405">
        <v>0.84</v>
      </c>
      <c r="AP27" s="405">
        <v>1.45</v>
      </c>
      <c r="AQ27" s="405">
        <v>1.49</v>
      </c>
      <c r="AR27" s="405">
        <v>1.54</v>
      </c>
      <c r="AS27" s="405">
        <v>2.2999999999999998</v>
      </c>
      <c r="AT27" s="405">
        <v>2.38</v>
      </c>
      <c r="AU27" s="405">
        <v>2.46</v>
      </c>
      <c r="AV27" s="405">
        <v>3.71</v>
      </c>
      <c r="AW27" s="405">
        <v>3.87</v>
      </c>
      <c r="AX27" s="405">
        <v>4.0199999999999996</v>
      </c>
      <c r="AY27" s="405">
        <v>4.6399999999999997</v>
      </c>
      <c r="AZ27" s="405">
        <v>6.41</v>
      </c>
      <c r="BA27" s="405">
        <v>6.75</v>
      </c>
      <c r="BB27" s="405">
        <v>7.08</v>
      </c>
      <c r="BC27" s="405">
        <v>8.1</v>
      </c>
      <c r="BD27" s="405">
        <v>8.5</v>
      </c>
      <c r="BE27" s="405">
        <v>9</v>
      </c>
      <c r="BF27" s="405">
        <v>8.1</v>
      </c>
      <c r="BG27" s="405">
        <v>8.5</v>
      </c>
      <c r="BH27" s="405">
        <v>9</v>
      </c>
      <c r="BI27" s="405">
        <v>12.1</v>
      </c>
      <c r="BJ27" s="405">
        <v>13</v>
      </c>
      <c r="BK27" s="405">
        <v>13.9</v>
      </c>
      <c r="BL27" s="405">
        <v>12.69</v>
      </c>
      <c r="BM27" s="405">
        <v>13.63</v>
      </c>
      <c r="BN27" s="405">
        <v>14.58</v>
      </c>
      <c r="BO27" s="405">
        <v>18.87</v>
      </c>
      <c r="BP27" s="405">
        <v>20.149999999999999</v>
      </c>
      <c r="BQ27" s="405">
        <v>21.42</v>
      </c>
      <c r="BR27" s="405">
        <v>27.13</v>
      </c>
      <c r="BS27" s="405">
        <v>29.55</v>
      </c>
      <c r="BT27" s="405">
        <v>31.96</v>
      </c>
      <c r="BU27" s="405">
        <v>69.73</v>
      </c>
      <c r="BV27" s="405">
        <v>77.150000000000006</v>
      </c>
      <c r="BW27" s="405">
        <v>84.58</v>
      </c>
      <c r="BX27" s="405" t="s">
        <v>322</v>
      </c>
      <c r="BY27" s="405" t="s">
        <v>322</v>
      </c>
      <c r="BZ27" s="405" t="s">
        <v>322</v>
      </c>
      <c r="CA27" s="405" t="s">
        <v>322</v>
      </c>
      <c r="CB27" s="405"/>
      <c r="CC27" s="405"/>
      <c r="CD27" s="405"/>
    </row>
    <row r="28" spans="1:82">
      <c r="A28" s="404">
        <v>950</v>
      </c>
      <c r="B28" s="405">
        <v>1.52</v>
      </c>
      <c r="C28" s="405">
        <v>1.56</v>
      </c>
      <c r="D28" s="405">
        <v>1.61</v>
      </c>
      <c r="E28" s="405">
        <v>2.41</v>
      </c>
      <c r="F28" s="405">
        <v>2.4900000000000002</v>
      </c>
      <c r="G28" s="405">
        <v>2.57</v>
      </c>
      <c r="H28" s="405">
        <v>3.88</v>
      </c>
      <c r="I28" s="405">
        <v>3.75</v>
      </c>
      <c r="J28" s="405">
        <v>3.64</v>
      </c>
      <c r="K28" s="405">
        <v>4.04</v>
      </c>
      <c r="L28" s="405">
        <v>3.85</v>
      </c>
      <c r="M28" s="405">
        <v>4.1900000000000004</v>
      </c>
      <c r="N28" s="405">
        <v>4.8099999999999996</v>
      </c>
      <c r="O28" s="405">
        <v>6.69</v>
      </c>
      <c r="P28" s="405">
        <v>6.24</v>
      </c>
      <c r="Q28" s="405">
        <v>6.07</v>
      </c>
      <c r="R28" s="405">
        <v>7.03</v>
      </c>
      <c r="S28" s="405">
        <v>6.41</v>
      </c>
      <c r="T28" s="405">
        <v>7.36</v>
      </c>
      <c r="U28" s="405">
        <v>8.3000000000000007</v>
      </c>
      <c r="V28" s="405">
        <v>7.7</v>
      </c>
      <c r="W28" s="405">
        <v>7.5</v>
      </c>
      <c r="X28" s="405">
        <v>8.6999999999999993</v>
      </c>
      <c r="Y28" s="405">
        <v>7.9</v>
      </c>
      <c r="Z28" s="405">
        <v>9.1</v>
      </c>
      <c r="AA28" s="405">
        <v>12.6</v>
      </c>
      <c r="AB28" s="405">
        <v>13.5</v>
      </c>
      <c r="AC28" s="405">
        <v>14.4</v>
      </c>
      <c r="AD28" s="405" t="s">
        <v>322</v>
      </c>
      <c r="AE28" s="405" t="s">
        <v>322</v>
      </c>
      <c r="AF28" s="405" t="s">
        <v>322</v>
      </c>
      <c r="AG28" s="405" t="s">
        <v>322</v>
      </c>
      <c r="AH28" s="405" t="s">
        <v>322</v>
      </c>
      <c r="AI28" s="405" t="s">
        <v>322</v>
      </c>
      <c r="AJ28" s="405" t="s">
        <v>322</v>
      </c>
      <c r="AK28" s="405" t="s">
        <v>322</v>
      </c>
      <c r="AL28" s="405" t="s">
        <v>322</v>
      </c>
      <c r="AM28" s="405">
        <v>0.84</v>
      </c>
      <c r="AN28" s="405">
        <v>0.86</v>
      </c>
      <c r="AO28" s="405">
        <v>0.88</v>
      </c>
      <c r="AP28" s="405">
        <v>1.52</v>
      </c>
      <c r="AQ28" s="405">
        <v>1.56</v>
      </c>
      <c r="AR28" s="405">
        <v>1.61</v>
      </c>
      <c r="AS28" s="405">
        <v>2.41</v>
      </c>
      <c r="AT28" s="405">
        <v>2.4900000000000002</v>
      </c>
      <c r="AU28" s="405">
        <v>2.57</v>
      </c>
      <c r="AV28" s="405">
        <v>3.88</v>
      </c>
      <c r="AW28" s="405">
        <v>4.04</v>
      </c>
      <c r="AX28" s="405">
        <v>4.1900000000000004</v>
      </c>
      <c r="AY28" s="405">
        <v>4.8099999999999996</v>
      </c>
      <c r="AZ28" s="405">
        <v>6.69</v>
      </c>
      <c r="BA28" s="405">
        <v>7.03</v>
      </c>
      <c r="BB28" s="405">
        <v>7.36</v>
      </c>
      <c r="BC28" s="405">
        <v>8.5</v>
      </c>
      <c r="BD28" s="405">
        <v>8.9</v>
      </c>
      <c r="BE28" s="405">
        <v>9.3000000000000007</v>
      </c>
      <c r="BF28" s="405">
        <v>8.5</v>
      </c>
      <c r="BG28" s="405">
        <v>8.9</v>
      </c>
      <c r="BH28" s="405">
        <v>9.3000000000000007</v>
      </c>
      <c r="BI28" s="405">
        <v>12.6</v>
      </c>
      <c r="BJ28" s="405">
        <v>13.5</v>
      </c>
      <c r="BK28" s="405">
        <v>14.4</v>
      </c>
      <c r="BL28" s="405">
        <v>13.21</v>
      </c>
      <c r="BM28" s="405">
        <v>14.16</v>
      </c>
      <c r="BN28" s="405">
        <v>15.11</v>
      </c>
      <c r="BO28" s="405">
        <v>19.579999999999998</v>
      </c>
      <c r="BP28" s="405">
        <v>20.86</v>
      </c>
      <c r="BQ28" s="405">
        <v>22.13</v>
      </c>
      <c r="BR28" s="405">
        <v>28.14</v>
      </c>
      <c r="BS28" s="405">
        <v>30.55</v>
      </c>
      <c r="BT28" s="405">
        <v>32.97</v>
      </c>
      <c r="BU28" s="405">
        <v>72.48</v>
      </c>
      <c r="BV28" s="405">
        <v>79.900000000000006</v>
      </c>
      <c r="BW28" s="405">
        <v>87.32</v>
      </c>
      <c r="BX28" s="405" t="s">
        <v>322</v>
      </c>
      <c r="BY28" s="405" t="s">
        <v>322</v>
      </c>
      <c r="BZ28" s="405" t="s">
        <v>322</v>
      </c>
      <c r="CA28" s="405" t="s">
        <v>322</v>
      </c>
      <c r="CB28" s="405"/>
      <c r="CC28" s="405"/>
      <c r="CD28" s="405"/>
    </row>
    <row r="29" spans="1:82">
      <c r="A29" s="404">
        <v>1000</v>
      </c>
      <c r="B29" s="405">
        <v>1.59</v>
      </c>
      <c r="C29" s="405">
        <v>1.63</v>
      </c>
      <c r="D29" s="405">
        <v>1.68</v>
      </c>
      <c r="E29" s="405">
        <v>2.52</v>
      </c>
      <c r="F29" s="405">
        <v>2.6</v>
      </c>
      <c r="G29" s="405">
        <v>2.68</v>
      </c>
      <c r="H29" s="405">
        <v>4.05</v>
      </c>
      <c r="I29" s="405">
        <v>3.92</v>
      </c>
      <c r="J29" s="405">
        <v>3.81</v>
      </c>
      <c r="K29" s="405">
        <v>4.21</v>
      </c>
      <c r="L29" s="405">
        <v>4.0199999999999996</v>
      </c>
      <c r="M29" s="405">
        <v>4.3600000000000003</v>
      </c>
      <c r="N29" s="405">
        <v>4.9800000000000004</v>
      </c>
      <c r="O29" s="405">
        <v>6.97</v>
      </c>
      <c r="P29" s="405">
        <v>6.52</v>
      </c>
      <c r="Q29" s="405">
        <v>6.35</v>
      </c>
      <c r="R29" s="405">
        <v>7.31</v>
      </c>
      <c r="S29" s="405">
        <v>6.69</v>
      </c>
      <c r="T29" s="405">
        <v>7.65</v>
      </c>
      <c r="U29" s="405">
        <v>8.6</v>
      </c>
      <c r="V29" s="405">
        <v>8</v>
      </c>
      <c r="W29" s="405">
        <v>7.8</v>
      </c>
      <c r="X29" s="405">
        <v>9</v>
      </c>
      <c r="Y29" s="405">
        <v>8.3000000000000007</v>
      </c>
      <c r="Z29" s="405">
        <v>9.4</v>
      </c>
      <c r="AA29" s="405">
        <v>13.1</v>
      </c>
      <c r="AB29" s="405">
        <v>14</v>
      </c>
      <c r="AC29" s="405">
        <v>14.9</v>
      </c>
      <c r="AD29" s="405" t="s">
        <v>322</v>
      </c>
      <c r="AE29" s="405" t="s">
        <v>322</v>
      </c>
      <c r="AF29" s="405" t="s">
        <v>322</v>
      </c>
      <c r="AG29" s="405" t="s">
        <v>322</v>
      </c>
      <c r="AH29" s="405" t="s">
        <v>322</v>
      </c>
      <c r="AI29" s="405" t="s">
        <v>322</v>
      </c>
      <c r="AJ29" s="405" t="s">
        <v>322</v>
      </c>
      <c r="AK29" s="405" t="s">
        <v>322</v>
      </c>
      <c r="AL29" s="405" t="s">
        <v>322</v>
      </c>
      <c r="AM29" s="405">
        <v>0.88</v>
      </c>
      <c r="AN29" s="405">
        <v>0.9</v>
      </c>
      <c r="AO29" s="405">
        <v>0.92</v>
      </c>
      <c r="AP29" s="405">
        <v>1.59</v>
      </c>
      <c r="AQ29" s="405">
        <v>1.63</v>
      </c>
      <c r="AR29" s="405">
        <v>1.68</v>
      </c>
      <c r="AS29" s="405">
        <v>2.52</v>
      </c>
      <c r="AT29" s="405">
        <v>2.6</v>
      </c>
      <c r="AU29" s="405">
        <v>2.68</v>
      </c>
      <c r="AV29" s="405">
        <v>4.05</v>
      </c>
      <c r="AW29" s="405">
        <v>4.21</v>
      </c>
      <c r="AX29" s="405">
        <v>4.3600000000000003</v>
      </c>
      <c r="AY29" s="405">
        <v>4.9800000000000004</v>
      </c>
      <c r="AZ29" s="405">
        <v>6.97</v>
      </c>
      <c r="BA29" s="405">
        <v>7.31</v>
      </c>
      <c r="BB29" s="405">
        <v>7.65</v>
      </c>
      <c r="BC29" s="405">
        <v>8.8000000000000007</v>
      </c>
      <c r="BD29" s="405">
        <v>9.3000000000000007</v>
      </c>
      <c r="BE29" s="405">
        <v>9.6999999999999993</v>
      </c>
      <c r="BF29" s="405">
        <v>8.8000000000000007</v>
      </c>
      <c r="BG29" s="405">
        <v>9.3000000000000007</v>
      </c>
      <c r="BH29" s="405">
        <v>9.6999999999999993</v>
      </c>
      <c r="BI29" s="405">
        <v>13.1</v>
      </c>
      <c r="BJ29" s="405">
        <v>14</v>
      </c>
      <c r="BK29" s="405">
        <v>14.9</v>
      </c>
      <c r="BL29" s="405">
        <v>13.74</v>
      </c>
      <c r="BM29" s="405">
        <v>14.69</v>
      </c>
      <c r="BN29" s="405">
        <v>15.63</v>
      </c>
      <c r="BO29" s="405">
        <v>20.29</v>
      </c>
      <c r="BP29" s="405">
        <v>21.57</v>
      </c>
      <c r="BQ29" s="405">
        <v>22.84</v>
      </c>
      <c r="BR29" s="405">
        <v>29.14</v>
      </c>
      <c r="BS29" s="405">
        <v>31.56</v>
      </c>
      <c r="BT29" s="405">
        <v>33.97</v>
      </c>
      <c r="BU29" s="405">
        <v>75.23</v>
      </c>
      <c r="BV29" s="405">
        <v>82.65</v>
      </c>
      <c r="BW29" s="405">
        <v>90.07</v>
      </c>
      <c r="BX29" s="405" t="s">
        <v>322</v>
      </c>
      <c r="BY29" s="405" t="s">
        <v>322</v>
      </c>
      <c r="BZ29" s="405" t="s">
        <v>322</v>
      </c>
      <c r="CA29" s="405" t="s">
        <v>322</v>
      </c>
      <c r="CB29" s="405"/>
      <c r="CC29" s="405"/>
      <c r="CD29" s="405"/>
    </row>
    <row r="30" spans="1:82">
      <c r="A30" s="404">
        <v>1050</v>
      </c>
      <c r="B30" s="405">
        <v>1.66</v>
      </c>
      <c r="C30" s="405">
        <v>1.71</v>
      </c>
      <c r="D30" s="405">
        <v>1.75</v>
      </c>
      <c r="E30" s="405">
        <v>2.63</v>
      </c>
      <c r="F30" s="405">
        <v>2.71</v>
      </c>
      <c r="G30" s="405">
        <v>2.79</v>
      </c>
      <c r="H30" s="405">
        <v>4.2300000000000004</v>
      </c>
      <c r="I30" s="405">
        <v>4.09</v>
      </c>
      <c r="J30" s="405">
        <v>3.99</v>
      </c>
      <c r="K30" s="405">
        <v>4.38</v>
      </c>
      <c r="L30" s="405">
        <v>4.1900000000000004</v>
      </c>
      <c r="M30" s="405">
        <v>4.54</v>
      </c>
      <c r="N30" s="405">
        <v>5.15</v>
      </c>
      <c r="O30" s="405">
        <v>7.25</v>
      </c>
      <c r="P30" s="405">
        <v>6.8</v>
      </c>
      <c r="Q30" s="405">
        <v>6.63</v>
      </c>
      <c r="R30" s="405">
        <v>7.59</v>
      </c>
      <c r="S30" s="405">
        <v>6.97</v>
      </c>
      <c r="T30" s="405">
        <v>7.93</v>
      </c>
      <c r="U30" s="405">
        <v>9</v>
      </c>
      <c r="V30" s="405">
        <v>8.4</v>
      </c>
      <c r="W30" s="405">
        <v>8.1999999999999993</v>
      </c>
      <c r="X30" s="405">
        <v>9.4</v>
      </c>
      <c r="Y30" s="405">
        <v>8.6</v>
      </c>
      <c r="Z30" s="405">
        <v>9.8000000000000007</v>
      </c>
      <c r="AA30" s="405">
        <v>13.77</v>
      </c>
      <c r="AB30" s="405">
        <v>14.67</v>
      </c>
      <c r="AC30" s="405">
        <v>15.58</v>
      </c>
      <c r="AD30" s="405" t="s">
        <v>322</v>
      </c>
      <c r="AE30" s="405" t="s">
        <v>322</v>
      </c>
      <c r="AF30" s="405" t="s">
        <v>322</v>
      </c>
      <c r="AG30" s="405" t="s">
        <v>322</v>
      </c>
      <c r="AH30" s="405" t="s">
        <v>322</v>
      </c>
      <c r="AI30" s="405" t="s">
        <v>322</v>
      </c>
      <c r="AJ30" s="405" t="s">
        <v>322</v>
      </c>
      <c r="AK30" s="405" t="s">
        <v>322</v>
      </c>
      <c r="AL30" s="405" t="s">
        <v>322</v>
      </c>
      <c r="AM30" s="405">
        <v>0.92</v>
      </c>
      <c r="AN30" s="405">
        <v>0.94</v>
      </c>
      <c r="AO30" s="405">
        <v>0.96</v>
      </c>
      <c r="AP30" s="405">
        <v>1.66</v>
      </c>
      <c r="AQ30" s="405">
        <v>1.71</v>
      </c>
      <c r="AR30" s="405">
        <v>1.75</v>
      </c>
      <c r="AS30" s="405">
        <v>2.63</v>
      </c>
      <c r="AT30" s="405">
        <v>2.71</v>
      </c>
      <c r="AU30" s="405">
        <v>2.79</v>
      </c>
      <c r="AV30" s="405">
        <v>4.2300000000000004</v>
      </c>
      <c r="AW30" s="405">
        <v>4.38</v>
      </c>
      <c r="AX30" s="405">
        <v>4.54</v>
      </c>
      <c r="AY30" s="405">
        <v>5.15</v>
      </c>
      <c r="AZ30" s="405">
        <v>7.25</v>
      </c>
      <c r="BA30" s="405">
        <v>7.59</v>
      </c>
      <c r="BB30" s="405">
        <v>7.93</v>
      </c>
      <c r="BC30" s="405">
        <v>9.1999999999999993</v>
      </c>
      <c r="BD30" s="405">
        <v>9.6</v>
      </c>
      <c r="BE30" s="405">
        <v>10.1</v>
      </c>
      <c r="BF30" s="405">
        <v>9.1999999999999993</v>
      </c>
      <c r="BG30" s="405">
        <v>9.6</v>
      </c>
      <c r="BH30" s="405">
        <v>10.1</v>
      </c>
      <c r="BI30" s="405">
        <v>13.77</v>
      </c>
      <c r="BJ30" s="405">
        <v>14.67</v>
      </c>
      <c r="BK30" s="405">
        <v>15.58</v>
      </c>
      <c r="BL30" s="405">
        <v>14.44</v>
      </c>
      <c r="BM30" s="405">
        <v>15.39</v>
      </c>
      <c r="BN30" s="405">
        <v>16.34</v>
      </c>
      <c r="BO30" s="405">
        <v>21</v>
      </c>
      <c r="BP30" s="405">
        <v>22.28</v>
      </c>
      <c r="BQ30" s="405">
        <v>23.55</v>
      </c>
      <c r="BR30" s="405">
        <v>30.15</v>
      </c>
      <c r="BS30" s="405">
        <v>32.56</v>
      </c>
      <c r="BT30" s="405">
        <v>34.979999999999997</v>
      </c>
      <c r="BU30" s="405">
        <v>77.98</v>
      </c>
      <c r="BV30" s="405">
        <v>85.4</v>
      </c>
      <c r="BW30" s="405">
        <v>92.82</v>
      </c>
      <c r="BX30" s="405" t="s">
        <v>322</v>
      </c>
      <c r="BY30" s="405" t="s">
        <v>322</v>
      </c>
      <c r="BZ30" s="405" t="s">
        <v>322</v>
      </c>
      <c r="CA30" s="405" t="s">
        <v>322</v>
      </c>
      <c r="CB30" s="405"/>
      <c r="CC30" s="405"/>
      <c r="CD30" s="405"/>
    </row>
    <row r="31" spans="1:82">
      <c r="A31" s="404">
        <v>1100</v>
      </c>
      <c r="B31" s="405">
        <v>1.73</v>
      </c>
      <c r="C31" s="405">
        <v>1.78</v>
      </c>
      <c r="D31" s="405">
        <v>1.82</v>
      </c>
      <c r="E31" s="405">
        <v>2.74</v>
      </c>
      <c r="F31" s="405">
        <v>2.82</v>
      </c>
      <c r="G31" s="405">
        <v>2.9</v>
      </c>
      <c r="H31" s="405">
        <v>4.4000000000000004</v>
      </c>
      <c r="I31" s="405">
        <v>4.26</v>
      </c>
      <c r="J31" s="405">
        <v>4.16</v>
      </c>
      <c r="K31" s="405">
        <v>4.55</v>
      </c>
      <c r="L31" s="405">
        <v>4.3600000000000003</v>
      </c>
      <c r="M31" s="405">
        <v>4.71</v>
      </c>
      <c r="N31" s="405">
        <v>5.33</v>
      </c>
      <c r="O31" s="405">
        <v>7.53</v>
      </c>
      <c r="P31" s="405">
        <v>7.08</v>
      </c>
      <c r="Q31" s="405">
        <v>6.91</v>
      </c>
      <c r="R31" s="405">
        <v>7.87</v>
      </c>
      <c r="S31" s="405">
        <v>7.25</v>
      </c>
      <c r="T31" s="405">
        <v>8.2100000000000009</v>
      </c>
      <c r="U31" s="405">
        <v>9.3000000000000007</v>
      </c>
      <c r="V31" s="405">
        <v>8.6999999999999993</v>
      </c>
      <c r="W31" s="405">
        <v>8.5</v>
      </c>
      <c r="X31" s="405">
        <v>9.6999999999999993</v>
      </c>
      <c r="Y31" s="405">
        <v>9</v>
      </c>
      <c r="Z31" s="405">
        <v>10.1</v>
      </c>
      <c r="AA31" s="405">
        <v>14.27</v>
      </c>
      <c r="AB31" s="405">
        <v>15.18</v>
      </c>
      <c r="AC31" s="405">
        <v>16.079999999999998</v>
      </c>
      <c r="AD31" s="405" t="s">
        <v>322</v>
      </c>
      <c r="AE31" s="405" t="s">
        <v>322</v>
      </c>
      <c r="AF31" s="405" t="s">
        <v>322</v>
      </c>
      <c r="AG31" s="405" t="s">
        <v>322</v>
      </c>
      <c r="AH31" s="405" t="s">
        <v>322</v>
      </c>
      <c r="AI31" s="405" t="s">
        <v>322</v>
      </c>
      <c r="AJ31" s="405" t="s">
        <v>322</v>
      </c>
      <c r="AK31" s="405" t="s">
        <v>322</v>
      </c>
      <c r="AL31" s="405" t="s">
        <v>322</v>
      </c>
      <c r="AM31" s="405">
        <v>0.96</v>
      </c>
      <c r="AN31" s="405">
        <v>0.98</v>
      </c>
      <c r="AO31" s="405">
        <v>1</v>
      </c>
      <c r="AP31" s="405">
        <v>1.73</v>
      </c>
      <c r="AQ31" s="405">
        <v>1.78</v>
      </c>
      <c r="AR31" s="405">
        <v>1.82</v>
      </c>
      <c r="AS31" s="405">
        <v>2.74</v>
      </c>
      <c r="AT31" s="405">
        <v>2.82</v>
      </c>
      <c r="AU31" s="405">
        <v>2.9</v>
      </c>
      <c r="AV31" s="405">
        <v>4.4000000000000004</v>
      </c>
      <c r="AW31" s="405">
        <v>4.55</v>
      </c>
      <c r="AX31" s="405">
        <v>4.71</v>
      </c>
      <c r="AY31" s="405">
        <v>5.33</v>
      </c>
      <c r="AZ31" s="405">
        <v>7.53</v>
      </c>
      <c r="BA31" s="405">
        <v>7.87</v>
      </c>
      <c r="BB31" s="405">
        <v>8.2100000000000009</v>
      </c>
      <c r="BC31" s="405">
        <v>9.6</v>
      </c>
      <c r="BD31" s="405">
        <v>10</v>
      </c>
      <c r="BE31" s="405">
        <v>10.4</v>
      </c>
      <c r="BF31" s="405">
        <v>9.6</v>
      </c>
      <c r="BG31" s="405">
        <v>10</v>
      </c>
      <c r="BH31" s="405">
        <v>10.4</v>
      </c>
      <c r="BI31" s="405">
        <v>14.27</v>
      </c>
      <c r="BJ31" s="405">
        <v>15.18</v>
      </c>
      <c r="BK31" s="405">
        <v>16.079999999999998</v>
      </c>
      <c r="BL31" s="405">
        <v>14.97</v>
      </c>
      <c r="BM31" s="405">
        <v>15.92</v>
      </c>
      <c r="BN31" s="405">
        <v>16.86</v>
      </c>
      <c r="BO31" s="405">
        <v>21.71</v>
      </c>
      <c r="BP31" s="405">
        <v>22.99</v>
      </c>
      <c r="BQ31" s="405">
        <v>24.26</v>
      </c>
      <c r="BR31" s="405">
        <v>31.16</v>
      </c>
      <c r="BS31" s="405">
        <v>33.57</v>
      </c>
      <c r="BT31" s="405">
        <v>35.979999999999997</v>
      </c>
      <c r="BU31" s="405">
        <v>80.73</v>
      </c>
      <c r="BV31" s="405">
        <v>88.15</v>
      </c>
      <c r="BW31" s="405">
        <v>95.57</v>
      </c>
      <c r="BX31" s="405" t="s">
        <v>322</v>
      </c>
      <c r="BY31" s="405" t="s">
        <v>322</v>
      </c>
      <c r="BZ31" s="405" t="s">
        <v>322</v>
      </c>
      <c r="CA31" s="405" t="s">
        <v>322</v>
      </c>
      <c r="CB31" s="405"/>
      <c r="CC31" s="405"/>
      <c r="CD31" s="405"/>
    </row>
    <row r="32" spans="1:82">
      <c r="A32" s="404">
        <v>1150</v>
      </c>
      <c r="B32" s="405">
        <v>1.8</v>
      </c>
      <c r="C32" s="405">
        <v>1.85</v>
      </c>
      <c r="D32" s="405">
        <v>1.89</v>
      </c>
      <c r="E32" s="405">
        <v>2.85</v>
      </c>
      <c r="F32" s="405">
        <v>2.93</v>
      </c>
      <c r="G32" s="405">
        <v>3.01</v>
      </c>
      <c r="H32" s="405">
        <v>4.57</v>
      </c>
      <c r="I32" s="405">
        <v>4.43</v>
      </c>
      <c r="J32" s="405">
        <v>4.33</v>
      </c>
      <c r="K32" s="405">
        <v>4.72</v>
      </c>
      <c r="L32" s="405">
        <v>4.54</v>
      </c>
      <c r="M32" s="405">
        <v>4.88</v>
      </c>
      <c r="N32" s="405">
        <v>5.5</v>
      </c>
      <c r="O32" s="405">
        <v>7.82</v>
      </c>
      <c r="P32" s="405">
        <v>7.36</v>
      </c>
      <c r="Q32" s="405">
        <v>7.2</v>
      </c>
      <c r="R32" s="405">
        <v>8.15</v>
      </c>
      <c r="S32" s="405">
        <v>7.53</v>
      </c>
      <c r="T32" s="405">
        <v>8.49</v>
      </c>
      <c r="U32" s="405">
        <v>9.6999999999999993</v>
      </c>
      <c r="V32" s="405">
        <v>9.1</v>
      </c>
      <c r="W32" s="405">
        <v>8.9</v>
      </c>
      <c r="X32" s="405">
        <v>10.1</v>
      </c>
      <c r="Y32" s="405">
        <v>9.3000000000000007</v>
      </c>
      <c r="Z32" s="405">
        <v>10.5</v>
      </c>
      <c r="AA32" s="405">
        <v>14.77</v>
      </c>
      <c r="AB32" s="405">
        <v>15.68</v>
      </c>
      <c r="AC32" s="405">
        <v>16.579999999999998</v>
      </c>
      <c r="AD32" s="405" t="s">
        <v>322</v>
      </c>
      <c r="AE32" s="405" t="s">
        <v>322</v>
      </c>
      <c r="AF32" s="405" t="s">
        <v>322</v>
      </c>
      <c r="AG32" s="405" t="s">
        <v>322</v>
      </c>
      <c r="AH32" s="405" t="s">
        <v>322</v>
      </c>
      <c r="AI32" s="405" t="s">
        <v>322</v>
      </c>
      <c r="AJ32" s="405" t="s">
        <v>322</v>
      </c>
      <c r="AK32" s="405" t="s">
        <v>322</v>
      </c>
      <c r="AL32" s="405" t="s">
        <v>322</v>
      </c>
      <c r="AM32" s="405">
        <v>1</v>
      </c>
      <c r="AN32" s="405">
        <v>1.02</v>
      </c>
      <c r="AO32" s="405">
        <v>1.04</v>
      </c>
      <c r="AP32" s="405">
        <v>1.8</v>
      </c>
      <c r="AQ32" s="405">
        <v>1.85</v>
      </c>
      <c r="AR32" s="405">
        <v>1.89</v>
      </c>
      <c r="AS32" s="405">
        <v>2.85</v>
      </c>
      <c r="AT32" s="405">
        <v>2.93</v>
      </c>
      <c r="AU32" s="405">
        <v>3.01</v>
      </c>
      <c r="AV32" s="405">
        <v>4.57</v>
      </c>
      <c r="AW32" s="405">
        <v>4.72</v>
      </c>
      <c r="AX32" s="405">
        <v>4.88</v>
      </c>
      <c r="AY32" s="405">
        <v>5.5</v>
      </c>
      <c r="AZ32" s="405">
        <v>7.82</v>
      </c>
      <c r="BA32" s="405">
        <v>8.15</v>
      </c>
      <c r="BB32" s="405">
        <v>8.49</v>
      </c>
      <c r="BC32" s="405">
        <v>9.9</v>
      </c>
      <c r="BD32" s="405">
        <v>10.3</v>
      </c>
      <c r="BE32" s="405">
        <v>10.8</v>
      </c>
      <c r="BF32" s="405">
        <v>9.9</v>
      </c>
      <c r="BG32" s="405">
        <v>10.3</v>
      </c>
      <c r="BH32" s="405">
        <v>10.8</v>
      </c>
      <c r="BI32" s="405">
        <v>14.77</v>
      </c>
      <c r="BJ32" s="405">
        <v>15.68</v>
      </c>
      <c r="BK32" s="405">
        <v>16.579999999999998</v>
      </c>
      <c r="BL32" s="405">
        <v>15.5</v>
      </c>
      <c r="BM32" s="405">
        <v>16.440000000000001</v>
      </c>
      <c r="BN32" s="405">
        <v>17.39</v>
      </c>
      <c r="BO32" s="405">
        <v>22.42</v>
      </c>
      <c r="BP32" s="405">
        <v>23.7</v>
      </c>
      <c r="BQ32" s="405">
        <v>24.97</v>
      </c>
      <c r="BR32" s="405">
        <v>32.159999999999997</v>
      </c>
      <c r="BS32" s="405">
        <v>34.58</v>
      </c>
      <c r="BT32" s="405">
        <v>36.99</v>
      </c>
      <c r="BU32" s="405">
        <v>83.48</v>
      </c>
      <c r="BV32" s="405">
        <v>90.9</v>
      </c>
      <c r="BW32" s="405">
        <v>98.32</v>
      </c>
      <c r="BX32" s="405" t="s">
        <v>322</v>
      </c>
      <c r="BY32" s="405" t="s">
        <v>322</v>
      </c>
      <c r="BZ32" s="405" t="s">
        <v>322</v>
      </c>
      <c r="CA32" s="405" t="s">
        <v>322</v>
      </c>
      <c r="CB32" s="405"/>
      <c r="CC32" s="405"/>
      <c r="CD32" s="405"/>
    </row>
    <row r="33" spans="1:82">
      <c r="A33" s="404">
        <v>1200</v>
      </c>
      <c r="B33" s="405">
        <v>1.87</v>
      </c>
      <c r="C33" s="405">
        <v>1.92</v>
      </c>
      <c r="D33" s="405">
        <v>1.96</v>
      </c>
      <c r="E33" s="405">
        <v>2.96</v>
      </c>
      <c r="F33" s="405">
        <v>3.04</v>
      </c>
      <c r="G33" s="405">
        <v>3.12</v>
      </c>
      <c r="H33" s="405">
        <v>4.74</v>
      </c>
      <c r="I33" s="405">
        <v>4.5999999999999996</v>
      </c>
      <c r="J33" s="405">
        <v>4.5</v>
      </c>
      <c r="K33" s="405">
        <v>4.9000000000000004</v>
      </c>
      <c r="L33" s="405">
        <v>4.71</v>
      </c>
      <c r="M33" s="405">
        <v>5.05</v>
      </c>
      <c r="N33" s="405">
        <v>5.67</v>
      </c>
      <c r="O33" s="405">
        <v>8.1</v>
      </c>
      <c r="P33" s="405">
        <v>7.65</v>
      </c>
      <c r="Q33" s="405">
        <v>7.48</v>
      </c>
      <c r="R33" s="405">
        <v>8.43</v>
      </c>
      <c r="S33" s="405">
        <v>7.82</v>
      </c>
      <c r="T33" s="405">
        <v>8.77</v>
      </c>
      <c r="U33" s="405">
        <v>10</v>
      </c>
      <c r="V33" s="405">
        <v>9.4</v>
      </c>
      <c r="W33" s="405">
        <v>9.1999999999999993</v>
      </c>
      <c r="X33" s="405">
        <v>10.4</v>
      </c>
      <c r="Y33" s="405">
        <v>9.6999999999999993</v>
      </c>
      <c r="Z33" s="405">
        <v>10.8</v>
      </c>
      <c r="AA33" s="405">
        <v>15.28</v>
      </c>
      <c r="AB33" s="405">
        <v>16.18</v>
      </c>
      <c r="AC33" s="405">
        <v>17.079999999999998</v>
      </c>
      <c r="AD33" s="405" t="s">
        <v>322</v>
      </c>
      <c r="AE33" s="405" t="s">
        <v>322</v>
      </c>
      <c r="AF33" s="405" t="s">
        <v>322</v>
      </c>
      <c r="AG33" s="405" t="s">
        <v>322</v>
      </c>
      <c r="AH33" s="405" t="s">
        <v>322</v>
      </c>
      <c r="AI33" s="405" t="s">
        <v>322</v>
      </c>
      <c r="AJ33" s="405" t="s">
        <v>322</v>
      </c>
      <c r="AK33" s="405" t="s">
        <v>322</v>
      </c>
      <c r="AL33" s="405" t="s">
        <v>322</v>
      </c>
      <c r="AM33" s="405">
        <v>1.04</v>
      </c>
      <c r="AN33" s="405">
        <v>1.06</v>
      </c>
      <c r="AO33" s="405">
        <v>1.08</v>
      </c>
      <c r="AP33" s="405">
        <v>1.87</v>
      </c>
      <c r="AQ33" s="405">
        <v>1.92</v>
      </c>
      <c r="AR33" s="405">
        <v>1.96</v>
      </c>
      <c r="AS33" s="405">
        <v>2.96</v>
      </c>
      <c r="AT33" s="405">
        <v>3.04</v>
      </c>
      <c r="AU33" s="405">
        <v>3.12</v>
      </c>
      <c r="AV33" s="405">
        <v>4.74</v>
      </c>
      <c r="AW33" s="405">
        <v>4.9000000000000004</v>
      </c>
      <c r="AX33" s="405">
        <v>5.05</v>
      </c>
      <c r="AY33" s="405">
        <v>5.67</v>
      </c>
      <c r="AZ33" s="405">
        <v>8.1</v>
      </c>
      <c r="BA33" s="405">
        <v>8.43</v>
      </c>
      <c r="BB33" s="405">
        <v>8.77</v>
      </c>
      <c r="BC33" s="405">
        <v>10.3</v>
      </c>
      <c r="BD33" s="405">
        <v>10.7</v>
      </c>
      <c r="BE33" s="405">
        <v>11.1</v>
      </c>
      <c r="BF33" s="405">
        <v>10.3</v>
      </c>
      <c r="BG33" s="405">
        <v>10.7</v>
      </c>
      <c r="BH33" s="405">
        <v>11.1</v>
      </c>
      <c r="BI33" s="405">
        <v>15.28</v>
      </c>
      <c r="BJ33" s="405">
        <v>16.18</v>
      </c>
      <c r="BK33" s="405">
        <v>17.079999999999998</v>
      </c>
      <c r="BL33" s="405">
        <v>16.02</v>
      </c>
      <c r="BM33" s="405">
        <v>16.97</v>
      </c>
      <c r="BN33" s="405">
        <v>17.91</v>
      </c>
      <c r="BO33" s="405">
        <v>23.13</v>
      </c>
      <c r="BP33" s="405">
        <v>24.41</v>
      </c>
      <c r="BQ33" s="405">
        <v>25.68</v>
      </c>
      <c r="BR33" s="405">
        <v>33.17</v>
      </c>
      <c r="BS33" s="405">
        <v>35.58</v>
      </c>
      <c r="BT33" s="405">
        <v>38</v>
      </c>
      <c r="BU33" s="405">
        <v>86.22</v>
      </c>
      <c r="BV33" s="405">
        <v>93.65</v>
      </c>
      <c r="BW33" s="405">
        <v>101.07</v>
      </c>
      <c r="BX33" s="405" t="s">
        <v>322</v>
      </c>
      <c r="BY33" s="405" t="s">
        <v>322</v>
      </c>
      <c r="BZ33" s="405" t="s">
        <v>322</v>
      </c>
      <c r="CA33" s="405" t="s">
        <v>322</v>
      </c>
      <c r="CB33" s="405"/>
      <c r="CC33" s="405"/>
      <c r="CD33" s="405"/>
    </row>
    <row r="34" spans="1:82">
      <c r="A34" s="404">
        <v>1250</v>
      </c>
      <c r="B34" s="405">
        <v>1.94</v>
      </c>
      <c r="C34" s="405">
        <v>1.99</v>
      </c>
      <c r="D34" s="405">
        <v>2.0299999999999998</v>
      </c>
      <c r="E34" s="405">
        <v>3.07</v>
      </c>
      <c r="F34" s="405">
        <v>3.15</v>
      </c>
      <c r="G34" s="405">
        <v>3.23</v>
      </c>
      <c r="H34" s="405">
        <v>4.91</v>
      </c>
      <c r="I34" s="405">
        <v>4.78</v>
      </c>
      <c r="J34" s="405">
        <v>4.67</v>
      </c>
      <c r="K34" s="405">
        <v>5.07</v>
      </c>
      <c r="L34" s="405">
        <v>4.88</v>
      </c>
      <c r="M34" s="405">
        <v>5.22</v>
      </c>
      <c r="N34" s="405">
        <v>5.84</v>
      </c>
      <c r="O34" s="405">
        <v>8.3800000000000008</v>
      </c>
      <c r="P34" s="405">
        <v>7.93</v>
      </c>
      <c r="Q34" s="405">
        <v>7.76</v>
      </c>
      <c r="R34" s="405">
        <v>8.7200000000000006</v>
      </c>
      <c r="S34" s="405">
        <v>8.1</v>
      </c>
      <c r="T34" s="405">
        <v>9.0500000000000007</v>
      </c>
      <c r="U34" s="405">
        <v>10.3</v>
      </c>
      <c r="V34" s="405">
        <v>9.8000000000000007</v>
      </c>
      <c r="W34" s="405">
        <v>9.6</v>
      </c>
      <c r="X34" s="405">
        <v>10.8</v>
      </c>
      <c r="Y34" s="405">
        <v>10</v>
      </c>
      <c r="Z34" s="405">
        <v>11.2</v>
      </c>
      <c r="AA34" s="405">
        <v>15.78</v>
      </c>
      <c r="AB34" s="405">
        <v>16.68</v>
      </c>
      <c r="AC34" s="405">
        <v>17.579999999999998</v>
      </c>
      <c r="AD34" s="405" t="s">
        <v>322</v>
      </c>
      <c r="AE34" s="405" t="s">
        <v>322</v>
      </c>
      <c r="AF34" s="405" t="s">
        <v>322</v>
      </c>
      <c r="AG34" s="405" t="s">
        <v>322</v>
      </c>
      <c r="AH34" s="405" t="s">
        <v>322</v>
      </c>
      <c r="AI34" s="405" t="s">
        <v>322</v>
      </c>
      <c r="AJ34" s="405" t="s">
        <v>322</v>
      </c>
      <c r="AK34" s="405" t="s">
        <v>322</v>
      </c>
      <c r="AL34" s="405" t="s">
        <v>322</v>
      </c>
      <c r="AM34" s="405">
        <v>1.08</v>
      </c>
      <c r="AN34" s="405">
        <v>1.1000000000000001</v>
      </c>
      <c r="AO34" s="405">
        <v>1.1200000000000001</v>
      </c>
      <c r="AP34" s="405">
        <v>1.94</v>
      </c>
      <c r="AQ34" s="405">
        <v>1.99</v>
      </c>
      <c r="AR34" s="405">
        <v>2.0299999999999998</v>
      </c>
      <c r="AS34" s="405">
        <v>3.07</v>
      </c>
      <c r="AT34" s="405">
        <v>3.15</v>
      </c>
      <c r="AU34" s="405">
        <v>3.23</v>
      </c>
      <c r="AV34" s="405">
        <v>4.91</v>
      </c>
      <c r="AW34" s="405">
        <v>5.07</v>
      </c>
      <c r="AX34" s="405">
        <v>5.22</v>
      </c>
      <c r="AY34" s="405">
        <v>5.84</v>
      </c>
      <c r="AZ34" s="405">
        <v>8.3800000000000008</v>
      </c>
      <c r="BA34" s="405">
        <v>8.7200000000000006</v>
      </c>
      <c r="BB34" s="405">
        <v>9.0500000000000007</v>
      </c>
      <c r="BC34" s="405">
        <v>10.6</v>
      </c>
      <c r="BD34" s="405">
        <v>11.1</v>
      </c>
      <c r="BE34" s="405">
        <v>11.5</v>
      </c>
      <c r="BF34" s="405">
        <v>10.6</v>
      </c>
      <c r="BG34" s="405">
        <v>11.1</v>
      </c>
      <c r="BH34" s="405">
        <v>11.5</v>
      </c>
      <c r="BI34" s="405">
        <v>15.78</v>
      </c>
      <c r="BJ34" s="405">
        <v>16.68</v>
      </c>
      <c r="BK34" s="405">
        <v>17.579999999999998</v>
      </c>
      <c r="BL34" s="405">
        <v>16.55</v>
      </c>
      <c r="BM34" s="405">
        <v>17.489999999999998</v>
      </c>
      <c r="BN34" s="405">
        <v>18.440000000000001</v>
      </c>
      <c r="BO34" s="405">
        <v>23.84</v>
      </c>
      <c r="BP34" s="405">
        <v>25.12</v>
      </c>
      <c r="BQ34" s="405">
        <v>26.39</v>
      </c>
      <c r="BR34" s="405">
        <v>34.17</v>
      </c>
      <c r="BS34" s="405">
        <v>36.590000000000003</v>
      </c>
      <c r="BT34" s="405">
        <v>39</v>
      </c>
      <c r="BU34" s="405">
        <v>88.97</v>
      </c>
      <c r="BV34" s="405">
        <v>96.4</v>
      </c>
      <c r="BW34" s="405">
        <v>103.82</v>
      </c>
      <c r="BX34" s="405" t="s">
        <v>322</v>
      </c>
      <c r="BY34" s="405" t="s">
        <v>322</v>
      </c>
      <c r="BZ34" s="405" t="s">
        <v>322</v>
      </c>
      <c r="CA34" s="405" t="s">
        <v>322</v>
      </c>
      <c r="CB34" s="405"/>
      <c r="CC34" s="405"/>
      <c r="CD34" s="405"/>
    </row>
    <row r="35" spans="1:82">
      <c r="A35" s="404">
        <v>1300</v>
      </c>
      <c r="B35" s="405">
        <v>2.0099999999999998</v>
      </c>
      <c r="C35" s="405">
        <v>2.06</v>
      </c>
      <c r="D35" s="405">
        <v>2.1</v>
      </c>
      <c r="E35" s="405">
        <v>3.18</v>
      </c>
      <c r="F35" s="405">
        <v>3.26</v>
      </c>
      <c r="G35" s="405">
        <v>3.34</v>
      </c>
      <c r="H35" s="405">
        <v>5.09</v>
      </c>
      <c r="I35" s="405">
        <v>4.95</v>
      </c>
      <c r="J35" s="405">
        <v>4.84</v>
      </c>
      <c r="K35" s="405">
        <v>5.24</v>
      </c>
      <c r="L35" s="405">
        <v>5.05</v>
      </c>
      <c r="M35" s="405">
        <v>5.39</v>
      </c>
      <c r="N35" s="405">
        <v>6.01</v>
      </c>
      <c r="O35" s="405">
        <v>8.66</v>
      </c>
      <c r="P35" s="405">
        <v>8.2100000000000009</v>
      </c>
      <c r="Q35" s="405">
        <v>8.0399999999999991</v>
      </c>
      <c r="R35" s="405">
        <v>9</v>
      </c>
      <c r="S35" s="405">
        <v>8.3800000000000008</v>
      </c>
      <c r="T35" s="405">
        <v>9.34</v>
      </c>
      <c r="U35" s="405">
        <v>10.7</v>
      </c>
      <c r="V35" s="405">
        <v>10.1</v>
      </c>
      <c r="W35" s="405">
        <v>9.9</v>
      </c>
      <c r="X35" s="405">
        <v>11.1</v>
      </c>
      <c r="Y35" s="405">
        <v>10.3</v>
      </c>
      <c r="Z35" s="405">
        <v>11.5</v>
      </c>
      <c r="AA35" s="405">
        <v>16.28</v>
      </c>
      <c r="AB35" s="405">
        <v>17.18</v>
      </c>
      <c r="AC35" s="405">
        <v>18.079999999999998</v>
      </c>
      <c r="AD35" s="405" t="s">
        <v>322</v>
      </c>
      <c r="AE35" s="405" t="s">
        <v>322</v>
      </c>
      <c r="AF35" s="405" t="s">
        <v>322</v>
      </c>
      <c r="AG35" s="405" t="s">
        <v>322</v>
      </c>
      <c r="AH35" s="405" t="s">
        <v>322</v>
      </c>
      <c r="AI35" s="405" t="s">
        <v>322</v>
      </c>
      <c r="AJ35" s="405" t="s">
        <v>322</v>
      </c>
      <c r="AK35" s="405" t="s">
        <v>322</v>
      </c>
      <c r="AL35" s="405" t="s">
        <v>322</v>
      </c>
      <c r="AM35" s="405">
        <v>1.1200000000000001</v>
      </c>
      <c r="AN35" s="405">
        <v>1.1399999999999999</v>
      </c>
      <c r="AO35" s="405">
        <v>1.1599999999999999</v>
      </c>
      <c r="AP35" s="405">
        <v>2.0099999999999998</v>
      </c>
      <c r="AQ35" s="405">
        <v>2.06</v>
      </c>
      <c r="AR35" s="405">
        <v>2.1</v>
      </c>
      <c r="AS35" s="405">
        <v>3.18</v>
      </c>
      <c r="AT35" s="405">
        <v>3.26</v>
      </c>
      <c r="AU35" s="405">
        <v>3.34</v>
      </c>
      <c r="AV35" s="405">
        <v>5.09</v>
      </c>
      <c r="AW35" s="405">
        <v>5.24</v>
      </c>
      <c r="AX35" s="405">
        <v>5.39</v>
      </c>
      <c r="AY35" s="405">
        <v>6.01</v>
      </c>
      <c r="AZ35" s="405">
        <v>8.66</v>
      </c>
      <c r="BA35" s="405">
        <v>9</v>
      </c>
      <c r="BB35" s="405">
        <v>9.34</v>
      </c>
      <c r="BC35" s="405">
        <v>11</v>
      </c>
      <c r="BD35" s="405">
        <v>11.4</v>
      </c>
      <c r="BE35" s="405">
        <v>11.9</v>
      </c>
      <c r="BF35" s="405">
        <v>11</v>
      </c>
      <c r="BG35" s="405">
        <v>11.4</v>
      </c>
      <c r="BH35" s="405">
        <v>11.9</v>
      </c>
      <c r="BI35" s="405">
        <v>16.28</v>
      </c>
      <c r="BJ35" s="405">
        <v>17.18</v>
      </c>
      <c r="BK35" s="405">
        <v>18.079999999999998</v>
      </c>
      <c r="BL35" s="405">
        <v>17.07</v>
      </c>
      <c r="BM35" s="405">
        <v>18.02</v>
      </c>
      <c r="BN35" s="405">
        <v>18.97</v>
      </c>
      <c r="BO35" s="405">
        <v>24.55</v>
      </c>
      <c r="BP35" s="405">
        <v>25.83</v>
      </c>
      <c r="BQ35" s="405">
        <v>27.1</v>
      </c>
      <c r="BR35" s="405">
        <v>35.18</v>
      </c>
      <c r="BS35" s="405">
        <v>37.590000000000003</v>
      </c>
      <c r="BT35" s="405">
        <v>40.01</v>
      </c>
      <c r="BU35" s="405">
        <v>91.72</v>
      </c>
      <c r="BV35" s="405">
        <v>99.14</v>
      </c>
      <c r="BW35" s="405">
        <v>106.57</v>
      </c>
      <c r="BX35" s="405" t="s">
        <v>322</v>
      </c>
      <c r="BY35" s="405" t="s">
        <v>322</v>
      </c>
      <c r="BZ35" s="405" t="s">
        <v>322</v>
      </c>
      <c r="CA35" s="405" t="s">
        <v>322</v>
      </c>
      <c r="CB35" s="405"/>
      <c r="CC35" s="405"/>
      <c r="CD35" s="405"/>
    </row>
    <row r="36" spans="1:82">
      <c r="A36" s="404">
        <v>1350</v>
      </c>
      <c r="B36" s="405">
        <v>2.09</v>
      </c>
      <c r="C36" s="405">
        <v>2.13</v>
      </c>
      <c r="D36" s="405">
        <v>2.17</v>
      </c>
      <c r="E36" s="405">
        <v>3.29</v>
      </c>
      <c r="F36" s="405">
        <v>3.37</v>
      </c>
      <c r="G36" s="405">
        <v>3.45</v>
      </c>
      <c r="H36" s="405">
        <v>5.26</v>
      </c>
      <c r="I36" s="405">
        <v>5.12</v>
      </c>
      <c r="J36" s="405">
        <v>5.0199999999999996</v>
      </c>
      <c r="K36" s="405">
        <v>5.41</v>
      </c>
      <c r="L36" s="405">
        <v>5.22</v>
      </c>
      <c r="M36" s="405">
        <v>5.57</v>
      </c>
      <c r="N36" s="405">
        <v>6.19</v>
      </c>
      <c r="O36" s="405">
        <v>8.94</v>
      </c>
      <c r="P36" s="405">
        <v>8.49</v>
      </c>
      <c r="Q36" s="405">
        <v>8.32</v>
      </c>
      <c r="R36" s="405">
        <v>9.2799999999999994</v>
      </c>
      <c r="S36" s="405">
        <v>8.66</v>
      </c>
      <c r="T36" s="405">
        <v>9.6199999999999992</v>
      </c>
      <c r="U36" s="405">
        <v>11</v>
      </c>
      <c r="V36" s="405">
        <v>10.5</v>
      </c>
      <c r="W36" s="405">
        <v>10.3</v>
      </c>
      <c r="X36" s="405">
        <v>11.5</v>
      </c>
      <c r="Y36" s="405">
        <v>10.7</v>
      </c>
      <c r="Z36" s="405">
        <v>11.9</v>
      </c>
      <c r="AA36" s="405">
        <v>16.78</v>
      </c>
      <c r="AB36" s="405">
        <v>17.68</v>
      </c>
      <c r="AC36" s="405">
        <v>18.579999999999998</v>
      </c>
      <c r="AD36" s="405" t="s">
        <v>322</v>
      </c>
      <c r="AE36" s="405" t="s">
        <v>322</v>
      </c>
      <c r="AF36" s="405" t="s">
        <v>322</v>
      </c>
      <c r="AG36" s="405" t="s">
        <v>322</v>
      </c>
      <c r="AH36" s="405" t="s">
        <v>322</v>
      </c>
      <c r="AI36" s="405" t="s">
        <v>322</v>
      </c>
      <c r="AJ36" s="405" t="s">
        <v>322</v>
      </c>
      <c r="AK36" s="405" t="s">
        <v>322</v>
      </c>
      <c r="AL36" s="405" t="s">
        <v>322</v>
      </c>
      <c r="AM36" s="405">
        <v>1.1599999999999999</v>
      </c>
      <c r="AN36" s="405">
        <v>1.18</v>
      </c>
      <c r="AO36" s="405">
        <v>1.2</v>
      </c>
      <c r="AP36" s="405">
        <v>2.09</v>
      </c>
      <c r="AQ36" s="405">
        <v>2.13</v>
      </c>
      <c r="AR36" s="405">
        <v>2.17</v>
      </c>
      <c r="AS36" s="405">
        <v>3.29</v>
      </c>
      <c r="AT36" s="405">
        <v>3.37</v>
      </c>
      <c r="AU36" s="405">
        <v>3.45</v>
      </c>
      <c r="AV36" s="405">
        <v>5.26</v>
      </c>
      <c r="AW36" s="405">
        <v>5.41</v>
      </c>
      <c r="AX36" s="405">
        <v>5.57</v>
      </c>
      <c r="AY36" s="405">
        <v>6.19</v>
      </c>
      <c r="AZ36" s="405">
        <v>8.94</v>
      </c>
      <c r="BA36" s="405">
        <v>9.2799999999999994</v>
      </c>
      <c r="BB36" s="405">
        <v>9.6199999999999992</v>
      </c>
      <c r="BC36" s="405">
        <v>11.4</v>
      </c>
      <c r="BD36" s="405">
        <v>11.8</v>
      </c>
      <c r="BE36" s="405">
        <v>12.2</v>
      </c>
      <c r="BF36" s="405">
        <v>11.4</v>
      </c>
      <c r="BG36" s="405">
        <v>11.8</v>
      </c>
      <c r="BH36" s="405">
        <v>12.2</v>
      </c>
      <c r="BI36" s="405">
        <v>16.78</v>
      </c>
      <c r="BJ36" s="405">
        <v>17.68</v>
      </c>
      <c r="BK36" s="405">
        <v>18.579999999999998</v>
      </c>
      <c r="BL36" s="405">
        <v>17.600000000000001</v>
      </c>
      <c r="BM36" s="405">
        <v>18.55</v>
      </c>
      <c r="BN36" s="405">
        <v>19.489999999999998</v>
      </c>
      <c r="BO36" s="405">
        <v>25.26</v>
      </c>
      <c r="BP36" s="405">
        <v>26.54</v>
      </c>
      <c r="BQ36" s="405">
        <v>27.81</v>
      </c>
      <c r="BR36" s="405">
        <v>36.19</v>
      </c>
      <c r="BS36" s="405">
        <v>38.6</v>
      </c>
      <c r="BT36" s="405">
        <v>41.02</v>
      </c>
      <c r="BU36" s="405">
        <v>94.47</v>
      </c>
      <c r="BV36" s="405">
        <v>101.89</v>
      </c>
      <c r="BW36" s="405">
        <v>109.32</v>
      </c>
      <c r="BX36" s="405" t="s">
        <v>322</v>
      </c>
      <c r="BY36" s="405" t="s">
        <v>322</v>
      </c>
      <c r="BZ36" s="405" t="s">
        <v>322</v>
      </c>
      <c r="CA36" s="405" t="s">
        <v>322</v>
      </c>
      <c r="CB36" s="405"/>
      <c r="CC36" s="405"/>
      <c r="CD36" s="405"/>
    </row>
    <row r="37" spans="1:82">
      <c r="A37" s="404">
        <v>1400</v>
      </c>
      <c r="B37" s="405">
        <v>2.16</v>
      </c>
      <c r="C37" s="405">
        <v>2.2000000000000002</v>
      </c>
      <c r="D37" s="405">
        <v>2.2400000000000002</v>
      </c>
      <c r="E37" s="405">
        <v>3.4</v>
      </c>
      <c r="F37" s="405">
        <v>3.48</v>
      </c>
      <c r="G37" s="405">
        <v>3.56</v>
      </c>
      <c r="H37" s="405">
        <v>5.43</v>
      </c>
      <c r="I37" s="405">
        <v>5.29</v>
      </c>
      <c r="J37" s="405">
        <v>5.19</v>
      </c>
      <c r="K37" s="405">
        <v>5.58</v>
      </c>
      <c r="L37" s="405">
        <v>5.39</v>
      </c>
      <c r="M37" s="405">
        <v>5.74</v>
      </c>
      <c r="N37" s="405">
        <v>6.36</v>
      </c>
      <c r="O37" s="405">
        <v>9.2200000000000006</v>
      </c>
      <c r="P37" s="405">
        <v>8.77</v>
      </c>
      <c r="Q37" s="405">
        <v>8.6</v>
      </c>
      <c r="R37" s="405">
        <v>9.56</v>
      </c>
      <c r="S37" s="405">
        <v>8.94</v>
      </c>
      <c r="T37" s="405">
        <v>9.9</v>
      </c>
      <c r="U37" s="405">
        <v>11.4</v>
      </c>
      <c r="V37" s="405">
        <v>10.8</v>
      </c>
      <c r="W37" s="405">
        <v>10.6</v>
      </c>
      <c r="X37" s="405">
        <v>11.8</v>
      </c>
      <c r="Y37" s="405">
        <v>11</v>
      </c>
      <c r="Z37" s="405">
        <v>12.2</v>
      </c>
      <c r="AA37" s="405">
        <v>17.28</v>
      </c>
      <c r="AB37" s="405">
        <v>18.18</v>
      </c>
      <c r="AC37" s="405">
        <v>19.079999999999998</v>
      </c>
      <c r="AD37" s="405" t="s">
        <v>322</v>
      </c>
      <c r="AE37" s="405" t="s">
        <v>322</v>
      </c>
      <c r="AF37" s="405" t="s">
        <v>322</v>
      </c>
      <c r="AG37" s="405" t="s">
        <v>322</v>
      </c>
      <c r="AH37" s="405" t="s">
        <v>322</v>
      </c>
      <c r="AI37" s="405" t="s">
        <v>322</v>
      </c>
      <c r="AJ37" s="405" t="s">
        <v>322</v>
      </c>
      <c r="AK37" s="405" t="s">
        <v>322</v>
      </c>
      <c r="AL37" s="405" t="s">
        <v>322</v>
      </c>
      <c r="AM37" s="405">
        <v>1.2</v>
      </c>
      <c r="AN37" s="405">
        <v>1.22</v>
      </c>
      <c r="AO37" s="405">
        <v>1.24</v>
      </c>
      <c r="AP37" s="405">
        <v>2.16</v>
      </c>
      <c r="AQ37" s="405">
        <v>2.2000000000000002</v>
      </c>
      <c r="AR37" s="405">
        <v>2.2400000000000002</v>
      </c>
      <c r="AS37" s="405">
        <v>3.4</v>
      </c>
      <c r="AT37" s="405">
        <v>3.48</v>
      </c>
      <c r="AU37" s="405">
        <v>3.56</v>
      </c>
      <c r="AV37" s="405">
        <v>5.43</v>
      </c>
      <c r="AW37" s="405">
        <v>5.58</v>
      </c>
      <c r="AX37" s="405">
        <v>5.74</v>
      </c>
      <c r="AY37" s="405">
        <v>6.36</v>
      </c>
      <c r="AZ37" s="405">
        <v>9.2200000000000006</v>
      </c>
      <c r="BA37" s="405">
        <v>9.56</v>
      </c>
      <c r="BB37" s="405">
        <v>9.9</v>
      </c>
      <c r="BC37" s="405">
        <v>11.7</v>
      </c>
      <c r="BD37" s="405">
        <v>12.1</v>
      </c>
      <c r="BE37" s="405">
        <v>12.6</v>
      </c>
      <c r="BF37" s="405">
        <v>11.7</v>
      </c>
      <c r="BG37" s="405">
        <v>12.1</v>
      </c>
      <c r="BH37" s="405">
        <v>12.6</v>
      </c>
      <c r="BI37" s="405">
        <v>17.28</v>
      </c>
      <c r="BJ37" s="405">
        <v>18.18</v>
      </c>
      <c r="BK37" s="405">
        <v>19.079999999999998</v>
      </c>
      <c r="BL37" s="405">
        <v>18.12</v>
      </c>
      <c r="BM37" s="405">
        <v>19.07</v>
      </c>
      <c r="BN37" s="405">
        <v>20.02</v>
      </c>
      <c r="BO37" s="405">
        <v>25.97</v>
      </c>
      <c r="BP37" s="405">
        <v>27.25</v>
      </c>
      <c r="BQ37" s="405">
        <v>28.52</v>
      </c>
      <c r="BR37" s="405">
        <v>37.19</v>
      </c>
      <c r="BS37" s="405">
        <v>39.61</v>
      </c>
      <c r="BT37" s="405">
        <v>42.02</v>
      </c>
      <c r="BU37" s="405">
        <v>97.22</v>
      </c>
      <c r="BV37" s="405">
        <v>104.64</v>
      </c>
      <c r="BW37" s="405">
        <v>112.06</v>
      </c>
      <c r="BX37" s="405" t="s">
        <v>322</v>
      </c>
      <c r="BY37" s="405" t="s">
        <v>322</v>
      </c>
      <c r="BZ37" s="405" t="s">
        <v>322</v>
      </c>
      <c r="CA37" s="405" t="s">
        <v>322</v>
      </c>
      <c r="CB37" s="405"/>
      <c r="CC37" s="405"/>
      <c r="CD37" s="405"/>
    </row>
    <row r="38" spans="1:82">
      <c r="A38" s="404">
        <v>1450</v>
      </c>
      <c r="B38" s="405">
        <v>2.23</v>
      </c>
      <c r="C38" s="405">
        <v>2.27</v>
      </c>
      <c r="D38" s="405">
        <v>2.31</v>
      </c>
      <c r="E38" s="405">
        <v>3.51</v>
      </c>
      <c r="F38" s="405">
        <v>3.59</v>
      </c>
      <c r="G38" s="405">
        <v>3.67</v>
      </c>
      <c r="H38" s="405">
        <v>5.6</v>
      </c>
      <c r="I38" s="405">
        <v>5.46</v>
      </c>
      <c r="J38" s="405">
        <v>5.36</v>
      </c>
      <c r="K38" s="405">
        <v>5.76</v>
      </c>
      <c r="L38" s="405">
        <v>5.57</v>
      </c>
      <c r="M38" s="405">
        <v>5.91</v>
      </c>
      <c r="N38" s="405">
        <v>6.53</v>
      </c>
      <c r="O38" s="405">
        <v>9.5</v>
      </c>
      <c r="P38" s="405">
        <v>9.0500000000000007</v>
      </c>
      <c r="Q38" s="405">
        <v>8.8800000000000008</v>
      </c>
      <c r="R38" s="405">
        <v>9.84</v>
      </c>
      <c r="S38" s="405">
        <v>9.2200000000000006</v>
      </c>
      <c r="T38" s="405">
        <v>10.18</v>
      </c>
      <c r="U38" s="405">
        <v>11.7</v>
      </c>
      <c r="V38" s="405">
        <v>11.2</v>
      </c>
      <c r="W38" s="405">
        <v>11</v>
      </c>
      <c r="X38" s="405">
        <v>12.2</v>
      </c>
      <c r="Y38" s="405">
        <v>11.4</v>
      </c>
      <c r="Z38" s="405">
        <v>12.6</v>
      </c>
      <c r="AA38" s="405">
        <v>17.78</v>
      </c>
      <c r="AB38" s="405">
        <v>18.68</v>
      </c>
      <c r="AC38" s="405">
        <v>19.59</v>
      </c>
      <c r="AD38" s="405" t="s">
        <v>322</v>
      </c>
      <c r="AE38" s="405" t="s">
        <v>322</v>
      </c>
      <c r="AF38" s="405" t="s">
        <v>322</v>
      </c>
      <c r="AG38" s="405" t="s">
        <v>322</v>
      </c>
      <c r="AH38" s="405" t="s">
        <v>322</v>
      </c>
      <c r="AI38" s="405" t="s">
        <v>322</v>
      </c>
      <c r="AJ38" s="405" t="s">
        <v>322</v>
      </c>
      <c r="AK38" s="405" t="s">
        <v>322</v>
      </c>
      <c r="AL38" s="405" t="s">
        <v>322</v>
      </c>
      <c r="AM38" s="405">
        <v>1.24</v>
      </c>
      <c r="AN38" s="405">
        <v>1.26</v>
      </c>
      <c r="AO38" s="405">
        <v>1.28</v>
      </c>
      <c r="AP38" s="405">
        <v>2.23</v>
      </c>
      <c r="AQ38" s="405">
        <v>2.27</v>
      </c>
      <c r="AR38" s="405">
        <v>2.31</v>
      </c>
      <c r="AS38" s="405">
        <v>3.51</v>
      </c>
      <c r="AT38" s="405">
        <v>3.59</v>
      </c>
      <c r="AU38" s="405">
        <v>3.67</v>
      </c>
      <c r="AV38" s="405">
        <v>5.6</v>
      </c>
      <c r="AW38" s="405">
        <v>5.76</v>
      </c>
      <c r="AX38" s="405">
        <v>5.91</v>
      </c>
      <c r="AY38" s="405">
        <v>6.53</v>
      </c>
      <c r="AZ38" s="405">
        <v>9.5</v>
      </c>
      <c r="BA38" s="405">
        <v>9.84</v>
      </c>
      <c r="BB38" s="405">
        <v>10.18</v>
      </c>
      <c r="BC38" s="405">
        <v>12.1</v>
      </c>
      <c r="BD38" s="405">
        <v>12.5</v>
      </c>
      <c r="BE38" s="405">
        <v>12.9</v>
      </c>
      <c r="BF38" s="405">
        <v>12.1</v>
      </c>
      <c r="BG38" s="405">
        <v>12.5</v>
      </c>
      <c r="BH38" s="405">
        <v>12.9</v>
      </c>
      <c r="BI38" s="405">
        <v>17.78</v>
      </c>
      <c r="BJ38" s="405">
        <v>18.68</v>
      </c>
      <c r="BK38" s="405">
        <v>19.59</v>
      </c>
      <c r="BL38" s="405">
        <v>18.649999999999999</v>
      </c>
      <c r="BM38" s="405">
        <v>19.600000000000001</v>
      </c>
      <c r="BN38" s="405">
        <v>20.54</v>
      </c>
      <c r="BO38" s="405">
        <v>26.68</v>
      </c>
      <c r="BP38" s="405">
        <v>27.96</v>
      </c>
      <c r="BQ38" s="405">
        <v>29.23</v>
      </c>
      <c r="BR38" s="405">
        <v>38.200000000000003</v>
      </c>
      <c r="BS38" s="405">
        <v>40.61</v>
      </c>
      <c r="BT38" s="405">
        <v>43.03</v>
      </c>
      <c r="BU38" s="405">
        <v>99.97</v>
      </c>
      <c r="BV38" s="405">
        <v>107.39</v>
      </c>
      <c r="BW38" s="405">
        <v>114.81</v>
      </c>
      <c r="BX38" s="405" t="s">
        <v>322</v>
      </c>
      <c r="BY38" s="405" t="s">
        <v>322</v>
      </c>
      <c r="BZ38" s="405" t="s">
        <v>322</v>
      </c>
      <c r="CA38" s="405" t="s">
        <v>322</v>
      </c>
      <c r="CB38" s="405"/>
      <c r="CC38" s="405"/>
      <c r="CD38" s="405"/>
    </row>
    <row r="39" spans="1:82">
      <c r="A39" s="404">
        <v>1500</v>
      </c>
      <c r="B39" s="405">
        <v>2.2999999999999998</v>
      </c>
      <c r="C39" s="405">
        <v>2.34</v>
      </c>
      <c r="D39" s="405">
        <v>2.38</v>
      </c>
      <c r="E39" s="405">
        <v>3.62</v>
      </c>
      <c r="F39" s="405">
        <v>3.7</v>
      </c>
      <c r="G39" s="405">
        <v>3.78</v>
      </c>
      <c r="H39" s="405">
        <v>5.77</v>
      </c>
      <c r="I39" s="405">
        <v>5.64</v>
      </c>
      <c r="J39" s="405">
        <v>5.53</v>
      </c>
      <c r="K39" s="405">
        <v>5.93</v>
      </c>
      <c r="L39" s="405">
        <v>5.74</v>
      </c>
      <c r="M39" s="405">
        <v>6.08</v>
      </c>
      <c r="N39" s="405">
        <v>6.7</v>
      </c>
      <c r="O39" s="405">
        <v>9.7899999999999991</v>
      </c>
      <c r="P39" s="405">
        <v>9.34</v>
      </c>
      <c r="Q39" s="405">
        <v>9.17</v>
      </c>
      <c r="R39" s="405">
        <v>10.119999999999999</v>
      </c>
      <c r="S39" s="405">
        <v>9.5</v>
      </c>
      <c r="T39" s="405">
        <v>10.46</v>
      </c>
      <c r="U39" s="405">
        <v>12.1</v>
      </c>
      <c r="V39" s="405">
        <v>11.5</v>
      </c>
      <c r="W39" s="405">
        <v>11.3</v>
      </c>
      <c r="X39" s="405">
        <v>12.5</v>
      </c>
      <c r="Y39" s="405">
        <v>11.7</v>
      </c>
      <c r="Z39" s="405">
        <v>12.9</v>
      </c>
      <c r="AA39" s="405">
        <v>18.28</v>
      </c>
      <c r="AB39" s="405">
        <v>19.190000000000001</v>
      </c>
      <c r="AC39" s="405">
        <v>20.09</v>
      </c>
      <c r="AD39" s="405" t="s">
        <v>322</v>
      </c>
      <c r="AE39" s="405" t="s">
        <v>322</v>
      </c>
      <c r="AF39" s="405" t="s">
        <v>322</v>
      </c>
      <c r="AG39" s="405" t="s">
        <v>322</v>
      </c>
      <c r="AH39" s="405" t="s">
        <v>322</v>
      </c>
      <c r="AI39" s="405" t="s">
        <v>322</v>
      </c>
      <c r="AJ39" s="405" t="s">
        <v>322</v>
      </c>
      <c r="AK39" s="405" t="s">
        <v>322</v>
      </c>
      <c r="AL39" s="405" t="s">
        <v>322</v>
      </c>
      <c r="AM39" s="405">
        <v>1.28</v>
      </c>
      <c r="AN39" s="405">
        <v>1.3</v>
      </c>
      <c r="AO39" s="405">
        <v>1.32</v>
      </c>
      <c r="AP39" s="405">
        <v>2.2999999999999998</v>
      </c>
      <c r="AQ39" s="405">
        <v>2.34</v>
      </c>
      <c r="AR39" s="405">
        <v>2.38</v>
      </c>
      <c r="AS39" s="405">
        <v>3.62</v>
      </c>
      <c r="AT39" s="405">
        <v>3.7</v>
      </c>
      <c r="AU39" s="405">
        <v>3.78</v>
      </c>
      <c r="AV39" s="405">
        <v>5.77</v>
      </c>
      <c r="AW39" s="405">
        <v>5.93</v>
      </c>
      <c r="AX39" s="405">
        <v>6.08</v>
      </c>
      <c r="AY39" s="405">
        <v>6.7</v>
      </c>
      <c r="AZ39" s="405">
        <v>9.7899999999999991</v>
      </c>
      <c r="BA39" s="405">
        <v>10.119999999999999</v>
      </c>
      <c r="BB39" s="405">
        <v>10.46</v>
      </c>
      <c r="BC39" s="405">
        <v>12.4</v>
      </c>
      <c r="BD39" s="405">
        <v>12.9</v>
      </c>
      <c r="BE39" s="405">
        <v>13.3</v>
      </c>
      <c r="BF39" s="405">
        <v>12.4</v>
      </c>
      <c r="BG39" s="405">
        <v>12.9</v>
      </c>
      <c r="BH39" s="405">
        <v>13.3</v>
      </c>
      <c r="BI39" s="405">
        <v>18.28</v>
      </c>
      <c r="BJ39" s="405">
        <v>19.190000000000001</v>
      </c>
      <c r="BK39" s="405">
        <v>20.09</v>
      </c>
      <c r="BL39" s="405">
        <v>19.18</v>
      </c>
      <c r="BM39" s="405">
        <v>20.12</v>
      </c>
      <c r="BN39" s="405">
        <v>21.07</v>
      </c>
      <c r="BO39" s="405">
        <v>27.39</v>
      </c>
      <c r="BP39" s="405">
        <v>28.67</v>
      </c>
      <c r="BQ39" s="405">
        <v>29.94</v>
      </c>
      <c r="BR39" s="405">
        <v>39.200000000000003</v>
      </c>
      <c r="BS39" s="405">
        <v>41.62</v>
      </c>
      <c r="BT39" s="405">
        <v>44.03</v>
      </c>
      <c r="BU39" s="405">
        <v>102.72</v>
      </c>
      <c r="BV39" s="405">
        <v>110.14</v>
      </c>
      <c r="BW39" s="405">
        <v>117.56</v>
      </c>
      <c r="BX39" s="405" t="s">
        <v>322</v>
      </c>
      <c r="BY39" s="405" t="s">
        <v>322</v>
      </c>
      <c r="BZ39" s="405" t="s">
        <v>322</v>
      </c>
      <c r="CA39" s="405" t="s">
        <v>322</v>
      </c>
      <c r="CB39" s="405"/>
      <c r="CC39" s="405"/>
      <c r="CD39" s="405"/>
    </row>
    <row r="40" spans="1:82">
      <c r="A40" s="404">
        <v>1550</v>
      </c>
      <c r="B40" s="405">
        <v>2.37</v>
      </c>
      <c r="C40" s="405">
        <v>2.41</v>
      </c>
      <c r="D40" s="405">
        <v>2.4500000000000002</v>
      </c>
      <c r="E40" s="405">
        <v>3.73</v>
      </c>
      <c r="F40" s="405">
        <v>3.81</v>
      </c>
      <c r="G40" s="405">
        <v>3.89</v>
      </c>
      <c r="H40" s="405">
        <v>6.03</v>
      </c>
      <c r="I40" s="405">
        <v>5.9</v>
      </c>
      <c r="J40" s="405">
        <v>5.79</v>
      </c>
      <c r="K40" s="405">
        <v>6.19</v>
      </c>
      <c r="L40" s="405">
        <v>6</v>
      </c>
      <c r="M40" s="405">
        <v>6.34</v>
      </c>
      <c r="N40" s="405">
        <v>6.96</v>
      </c>
      <c r="O40" s="405">
        <v>10.210000000000001</v>
      </c>
      <c r="P40" s="405">
        <v>9.76</v>
      </c>
      <c r="Q40" s="405">
        <v>9.59</v>
      </c>
      <c r="R40" s="405">
        <v>10.55</v>
      </c>
      <c r="S40" s="405">
        <v>9.93</v>
      </c>
      <c r="T40" s="405">
        <v>10.89</v>
      </c>
      <c r="U40" s="405">
        <v>12.6</v>
      </c>
      <c r="V40" s="405">
        <v>12.1</v>
      </c>
      <c r="W40" s="405">
        <v>11.8</v>
      </c>
      <c r="X40" s="405">
        <v>13</v>
      </c>
      <c r="Y40" s="405">
        <v>12.3</v>
      </c>
      <c r="Z40" s="405">
        <v>13.4</v>
      </c>
      <c r="AA40" s="405">
        <v>18.78</v>
      </c>
      <c r="AB40" s="405">
        <v>19.690000000000001</v>
      </c>
      <c r="AC40" s="405">
        <v>20.59</v>
      </c>
      <c r="AD40" s="405" t="s">
        <v>322</v>
      </c>
      <c r="AE40" s="405" t="s">
        <v>322</v>
      </c>
      <c r="AF40" s="405" t="s">
        <v>322</v>
      </c>
      <c r="AG40" s="405" t="s">
        <v>322</v>
      </c>
      <c r="AH40" s="405" t="s">
        <v>322</v>
      </c>
      <c r="AI40" s="405" t="s">
        <v>322</v>
      </c>
      <c r="AJ40" s="405" t="s">
        <v>322</v>
      </c>
      <c r="AK40" s="405" t="s">
        <v>322</v>
      </c>
      <c r="AL40" s="405" t="s">
        <v>322</v>
      </c>
      <c r="AM40" s="405">
        <v>1.32</v>
      </c>
      <c r="AN40" s="405">
        <v>1.34</v>
      </c>
      <c r="AO40" s="405">
        <v>1.36</v>
      </c>
      <c r="AP40" s="405">
        <v>2.37</v>
      </c>
      <c r="AQ40" s="405">
        <v>2.41</v>
      </c>
      <c r="AR40" s="405">
        <v>2.4500000000000002</v>
      </c>
      <c r="AS40" s="405">
        <v>3.73</v>
      </c>
      <c r="AT40" s="405">
        <v>3.81</v>
      </c>
      <c r="AU40" s="405">
        <v>3.89</v>
      </c>
      <c r="AV40" s="405">
        <v>6.03</v>
      </c>
      <c r="AW40" s="405">
        <v>6.19</v>
      </c>
      <c r="AX40" s="405">
        <v>6.34</v>
      </c>
      <c r="AY40" s="405">
        <v>6.96</v>
      </c>
      <c r="AZ40" s="405">
        <v>10.210000000000001</v>
      </c>
      <c r="BA40" s="405">
        <v>10.55</v>
      </c>
      <c r="BB40" s="405">
        <v>10.89</v>
      </c>
      <c r="BC40" s="405">
        <v>13</v>
      </c>
      <c r="BD40" s="405">
        <v>13.4</v>
      </c>
      <c r="BE40" s="405">
        <v>13.8</v>
      </c>
      <c r="BF40" s="405">
        <v>13</v>
      </c>
      <c r="BG40" s="405">
        <v>13.4</v>
      </c>
      <c r="BH40" s="405">
        <v>13.8</v>
      </c>
      <c r="BI40" s="405">
        <v>18.78</v>
      </c>
      <c r="BJ40" s="405">
        <v>19.690000000000001</v>
      </c>
      <c r="BK40" s="405">
        <v>20.59</v>
      </c>
      <c r="BL40" s="405">
        <v>19.7</v>
      </c>
      <c r="BM40" s="405">
        <v>20.65</v>
      </c>
      <c r="BN40" s="405">
        <v>21.59</v>
      </c>
      <c r="BO40" s="405">
        <v>28.1</v>
      </c>
      <c r="BP40" s="405">
        <v>29.38</v>
      </c>
      <c r="BQ40" s="405">
        <v>30.65</v>
      </c>
      <c r="BR40" s="405">
        <v>40.21</v>
      </c>
      <c r="BS40" s="405">
        <v>42.63</v>
      </c>
      <c r="BT40" s="405">
        <v>45.04</v>
      </c>
      <c r="BU40" s="405">
        <v>105.47</v>
      </c>
      <c r="BV40" s="405">
        <v>112.89</v>
      </c>
      <c r="BW40" s="405">
        <v>120.31</v>
      </c>
      <c r="BX40" s="405" t="s">
        <v>322</v>
      </c>
      <c r="BY40" s="405" t="s">
        <v>322</v>
      </c>
      <c r="BZ40" s="405" t="s">
        <v>322</v>
      </c>
      <c r="CA40" s="405" t="s">
        <v>322</v>
      </c>
      <c r="CB40" s="405"/>
      <c r="CC40" s="405"/>
      <c r="CD40" s="405"/>
    </row>
    <row r="41" spans="1:82">
      <c r="A41" s="404">
        <v>1600</v>
      </c>
      <c r="B41" s="405">
        <v>2.44</v>
      </c>
      <c r="C41" s="405">
        <v>2.48</v>
      </c>
      <c r="D41" s="405">
        <v>2.52</v>
      </c>
      <c r="E41" s="405">
        <v>3.84</v>
      </c>
      <c r="F41" s="405">
        <v>3.92</v>
      </c>
      <c r="G41" s="405">
        <v>4</v>
      </c>
      <c r="H41" s="405">
        <v>6.2</v>
      </c>
      <c r="I41" s="405">
        <v>6.07</v>
      </c>
      <c r="J41" s="405">
        <v>5.96</v>
      </c>
      <c r="K41" s="405">
        <v>6.36</v>
      </c>
      <c r="L41" s="405">
        <v>6.17</v>
      </c>
      <c r="M41" s="405">
        <v>6.51</v>
      </c>
      <c r="N41" s="405">
        <v>7.13</v>
      </c>
      <c r="O41" s="405">
        <v>10.49</v>
      </c>
      <c r="P41" s="405">
        <v>10.039999999999999</v>
      </c>
      <c r="Q41" s="405">
        <v>9.8699999999999992</v>
      </c>
      <c r="R41" s="405">
        <v>10.83</v>
      </c>
      <c r="S41" s="405">
        <v>10.210000000000001</v>
      </c>
      <c r="T41" s="405">
        <v>11.17</v>
      </c>
      <c r="U41" s="405">
        <v>13</v>
      </c>
      <c r="V41" s="405">
        <v>12.4</v>
      </c>
      <c r="W41" s="405">
        <v>12.2</v>
      </c>
      <c r="X41" s="405">
        <v>13.4</v>
      </c>
      <c r="Y41" s="405">
        <v>12.6</v>
      </c>
      <c r="Z41" s="405">
        <v>13.8</v>
      </c>
      <c r="AA41" s="405">
        <v>19.29</v>
      </c>
      <c r="AB41" s="405">
        <v>20.190000000000001</v>
      </c>
      <c r="AC41" s="405">
        <v>21.09</v>
      </c>
      <c r="AD41" s="405" t="s">
        <v>322</v>
      </c>
      <c r="AE41" s="405" t="s">
        <v>322</v>
      </c>
      <c r="AF41" s="405" t="s">
        <v>322</v>
      </c>
      <c r="AG41" s="405" t="s">
        <v>322</v>
      </c>
      <c r="AH41" s="405" t="s">
        <v>322</v>
      </c>
      <c r="AI41" s="405" t="s">
        <v>322</v>
      </c>
      <c r="AJ41" s="405" t="s">
        <v>322</v>
      </c>
      <c r="AK41" s="405" t="s">
        <v>322</v>
      </c>
      <c r="AL41" s="405" t="s">
        <v>322</v>
      </c>
      <c r="AM41" s="405">
        <v>1.36</v>
      </c>
      <c r="AN41" s="405">
        <v>1.38</v>
      </c>
      <c r="AO41" s="405">
        <v>1.4</v>
      </c>
      <c r="AP41" s="405">
        <v>2.44</v>
      </c>
      <c r="AQ41" s="405">
        <v>2.48</v>
      </c>
      <c r="AR41" s="405">
        <v>2.52</v>
      </c>
      <c r="AS41" s="405">
        <v>3.84</v>
      </c>
      <c r="AT41" s="405">
        <v>3.92</v>
      </c>
      <c r="AU41" s="405">
        <v>4</v>
      </c>
      <c r="AV41" s="405">
        <v>6.2</v>
      </c>
      <c r="AW41" s="405">
        <v>6.36</v>
      </c>
      <c r="AX41" s="405">
        <v>6.51</v>
      </c>
      <c r="AY41" s="405">
        <v>7.13</v>
      </c>
      <c r="AZ41" s="405">
        <v>10.49</v>
      </c>
      <c r="BA41" s="405">
        <v>10.83</v>
      </c>
      <c r="BB41" s="405">
        <v>11.17</v>
      </c>
      <c r="BC41" s="405">
        <v>13.3</v>
      </c>
      <c r="BD41" s="405">
        <v>13.8</v>
      </c>
      <c r="BE41" s="405">
        <v>14.2</v>
      </c>
      <c r="BF41" s="405">
        <v>13.3</v>
      </c>
      <c r="BG41" s="405">
        <v>13.8</v>
      </c>
      <c r="BH41" s="405">
        <v>14.2</v>
      </c>
      <c r="BI41" s="405">
        <v>19.29</v>
      </c>
      <c r="BJ41" s="405">
        <v>20.190000000000001</v>
      </c>
      <c r="BK41" s="405">
        <v>21.09</v>
      </c>
      <c r="BL41" s="405">
        <v>20.23</v>
      </c>
      <c r="BM41" s="405">
        <v>21.17</v>
      </c>
      <c r="BN41" s="405">
        <v>22.12</v>
      </c>
      <c r="BO41" s="405">
        <v>28.81</v>
      </c>
      <c r="BP41" s="405">
        <v>30.09</v>
      </c>
      <c r="BQ41" s="405">
        <v>31.36</v>
      </c>
      <c r="BR41" s="405">
        <v>41.22</v>
      </c>
      <c r="BS41" s="405">
        <v>43.63</v>
      </c>
      <c r="BT41" s="405">
        <v>46.05</v>
      </c>
      <c r="BU41" s="405">
        <v>108.22</v>
      </c>
      <c r="BV41" s="405">
        <v>115.64</v>
      </c>
      <c r="BW41" s="405">
        <v>123.06</v>
      </c>
      <c r="BX41" s="405" t="s">
        <v>322</v>
      </c>
      <c r="BY41" s="405" t="s">
        <v>322</v>
      </c>
      <c r="BZ41" s="405" t="s">
        <v>322</v>
      </c>
      <c r="CA41" s="405" t="s">
        <v>322</v>
      </c>
      <c r="CB41" s="405"/>
      <c r="CC41" s="405"/>
      <c r="CD41" s="405"/>
    </row>
    <row r="42" spans="1:82">
      <c r="A42" s="404">
        <v>1650</v>
      </c>
      <c r="B42" s="405">
        <v>2.5099999999999998</v>
      </c>
      <c r="C42" s="405">
        <v>2.5499999999999998</v>
      </c>
      <c r="D42" s="405">
        <v>2.59</v>
      </c>
      <c r="E42" s="405">
        <v>3.95</v>
      </c>
      <c r="F42" s="405">
        <v>4.03</v>
      </c>
      <c r="G42" s="405">
        <v>4.1100000000000003</v>
      </c>
      <c r="H42" s="405">
        <v>6.38</v>
      </c>
      <c r="I42" s="405">
        <v>6.24</v>
      </c>
      <c r="J42" s="405">
        <v>6.14</v>
      </c>
      <c r="K42" s="405">
        <v>6.53</v>
      </c>
      <c r="L42" s="405">
        <v>6.34</v>
      </c>
      <c r="M42" s="405">
        <v>6.69</v>
      </c>
      <c r="N42" s="405">
        <v>7.3</v>
      </c>
      <c r="O42" s="405">
        <v>10.77</v>
      </c>
      <c r="P42" s="405">
        <v>10.32</v>
      </c>
      <c r="Q42" s="405">
        <v>10.16</v>
      </c>
      <c r="R42" s="405">
        <v>11.11</v>
      </c>
      <c r="S42" s="405">
        <v>10.49</v>
      </c>
      <c r="T42" s="405">
        <v>11.45</v>
      </c>
      <c r="U42" s="405">
        <v>13.3</v>
      </c>
      <c r="V42" s="405">
        <v>12.8</v>
      </c>
      <c r="W42" s="405">
        <v>12.5</v>
      </c>
      <c r="X42" s="405">
        <v>13.7</v>
      </c>
      <c r="Y42" s="405">
        <v>13</v>
      </c>
      <c r="Z42" s="405">
        <v>14.1</v>
      </c>
      <c r="AA42" s="405">
        <v>19.79</v>
      </c>
      <c r="AB42" s="405">
        <v>20.69</v>
      </c>
      <c r="AC42" s="405">
        <v>21.59</v>
      </c>
      <c r="AD42" s="405" t="s">
        <v>322</v>
      </c>
      <c r="AE42" s="405" t="s">
        <v>322</v>
      </c>
      <c r="AF42" s="405" t="s">
        <v>322</v>
      </c>
      <c r="AG42" s="405" t="s">
        <v>322</v>
      </c>
      <c r="AH42" s="405" t="s">
        <v>322</v>
      </c>
      <c r="AI42" s="405" t="s">
        <v>322</v>
      </c>
      <c r="AJ42" s="405" t="s">
        <v>322</v>
      </c>
      <c r="AK42" s="405" t="s">
        <v>322</v>
      </c>
      <c r="AL42" s="405" t="s">
        <v>322</v>
      </c>
      <c r="AM42" s="405">
        <v>1.4</v>
      </c>
      <c r="AN42" s="405">
        <v>1.42</v>
      </c>
      <c r="AO42" s="405">
        <v>1.44</v>
      </c>
      <c r="AP42" s="405">
        <v>2.5099999999999998</v>
      </c>
      <c r="AQ42" s="405">
        <v>2.5499999999999998</v>
      </c>
      <c r="AR42" s="405">
        <v>2.59</v>
      </c>
      <c r="AS42" s="405">
        <v>3.95</v>
      </c>
      <c r="AT42" s="405">
        <v>4.03</v>
      </c>
      <c r="AU42" s="405">
        <v>4.1100000000000003</v>
      </c>
      <c r="AV42" s="405">
        <v>6.38</v>
      </c>
      <c r="AW42" s="405">
        <v>6.53</v>
      </c>
      <c r="AX42" s="405">
        <v>6.69</v>
      </c>
      <c r="AY42" s="405">
        <v>7.3</v>
      </c>
      <c r="AZ42" s="405">
        <v>10.77</v>
      </c>
      <c r="BA42" s="405">
        <v>11.11</v>
      </c>
      <c r="BB42" s="405">
        <v>11.45</v>
      </c>
      <c r="BC42" s="405">
        <v>13.7</v>
      </c>
      <c r="BD42" s="405">
        <v>14.1</v>
      </c>
      <c r="BE42" s="405">
        <v>14.6</v>
      </c>
      <c r="BF42" s="405">
        <v>13.7</v>
      </c>
      <c r="BG42" s="405">
        <v>14.1</v>
      </c>
      <c r="BH42" s="405">
        <v>14.6</v>
      </c>
      <c r="BI42" s="405">
        <v>19.79</v>
      </c>
      <c r="BJ42" s="405">
        <v>20.69</v>
      </c>
      <c r="BK42" s="405">
        <v>21.59</v>
      </c>
      <c r="BL42" s="405">
        <v>20.75</v>
      </c>
      <c r="BM42" s="405">
        <v>21.7</v>
      </c>
      <c r="BN42" s="405">
        <v>22.65</v>
      </c>
      <c r="BO42" s="405">
        <v>29.52</v>
      </c>
      <c r="BP42" s="405">
        <v>30.8</v>
      </c>
      <c r="BQ42" s="405">
        <v>32.07</v>
      </c>
      <c r="BR42" s="405">
        <v>42.22</v>
      </c>
      <c r="BS42" s="405">
        <v>44.64</v>
      </c>
      <c r="BT42" s="405">
        <v>47.05</v>
      </c>
      <c r="BU42" s="405">
        <v>110.96</v>
      </c>
      <c r="BV42" s="405">
        <v>118.39</v>
      </c>
      <c r="BW42" s="405">
        <v>125.81</v>
      </c>
      <c r="BX42" s="405" t="s">
        <v>322</v>
      </c>
      <c r="BY42" s="405" t="s">
        <v>322</v>
      </c>
      <c r="BZ42" s="405" t="s">
        <v>322</v>
      </c>
      <c r="CA42" s="405" t="s">
        <v>322</v>
      </c>
      <c r="CB42" s="405"/>
      <c r="CC42" s="405"/>
      <c r="CD42" s="405"/>
    </row>
    <row r="43" spans="1:82">
      <c r="A43" s="404">
        <v>1700</v>
      </c>
      <c r="B43" s="405">
        <v>2.58</v>
      </c>
      <c r="C43" s="405">
        <v>2.62</v>
      </c>
      <c r="D43" s="405">
        <v>2.66</v>
      </c>
      <c r="E43" s="405">
        <v>4.0599999999999996</v>
      </c>
      <c r="F43" s="405">
        <v>4.1399999999999997</v>
      </c>
      <c r="G43" s="405">
        <v>4.22</v>
      </c>
      <c r="H43" s="405">
        <v>6.55</v>
      </c>
      <c r="I43" s="405">
        <v>6.41</v>
      </c>
      <c r="J43" s="405">
        <v>6.31</v>
      </c>
      <c r="K43" s="405">
        <v>6.7</v>
      </c>
      <c r="L43" s="405">
        <v>6.51</v>
      </c>
      <c r="M43" s="405">
        <v>6.86</v>
      </c>
      <c r="N43" s="405">
        <v>7.48</v>
      </c>
      <c r="O43" s="405">
        <v>11.06</v>
      </c>
      <c r="P43" s="405">
        <v>10.61</v>
      </c>
      <c r="Q43" s="405">
        <v>10.44</v>
      </c>
      <c r="R43" s="405">
        <v>11.39</v>
      </c>
      <c r="S43" s="405">
        <v>10.77</v>
      </c>
      <c r="T43" s="405">
        <v>11.73</v>
      </c>
      <c r="U43" s="405">
        <v>13.7</v>
      </c>
      <c r="V43" s="405">
        <v>13.1</v>
      </c>
      <c r="W43" s="405">
        <v>12.9</v>
      </c>
      <c r="X43" s="405">
        <v>14.1</v>
      </c>
      <c r="Y43" s="405">
        <v>13.3</v>
      </c>
      <c r="Z43" s="405">
        <v>14.5</v>
      </c>
      <c r="AA43" s="405">
        <v>20.29</v>
      </c>
      <c r="AB43" s="405">
        <v>21.19</v>
      </c>
      <c r="AC43" s="405">
        <v>22.09</v>
      </c>
      <c r="AD43" s="405" t="s">
        <v>322</v>
      </c>
      <c r="AE43" s="405" t="s">
        <v>322</v>
      </c>
      <c r="AF43" s="405" t="s">
        <v>322</v>
      </c>
      <c r="AG43" s="405" t="s">
        <v>322</v>
      </c>
      <c r="AH43" s="405" t="s">
        <v>322</v>
      </c>
      <c r="AI43" s="405" t="s">
        <v>322</v>
      </c>
      <c r="AJ43" s="405" t="s">
        <v>322</v>
      </c>
      <c r="AK43" s="405" t="s">
        <v>322</v>
      </c>
      <c r="AL43" s="405" t="s">
        <v>322</v>
      </c>
      <c r="AM43" s="405">
        <v>1.44</v>
      </c>
      <c r="AN43" s="405">
        <v>1.46</v>
      </c>
      <c r="AO43" s="405">
        <v>1.48</v>
      </c>
      <c r="AP43" s="405">
        <v>2.58</v>
      </c>
      <c r="AQ43" s="405">
        <v>2.62</v>
      </c>
      <c r="AR43" s="405">
        <v>2.66</v>
      </c>
      <c r="AS43" s="405">
        <v>4.0599999999999996</v>
      </c>
      <c r="AT43" s="405">
        <v>4.1399999999999997</v>
      </c>
      <c r="AU43" s="405">
        <v>4.22</v>
      </c>
      <c r="AV43" s="405">
        <v>6.55</v>
      </c>
      <c r="AW43" s="405">
        <v>6.7</v>
      </c>
      <c r="AX43" s="405">
        <v>6.86</v>
      </c>
      <c r="AY43" s="405">
        <v>7.48</v>
      </c>
      <c r="AZ43" s="405">
        <v>11.06</v>
      </c>
      <c r="BA43" s="405">
        <v>11.39</v>
      </c>
      <c r="BB43" s="405">
        <v>11.73</v>
      </c>
      <c r="BC43" s="405">
        <v>14.1</v>
      </c>
      <c r="BD43" s="405">
        <v>14.5</v>
      </c>
      <c r="BE43" s="405">
        <v>14.9</v>
      </c>
      <c r="BF43" s="405">
        <v>14.1</v>
      </c>
      <c r="BG43" s="405">
        <v>14.5</v>
      </c>
      <c r="BH43" s="405">
        <v>14.9</v>
      </c>
      <c r="BI43" s="405">
        <v>20.29</v>
      </c>
      <c r="BJ43" s="405">
        <v>21.19</v>
      </c>
      <c r="BK43" s="405">
        <v>22.09</v>
      </c>
      <c r="BL43" s="405">
        <v>21.28</v>
      </c>
      <c r="BM43" s="405">
        <v>22.23</v>
      </c>
      <c r="BN43" s="405">
        <v>23.17</v>
      </c>
      <c r="BO43" s="405">
        <v>30.23</v>
      </c>
      <c r="BP43" s="405">
        <v>31.51</v>
      </c>
      <c r="BQ43" s="405">
        <v>32.78</v>
      </c>
      <c r="BR43" s="405">
        <v>43.23</v>
      </c>
      <c r="BS43" s="405">
        <v>45.64</v>
      </c>
      <c r="BT43" s="405">
        <v>48.06</v>
      </c>
      <c r="BU43" s="405">
        <v>113.71</v>
      </c>
      <c r="BV43" s="405">
        <v>121.14</v>
      </c>
      <c r="BW43" s="405">
        <v>128.56</v>
      </c>
      <c r="BX43" s="405" t="s">
        <v>322</v>
      </c>
      <c r="BY43" s="405" t="s">
        <v>322</v>
      </c>
      <c r="BZ43" s="405" t="s">
        <v>322</v>
      </c>
      <c r="CA43" s="405" t="s">
        <v>322</v>
      </c>
      <c r="CB43" s="405"/>
      <c r="CC43" s="405"/>
      <c r="CD43" s="405"/>
    </row>
    <row r="44" spans="1:82">
      <c r="A44" s="404">
        <v>1750</v>
      </c>
      <c r="B44" s="405">
        <v>2.65</v>
      </c>
      <c r="C44" s="405">
        <v>2.69</v>
      </c>
      <c r="D44" s="405">
        <v>2.73</v>
      </c>
      <c r="E44" s="405">
        <v>4.17</v>
      </c>
      <c r="F44" s="405">
        <v>4.25</v>
      </c>
      <c r="G44" s="405">
        <v>4.33</v>
      </c>
      <c r="H44" s="405">
        <v>6.72</v>
      </c>
      <c r="I44" s="405">
        <v>6.58</v>
      </c>
      <c r="J44" s="405">
        <v>6.48</v>
      </c>
      <c r="K44" s="405">
        <v>6.87</v>
      </c>
      <c r="L44" s="405">
        <v>6.69</v>
      </c>
      <c r="M44" s="405">
        <v>7.03</v>
      </c>
      <c r="N44" s="405">
        <v>7.65</v>
      </c>
      <c r="O44" s="405">
        <v>11.34</v>
      </c>
      <c r="P44" s="405">
        <v>10.89</v>
      </c>
      <c r="Q44" s="405">
        <v>10.72</v>
      </c>
      <c r="R44" s="405">
        <v>11.68</v>
      </c>
      <c r="S44" s="405">
        <v>11.06</v>
      </c>
      <c r="T44" s="405">
        <v>12.01</v>
      </c>
      <c r="U44" s="405">
        <v>14</v>
      </c>
      <c r="V44" s="405">
        <v>13.4</v>
      </c>
      <c r="W44" s="405">
        <v>13.2</v>
      </c>
      <c r="X44" s="405">
        <v>14.4</v>
      </c>
      <c r="Y44" s="405">
        <v>13.7</v>
      </c>
      <c r="Z44" s="405">
        <v>14.8</v>
      </c>
      <c r="AA44" s="405">
        <v>20.79</v>
      </c>
      <c r="AB44" s="405">
        <v>21.69</v>
      </c>
      <c r="AC44" s="405">
        <v>22.59</v>
      </c>
      <c r="AD44" s="405" t="s">
        <v>322</v>
      </c>
      <c r="AE44" s="405" t="s">
        <v>322</v>
      </c>
      <c r="AF44" s="405" t="s">
        <v>322</v>
      </c>
      <c r="AG44" s="405" t="s">
        <v>322</v>
      </c>
      <c r="AH44" s="405" t="s">
        <v>322</v>
      </c>
      <c r="AI44" s="405" t="s">
        <v>322</v>
      </c>
      <c r="AJ44" s="405" t="s">
        <v>322</v>
      </c>
      <c r="AK44" s="405" t="s">
        <v>322</v>
      </c>
      <c r="AL44" s="405" t="s">
        <v>322</v>
      </c>
      <c r="AM44" s="405">
        <v>1.48</v>
      </c>
      <c r="AN44" s="405">
        <v>1.5</v>
      </c>
      <c r="AO44" s="405">
        <v>1.51</v>
      </c>
      <c r="AP44" s="405">
        <v>2.65</v>
      </c>
      <c r="AQ44" s="405">
        <v>2.69</v>
      </c>
      <c r="AR44" s="405">
        <v>2.73</v>
      </c>
      <c r="AS44" s="405">
        <v>4.17</v>
      </c>
      <c r="AT44" s="405">
        <v>4.25</v>
      </c>
      <c r="AU44" s="405">
        <v>4.33</v>
      </c>
      <c r="AV44" s="405">
        <v>6.72</v>
      </c>
      <c r="AW44" s="405">
        <v>6.87</v>
      </c>
      <c r="AX44" s="405">
        <v>7.03</v>
      </c>
      <c r="AY44" s="405">
        <v>7.65</v>
      </c>
      <c r="AZ44" s="405">
        <v>11.34</v>
      </c>
      <c r="BA44" s="405">
        <v>11.68</v>
      </c>
      <c r="BB44" s="405">
        <v>12.01</v>
      </c>
      <c r="BC44" s="405">
        <v>14.4</v>
      </c>
      <c r="BD44" s="405">
        <v>14.8</v>
      </c>
      <c r="BE44" s="405">
        <v>15.3</v>
      </c>
      <c r="BF44" s="405">
        <v>14.4</v>
      </c>
      <c r="BG44" s="405">
        <v>14.8</v>
      </c>
      <c r="BH44" s="405">
        <v>15.3</v>
      </c>
      <c r="BI44" s="405">
        <v>20.79</v>
      </c>
      <c r="BJ44" s="405">
        <v>21.69</v>
      </c>
      <c r="BK44" s="405">
        <v>22.59</v>
      </c>
      <c r="BL44" s="405">
        <v>21.8</v>
      </c>
      <c r="BM44" s="405">
        <v>22.75</v>
      </c>
      <c r="BN44" s="405">
        <v>23.7</v>
      </c>
      <c r="BO44" s="405">
        <v>30.94</v>
      </c>
      <c r="BP44" s="405">
        <v>32.22</v>
      </c>
      <c r="BQ44" s="405">
        <v>33.49</v>
      </c>
      <c r="BR44" s="405">
        <v>44.24</v>
      </c>
      <c r="BS44" s="405">
        <v>46.65</v>
      </c>
      <c r="BT44" s="405">
        <v>49.06</v>
      </c>
      <c r="BU44" s="405">
        <v>116.46</v>
      </c>
      <c r="BV44" s="405">
        <v>123.88</v>
      </c>
      <c r="BW44" s="405">
        <v>131.31</v>
      </c>
      <c r="BX44" s="405" t="s">
        <v>322</v>
      </c>
      <c r="BY44" s="405" t="s">
        <v>322</v>
      </c>
      <c r="BZ44" s="405" t="s">
        <v>322</v>
      </c>
      <c r="CA44" s="405" t="s">
        <v>322</v>
      </c>
      <c r="CB44" s="405"/>
      <c r="CC44" s="405"/>
      <c r="CD44" s="405"/>
    </row>
    <row r="45" spans="1:82">
      <c r="A45" s="404">
        <v>1800</v>
      </c>
      <c r="B45" s="405">
        <v>2.72</v>
      </c>
      <c r="C45" s="405">
        <v>2.76</v>
      </c>
      <c r="D45" s="405">
        <v>2.8</v>
      </c>
      <c r="E45" s="405">
        <v>4.28</v>
      </c>
      <c r="F45" s="405">
        <v>4.3600000000000003</v>
      </c>
      <c r="G45" s="405">
        <v>4.4400000000000004</v>
      </c>
      <c r="H45" s="405">
        <v>6.89</v>
      </c>
      <c r="I45" s="405">
        <v>6.75</v>
      </c>
      <c r="J45" s="405">
        <v>6.65</v>
      </c>
      <c r="K45" s="405">
        <v>7.05</v>
      </c>
      <c r="L45" s="405">
        <v>6.86</v>
      </c>
      <c r="M45" s="405">
        <v>7.2</v>
      </c>
      <c r="N45" s="405">
        <v>7.82</v>
      </c>
      <c r="O45" s="405">
        <v>11.62</v>
      </c>
      <c r="P45" s="405">
        <v>11.17</v>
      </c>
      <c r="Q45" s="405">
        <v>11</v>
      </c>
      <c r="R45" s="405">
        <v>11.96</v>
      </c>
      <c r="S45" s="405">
        <v>11.34</v>
      </c>
      <c r="T45" s="405">
        <v>12.29</v>
      </c>
      <c r="U45" s="405">
        <v>14.4</v>
      </c>
      <c r="V45" s="405">
        <v>13.8</v>
      </c>
      <c r="W45" s="405">
        <v>13.6</v>
      </c>
      <c r="X45" s="405">
        <v>14.8</v>
      </c>
      <c r="Y45" s="405">
        <v>14</v>
      </c>
      <c r="Z45" s="405">
        <v>15.2</v>
      </c>
      <c r="AA45" s="405">
        <v>21.29</v>
      </c>
      <c r="AB45" s="405">
        <v>22.19</v>
      </c>
      <c r="AC45" s="405">
        <v>23.09</v>
      </c>
      <c r="AD45" s="405" t="s">
        <v>322</v>
      </c>
      <c r="AE45" s="405" t="s">
        <v>322</v>
      </c>
      <c r="AF45" s="405" t="s">
        <v>322</v>
      </c>
      <c r="AG45" s="405" t="s">
        <v>322</v>
      </c>
      <c r="AH45" s="405" t="s">
        <v>322</v>
      </c>
      <c r="AI45" s="405" t="s">
        <v>322</v>
      </c>
      <c r="AJ45" s="405" t="s">
        <v>322</v>
      </c>
      <c r="AK45" s="405" t="s">
        <v>322</v>
      </c>
      <c r="AL45" s="405" t="s">
        <v>322</v>
      </c>
      <c r="AM45" s="405">
        <v>1.52</v>
      </c>
      <c r="AN45" s="405">
        <v>1.54</v>
      </c>
      <c r="AO45" s="405">
        <v>1.55</v>
      </c>
      <c r="AP45" s="405">
        <v>2.72</v>
      </c>
      <c r="AQ45" s="405">
        <v>2.76</v>
      </c>
      <c r="AR45" s="405">
        <v>2.8</v>
      </c>
      <c r="AS45" s="405">
        <v>4.28</v>
      </c>
      <c r="AT45" s="405">
        <v>4.3600000000000003</v>
      </c>
      <c r="AU45" s="405">
        <v>4.4400000000000004</v>
      </c>
      <c r="AV45" s="405">
        <v>6.89</v>
      </c>
      <c r="AW45" s="405">
        <v>7.05</v>
      </c>
      <c r="AX45" s="405">
        <v>7.2</v>
      </c>
      <c r="AY45" s="405">
        <v>7.82</v>
      </c>
      <c r="AZ45" s="405">
        <v>11.62</v>
      </c>
      <c r="BA45" s="405">
        <v>11.96</v>
      </c>
      <c r="BB45" s="405">
        <v>12.29</v>
      </c>
      <c r="BC45" s="405">
        <v>14.8</v>
      </c>
      <c r="BD45" s="405">
        <v>15.2</v>
      </c>
      <c r="BE45" s="405">
        <v>15.6</v>
      </c>
      <c r="BF45" s="405">
        <v>14.8</v>
      </c>
      <c r="BG45" s="405">
        <v>15.2</v>
      </c>
      <c r="BH45" s="405">
        <v>15.6</v>
      </c>
      <c r="BI45" s="405">
        <v>21.29</v>
      </c>
      <c r="BJ45" s="405">
        <v>22.19</v>
      </c>
      <c r="BK45" s="405">
        <v>23.09</v>
      </c>
      <c r="BL45" s="405">
        <v>22.33</v>
      </c>
      <c r="BM45" s="405">
        <v>23.28</v>
      </c>
      <c r="BN45" s="405">
        <v>24.22</v>
      </c>
      <c r="BO45" s="405">
        <v>31.65</v>
      </c>
      <c r="BP45" s="405">
        <v>32.93</v>
      </c>
      <c r="BQ45" s="405">
        <v>34.200000000000003</v>
      </c>
      <c r="BR45" s="405">
        <v>45.24</v>
      </c>
      <c r="BS45" s="405">
        <v>47.66</v>
      </c>
      <c r="BT45" s="405">
        <v>50.07</v>
      </c>
      <c r="BU45" s="405">
        <v>119.21</v>
      </c>
      <c r="BV45" s="405">
        <v>126.63</v>
      </c>
      <c r="BW45" s="405">
        <v>134.06</v>
      </c>
      <c r="BX45" s="405" t="s">
        <v>322</v>
      </c>
      <c r="BY45" s="405" t="s">
        <v>322</v>
      </c>
      <c r="BZ45" s="405" t="s">
        <v>322</v>
      </c>
      <c r="CA45" s="405" t="s">
        <v>322</v>
      </c>
      <c r="CB45" s="405"/>
      <c r="CC45" s="405"/>
      <c r="CD45" s="405"/>
    </row>
    <row r="46" spans="1:82">
      <c r="A46" s="404">
        <v>1850</v>
      </c>
      <c r="B46" s="405" t="s">
        <v>322</v>
      </c>
      <c r="C46" s="405" t="s">
        <v>322</v>
      </c>
      <c r="D46" s="405" t="s">
        <v>322</v>
      </c>
      <c r="E46" s="405">
        <v>4.3899999999999997</v>
      </c>
      <c r="F46" s="405">
        <v>4.47</v>
      </c>
      <c r="G46" s="405">
        <v>4.55</v>
      </c>
      <c r="H46" s="405">
        <v>7.06</v>
      </c>
      <c r="I46" s="405">
        <v>6.93</v>
      </c>
      <c r="J46" s="405">
        <v>6.82</v>
      </c>
      <c r="K46" s="405">
        <v>7.22</v>
      </c>
      <c r="L46" s="405">
        <v>7.03</v>
      </c>
      <c r="M46" s="405">
        <v>7.37</v>
      </c>
      <c r="N46" s="405">
        <v>7.99</v>
      </c>
      <c r="O46" s="405">
        <v>11.9</v>
      </c>
      <c r="P46" s="405">
        <v>11.45</v>
      </c>
      <c r="Q46" s="405">
        <v>11.28</v>
      </c>
      <c r="R46" s="405">
        <v>12.24</v>
      </c>
      <c r="S46" s="405">
        <v>11.62</v>
      </c>
      <c r="T46" s="405">
        <v>12.58</v>
      </c>
      <c r="U46" s="405">
        <v>14.7</v>
      </c>
      <c r="V46" s="405">
        <v>14.1</v>
      </c>
      <c r="W46" s="405">
        <v>13.9</v>
      </c>
      <c r="X46" s="405">
        <v>15.1</v>
      </c>
      <c r="Y46" s="405">
        <v>14.4</v>
      </c>
      <c r="Z46" s="405">
        <v>15.5</v>
      </c>
      <c r="AA46" s="405">
        <v>21.79</v>
      </c>
      <c r="AB46" s="405">
        <v>22.69</v>
      </c>
      <c r="AC46" s="405">
        <v>23.6</v>
      </c>
      <c r="AD46" s="405" t="s">
        <v>322</v>
      </c>
      <c r="AE46" s="405" t="s">
        <v>322</v>
      </c>
      <c r="AF46" s="405" t="s">
        <v>322</v>
      </c>
      <c r="AG46" s="405" t="s">
        <v>322</v>
      </c>
      <c r="AH46" s="405" t="s">
        <v>322</v>
      </c>
      <c r="AI46" s="405" t="s">
        <v>322</v>
      </c>
      <c r="AJ46" s="405" t="s">
        <v>322</v>
      </c>
      <c r="AK46" s="405" t="s">
        <v>322</v>
      </c>
      <c r="AL46" s="405" t="s">
        <v>322</v>
      </c>
      <c r="AM46" s="405" t="s">
        <v>322</v>
      </c>
      <c r="AN46" s="405" t="s">
        <v>322</v>
      </c>
      <c r="AO46" s="405" t="s">
        <v>322</v>
      </c>
      <c r="AP46" s="405" t="s">
        <v>322</v>
      </c>
      <c r="AQ46" s="405" t="s">
        <v>322</v>
      </c>
      <c r="AR46" s="405" t="s">
        <v>322</v>
      </c>
      <c r="AS46" s="405">
        <v>4.3899999999999997</v>
      </c>
      <c r="AT46" s="405">
        <v>4.47</v>
      </c>
      <c r="AU46" s="405">
        <v>4.55</v>
      </c>
      <c r="AV46" s="405">
        <v>7.06</v>
      </c>
      <c r="AW46" s="405">
        <v>7.22</v>
      </c>
      <c r="AX46" s="405">
        <v>7.37</v>
      </c>
      <c r="AY46" s="405">
        <v>7.99</v>
      </c>
      <c r="AZ46" s="405">
        <v>11.9</v>
      </c>
      <c r="BA46" s="405">
        <v>12.24</v>
      </c>
      <c r="BB46" s="405">
        <v>12.58</v>
      </c>
      <c r="BC46" s="405">
        <v>15.1</v>
      </c>
      <c r="BD46" s="405">
        <v>15.6</v>
      </c>
      <c r="BE46" s="405">
        <v>16</v>
      </c>
      <c r="BF46" s="405">
        <v>15.1</v>
      </c>
      <c r="BG46" s="405">
        <v>15.6</v>
      </c>
      <c r="BH46" s="405">
        <v>16</v>
      </c>
      <c r="BI46" s="405">
        <v>21.79</v>
      </c>
      <c r="BJ46" s="405">
        <v>22.69</v>
      </c>
      <c r="BK46" s="405">
        <v>23.6</v>
      </c>
      <c r="BL46" s="405">
        <v>22.86</v>
      </c>
      <c r="BM46" s="405">
        <v>23.8</v>
      </c>
      <c r="BN46" s="405">
        <v>24.75</v>
      </c>
      <c r="BO46" s="405">
        <v>32.36</v>
      </c>
      <c r="BP46" s="405">
        <v>33.64</v>
      </c>
      <c r="BQ46" s="405">
        <v>34.909999999999997</v>
      </c>
      <c r="BR46" s="405">
        <v>46.25</v>
      </c>
      <c r="BS46" s="405">
        <v>48.66</v>
      </c>
      <c r="BT46" s="405">
        <v>51.08</v>
      </c>
      <c r="BU46" s="405">
        <v>121.96</v>
      </c>
      <c r="BV46" s="405">
        <v>129.38</v>
      </c>
      <c r="BW46" s="405">
        <v>136.80000000000001</v>
      </c>
      <c r="BX46" s="405" t="s">
        <v>322</v>
      </c>
      <c r="BY46" s="405" t="s">
        <v>322</v>
      </c>
      <c r="BZ46" s="405" t="s">
        <v>322</v>
      </c>
      <c r="CA46" s="405" t="s">
        <v>322</v>
      </c>
      <c r="CB46" s="405"/>
      <c r="CC46" s="405"/>
      <c r="CD46" s="405"/>
    </row>
    <row r="47" spans="1:82">
      <c r="A47" s="404">
        <v>1900</v>
      </c>
      <c r="B47" s="405"/>
      <c r="C47" s="405"/>
      <c r="D47" s="405"/>
      <c r="E47" s="405">
        <v>4.5</v>
      </c>
      <c r="F47" s="405">
        <v>4.58</v>
      </c>
      <c r="G47" s="405">
        <v>4.66</v>
      </c>
      <c r="H47" s="405">
        <v>7.24</v>
      </c>
      <c r="I47" s="405">
        <v>7.1</v>
      </c>
      <c r="J47" s="405">
        <v>6.99</v>
      </c>
      <c r="K47" s="405">
        <v>7.39</v>
      </c>
      <c r="L47" s="405">
        <v>7.2</v>
      </c>
      <c r="M47" s="405">
        <v>7.54</v>
      </c>
      <c r="N47" s="405">
        <v>8.16</v>
      </c>
      <c r="O47" s="405">
        <v>12.18</v>
      </c>
      <c r="P47" s="405">
        <v>11.73</v>
      </c>
      <c r="Q47" s="405">
        <v>11.56</v>
      </c>
      <c r="R47" s="405">
        <v>12.52</v>
      </c>
      <c r="S47" s="405">
        <v>11.9</v>
      </c>
      <c r="T47" s="405">
        <v>12.86</v>
      </c>
      <c r="U47" s="405">
        <v>15</v>
      </c>
      <c r="V47" s="405">
        <v>14.5</v>
      </c>
      <c r="W47" s="405">
        <v>14.3</v>
      </c>
      <c r="X47" s="405">
        <v>15.5</v>
      </c>
      <c r="Y47" s="405">
        <v>14.7</v>
      </c>
      <c r="Z47" s="405">
        <v>15.9</v>
      </c>
      <c r="AA47" s="405">
        <v>22.29</v>
      </c>
      <c r="AB47" s="405">
        <v>23.19</v>
      </c>
      <c r="AC47" s="405">
        <v>24.1</v>
      </c>
      <c r="AD47" s="405" t="s">
        <v>322</v>
      </c>
      <c r="AE47" s="405" t="s">
        <v>322</v>
      </c>
      <c r="AF47" s="405" t="s">
        <v>322</v>
      </c>
      <c r="AG47" s="405" t="s">
        <v>322</v>
      </c>
      <c r="AH47" s="405" t="s">
        <v>322</v>
      </c>
      <c r="AI47" s="405" t="s">
        <v>322</v>
      </c>
      <c r="AJ47" s="405" t="s">
        <v>322</v>
      </c>
      <c r="AK47" s="405" t="s">
        <v>322</v>
      </c>
      <c r="AL47" s="405" t="s">
        <v>322</v>
      </c>
      <c r="AM47" s="405"/>
      <c r="AN47" s="405"/>
      <c r="AO47" s="405"/>
      <c r="AP47" s="405"/>
      <c r="AQ47" s="405"/>
      <c r="AR47" s="405"/>
      <c r="AS47" s="405">
        <v>4.5</v>
      </c>
      <c r="AT47" s="405">
        <v>4.58</v>
      </c>
      <c r="AU47" s="405">
        <v>4.66</v>
      </c>
      <c r="AV47" s="405">
        <v>7.24</v>
      </c>
      <c r="AW47" s="405">
        <v>7.39</v>
      </c>
      <c r="AX47" s="405">
        <v>7.54</v>
      </c>
      <c r="AY47" s="405">
        <v>8.16</v>
      </c>
      <c r="AZ47" s="405">
        <v>12.18</v>
      </c>
      <c r="BA47" s="405">
        <v>12.52</v>
      </c>
      <c r="BB47" s="405">
        <v>12.86</v>
      </c>
      <c r="BC47" s="405">
        <v>15.5</v>
      </c>
      <c r="BD47" s="405">
        <v>15.9</v>
      </c>
      <c r="BE47" s="405">
        <v>16.399999999999999</v>
      </c>
      <c r="BF47" s="405">
        <v>15.5</v>
      </c>
      <c r="BG47" s="405">
        <v>15.9</v>
      </c>
      <c r="BH47" s="405">
        <v>16.399999999999999</v>
      </c>
      <c r="BI47" s="405">
        <v>22.29</v>
      </c>
      <c r="BJ47" s="405">
        <v>23.19</v>
      </c>
      <c r="BK47" s="405">
        <v>24.1</v>
      </c>
      <c r="BL47" s="405">
        <v>23.38</v>
      </c>
      <c r="BM47" s="405">
        <v>24.33</v>
      </c>
      <c r="BN47" s="405">
        <v>25.27</v>
      </c>
      <c r="BO47" s="405">
        <v>33.07</v>
      </c>
      <c r="BP47" s="405">
        <v>34.35</v>
      </c>
      <c r="BQ47" s="405">
        <v>35.619999999999997</v>
      </c>
      <c r="BR47" s="405">
        <v>47.25</v>
      </c>
      <c r="BS47" s="405">
        <v>49.67</v>
      </c>
      <c r="BT47" s="405">
        <v>52.08</v>
      </c>
      <c r="BU47" s="405">
        <v>124.71</v>
      </c>
      <c r="BV47" s="405">
        <v>132.13</v>
      </c>
      <c r="BW47" s="405">
        <v>139.55000000000001</v>
      </c>
      <c r="BX47" s="405" t="s">
        <v>322</v>
      </c>
      <c r="BY47" s="405" t="s">
        <v>322</v>
      </c>
      <c r="BZ47" s="405" t="s">
        <v>322</v>
      </c>
      <c r="CA47" s="405" t="s">
        <v>322</v>
      </c>
      <c r="CB47" s="405"/>
      <c r="CC47" s="405"/>
      <c r="CD47" s="405"/>
    </row>
    <row r="48" spans="1:82">
      <c r="A48" s="404">
        <v>1950</v>
      </c>
      <c r="B48" s="405"/>
      <c r="C48" s="405"/>
      <c r="D48" s="405"/>
      <c r="E48" s="405">
        <v>4.6100000000000003</v>
      </c>
      <c r="F48" s="405">
        <v>4.6900000000000004</v>
      </c>
      <c r="G48" s="405">
        <v>4.7699999999999996</v>
      </c>
      <c r="H48" s="405">
        <v>7.41</v>
      </c>
      <c r="I48" s="405">
        <v>7.27</v>
      </c>
      <c r="J48" s="405">
        <v>7.17</v>
      </c>
      <c r="K48" s="405">
        <v>7.56</v>
      </c>
      <c r="L48" s="405">
        <v>7.37</v>
      </c>
      <c r="M48" s="405">
        <v>7.72</v>
      </c>
      <c r="N48" s="405">
        <v>8.34</v>
      </c>
      <c r="O48" s="405">
        <v>12.46</v>
      </c>
      <c r="P48" s="405">
        <v>12.01</v>
      </c>
      <c r="Q48" s="405">
        <v>11.84</v>
      </c>
      <c r="R48" s="405">
        <v>12.8</v>
      </c>
      <c r="S48" s="405">
        <v>12.18</v>
      </c>
      <c r="T48" s="405">
        <v>13.14</v>
      </c>
      <c r="U48" s="405">
        <v>15.4</v>
      </c>
      <c r="V48" s="405">
        <v>14.8</v>
      </c>
      <c r="W48" s="405">
        <v>14.6</v>
      </c>
      <c r="X48" s="405">
        <v>15.8</v>
      </c>
      <c r="Y48" s="405">
        <v>15</v>
      </c>
      <c r="Z48" s="405">
        <v>16.2</v>
      </c>
      <c r="AA48" s="405">
        <v>22.79</v>
      </c>
      <c r="AB48" s="405">
        <v>23.7</v>
      </c>
      <c r="AC48" s="405">
        <v>24.6</v>
      </c>
      <c r="AD48" s="405" t="s">
        <v>322</v>
      </c>
      <c r="AE48" s="405" t="s">
        <v>322</v>
      </c>
      <c r="AF48" s="405" t="s">
        <v>322</v>
      </c>
      <c r="AG48" s="405" t="s">
        <v>322</v>
      </c>
      <c r="AH48" s="405" t="s">
        <v>322</v>
      </c>
      <c r="AI48" s="405" t="s">
        <v>322</v>
      </c>
      <c r="AJ48" s="405" t="s">
        <v>322</v>
      </c>
      <c r="AK48" s="405" t="s">
        <v>322</v>
      </c>
      <c r="AL48" s="405" t="s">
        <v>322</v>
      </c>
      <c r="AM48" s="405"/>
      <c r="AN48" s="405"/>
      <c r="AO48" s="405"/>
      <c r="AP48" s="405"/>
      <c r="AQ48" s="405"/>
      <c r="AR48" s="405"/>
      <c r="AS48" s="405">
        <v>4.6100000000000003</v>
      </c>
      <c r="AT48" s="405">
        <v>4.6900000000000004</v>
      </c>
      <c r="AU48" s="405">
        <v>4.7699999999999996</v>
      </c>
      <c r="AV48" s="405">
        <v>7.41</v>
      </c>
      <c r="AW48" s="405">
        <v>7.56</v>
      </c>
      <c r="AX48" s="405">
        <v>7.72</v>
      </c>
      <c r="AY48" s="405">
        <v>8.34</v>
      </c>
      <c r="AZ48" s="405">
        <v>12.46</v>
      </c>
      <c r="BA48" s="405">
        <v>12.8</v>
      </c>
      <c r="BB48" s="405">
        <v>13.14</v>
      </c>
      <c r="BC48" s="405">
        <v>15.9</v>
      </c>
      <c r="BD48" s="405">
        <v>16.3</v>
      </c>
      <c r="BE48" s="405">
        <v>16.7</v>
      </c>
      <c r="BF48" s="405">
        <v>15.9</v>
      </c>
      <c r="BG48" s="405">
        <v>16.3</v>
      </c>
      <c r="BH48" s="405">
        <v>16.7</v>
      </c>
      <c r="BI48" s="405">
        <v>22.79</v>
      </c>
      <c r="BJ48" s="405">
        <v>23.7</v>
      </c>
      <c r="BK48" s="405">
        <v>24.6</v>
      </c>
      <c r="BL48" s="405">
        <v>23.91</v>
      </c>
      <c r="BM48" s="405">
        <v>24.85</v>
      </c>
      <c r="BN48" s="405">
        <v>25.8</v>
      </c>
      <c r="BO48" s="405">
        <v>33.78</v>
      </c>
      <c r="BP48" s="405">
        <v>35.06</v>
      </c>
      <c r="BQ48" s="405">
        <v>36.33</v>
      </c>
      <c r="BR48" s="405">
        <v>48.26</v>
      </c>
      <c r="BS48" s="405">
        <v>50.67</v>
      </c>
      <c r="BT48" s="405">
        <v>53.09</v>
      </c>
      <c r="BU48" s="405">
        <v>127.46</v>
      </c>
      <c r="BV48" s="405">
        <v>134.88</v>
      </c>
      <c r="BW48" s="405">
        <v>142.30000000000001</v>
      </c>
      <c r="BX48" s="405" t="s">
        <v>322</v>
      </c>
      <c r="BY48" s="405" t="s">
        <v>322</v>
      </c>
      <c r="BZ48" s="405" t="s">
        <v>322</v>
      </c>
      <c r="CA48" s="405" t="s">
        <v>322</v>
      </c>
      <c r="CB48" s="405"/>
      <c r="CC48" s="405"/>
      <c r="CD48" s="405"/>
    </row>
    <row r="49" spans="1:82">
      <c r="A49" s="404">
        <v>2000</v>
      </c>
      <c r="B49" s="405"/>
      <c r="C49" s="405"/>
      <c r="D49" s="405"/>
      <c r="E49" s="405">
        <v>4.72</v>
      </c>
      <c r="F49" s="405">
        <v>4.8</v>
      </c>
      <c r="G49" s="405">
        <v>4.88</v>
      </c>
      <c r="H49" s="405">
        <v>7.58</v>
      </c>
      <c r="I49" s="405">
        <v>7.44</v>
      </c>
      <c r="J49" s="405">
        <v>7.34</v>
      </c>
      <c r="K49" s="405">
        <v>7.73</v>
      </c>
      <c r="L49" s="405">
        <v>7.54</v>
      </c>
      <c r="M49" s="405">
        <v>7.89</v>
      </c>
      <c r="N49" s="405">
        <v>8.51</v>
      </c>
      <c r="O49" s="405">
        <v>12.75</v>
      </c>
      <c r="P49" s="405">
        <v>12.29</v>
      </c>
      <c r="Q49" s="405">
        <v>12.13</v>
      </c>
      <c r="R49" s="405">
        <v>13.08</v>
      </c>
      <c r="S49" s="405">
        <v>12.46</v>
      </c>
      <c r="T49" s="405">
        <v>13.42</v>
      </c>
      <c r="U49" s="405">
        <v>15.7</v>
      </c>
      <c r="V49" s="405">
        <v>15.2</v>
      </c>
      <c r="W49" s="405">
        <v>15</v>
      </c>
      <c r="X49" s="405">
        <v>16.2</v>
      </c>
      <c r="Y49" s="405">
        <v>15.4</v>
      </c>
      <c r="Z49" s="405">
        <v>16.600000000000001</v>
      </c>
      <c r="AA49" s="405">
        <v>23.3</v>
      </c>
      <c r="AB49" s="405">
        <v>24.2</v>
      </c>
      <c r="AC49" s="405">
        <v>25.1</v>
      </c>
      <c r="AD49" s="405" t="s">
        <v>322</v>
      </c>
      <c r="AE49" s="405" t="s">
        <v>322</v>
      </c>
      <c r="AF49" s="405" t="s">
        <v>322</v>
      </c>
      <c r="AG49" s="405" t="s">
        <v>322</v>
      </c>
      <c r="AH49" s="405" t="s">
        <v>322</v>
      </c>
      <c r="AI49" s="405" t="s">
        <v>322</v>
      </c>
      <c r="AJ49" s="405" t="s">
        <v>322</v>
      </c>
      <c r="AK49" s="405" t="s">
        <v>322</v>
      </c>
      <c r="AL49" s="405" t="s">
        <v>322</v>
      </c>
      <c r="AM49" s="405"/>
      <c r="AN49" s="405"/>
      <c r="AO49" s="405"/>
      <c r="AP49" s="405"/>
      <c r="AQ49" s="405"/>
      <c r="AR49" s="405"/>
      <c r="AS49" s="405">
        <v>4.72</v>
      </c>
      <c r="AT49" s="405">
        <v>4.8</v>
      </c>
      <c r="AU49" s="405">
        <v>4.88</v>
      </c>
      <c r="AV49" s="405">
        <v>7.58</v>
      </c>
      <c r="AW49" s="405">
        <v>7.73</v>
      </c>
      <c r="AX49" s="405">
        <v>7.89</v>
      </c>
      <c r="AY49" s="405">
        <v>8.51</v>
      </c>
      <c r="AZ49" s="405">
        <v>12.75</v>
      </c>
      <c r="BA49" s="405">
        <v>13.08</v>
      </c>
      <c r="BB49" s="405">
        <v>13.42</v>
      </c>
      <c r="BC49" s="405">
        <v>16.2</v>
      </c>
      <c r="BD49" s="405">
        <v>16.600000000000001</v>
      </c>
      <c r="BE49" s="405">
        <v>17.100000000000001</v>
      </c>
      <c r="BF49" s="405">
        <v>16.2</v>
      </c>
      <c r="BG49" s="405">
        <v>16.600000000000001</v>
      </c>
      <c r="BH49" s="405">
        <v>17.100000000000001</v>
      </c>
      <c r="BI49" s="405">
        <v>23.3</v>
      </c>
      <c r="BJ49" s="405">
        <v>24.2</v>
      </c>
      <c r="BK49" s="405">
        <v>25.1</v>
      </c>
      <c r="BL49" s="405">
        <v>24.43</v>
      </c>
      <c r="BM49" s="405">
        <v>25.38</v>
      </c>
      <c r="BN49" s="405">
        <v>26.33</v>
      </c>
      <c r="BO49" s="405">
        <v>34.49</v>
      </c>
      <c r="BP49" s="405">
        <v>35.770000000000003</v>
      </c>
      <c r="BQ49" s="405">
        <v>37.04</v>
      </c>
      <c r="BR49" s="405">
        <v>49.27</v>
      </c>
      <c r="BS49" s="405">
        <v>51.68</v>
      </c>
      <c r="BT49" s="405">
        <v>54.1</v>
      </c>
      <c r="BU49" s="405">
        <v>130.21</v>
      </c>
      <c r="BV49" s="405">
        <v>137.63</v>
      </c>
      <c r="BW49" s="405">
        <v>145.05000000000001</v>
      </c>
      <c r="BX49" s="405" t="s">
        <v>322</v>
      </c>
      <c r="BY49" s="405" t="s">
        <v>322</v>
      </c>
      <c r="BZ49" s="405" t="s">
        <v>322</v>
      </c>
      <c r="CA49" s="405" t="s">
        <v>322</v>
      </c>
      <c r="CB49" s="405"/>
      <c r="CC49" s="405"/>
      <c r="CD49" s="405"/>
    </row>
    <row r="50" spans="1:82">
      <c r="A50" s="404">
        <v>2050</v>
      </c>
      <c r="B50" s="405"/>
      <c r="C50" s="405"/>
      <c r="D50" s="405"/>
      <c r="E50" s="405">
        <v>4.83</v>
      </c>
      <c r="F50" s="405">
        <v>4.91</v>
      </c>
      <c r="G50" s="405">
        <v>4.99</v>
      </c>
      <c r="H50" s="405">
        <v>7.75</v>
      </c>
      <c r="I50" s="405">
        <v>7.61</v>
      </c>
      <c r="J50" s="405">
        <v>7.51</v>
      </c>
      <c r="K50" s="405">
        <v>7.91</v>
      </c>
      <c r="L50" s="405">
        <v>7.72</v>
      </c>
      <c r="M50" s="405">
        <v>8.06</v>
      </c>
      <c r="N50" s="405">
        <v>8.68</v>
      </c>
      <c r="O50" s="405">
        <v>13.03</v>
      </c>
      <c r="P50" s="405">
        <v>12.58</v>
      </c>
      <c r="Q50" s="405">
        <v>12.41</v>
      </c>
      <c r="R50" s="405">
        <v>13.36</v>
      </c>
      <c r="S50" s="405">
        <v>12.75</v>
      </c>
      <c r="T50" s="405">
        <v>13.7</v>
      </c>
      <c r="U50" s="405">
        <v>16.100000000000001</v>
      </c>
      <c r="V50" s="405">
        <v>15.5</v>
      </c>
      <c r="W50" s="405">
        <v>15.3</v>
      </c>
      <c r="X50" s="405">
        <v>16.5</v>
      </c>
      <c r="Y50" s="405">
        <v>15.7</v>
      </c>
      <c r="Z50" s="405">
        <v>16.899999999999999</v>
      </c>
      <c r="AA50" s="405">
        <v>23.8</v>
      </c>
      <c r="AB50" s="405">
        <v>24.7</v>
      </c>
      <c r="AC50" s="405">
        <v>25.6</v>
      </c>
      <c r="AD50" s="405"/>
      <c r="AE50" s="405"/>
      <c r="AF50" s="405"/>
      <c r="AG50" s="405"/>
      <c r="AH50" s="405"/>
      <c r="AI50" s="405"/>
      <c r="AJ50" s="405"/>
      <c r="AK50" s="405"/>
      <c r="AL50" s="405"/>
      <c r="AM50" s="405"/>
      <c r="AN50" s="405"/>
      <c r="AO50" s="405"/>
      <c r="AP50" s="405"/>
      <c r="AQ50" s="405"/>
      <c r="AR50" s="405"/>
      <c r="AS50" s="405">
        <v>4.83</v>
      </c>
      <c r="AT50" s="405">
        <v>4.91</v>
      </c>
      <c r="AU50" s="405">
        <v>4.99</v>
      </c>
      <c r="AV50" s="405">
        <v>7.75</v>
      </c>
      <c r="AW50" s="405">
        <v>7.91</v>
      </c>
      <c r="AX50" s="405">
        <v>8.06</v>
      </c>
      <c r="AY50" s="405">
        <v>8.68</v>
      </c>
      <c r="AZ50" s="405">
        <v>13.03</v>
      </c>
      <c r="BA50" s="405">
        <v>13.36</v>
      </c>
      <c r="BB50" s="405">
        <v>13.7</v>
      </c>
      <c r="BC50" s="405" t="s">
        <v>322</v>
      </c>
      <c r="BD50" s="405" t="s">
        <v>322</v>
      </c>
      <c r="BE50" s="405" t="s">
        <v>322</v>
      </c>
      <c r="BF50" s="405" t="s">
        <v>322</v>
      </c>
      <c r="BG50" s="405" t="s">
        <v>322</v>
      </c>
      <c r="BH50" s="405" t="s">
        <v>322</v>
      </c>
      <c r="BI50" s="405">
        <v>23.8</v>
      </c>
      <c r="BJ50" s="405">
        <v>24.7</v>
      </c>
      <c r="BK50" s="405">
        <v>25.6</v>
      </c>
      <c r="BL50" s="405">
        <v>24.96</v>
      </c>
      <c r="BM50" s="405">
        <v>25.9</v>
      </c>
      <c r="BN50" s="405">
        <v>26.85</v>
      </c>
      <c r="BO50" s="405">
        <v>35.200000000000003</v>
      </c>
      <c r="BP50" s="405">
        <v>36.479999999999997</v>
      </c>
      <c r="BQ50" s="405">
        <v>37.75</v>
      </c>
      <c r="BR50" s="405">
        <v>50.27</v>
      </c>
      <c r="BS50" s="405">
        <v>52.69</v>
      </c>
      <c r="BT50" s="405">
        <v>55.1</v>
      </c>
      <c r="BU50" s="405">
        <v>132.96</v>
      </c>
      <c r="BV50" s="405">
        <v>140.38</v>
      </c>
      <c r="BW50" s="405">
        <v>147.80000000000001</v>
      </c>
      <c r="BX50" s="405"/>
      <c r="BY50" s="405"/>
      <c r="BZ50" s="405"/>
      <c r="CA50" s="405"/>
      <c r="CB50" s="405"/>
      <c r="CC50" s="405"/>
      <c r="CD50" s="405"/>
    </row>
    <row r="51" spans="1:82">
      <c r="A51" s="404">
        <v>2100</v>
      </c>
      <c r="B51" s="405"/>
      <c r="C51" s="405"/>
      <c r="D51" s="405"/>
      <c r="E51" s="405">
        <v>4.9400000000000004</v>
      </c>
      <c r="F51" s="405">
        <v>5.0199999999999996</v>
      </c>
      <c r="G51" s="405">
        <v>5.0999999999999996</v>
      </c>
      <c r="H51" s="405">
        <v>7.92</v>
      </c>
      <c r="I51" s="405">
        <v>7.79</v>
      </c>
      <c r="J51" s="405">
        <v>7.68</v>
      </c>
      <c r="K51" s="405">
        <v>8.08</v>
      </c>
      <c r="L51" s="405">
        <v>7.89</v>
      </c>
      <c r="M51" s="405">
        <v>8.23</v>
      </c>
      <c r="N51" s="405">
        <v>8.85</v>
      </c>
      <c r="O51" s="405">
        <v>13.31</v>
      </c>
      <c r="P51" s="405">
        <v>12.86</v>
      </c>
      <c r="Q51" s="405">
        <v>12.69</v>
      </c>
      <c r="R51" s="405">
        <v>13.65</v>
      </c>
      <c r="S51" s="405">
        <v>13.03</v>
      </c>
      <c r="T51" s="405">
        <v>13.98</v>
      </c>
      <c r="U51" s="405">
        <v>16.399999999999999</v>
      </c>
      <c r="V51" s="405">
        <v>15.9</v>
      </c>
      <c r="W51" s="405">
        <v>15.7</v>
      </c>
      <c r="X51" s="405">
        <v>16.899999999999999</v>
      </c>
      <c r="Y51" s="405">
        <v>16.100000000000001</v>
      </c>
      <c r="Z51" s="405">
        <v>17.3</v>
      </c>
      <c r="AA51" s="405">
        <v>24.3</v>
      </c>
      <c r="AB51" s="405">
        <v>25.2</v>
      </c>
      <c r="AC51" s="405">
        <v>26.1</v>
      </c>
      <c r="AD51" s="405"/>
      <c r="AE51" s="405"/>
      <c r="AF51" s="405"/>
      <c r="AG51" s="405"/>
      <c r="AH51" s="405"/>
      <c r="AI51" s="405"/>
      <c r="AJ51" s="405"/>
      <c r="AK51" s="405"/>
      <c r="AL51" s="405"/>
      <c r="AM51" s="405"/>
      <c r="AN51" s="405"/>
      <c r="AO51" s="405"/>
      <c r="AP51" s="405"/>
      <c r="AQ51" s="405"/>
      <c r="AR51" s="405"/>
      <c r="AS51" s="405">
        <v>4.9400000000000004</v>
      </c>
      <c r="AT51" s="405">
        <v>5.0199999999999996</v>
      </c>
      <c r="AU51" s="405">
        <v>5.0999999999999996</v>
      </c>
      <c r="AV51" s="405">
        <v>7.92</v>
      </c>
      <c r="AW51" s="405">
        <v>8.08</v>
      </c>
      <c r="AX51" s="405">
        <v>8.23</v>
      </c>
      <c r="AY51" s="405">
        <v>8.85</v>
      </c>
      <c r="AZ51" s="405">
        <v>13.31</v>
      </c>
      <c r="BA51" s="405">
        <v>13.65</v>
      </c>
      <c r="BB51" s="405">
        <v>13.98</v>
      </c>
      <c r="BC51" s="405"/>
      <c r="BD51" s="405"/>
      <c r="BE51" s="405"/>
      <c r="BF51" s="405"/>
      <c r="BG51" s="405"/>
      <c r="BH51" s="405"/>
      <c r="BI51" s="405">
        <v>24.3</v>
      </c>
      <c r="BJ51" s="405">
        <v>25.2</v>
      </c>
      <c r="BK51" s="405">
        <v>26.1</v>
      </c>
      <c r="BL51" s="405">
        <v>25.48</v>
      </c>
      <c r="BM51" s="405">
        <v>26.43</v>
      </c>
      <c r="BN51" s="405">
        <v>27.38</v>
      </c>
      <c r="BO51" s="405">
        <v>35.909999999999997</v>
      </c>
      <c r="BP51" s="405">
        <v>37.19</v>
      </c>
      <c r="BQ51" s="405">
        <v>38.46</v>
      </c>
      <c r="BR51" s="405">
        <v>51.28</v>
      </c>
      <c r="BS51" s="405">
        <v>53.69</v>
      </c>
      <c r="BT51" s="405">
        <v>56.11</v>
      </c>
      <c r="BU51" s="405">
        <v>135.71</v>
      </c>
      <c r="BV51" s="405">
        <v>143.13</v>
      </c>
      <c r="BW51" s="405">
        <v>150.55000000000001</v>
      </c>
      <c r="BX51" s="405"/>
      <c r="BY51" s="405"/>
      <c r="BZ51" s="405"/>
      <c r="CA51" s="405"/>
      <c r="CB51" s="405"/>
      <c r="CC51" s="405"/>
      <c r="CD51" s="405"/>
    </row>
    <row r="52" spans="1:82">
      <c r="A52" s="404">
        <v>2150</v>
      </c>
      <c r="B52" s="405"/>
      <c r="C52" s="405"/>
      <c r="D52" s="405"/>
      <c r="E52" s="405">
        <v>5.05</v>
      </c>
      <c r="F52" s="405">
        <v>5.13</v>
      </c>
      <c r="G52" s="405">
        <v>5.21</v>
      </c>
      <c r="H52" s="405">
        <v>8.09</v>
      </c>
      <c r="I52" s="405">
        <v>7.96</v>
      </c>
      <c r="J52" s="405">
        <v>7.85</v>
      </c>
      <c r="K52" s="405">
        <v>8.25</v>
      </c>
      <c r="L52" s="405">
        <v>8.06</v>
      </c>
      <c r="M52" s="405">
        <v>8.4</v>
      </c>
      <c r="N52" s="405">
        <v>9.02</v>
      </c>
      <c r="O52" s="405">
        <v>13.59</v>
      </c>
      <c r="P52" s="405">
        <v>13.14</v>
      </c>
      <c r="Q52" s="405">
        <v>12.97</v>
      </c>
      <c r="R52" s="405">
        <v>13.93</v>
      </c>
      <c r="S52" s="405">
        <v>13.31</v>
      </c>
      <c r="T52" s="405">
        <v>14.27</v>
      </c>
      <c r="U52" s="405">
        <v>16.8</v>
      </c>
      <c r="V52" s="405">
        <v>16.2</v>
      </c>
      <c r="W52" s="405">
        <v>16</v>
      </c>
      <c r="X52" s="405">
        <v>17.2</v>
      </c>
      <c r="Y52" s="405">
        <v>16.399999999999999</v>
      </c>
      <c r="Z52" s="405">
        <v>17.600000000000001</v>
      </c>
      <c r="AA52" s="405">
        <v>24.8</v>
      </c>
      <c r="AB52" s="405">
        <v>25.7</v>
      </c>
      <c r="AC52" s="405">
        <v>26.6</v>
      </c>
      <c r="AD52" s="405"/>
      <c r="AE52" s="405"/>
      <c r="AF52" s="405"/>
      <c r="AG52" s="405"/>
      <c r="AH52" s="405"/>
      <c r="AI52" s="405"/>
      <c r="AJ52" s="405"/>
      <c r="AK52" s="405"/>
      <c r="AL52" s="405"/>
      <c r="AM52" s="405"/>
      <c r="AN52" s="405"/>
      <c r="AO52" s="405"/>
      <c r="AP52" s="405"/>
      <c r="AQ52" s="405"/>
      <c r="AR52" s="405"/>
      <c r="AS52" s="405">
        <v>5.05</v>
      </c>
      <c r="AT52" s="405">
        <v>5.13</v>
      </c>
      <c r="AU52" s="405">
        <v>5.21</v>
      </c>
      <c r="AV52" s="405">
        <v>8.09</v>
      </c>
      <c r="AW52" s="405">
        <v>8.25</v>
      </c>
      <c r="AX52" s="405">
        <v>8.4</v>
      </c>
      <c r="AY52" s="405">
        <v>9.02</v>
      </c>
      <c r="AZ52" s="405">
        <v>13.59</v>
      </c>
      <c r="BA52" s="405">
        <v>13.93</v>
      </c>
      <c r="BB52" s="405">
        <v>14.27</v>
      </c>
      <c r="BC52" s="405"/>
      <c r="BD52" s="405"/>
      <c r="BE52" s="405"/>
      <c r="BF52" s="405"/>
      <c r="BG52" s="405"/>
      <c r="BH52" s="405"/>
      <c r="BI52" s="405">
        <v>24.8</v>
      </c>
      <c r="BJ52" s="405">
        <v>25.7</v>
      </c>
      <c r="BK52" s="405">
        <v>26.6</v>
      </c>
      <c r="BL52" s="405">
        <v>26.01</v>
      </c>
      <c r="BM52" s="405">
        <v>26.96</v>
      </c>
      <c r="BN52" s="405">
        <v>27.9</v>
      </c>
      <c r="BO52" s="405">
        <v>36.619999999999997</v>
      </c>
      <c r="BP52" s="405">
        <v>37.9</v>
      </c>
      <c r="BQ52" s="405">
        <v>39.17</v>
      </c>
      <c r="BR52" s="405">
        <v>52.28</v>
      </c>
      <c r="BS52" s="405">
        <v>54.7</v>
      </c>
      <c r="BT52" s="405">
        <v>57.11</v>
      </c>
      <c r="BU52" s="405">
        <v>138.44999999999999</v>
      </c>
      <c r="BV52" s="405">
        <v>145.88</v>
      </c>
      <c r="BW52" s="405">
        <v>153.30000000000001</v>
      </c>
      <c r="BX52" s="405"/>
      <c r="BY52" s="405"/>
      <c r="BZ52" s="405"/>
      <c r="CA52" s="405"/>
      <c r="CB52" s="405"/>
      <c r="CC52" s="405"/>
      <c r="CD52" s="405"/>
    </row>
    <row r="53" spans="1:82">
      <c r="A53" s="404">
        <v>2200</v>
      </c>
      <c r="B53" s="405"/>
      <c r="C53" s="405"/>
      <c r="D53" s="405"/>
      <c r="E53" s="405">
        <v>5.16</v>
      </c>
      <c r="F53" s="405">
        <v>5.24</v>
      </c>
      <c r="G53" s="405">
        <v>5.32</v>
      </c>
      <c r="H53" s="405">
        <v>8.27</v>
      </c>
      <c r="I53" s="405">
        <v>8.1300000000000008</v>
      </c>
      <c r="J53" s="405">
        <v>8.0299999999999994</v>
      </c>
      <c r="K53" s="405">
        <v>8.42</v>
      </c>
      <c r="L53" s="405">
        <v>8.23</v>
      </c>
      <c r="M53" s="405">
        <v>8.58</v>
      </c>
      <c r="N53" s="405">
        <v>9.19</v>
      </c>
      <c r="O53" s="405">
        <v>13.87</v>
      </c>
      <c r="P53" s="405">
        <v>13.42</v>
      </c>
      <c r="Q53" s="405">
        <v>13.25</v>
      </c>
      <c r="R53" s="405">
        <v>14.21</v>
      </c>
      <c r="S53" s="405">
        <v>13.59</v>
      </c>
      <c r="T53" s="405">
        <v>14.55</v>
      </c>
      <c r="U53" s="405">
        <v>17.100000000000001</v>
      </c>
      <c r="V53" s="405">
        <v>16.600000000000001</v>
      </c>
      <c r="W53" s="405">
        <v>16.399999999999999</v>
      </c>
      <c r="X53" s="405">
        <v>17.600000000000001</v>
      </c>
      <c r="Y53" s="405">
        <v>16.8</v>
      </c>
      <c r="Z53" s="405">
        <v>18</v>
      </c>
      <c r="AA53" s="405">
        <v>25.3</v>
      </c>
      <c r="AB53" s="405">
        <v>26.2</v>
      </c>
      <c r="AC53" s="405">
        <v>27.1</v>
      </c>
      <c r="AD53" s="405"/>
      <c r="AE53" s="405"/>
      <c r="AF53" s="405"/>
      <c r="AG53" s="405"/>
      <c r="AH53" s="405"/>
      <c r="AI53" s="405"/>
      <c r="AJ53" s="405"/>
      <c r="AK53" s="405"/>
      <c r="AL53" s="405"/>
      <c r="AM53" s="405"/>
      <c r="AN53" s="405"/>
      <c r="AO53" s="405"/>
      <c r="AP53" s="405"/>
      <c r="AQ53" s="405"/>
      <c r="AR53" s="405"/>
      <c r="AS53" s="405">
        <v>5.16</v>
      </c>
      <c r="AT53" s="405">
        <v>5.24</v>
      </c>
      <c r="AU53" s="405">
        <v>5.32</v>
      </c>
      <c r="AV53" s="405">
        <v>8.27</v>
      </c>
      <c r="AW53" s="405">
        <v>8.42</v>
      </c>
      <c r="AX53" s="405">
        <v>8.58</v>
      </c>
      <c r="AY53" s="405">
        <v>9.19</v>
      </c>
      <c r="AZ53" s="405">
        <v>13.87</v>
      </c>
      <c r="BA53" s="405">
        <v>14.21</v>
      </c>
      <c r="BB53" s="405">
        <v>14.55</v>
      </c>
      <c r="BC53" s="405"/>
      <c r="BD53" s="405"/>
      <c r="BE53" s="405"/>
      <c r="BF53" s="405"/>
      <c r="BG53" s="405"/>
      <c r="BH53" s="405"/>
      <c r="BI53" s="405">
        <v>25.3</v>
      </c>
      <c r="BJ53" s="405">
        <v>26.2</v>
      </c>
      <c r="BK53" s="405">
        <v>27.1</v>
      </c>
      <c r="BL53" s="405">
        <v>26.54</v>
      </c>
      <c r="BM53" s="405">
        <v>27.48</v>
      </c>
      <c r="BN53" s="405">
        <v>28.43</v>
      </c>
      <c r="BO53" s="405">
        <v>37.33</v>
      </c>
      <c r="BP53" s="405">
        <v>38.61</v>
      </c>
      <c r="BQ53" s="405">
        <v>39.880000000000003</v>
      </c>
      <c r="BR53" s="405">
        <v>53.29</v>
      </c>
      <c r="BS53" s="405">
        <v>55.71</v>
      </c>
      <c r="BT53" s="405">
        <v>58.12</v>
      </c>
      <c r="BU53" s="405">
        <v>141.19999999999999</v>
      </c>
      <c r="BV53" s="405">
        <v>148.62</v>
      </c>
      <c r="BW53" s="405">
        <v>156.05000000000001</v>
      </c>
      <c r="BX53" s="405"/>
      <c r="BY53" s="405"/>
      <c r="BZ53" s="405"/>
      <c r="CA53" s="405"/>
      <c r="CB53" s="405"/>
      <c r="CC53" s="405"/>
      <c r="CD53" s="405"/>
    </row>
    <row r="54" spans="1:82">
      <c r="A54" s="404">
        <v>2250</v>
      </c>
      <c r="B54" s="405"/>
      <c r="C54" s="405"/>
      <c r="D54" s="405"/>
      <c r="E54" s="405">
        <v>5.27</v>
      </c>
      <c r="F54" s="405">
        <v>5.35</v>
      </c>
      <c r="G54" s="405">
        <v>5.43</v>
      </c>
      <c r="H54" s="405">
        <v>8.44</v>
      </c>
      <c r="I54" s="405">
        <v>8.3000000000000007</v>
      </c>
      <c r="J54" s="405">
        <v>8.1999999999999993</v>
      </c>
      <c r="K54" s="405">
        <v>8.59</v>
      </c>
      <c r="L54" s="405">
        <v>8.4</v>
      </c>
      <c r="M54" s="405">
        <v>8.75</v>
      </c>
      <c r="N54" s="405">
        <v>9.3699999999999992</v>
      </c>
      <c r="O54" s="405">
        <v>14.15</v>
      </c>
      <c r="P54" s="405">
        <v>13.7</v>
      </c>
      <c r="Q54" s="405">
        <v>13.53</v>
      </c>
      <c r="R54" s="405">
        <v>14.49</v>
      </c>
      <c r="S54" s="405">
        <v>13.87</v>
      </c>
      <c r="T54" s="405">
        <v>14.83</v>
      </c>
      <c r="U54" s="405">
        <v>17.5</v>
      </c>
      <c r="V54" s="405">
        <v>16.899999999999999</v>
      </c>
      <c r="W54" s="405">
        <v>16.7</v>
      </c>
      <c r="X54" s="405">
        <v>17.899999999999999</v>
      </c>
      <c r="Y54" s="405">
        <v>17.100000000000001</v>
      </c>
      <c r="Z54" s="405">
        <v>18.3</v>
      </c>
      <c r="AA54" s="405">
        <v>25.8</v>
      </c>
      <c r="AB54" s="405">
        <v>26.7</v>
      </c>
      <c r="AC54" s="405">
        <v>27.61</v>
      </c>
      <c r="AD54" s="405"/>
      <c r="AE54" s="405"/>
      <c r="AF54" s="405"/>
      <c r="AG54" s="405"/>
      <c r="AH54" s="405"/>
      <c r="AI54" s="405"/>
      <c r="AJ54" s="405"/>
      <c r="AK54" s="405"/>
      <c r="AL54" s="405"/>
      <c r="AM54" s="405"/>
      <c r="AN54" s="405"/>
      <c r="AO54" s="405"/>
      <c r="AP54" s="405"/>
      <c r="AQ54" s="405"/>
      <c r="AR54" s="405"/>
      <c r="AS54" s="405">
        <v>5.27</v>
      </c>
      <c r="AT54" s="405">
        <v>5.35</v>
      </c>
      <c r="AU54" s="405">
        <v>5.43</v>
      </c>
      <c r="AV54" s="405">
        <v>8.44</v>
      </c>
      <c r="AW54" s="405">
        <v>8.59</v>
      </c>
      <c r="AX54" s="405">
        <v>8.75</v>
      </c>
      <c r="AY54" s="405">
        <v>9.3699999999999992</v>
      </c>
      <c r="AZ54" s="405">
        <v>14.15</v>
      </c>
      <c r="BA54" s="405">
        <v>14.49</v>
      </c>
      <c r="BB54" s="405">
        <v>14.83</v>
      </c>
      <c r="BC54" s="405"/>
      <c r="BD54" s="405"/>
      <c r="BE54" s="405"/>
      <c r="BF54" s="405"/>
      <c r="BG54" s="405"/>
      <c r="BH54" s="405"/>
      <c r="BI54" s="405">
        <v>25.8</v>
      </c>
      <c r="BJ54" s="405">
        <v>26.7</v>
      </c>
      <c r="BK54" s="405">
        <v>27.61</v>
      </c>
      <c r="BL54" s="405">
        <v>27.06</v>
      </c>
      <c r="BM54" s="405">
        <v>28.01</v>
      </c>
      <c r="BN54" s="405">
        <v>28.95</v>
      </c>
      <c r="BO54" s="405">
        <v>38.04</v>
      </c>
      <c r="BP54" s="405">
        <v>39.32</v>
      </c>
      <c r="BQ54" s="405">
        <v>40.590000000000003</v>
      </c>
      <c r="BR54" s="405">
        <v>54.3</v>
      </c>
      <c r="BS54" s="405">
        <v>56.71</v>
      </c>
      <c r="BT54" s="405">
        <v>59.13</v>
      </c>
      <c r="BU54" s="405">
        <v>143.94999999999999</v>
      </c>
      <c r="BV54" s="405">
        <v>151.37</v>
      </c>
      <c r="BW54" s="405">
        <v>158.80000000000001</v>
      </c>
      <c r="BX54" s="405"/>
      <c r="BY54" s="405"/>
      <c r="BZ54" s="405"/>
      <c r="CA54" s="405"/>
      <c r="CB54" s="405"/>
      <c r="CC54" s="405"/>
      <c r="CD54" s="405"/>
    </row>
    <row r="55" spans="1:82">
      <c r="A55" s="404">
        <v>2300</v>
      </c>
      <c r="B55" s="405"/>
      <c r="C55" s="405"/>
      <c r="D55" s="405"/>
      <c r="E55" s="405">
        <v>5.38</v>
      </c>
      <c r="F55" s="405">
        <v>5.46</v>
      </c>
      <c r="G55" s="405">
        <v>5.54</v>
      </c>
      <c r="H55" s="405">
        <v>8.61</v>
      </c>
      <c r="I55" s="405">
        <v>8.4700000000000006</v>
      </c>
      <c r="J55" s="405">
        <v>8.3699999999999992</v>
      </c>
      <c r="K55" s="405">
        <v>8.76</v>
      </c>
      <c r="L55" s="405">
        <v>8.58</v>
      </c>
      <c r="M55" s="405">
        <v>8.92</v>
      </c>
      <c r="N55" s="405">
        <v>9.5399999999999991</v>
      </c>
      <c r="O55" s="405">
        <v>14.43</v>
      </c>
      <c r="P55" s="405">
        <v>13.98</v>
      </c>
      <c r="Q55" s="405">
        <v>13.81</v>
      </c>
      <c r="R55" s="405">
        <v>14.77</v>
      </c>
      <c r="S55" s="405">
        <v>14.15</v>
      </c>
      <c r="T55" s="405">
        <v>15.11</v>
      </c>
      <c r="U55" s="405">
        <v>17.8</v>
      </c>
      <c r="V55" s="405">
        <v>17.3</v>
      </c>
      <c r="W55" s="405">
        <v>17.100000000000001</v>
      </c>
      <c r="X55" s="405">
        <v>18.3</v>
      </c>
      <c r="Y55" s="405">
        <v>17.5</v>
      </c>
      <c r="Z55" s="405">
        <v>18.7</v>
      </c>
      <c r="AA55" s="405">
        <v>26.3</v>
      </c>
      <c r="AB55" s="405">
        <v>27.2</v>
      </c>
      <c r="AC55" s="405">
        <v>28.11</v>
      </c>
      <c r="AD55" s="405"/>
      <c r="AE55" s="405"/>
      <c r="AF55" s="405"/>
      <c r="AG55" s="405"/>
      <c r="AH55" s="405"/>
      <c r="AI55" s="405"/>
      <c r="AJ55" s="405"/>
      <c r="AK55" s="405"/>
      <c r="AL55" s="405"/>
      <c r="AM55" s="405"/>
      <c r="AN55" s="405"/>
      <c r="AO55" s="405"/>
      <c r="AP55" s="405"/>
      <c r="AQ55" s="405"/>
      <c r="AR55" s="405"/>
      <c r="AS55" s="405">
        <v>5.38</v>
      </c>
      <c r="AT55" s="405">
        <v>5.46</v>
      </c>
      <c r="AU55" s="405">
        <v>5.54</v>
      </c>
      <c r="AV55" s="405">
        <v>8.61</v>
      </c>
      <c r="AW55" s="405">
        <v>8.76</v>
      </c>
      <c r="AX55" s="405">
        <v>8.92</v>
      </c>
      <c r="AY55" s="405">
        <v>9.5399999999999991</v>
      </c>
      <c r="AZ55" s="405">
        <v>14.43</v>
      </c>
      <c r="BA55" s="405">
        <v>14.77</v>
      </c>
      <c r="BB55" s="405">
        <v>15.11</v>
      </c>
      <c r="BC55" s="405"/>
      <c r="BD55" s="405"/>
      <c r="BE55" s="405"/>
      <c r="BF55" s="405"/>
      <c r="BG55" s="405"/>
      <c r="BH55" s="405"/>
      <c r="BI55" s="405">
        <v>26.3</v>
      </c>
      <c r="BJ55" s="405">
        <v>27.2</v>
      </c>
      <c r="BK55" s="405">
        <v>28.11</v>
      </c>
      <c r="BL55" s="405">
        <v>27.59</v>
      </c>
      <c r="BM55" s="405">
        <v>28.53</v>
      </c>
      <c r="BN55" s="405">
        <v>29.48</v>
      </c>
      <c r="BO55" s="405">
        <v>38.75</v>
      </c>
      <c r="BP55" s="405">
        <v>40.03</v>
      </c>
      <c r="BQ55" s="405">
        <v>41.3</v>
      </c>
      <c r="BR55" s="405">
        <v>55.3</v>
      </c>
      <c r="BS55" s="405">
        <v>57.72</v>
      </c>
      <c r="BT55" s="405">
        <v>60.13</v>
      </c>
      <c r="BU55" s="405">
        <v>146.69999999999999</v>
      </c>
      <c r="BV55" s="405">
        <v>154.12</v>
      </c>
      <c r="BW55" s="405">
        <v>161.54</v>
      </c>
      <c r="BX55" s="405"/>
      <c r="BY55" s="405"/>
      <c r="BZ55" s="405"/>
      <c r="CA55" s="405"/>
      <c r="CB55" s="405"/>
      <c r="CC55" s="405"/>
      <c r="CD55" s="405"/>
    </row>
    <row r="56" spans="1:82">
      <c r="A56" s="404">
        <v>2350</v>
      </c>
      <c r="B56" s="405"/>
      <c r="C56" s="405"/>
      <c r="D56" s="405"/>
      <c r="E56" s="405">
        <v>5.49</v>
      </c>
      <c r="F56" s="405">
        <v>5.57</v>
      </c>
      <c r="G56" s="405">
        <v>5.65</v>
      </c>
      <c r="H56" s="405">
        <v>8.7799999999999994</v>
      </c>
      <c r="I56" s="405">
        <v>8.64</v>
      </c>
      <c r="J56" s="405">
        <v>8.5399999999999991</v>
      </c>
      <c r="K56" s="405">
        <v>8.94</v>
      </c>
      <c r="L56" s="405">
        <v>8.75</v>
      </c>
      <c r="M56" s="405">
        <v>9.09</v>
      </c>
      <c r="N56" s="405">
        <v>9.7100000000000009</v>
      </c>
      <c r="O56" s="405">
        <v>14.72</v>
      </c>
      <c r="P56" s="405">
        <v>14.27</v>
      </c>
      <c r="Q56" s="405">
        <v>14.1</v>
      </c>
      <c r="R56" s="405">
        <v>15.05</v>
      </c>
      <c r="S56" s="405">
        <v>14.43</v>
      </c>
      <c r="T56" s="405">
        <v>15.39</v>
      </c>
      <c r="U56" s="405">
        <v>18.2</v>
      </c>
      <c r="V56" s="405">
        <v>17.600000000000001</v>
      </c>
      <c r="W56" s="405">
        <v>17.399999999999999</v>
      </c>
      <c r="X56" s="405">
        <v>18.600000000000001</v>
      </c>
      <c r="Y56" s="405">
        <v>17.8</v>
      </c>
      <c r="Z56" s="405">
        <v>19</v>
      </c>
      <c r="AA56" s="405">
        <v>26.8</v>
      </c>
      <c r="AB56" s="405">
        <v>27.71</v>
      </c>
      <c r="AC56" s="405">
        <v>28.61</v>
      </c>
      <c r="AD56" s="405"/>
      <c r="AE56" s="405"/>
      <c r="AF56" s="405"/>
      <c r="AG56" s="405"/>
      <c r="AH56" s="405"/>
      <c r="AI56" s="405"/>
      <c r="AJ56" s="405"/>
      <c r="AK56" s="405"/>
      <c r="AL56" s="405"/>
      <c r="AM56" s="405"/>
      <c r="AN56" s="405"/>
      <c r="AO56" s="405"/>
      <c r="AP56" s="405"/>
      <c r="AQ56" s="405"/>
      <c r="AR56" s="405"/>
      <c r="AS56" s="405">
        <v>5.49</v>
      </c>
      <c r="AT56" s="405">
        <v>5.57</v>
      </c>
      <c r="AU56" s="405">
        <v>5.65</v>
      </c>
      <c r="AV56" s="405">
        <v>8.7799999999999994</v>
      </c>
      <c r="AW56" s="405">
        <v>8.94</v>
      </c>
      <c r="AX56" s="405">
        <v>9.09</v>
      </c>
      <c r="AY56" s="405" t="s">
        <v>530</v>
      </c>
      <c r="AZ56" s="405">
        <v>14.72</v>
      </c>
      <c r="BA56" s="405">
        <v>15.05</v>
      </c>
      <c r="BB56" s="405">
        <v>15.39</v>
      </c>
      <c r="BC56" s="405"/>
      <c r="BD56" s="405"/>
      <c r="BE56" s="405"/>
      <c r="BF56" s="405"/>
      <c r="BG56" s="405"/>
      <c r="BH56" s="405"/>
      <c r="BI56" s="405">
        <v>26.8</v>
      </c>
      <c r="BJ56" s="405">
        <v>27.71</v>
      </c>
      <c r="BK56" s="405">
        <v>28.61</v>
      </c>
      <c r="BL56" s="405">
        <v>28.11</v>
      </c>
      <c r="BM56" s="405">
        <v>29.06</v>
      </c>
      <c r="BN56" s="405" t="s">
        <v>322</v>
      </c>
      <c r="BO56" s="405">
        <v>39.46</v>
      </c>
      <c r="BP56" s="405">
        <v>40.74</v>
      </c>
      <c r="BQ56" s="405">
        <v>42.01</v>
      </c>
      <c r="BR56" s="405">
        <v>56.31</v>
      </c>
      <c r="BS56" s="405">
        <v>58.72</v>
      </c>
      <c r="BT56" s="405">
        <v>61.14</v>
      </c>
      <c r="BU56" s="405">
        <v>149.44999999999999</v>
      </c>
      <c r="BV56" s="405">
        <v>156.87</v>
      </c>
      <c r="BW56" s="405">
        <v>164.29</v>
      </c>
      <c r="BX56" s="405"/>
      <c r="BY56" s="405"/>
      <c r="BZ56" s="405"/>
      <c r="CA56" s="405"/>
      <c r="CB56" s="405"/>
      <c r="CC56" s="405"/>
      <c r="CD56" s="405"/>
    </row>
    <row r="57" spans="1:82">
      <c r="A57" s="404">
        <v>2400</v>
      </c>
      <c r="B57" s="405"/>
      <c r="C57" s="405"/>
      <c r="D57" s="405"/>
      <c r="E57" s="405">
        <v>5.6</v>
      </c>
      <c r="F57" s="405">
        <v>5.68</v>
      </c>
      <c r="G57" s="405">
        <v>5.76</v>
      </c>
      <c r="H57" s="405">
        <v>8.9499999999999993</v>
      </c>
      <c r="I57" s="405">
        <v>8.82</v>
      </c>
      <c r="J57" s="405">
        <v>8.7100000000000009</v>
      </c>
      <c r="K57" s="405">
        <v>9.11</v>
      </c>
      <c r="L57" s="405">
        <v>8.92</v>
      </c>
      <c r="M57" s="405">
        <v>9.26</v>
      </c>
      <c r="N57" s="405">
        <v>9.8800000000000008</v>
      </c>
      <c r="O57" s="405">
        <v>15</v>
      </c>
      <c r="P57" s="405">
        <v>14.55</v>
      </c>
      <c r="Q57" s="405">
        <v>14.38</v>
      </c>
      <c r="R57" s="405">
        <v>15.33</v>
      </c>
      <c r="S57" s="405">
        <v>14.72</v>
      </c>
      <c r="T57" s="405">
        <v>15.67</v>
      </c>
      <c r="U57" s="405">
        <v>18.5</v>
      </c>
      <c r="V57" s="405">
        <v>18</v>
      </c>
      <c r="W57" s="405">
        <v>17.8</v>
      </c>
      <c r="X57" s="405">
        <v>19</v>
      </c>
      <c r="Y57" s="405">
        <v>18.2</v>
      </c>
      <c r="Z57" s="405">
        <v>19.399999999999999</v>
      </c>
      <c r="AA57" s="405">
        <v>27.3</v>
      </c>
      <c r="AB57" s="405">
        <v>28.21</v>
      </c>
      <c r="AC57" s="405">
        <v>29.11</v>
      </c>
      <c r="AD57" s="405"/>
      <c r="AE57" s="405"/>
      <c r="AF57" s="405"/>
      <c r="AG57" s="405"/>
      <c r="AH57" s="405"/>
      <c r="AI57" s="405"/>
      <c r="AJ57" s="405"/>
      <c r="AK57" s="405"/>
      <c r="AL57" s="405"/>
      <c r="AM57" s="405"/>
      <c r="AN57" s="405"/>
      <c r="AO57" s="405"/>
      <c r="AP57" s="405"/>
      <c r="AQ57" s="405"/>
      <c r="AR57" s="405"/>
      <c r="AS57" s="405">
        <v>5.6</v>
      </c>
      <c r="AT57" s="405">
        <v>5.68</v>
      </c>
      <c r="AU57" s="405">
        <v>5.76</v>
      </c>
      <c r="AV57" s="405">
        <v>8.9499999999999993</v>
      </c>
      <c r="AW57" s="405">
        <v>9.11</v>
      </c>
      <c r="AX57" s="405">
        <v>9.26</v>
      </c>
      <c r="AY57" s="405"/>
      <c r="AZ57" s="405">
        <v>15</v>
      </c>
      <c r="BA57" s="405">
        <v>15.33</v>
      </c>
      <c r="BB57" s="405">
        <v>15.67</v>
      </c>
      <c r="BC57" s="405"/>
      <c r="BD57" s="405"/>
      <c r="BE57" s="405"/>
      <c r="BF57" s="405"/>
      <c r="BG57" s="405"/>
      <c r="BH57" s="405"/>
      <c r="BI57" s="405">
        <v>27.3</v>
      </c>
      <c r="BJ57" s="405">
        <v>28.21</v>
      </c>
      <c r="BK57" s="405">
        <v>29.11</v>
      </c>
      <c r="BL57" s="405">
        <v>28.64</v>
      </c>
      <c r="BM57" s="405">
        <v>29.58</v>
      </c>
      <c r="BN57" s="405"/>
      <c r="BO57" s="405">
        <v>40.17</v>
      </c>
      <c r="BP57" s="405">
        <v>41.45</v>
      </c>
      <c r="BQ57" s="405">
        <v>42.72</v>
      </c>
      <c r="BR57" s="405">
        <v>57.32</v>
      </c>
      <c r="BS57" s="405">
        <v>59.73</v>
      </c>
      <c r="BT57" s="405">
        <v>62.14</v>
      </c>
      <c r="BU57" s="405">
        <v>152.19999999999999</v>
      </c>
      <c r="BV57" s="405">
        <v>159.62</v>
      </c>
      <c r="BW57" s="405">
        <v>167.04</v>
      </c>
      <c r="BX57" s="405"/>
      <c r="BY57" s="405"/>
      <c r="BZ57" s="405"/>
      <c r="CA57" s="405"/>
      <c r="CB57" s="405"/>
      <c r="CC57" s="405"/>
      <c r="CD57" s="405"/>
    </row>
    <row r="58" spans="1:82">
      <c r="A58" s="404">
        <v>2450</v>
      </c>
      <c r="B58" s="405"/>
      <c r="C58" s="405"/>
      <c r="D58" s="405"/>
      <c r="E58" s="405">
        <v>5.71</v>
      </c>
      <c r="F58" s="405">
        <v>5.79</v>
      </c>
      <c r="G58" s="405">
        <v>5.87</v>
      </c>
      <c r="H58" s="405">
        <v>9.1300000000000008</v>
      </c>
      <c r="I58" s="405">
        <v>8.99</v>
      </c>
      <c r="J58" s="405">
        <v>8.8800000000000008</v>
      </c>
      <c r="K58" s="405">
        <v>9.2799999999999994</v>
      </c>
      <c r="L58" s="405">
        <v>9.09</v>
      </c>
      <c r="M58" s="405">
        <v>9.43</v>
      </c>
      <c r="N58" s="405">
        <v>10.050000000000001</v>
      </c>
      <c r="O58" s="405">
        <v>15.28</v>
      </c>
      <c r="P58" s="405">
        <v>14.83</v>
      </c>
      <c r="Q58" s="405">
        <v>14.66</v>
      </c>
      <c r="R58" s="405">
        <v>15.62</v>
      </c>
      <c r="S58" s="405">
        <v>15</v>
      </c>
      <c r="T58" s="405">
        <v>15.95</v>
      </c>
      <c r="U58" s="405">
        <v>18.899999999999999</v>
      </c>
      <c r="V58" s="405">
        <v>18.3</v>
      </c>
      <c r="W58" s="405">
        <v>18.100000000000001</v>
      </c>
      <c r="X58" s="405">
        <v>19.3</v>
      </c>
      <c r="Y58" s="405">
        <v>18.5</v>
      </c>
      <c r="Z58" s="405">
        <v>19.7</v>
      </c>
      <c r="AA58" s="405">
        <v>27.81</v>
      </c>
      <c r="AB58" s="405">
        <v>28.71</v>
      </c>
      <c r="AC58" s="405">
        <v>29.61</v>
      </c>
      <c r="AD58" s="405"/>
      <c r="AE58" s="405"/>
      <c r="AF58" s="405"/>
      <c r="AG58" s="405"/>
      <c r="AH58" s="405"/>
      <c r="AI58" s="405"/>
      <c r="AJ58" s="405"/>
      <c r="AK58" s="405"/>
      <c r="AL58" s="405"/>
      <c r="AM58" s="405"/>
      <c r="AN58" s="405"/>
      <c r="AO58" s="405"/>
      <c r="AP58" s="405"/>
      <c r="AQ58" s="405"/>
      <c r="AR58" s="405"/>
      <c r="AS58" s="405">
        <v>5.71</v>
      </c>
      <c r="AT58" s="405">
        <v>5.79</v>
      </c>
      <c r="AU58" s="405">
        <v>5.87</v>
      </c>
      <c r="AV58" s="405">
        <v>9.1300000000000008</v>
      </c>
      <c r="AW58" s="405">
        <v>9.2799999999999994</v>
      </c>
      <c r="AX58" s="405">
        <v>9.43</v>
      </c>
      <c r="AY58" s="405"/>
      <c r="AZ58" s="405">
        <v>15.28</v>
      </c>
      <c r="BA58" s="405">
        <v>15.62</v>
      </c>
      <c r="BB58" s="405">
        <v>15.95</v>
      </c>
      <c r="BC58" s="405"/>
      <c r="BD58" s="405"/>
      <c r="BE58" s="405"/>
      <c r="BF58" s="405"/>
      <c r="BG58" s="405"/>
      <c r="BH58" s="405"/>
      <c r="BI58" s="405">
        <v>27.81</v>
      </c>
      <c r="BJ58" s="405">
        <v>28.71</v>
      </c>
      <c r="BK58" s="405">
        <v>29.61</v>
      </c>
      <c r="BL58" s="405">
        <v>29.16</v>
      </c>
      <c r="BM58" s="405" t="s">
        <v>322</v>
      </c>
      <c r="BN58" s="405"/>
      <c r="BO58" s="405">
        <v>40.880000000000003</v>
      </c>
      <c r="BP58" s="405">
        <v>42.16</v>
      </c>
      <c r="BQ58" s="405">
        <v>43.43</v>
      </c>
      <c r="BR58" s="405">
        <v>58.32</v>
      </c>
      <c r="BS58" s="405">
        <v>60.74</v>
      </c>
      <c r="BT58" s="405">
        <v>63.15</v>
      </c>
      <c r="BU58" s="405">
        <v>154.94999999999999</v>
      </c>
      <c r="BV58" s="405">
        <v>162.37</v>
      </c>
      <c r="BW58" s="405">
        <v>169.79</v>
      </c>
      <c r="BX58" s="405"/>
      <c r="BY58" s="405"/>
      <c r="BZ58" s="405"/>
      <c r="CA58" s="405"/>
      <c r="CB58" s="405"/>
      <c r="CC58" s="405"/>
      <c r="CD58" s="405"/>
    </row>
    <row r="59" spans="1:82">
      <c r="A59" s="404">
        <v>2500</v>
      </c>
      <c r="B59" s="405"/>
      <c r="C59" s="405"/>
      <c r="D59" s="405"/>
      <c r="E59" s="405">
        <v>5.82</v>
      </c>
      <c r="F59" s="405">
        <v>5.9</v>
      </c>
      <c r="G59" s="405">
        <v>5.98</v>
      </c>
      <c r="H59" s="405">
        <v>9.3000000000000007</v>
      </c>
      <c r="I59" s="405">
        <v>9.16</v>
      </c>
      <c r="J59" s="405">
        <v>9.06</v>
      </c>
      <c r="K59" s="405">
        <v>9.4499999999999993</v>
      </c>
      <c r="L59" s="405">
        <v>9.26</v>
      </c>
      <c r="M59" s="405">
        <v>9.61</v>
      </c>
      <c r="N59" s="405">
        <v>10.220000000000001</v>
      </c>
      <c r="O59" s="405">
        <v>15.56</v>
      </c>
      <c r="P59" s="405">
        <v>15.11</v>
      </c>
      <c r="Q59" s="405">
        <v>14.94</v>
      </c>
      <c r="R59" s="405">
        <v>15.9</v>
      </c>
      <c r="S59" s="405">
        <v>15.28</v>
      </c>
      <c r="T59" s="405">
        <v>16.239999999999998</v>
      </c>
      <c r="U59" s="405">
        <v>19.2</v>
      </c>
      <c r="V59" s="405">
        <v>18.7</v>
      </c>
      <c r="W59" s="405">
        <v>18.5</v>
      </c>
      <c r="X59" s="405">
        <v>19.600000000000001</v>
      </c>
      <c r="Y59" s="405">
        <v>18.899999999999999</v>
      </c>
      <c r="Z59" s="405">
        <v>20.100000000000001</v>
      </c>
      <c r="AA59" s="405">
        <v>28.31</v>
      </c>
      <c r="AB59" s="405">
        <v>29.21</v>
      </c>
      <c r="AC59" s="405">
        <v>30.11</v>
      </c>
      <c r="AD59" s="405"/>
      <c r="AE59" s="405"/>
      <c r="AF59" s="405"/>
      <c r="AG59" s="405"/>
      <c r="AH59" s="405"/>
      <c r="AI59" s="405"/>
      <c r="AJ59" s="405"/>
      <c r="AK59" s="405"/>
      <c r="AL59" s="405"/>
      <c r="AM59" s="405"/>
      <c r="AN59" s="405"/>
      <c r="AO59" s="405"/>
      <c r="AP59" s="405"/>
      <c r="AQ59" s="405"/>
      <c r="AR59" s="405"/>
      <c r="AS59" s="405">
        <v>5.82</v>
      </c>
      <c r="AT59" s="405">
        <v>5.9</v>
      </c>
      <c r="AU59" s="405">
        <v>5.98</v>
      </c>
      <c r="AV59" s="405">
        <v>9.3000000000000007</v>
      </c>
      <c r="AW59" s="405">
        <v>9.4499999999999993</v>
      </c>
      <c r="AX59" s="405">
        <v>9.61</v>
      </c>
      <c r="AY59" s="405"/>
      <c r="AZ59" s="405">
        <v>15.56</v>
      </c>
      <c r="BA59" s="405">
        <v>15.9</v>
      </c>
      <c r="BB59" s="405">
        <v>16.239999999999998</v>
      </c>
      <c r="BC59" s="405"/>
      <c r="BD59" s="405"/>
      <c r="BE59" s="405"/>
      <c r="BF59" s="405"/>
      <c r="BG59" s="405"/>
      <c r="BH59" s="405"/>
      <c r="BI59" s="405">
        <v>28.31</v>
      </c>
      <c r="BJ59" s="405">
        <v>29.21</v>
      </c>
      <c r="BK59" s="405">
        <v>30.11</v>
      </c>
      <c r="BL59" s="405">
        <v>29.69</v>
      </c>
      <c r="BM59" s="405"/>
      <c r="BN59" s="405"/>
      <c r="BO59" s="405">
        <v>41.59</v>
      </c>
      <c r="BP59" s="405">
        <v>42.87</v>
      </c>
      <c r="BQ59" s="405">
        <v>44.14</v>
      </c>
      <c r="BR59" s="405">
        <v>59.33</v>
      </c>
      <c r="BS59" s="405">
        <v>61.74</v>
      </c>
      <c r="BT59" s="405">
        <v>64.16</v>
      </c>
      <c r="BU59" s="405">
        <v>157.69999999999999</v>
      </c>
      <c r="BV59" s="405">
        <v>165.12</v>
      </c>
      <c r="BW59" s="405">
        <v>172.54</v>
      </c>
      <c r="BX59" s="405"/>
      <c r="BY59" s="405"/>
      <c r="BZ59" s="405"/>
      <c r="CA59" s="405"/>
      <c r="CB59" s="405"/>
      <c r="CC59" s="405"/>
      <c r="CD59" s="405"/>
    </row>
    <row r="60" spans="1:82">
      <c r="A60" s="404">
        <v>2550</v>
      </c>
      <c r="B60" s="405"/>
      <c r="C60" s="405"/>
      <c r="D60" s="405"/>
      <c r="E60" s="405">
        <v>5.93</v>
      </c>
      <c r="F60" s="405">
        <v>6.01</v>
      </c>
      <c r="G60" s="405">
        <v>6.09</v>
      </c>
      <c r="H60" s="405">
        <v>9.4700000000000006</v>
      </c>
      <c r="I60" s="405" t="s">
        <v>530</v>
      </c>
      <c r="J60" s="405" t="s">
        <v>530</v>
      </c>
      <c r="K60" s="405">
        <v>9.6199999999999992</v>
      </c>
      <c r="L60" s="405" t="s">
        <v>530</v>
      </c>
      <c r="M60" s="405">
        <v>9.7799999999999994</v>
      </c>
      <c r="N60" s="405">
        <v>10.4</v>
      </c>
      <c r="O60" s="405">
        <v>15.84</v>
      </c>
      <c r="P60" s="405" t="s">
        <v>322</v>
      </c>
      <c r="Q60" s="405" t="s">
        <v>322</v>
      </c>
      <c r="R60" s="405">
        <v>16.18</v>
      </c>
      <c r="S60" s="405" t="s">
        <v>322</v>
      </c>
      <c r="T60" s="405">
        <v>16.52</v>
      </c>
      <c r="U60" s="405" t="s">
        <v>530</v>
      </c>
      <c r="V60" s="405" t="s">
        <v>530</v>
      </c>
      <c r="W60" s="405" t="s">
        <v>530</v>
      </c>
      <c r="X60" s="405" t="s">
        <v>530</v>
      </c>
      <c r="Y60" s="405" t="s">
        <v>530</v>
      </c>
      <c r="Z60" s="405" t="s">
        <v>530</v>
      </c>
      <c r="AA60" s="405">
        <v>28.81</v>
      </c>
      <c r="AB60" s="405">
        <v>29.71</v>
      </c>
      <c r="AC60" s="405">
        <v>30.61</v>
      </c>
      <c r="AD60" s="405"/>
      <c r="AE60" s="405"/>
      <c r="AF60" s="405"/>
      <c r="AG60" s="405"/>
      <c r="AH60" s="405"/>
      <c r="AI60" s="405"/>
      <c r="AJ60" s="405"/>
      <c r="AK60" s="405"/>
      <c r="AL60" s="405"/>
      <c r="AM60" s="405"/>
      <c r="AN60" s="405"/>
      <c r="AO60" s="405"/>
      <c r="AP60" s="405"/>
      <c r="AQ60" s="405"/>
      <c r="AR60" s="405"/>
      <c r="AS60" s="405">
        <v>5.93</v>
      </c>
      <c r="AT60" s="405">
        <v>6.01</v>
      </c>
      <c r="AU60" s="405">
        <v>6.09</v>
      </c>
      <c r="AV60" s="405">
        <v>9.4700000000000006</v>
      </c>
      <c r="AW60" s="405">
        <v>9.6199999999999992</v>
      </c>
      <c r="AX60" s="405" t="s">
        <v>530</v>
      </c>
      <c r="AY60" s="405"/>
      <c r="AZ60" s="405">
        <v>15.84</v>
      </c>
      <c r="BA60" s="405">
        <v>16.18</v>
      </c>
      <c r="BB60" s="405">
        <v>16.52</v>
      </c>
      <c r="BC60" s="405"/>
      <c r="BD60" s="405"/>
      <c r="BE60" s="405"/>
      <c r="BF60" s="405"/>
      <c r="BG60" s="405"/>
      <c r="BH60" s="405"/>
      <c r="BI60" s="405">
        <v>28.81</v>
      </c>
      <c r="BJ60" s="405">
        <v>29.71</v>
      </c>
      <c r="BK60" s="405">
        <v>30.61</v>
      </c>
      <c r="BL60" s="405" t="s">
        <v>322</v>
      </c>
      <c r="BM60" s="405"/>
      <c r="BN60" s="405"/>
      <c r="BO60" s="405">
        <v>42.3</v>
      </c>
      <c r="BP60" s="405">
        <v>43.58</v>
      </c>
      <c r="BQ60" s="405">
        <v>44.85</v>
      </c>
      <c r="BR60" s="405">
        <v>60.33</v>
      </c>
      <c r="BS60" s="405">
        <v>62.75</v>
      </c>
      <c r="BT60" s="405">
        <v>65.16</v>
      </c>
      <c r="BU60" s="405">
        <v>160.44999999999999</v>
      </c>
      <c r="BV60" s="405">
        <v>167.87</v>
      </c>
      <c r="BW60" s="405" t="s">
        <v>322</v>
      </c>
      <c r="BX60" s="405"/>
      <c r="BY60" s="405"/>
      <c r="BZ60" s="405"/>
      <c r="CA60" s="405"/>
      <c r="CB60" s="405"/>
      <c r="CC60" s="405"/>
      <c r="CD60" s="405"/>
    </row>
    <row r="61" spans="1:82">
      <c r="A61" s="511">
        <v>2600</v>
      </c>
      <c r="B61" s="405"/>
      <c r="C61" s="405"/>
      <c r="D61" s="405"/>
      <c r="E61" s="405">
        <v>6.04</v>
      </c>
      <c r="F61" s="405">
        <v>6.12</v>
      </c>
      <c r="G61" s="405">
        <v>6.2</v>
      </c>
      <c r="H61" s="405">
        <v>9.64</v>
      </c>
      <c r="I61" s="405"/>
      <c r="J61" s="405"/>
      <c r="K61" s="405">
        <v>9.8000000000000007</v>
      </c>
      <c r="L61" s="405"/>
      <c r="M61" s="405">
        <v>9.9499999999999993</v>
      </c>
      <c r="N61" s="405">
        <v>10.57</v>
      </c>
      <c r="O61" s="405">
        <v>16.12</v>
      </c>
      <c r="P61" s="405"/>
      <c r="Q61" s="405"/>
      <c r="R61" s="405">
        <v>16.46</v>
      </c>
      <c r="S61" s="405"/>
      <c r="T61" s="405">
        <v>16.8</v>
      </c>
      <c r="U61" s="405"/>
      <c r="V61" s="405"/>
      <c r="W61" s="405"/>
      <c r="X61" s="405"/>
      <c r="Y61" s="405"/>
      <c r="Z61" s="405"/>
      <c r="AA61" s="405">
        <v>29.31</v>
      </c>
      <c r="AB61" s="405">
        <v>30.21</v>
      </c>
      <c r="AC61" s="405">
        <v>31.11</v>
      </c>
      <c r="AD61" s="405"/>
      <c r="AE61" s="405"/>
      <c r="AF61" s="405"/>
      <c r="AG61" s="405"/>
      <c r="AH61" s="405"/>
      <c r="AI61" s="405"/>
      <c r="AJ61" s="405"/>
      <c r="AK61" s="405"/>
      <c r="AL61" s="405"/>
      <c r="AM61" s="405"/>
      <c r="AN61" s="405"/>
      <c r="AO61" s="405"/>
      <c r="AP61" s="405"/>
      <c r="AQ61" s="405"/>
      <c r="AR61" s="405"/>
      <c r="AS61" s="405">
        <v>6.04</v>
      </c>
      <c r="AT61" s="405">
        <v>6.12</v>
      </c>
      <c r="AU61" s="405">
        <v>6.2</v>
      </c>
      <c r="AV61" s="405">
        <v>9.64</v>
      </c>
      <c r="AW61" s="405">
        <v>9.8000000000000007</v>
      </c>
      <c r="AX61" s="405"/>
      <c r="AY61" s="405"/>
      <c r="AZ61" s="405">
        <v>16.12</v>
      </c>
      <c r="BA61" s="405">
        <v>16.46</v>
      </c>
      <c r="BB61" s="405">
        <v>16.8</v>
      </c>
      <c r="BC61" s="405"/>
      <c r="BD61" s="405"/>
      <c r="BE61" s="405"/>
      <c r="BF61" s="405"/>
      <c r="BG61" s="405"/>
      <c r="BH61" s="405"/>
      <c r="BI61" s="405">
        <v>29.31</v>
      </c>
      <c r="BJ61" s="405">
        <v>30.21</v>
      </c>
      <c r="BK61" s="405">
        <v>31.11</v>
      </c>
      <c r="BL61" s="405"/>
      <c r="BM61" s="405"/>
      <c r="BN61" s="405"/>
      <c r="BO61" s="405">
        <v>43.01</v>
      </c>
      <c r="BP61" s="405">
        <v>44.29</v>
      </c>
      <c r="BQ61" s="405">
        <v>45.56</v>
      </c>
      <c r="BR61" s="405">
        <v>61.34</v>
      </c>
      <c r="BS61" s="405">
        <v>63.75</v>
      </c>
      <c r="BT61" s="405">
        <v>66.17</v>
      </c>
      <c r="BU61" s="405">
        <v>163.19</v>
      </c>
      <c r="BV61" s="405">
        <v>170.62</v>
      </c>
      <c r="BW61" s="405"/>
      <c r="BX61" s="405"/>
      <c r="BY61" s="405"/>
      <c r="BZ61" s="405"/>
      <c r="CA61" s="405"/>
      <c r="CB61" s="405"/>
      <c r="CC61" s="405"/>
      <c r="CD61" s="405"/>
    </row>
    <row r="62" spans="1:82">
      <c r="A62" s="511">
        <v>2650</v>
      </c>
      <c r="B62" s="405"/>
      <c r="C62" s="405"/>
      <c r="D62" s="405"/>
      <c r="E62" s="405">
        <v>6.15</v>
      </c>
      <c r="F62" s="405">
        <v>6.23</v>
      </c>
      <c r="G62" s="405">
        <v>6.31</v>
      </c>
      <c r="H62" s="405">
        <v>9.81</v>
      </c>
      <c r="I62" s="405"/>
      <c r="J62" s="405"/>
      <c r="K62" s="405">
        <v>9.9700000000000006</v>
      </c>
      <c r="L62" s="405"/>
      <c r="M62" s="405">
        <v>10.119999999999999</v>
      </c>
      <c r="N62" s="405">
        <v>10.74</v>
      </c>
      <c r="O62" s="405">
        <v>16.399999999999999</v>
      </c>
      <c r="P62" s="405"/>
      <c r="Q62" s="405"/>
      <c r="R62" s="405">
        <v>16.739999999999998</v>
      </c>
      <c r="S62" s="405"/>
      <c r="T62" s="405">
        <v>17.079999999999998</v>
      </c>
      <c r="U62" s="405"/>
      <c r="V62" s="405"/>
      <c r="W62" s="405"/>
      <c r="X62" s="405"/>
      <c r="Y62" s="405"/>
      <c r="Z62" s="405"/>
      <c r="AA62" s="405">
        <v>29.81</v>
      </c>
      <c r="AB62" s="405">
        <v>30.71</v>
      </c>
      <c r="AC62" s="405">
        <v>31.62</v>
      </c>
      <c r="AD62" s="405"/>
      <c r="AE62" s="405"/>
      <c r="AF62" s="405"/>
      <c r="AG62" s="405"/>
      <c r="AH62" s="405"/>
      <c r="AI62" s="405"/>
      <c r="AJ62" s="405"/>
      <c r="AK62" s="405"/>
      <c r="AL62" s="405"/>
      <c r="AM62" s="405"/>
      <c r="AN62" s="405"/>
      <c r="AO62" s="405"/>
      <c r="AP62" s="405"/>
      <c r="AQ62" s="405"/>
      <c r="AR62" s="405"/>
      <c r="AS62" s="405">
        <v>6.15</v>
      </c>
      <c r="AT62" s="405">
        <v>6.23</v>
      </c>
      <c r="AU62" s="405">
        <v>6.31</v>
      </c>
      <c r="AV62" s="405">
        <v>9.81</v>
      </c>
      <c r="AW62" s="405" t="s">
        <v>530</v>
      </c>
      <c r="AX62" s="405"/>
      <c r="AY62" s="405"/>
      <c r="AZ62" s="405">
        <v>16.399999999999999</v>
      </c>
      <c r="BA62" s="405">
        <v>16.739999999999998</v>
      </c>
      <c r="BB62" s="405">
        <v>17.079999999999998</v>
      </c>
      <c r="BC62" s="405"/>
      <c r="BD62" s="405"/>
      <c r="BE62" s="405"/>
      <c r="BF62" s="405"/>
      <c r="BG62" s="405"/>
      <c r="BH62" s="405"/>
      <c r="BI62" s="405">
        <v>29.81</v>
      </c>
      <c r="BJ62" s="405">
        <v>30.71</v>
      </c>
      <c r="BK62" s="405">
        <v>31.62</v>
      </c>
      <c r="BL62" s="405"/>
      <c r="BM62" s="405"/>
      <c r="BN62" s="405"/>
      <c r="BO62" s="405">
        <v>43.72</v>
      </c>
      <c r="BP62" s="405">
        <v>45</v>
      </c>
      <c r="BQ62" s="405">
        <v>46.27</v>
      </c>
      <c r="BR62" s="405">
        <v>62.35</v>
      </c>
      <c r="BS62" s="405">
        <v>64.760000000000005</v>
      </c>
      <c r="BT62" s="405">
        <v>67.180000000000007</v>
      </c>
      <c r="BU62" s="405">
        <v>165.94</v>
      </c>
      <c r="BV62" s="405" t="s">
        <v>322</v>
      </c>
      <c r="BW62" s="405"/>
      <c r="BX62" s="405"/>
      <c r="BY62" s="405"/>
      <c r="BZ62" s="405"/>
      <c r="CA62" s="405"/>
      <c r="CB62" s="405"/>
      <c r="CC62" s="405"/>
      <c r="CD62" s="405"/>
    </row>
    <row r="63" spans="1:82">
      <c r="A63" s="511">
        <v>2700</v>
      </c>
      <c r="B63" s="405"/>
      <c r="C63" s="405"/>
      <c r="D63" s="405"/>
      <c r="E63" s="405">
        <v>6.26</v>
      </c>
      <c r="F63" s="405">
        <v>6.34</v>
      </c>
      <c r="G63" s="405">
        <v>6.42</v>
      </c>
      <c r="H63" s="405">
        <v>9.98</v>
      </c>
      <c r="I63" s="405"/>
      <c r="J63" s="405"/>
      <c r="K63" s="405">
        <v>10.14</v>
      </c>
      <c r="L63" s="405"/>
      <c r="M63" s="405">
        <v>10.29</v>
      </c>
      <c r="N63" s="405">
        <v>10.91</v>
      </c>
      <c r="O63" s="405">
        <v>16.690000000000001</v>
      </c>
      <c r="P63" s="405"/>
      <c r="Q63" s="405"/>
      <c r="R63" s="405">
        <v>17.02</v>
      </c>
      <c r="S63" s="405"/>
      <c r="T63" s="405">
        <v>17.36</v>
      </c>
      <c r="U63" s="405"/>
      <c r="V63" s="405"/>
      <c r="W63" s="405"/>
      <c r="X63" s="405"/>
      <c r="Y63" s="405"/>
      <c r="Z63" s="405"/>
      <c r="AA63" s="405">
        <v>30.31</v>
      </c>
      <c r="AB63" s="405">
        <v>31.21</v>
      </c>
      <c r="AC63" s="405">
        <v>32.119999999999997</v>
      </c>
      <c r="AD63" s="405"/>
      <c r="AE63" s="405"/>
      <c r="AF63" s="405"/>
      <c r="AG63" s="405"/>
      <c r="AH63" s="405"/>
      <c r="AI63" s="405"/>
      <c r="AJ63" s="405"/>
      <c r="AK63" s="405"/>
      <c r="AL63" s="405"/>
      <c r="AM63" s="405"/>
      <c r="AN63" s="405"/>
      <c r="AO63" s="405"/>
      <c r="AP63" s="405"/>
      <c r="AQ63" s="405"/>
      <c r="AR63" s="405"/>
      <c r="AS63" s="405">
        <v>6.26</v>
      </c>
      <c r="AT63" s="405">
        <v>6.34</v>
      </c>
      <c r="AU63" s="405">
        <v>6.42</v>
      </c>
      <c r="AV63" s="405">
        <v>9.98</v>
      </c>
      <c r="AW63" s="405"/>
      <c r="AX63" s="405"/>
      <c r="AY63" s="405"/>
      <c r="AZ63" s="405">
        <v>16.690000000000001</v>
      </c>
      <c r="BA63" s="405">
        <v>17.02</v>
      </c>
      <c r="BB63" s="405">
        <v>17.36</v>
      </c>
      <c r="BC63" s="405"/>
      <c r="BD63" s="405"/>
      <c r="BE63" s="405"/>
      <c r="BF63" s="405"/>
      <c r="BG63" s="405"/>
      <c r="BH63" s="405"/>
      <c r="BI63" s="405">
        <v>30.31</v>
      </c>
      <c r="BJ63" s="405">
        <v>31.21</v>
      </c>
      <c r="BK63" s="405">
        <v>32.119999999999997</v>
      </c>
      <c r="BL63" s="405"/>
      <c r="BM63" s="405"/>
      <c r="BN63" s="405"/>
      <c r="BO63" s="405">
        <v>44.43</v>
      </c>
      <c r="BP63" s="405">
        <v>45.71</v>
      </c>
      <c r="BQ63" s="405">
        <v>46.98</v>
      </c>
      <c r="BR63" s="405">
        <v>63.35</v>
      </c>
      <c r="BS63" s="405">
        <v>65.77</v>
      </c>
      <c r="BT63" s="405">
        <v>68.180000000000007</v>
      </c>
      <c r="BU63" s="405">
        <v>168.69</v>
      </c>
      <c r="BV63" s="405"/>
      <c r="BW63" s="405"/>
      <c r="BX63" s="405"/>
      <c r="BY63" s="405"/>
      <c r="BZ63" s="405"/>
      <c r="CA63" s="405"/>
      <c r="CB63" s="405"/>
      <c r="CC63" s="405"/>
      <c r="CD63" s="405"/>
    </row>
    <row r="64" spans="1:82">
      <c r="A64" s="511">
        <v>2750</v>
      </c>
      <c r="B64" s="405"/>
      <c r="C64" s="405"/>
      <c r="D64" s="405"/>
      <c r="E64" s="405" t="s">
        <v>322</v>
      </c>
      <c r="F64" s="405" t="s">
        <v>322</v>
      </c>
      <c r="G64" s="405" t="s">
        <v>322</v>
      </c>
      <c r="H64" s="405">
        <v>10.16</v>
      </c>
      <c r="I64" s="405"/>
      <c r="J64" s="405"/>
      <c r="K64" s="405">
        <v>10.31</v>
      </c>
      <c r="L64" s="405"/>
      <c r="M64" s="405">
        <v>10.47</v>
      </c>
      <c r="N64" s="405">
        <v>11.08</v>
      </c>
      <c r="O64" s="405">
        <v>16.97</v>
      </c>
      <c r="P64" s="405"/>
      <c r="Q64" s="405"/>
      <c r="R64" s="405">
        <v>17.309999999999999</v>
      </c>
      <c r="S64" s="405"/>
      <c r="T64" s="405">
        <v>17.64</v>
      </c>
      <c r="U64" s="405"/>
      <c r="V64" s="405"/>
      <c r="W64" s="405"/>
      <c r="X64" s="405"/>
      <c r="Y64" s="405"/>
      <c r="Z64" s="405"/>
      <c r="AA64" s="405">
        <v>30.81</v>
      </c>
      <c r="AB64" s="405">
        <v>31.72</v>
      </c>
      <c r="AC64" s="405">
        <v>32.619999999999997</v>
      </c>
      <c r="AD64" s="405"/>
      <c r="AE64" s="405"/>
      <c r="AF64" s="405"/>
      <c r="AG64" s="405"/>
      <c r="AH64" s="405"/>
      <c r="AI64" s="405"/>
      <c r="AJ64" s="405"/>
      <c r="AK64" s="405"/>
      <c r="AL64" s="405"/>
      <c r="AM64" s="405"/>
      <c r="AN64" s="405"/>
      <c r="AO64" s="405"/>
      <c r="AP64" s="405"/>
      <c r="AQ64" s="405"/>
      <c r="AR64" s="405"/>
      <c r="AS64" s="405" t="s">
        <v>322</v>
      </c>
      <c r="AT64" s="405" t="s">
        <v>322</v>
      </c>
      <c r="AU64" s="405" t="s">
        <v>322</v>
      </c>
      <c r="AV64" s="405" t="s">
        <v>530</v>
      </c>
      <c r="AW64" s="405"/>
      <c r="AX64" s="405"/>
      <c r="AY64" s="405"/>
      <c r="AZ64" s="405">
        <v>16.97</v>
      </c>
      <c r="BA64" s="405">
        <v>17.309999999999999</v>
      </c>
      <c r="BB64" s="405">
        <v>17.64</v>
      </c>
      <c r="BC64" s="405"/>
      <c r="BD64" s="405"/>
      <c r="BE64" s="405"/>
      <c r="BF64" s="405"/>
      <c r="BG64" s="405"/>
      <c r="BH64" s="405"/>
      <c r="BI64" s="405">
        <v>30.81</v>
      </c>
      <c r="BJ64" s="405">
        <v>31.72</v>
      </c>
      <c r="BK64" s="405">
        <v>32.619999999999997</v>
      </c>
      <c r="BL64" s="405"/>
      <c r="BM64" s="405"/>
      <c r="BN64" s="405"/>
      <c r="BO64" s="405">
        <v>45.14</v>
      </c>
      <c r="BP64" s="405">
        <v>46.42</v>
      </c>
      <c r="BQ64" s="405">
        <v>47.69</v>
      </c>
      <c r="BR64" s="405">
        <v>64.36</v>
      </c>
      <c r="BS64" s="405">
        <v>66.77</v>
      </c>
      <c r="BT64" s="405">
        <v>69.19</v>
      </c>
      <c r="BU64" s="405" t="s">
        <v>322</v>
      </c>
      <c r="BV64" s="405"/>
      <c r="BW64" s="405"/>
      <c r="BX64" s="405"/>
      <c r="BY64" s="405"/>
      <c r="BZ64" s="405"/>
      <c r="CA64" s="405"/>
      <c r="CB64" s="405"/>
      <c r="CC64" s="405"/>
      <c r="CD64" s="405"/>
    </row>
    <row r="65" spans="1:82">
      <c r="A65" s="511">
        <v>2800</v>
      </c>
      <c r="B65" s="405"/>
      <c r="C65" s="405"/>
      <c r="D65" s="405"/>
      <c r="E65" s="405"/>
      <c r="F65" s="405"/>
      <c r="G65" s="405"/>
      <c r="H65" s="405">
        <v>10.33</v>
      </c>
      <c r="I65" s="405"/>
      <c r="J65" s="405"/>
      <c r="K65" s="405">
        <v>10.48</v>
      </c>
      <c r="L65" s="405"/>
      <c r="M65" s="405">
        <v>10.64</v>
      </c>
      <c r="N65" s="405">
        <v>11.26</v>
      </c>
      <c r="O65" s="405">
        <v>17.25</v>
      </c>
      <c r="P65" s="405"/>
      <c r="Q65" s="405"/>
      <c r="R65" s="405">
        <v>17.59</v>
      </c>
      <c r="S65" s="405"/>
      <c r="T65" s="405">
        <v>17.920000000000002</v>
      </c>
      <c r="U65" s="405"/>
      <c r="V65" s="405"/>
      <c r="W65" s="405"/>
      <c r="X65" s="405"/>
      <c r="Y65" s="405"/>
      <c r="Z65" s="405"/>
      <c r="AA65" s="405">
        <v>31.31</v>
      </c>
      <c r="AB65" s="405">
        <v>32.22</v>
      </c>
      <c r="AC65" s="405">
        <v>33.119999999999997</v>
      </c>
      <c r="AD65" s="405"/>
      <c r="AE65" s="405"/>
      <c r="AF65" s="405"/>
      <c r="AG65" s="405"/>
      <c r="AH65" s="405"/>
      <c r="AI65" s="405"/>
      <c r="AJ65" s="405"/>
      <c r="AK65" s="405"/>
      <c r="AL65" s="405"/>
      <c r="AM65" s="405"/>
      <c r="AN65" s="405"/>
      <c r="AO65" s="405"/>
      <c r="AP65" s="405"/>
      <c r="AQ65" s="405"/>
      <c r="AR65" s="405"/>
      <c r="AS65" s="405"/>
      <c r="AT65" s="405"/>
      <c r="AU65" s="405"/>
      <c r="AV65" s="405"/>
      <c r="AW65" s="405"/>
      <c r="AX65" s="405"/>
      <c r="AY65" s="405"/>
      <c r="AZ65" s="405">
        <v>17.25</v>
      </c>
      <c r="BA65" s="405">
        <v>17.59</v>
      </c>
      <c r="BB65" s="405">
        <v>17.920000000000002</v>
      </c>
      <c r="BC65" s="405"/>
      <c r="BD65" s="405"/>
      <c r="BE65" s="405"/>
      <c r="BF65" s="405"/>
      <c r="BG65" s="405"/>
      <c r="BH65" s="405"/>
      <c r="BI65" s="405">
        <v>31.31</v>
      </c>
      <c r="BJ65" s="405">
        <v>32.22</v>
      </c>
      <c r="BK65" s="405">
        <v>33.119999999999997</v>
      </c>
      <c r="BL65" s="405"/>
      <c r="BM65" s="405"/>
      <c r="BN65" s="405"/>
      <c r="BO65" s="405">
        <v>45.85</v>
      </c>
      <c r="BP65" s="405">
        <v>47.13</v>
      </c>
      <c r="BQ65" s="405">
        <v>48.4</v>
      </c>
      <c r="BR65" s="405">
        <v>65.36</v>
      </c>
      <c r="BS65" s="405">
        <v>67.78</v>
      </c>
      <c r="BT65" s="405">
        <v>70.19</v>
      </c>
      <c r="BU65" s="405"/>
      <c r="BV65" s="405"/>
      <c r="BW65" s="405"/>
      <c r="BX65" s="405"/>
      <c r="BY65" s="405"/>
      <c r="BZ65" s="405"/>
      <c r="CA65" s="405"/>
      <c r="CB65" s="405"/>
      <c r="CC65" s="405"/>
      <c r="CD65" s="405"/>
    </row>
    <row r="66" spans="1:82">
      <c r="A66" s="511">
        <v>2850</v>
      </c>
      <c r="B66" s="405"/>
      <c r="C66" s="405"/>
      <c r="D66" s="405"/>
      <c r="E66" s="405"/>
      <c r="F66" s="405"/>
      <c r="G66" s="405"/>
      <c r="H66" s="405">
        <v>10.5</v>
      </c>
      <c r="I66" s="405"/>
      <c r="J66" s="405"/>
      <c r="K66" s="405">
        <v>10.65</v>
      </c>
      <c r="L66" s="405"/>
      <c r="M66" s="405">
        <v>10.81</v>
      </c>
      <c r="N66" s="405">
        <v>11.43</v>
      </c>
      <c r="O66" s="405">
        <v>17.53</v>
      </c>
      <c r="P66" s="405"/>
      <c r="Q66" s="405"/>
      <c r="R66" s="405">
        <v>17.87</v>
      </c>
      <c r="S66" s="405"/>
      <c r="T66" s="405">
        <v>18.21</v>
      </c>
      <c r="U66" s="405"/>
      <c r="V66" s="405"/>
      <c r="W66" s="405"/>
      <c r="X66" s="405"/>
      <c r="Y66" s="405"/>
      <c r="Z66" s="405"/>
      <c r="AA66" s="405">
        <v>31.82</v>
      </c>
      <c r="AB66" s="405">
        <v>32.72</v>
      </c>
      <c r="AC66" s="405">
        <v>33.619999999999997</v>
      </c>
      <c r="AD66" s="405"/>
      <c r="AE66" s="405"/>
      <c r="AF66" s="405"/>
      <c r="AG66" s="405"/>
      <c r="AH66" s="405"/>
      <c r="AI66" s="405"/>
      <c r="AJ66" s="405"/>
      <c r="AK66" s="405"/>
      <c r="AL66" s="405"/>
      <c r="AM66" s="405"/>
      <c r="AN66" s="405"/>
      <c r="AO66" s="405"/>
      <c r="AP66" s="405"/>
      <c r="AQ66" s="405"/>
      <c r="AR66" s="405"/>
      <c r="AS66" s="405"/>
      <c r="AT66" s="405"/>
      <c r="AU66" s="405"/>
      <c r="AV66" s="405"/>
      <c r="AW66" s="405"/>
      <c r="AX66" s="405"/>
      <c r="AY66" s="405"/>
      <c r="AZ66" s="405">
        <v>17.53</v>
      </c>
      <c r="BA66" s="405">
        <v>17.87</v>
      </c>
      <c r="BB66" s="405">
        <v>18.21</v>
      </c>
      <c r="BC66" s="405"/>
      <c r="BD66" s="405"/>
      <c r="BE66" s="405"/>
      <c r="BF66" s="405"/>
      <c r="BG66" s="405"/>
      <c r="BH66" s="405"/>
      <c r="BI66" s="405">
        <v>31.82</v>
      </c>
      <c r="BJ66" s="405">
        <v>32.72</v>
      </c>
      <c r="BK66" s="405">
        <v>33.619999999999997</v>
      </c>
      <c r="BL66" s="405"/>
      <c r="BM66" s="405"/>
      <c r="BN66" s="405"/>
      <c r="BO66" s="405">
        <v>46.56</v>
      </c>
      <c r="BP66" s="405">
        <v>47.84</v>
      </c>
      <c r="BQ66" s="405">
        <v>49.11</v>
      </c>
      <c r="BR66" s="405">
        <v>66.37</v>
      </c>
      <c r="BS66" s="405">
        <v>68.790000000000006</v>
      </c>
      <c r="BT66" s="405">
        <v>71.2</v>
      </c>
      <c r="BU66" s="405"/>
      <c r="BV66" s="405"/>
      <c r="BW66" s="405"/>
      <c r="BX66" s="405"/>
      <c r="BY66" s="405"/>
      <c r="BZ66" s="405"/>
      <c r="CA66" s="405"/>
      <c r="CB66" s="405"/>
      <c r="CC66" s="405"/>
      <c r="CD66" s="405"/>
    </row>
    <row r="67" spans="1:82">
      <c r="A67" s="511">
        <v>2900</v>
      </c>
      <c r="B67" s="405"/>
      <c r="C67" s="405"/>
      <c r="D67" s="405"/>
      <c r="E67" s="405"/>
      <c r="F67" s="405"/>
      <c r="G67" s="405"/>
      <c r="H67" s="405">
        <v>10.67</v>
      </c>
      <c r="I67" s="405"/>
      <c r="J67" s="405"/>
      <c r="K67" s="405">
        <v>10.83</v>
      </c>
      <c r="L67" s="405"/>
      <c r="M67" s="405">
        <v>10.98</v>
      </c>
      <c r="N67" s="405">
        <v>11.6</v>
      </c>
      <c r="O67" s="405">
        <v>17.809999999999999</v>
      </c>
      <c r="P67" s="405"/>
      <c r="Q67" s="405"/>
      <c r="R67" s="405">
        <v>18.149999999999999</v>
      </c>
      <c r="S67" s="405"/>
      <c r="T67" s="405">
        <v>18.489999999999998</v>
      </c>
      <c r="U67" s="405"/>
      <c r="V67" s="405"/>
      <c r="W67" s="405"/>
      <c r="X67" s="405"/>
      <c r="Y67" s="405"/>
      <c r="Z67" s="405"/>
      <c r="AA67" s="405">
        <v>32.32</v>
      </c>
      <c r="AB67" s="405">
        <v>33.22</v>
      </c>
      <c r="AC67" s="405">
        <v>34.119999999999997</v>
      </c>
      <c r="AD67" s="405"/>
      <c r="AE67" s="405"/>
      <c r="AF67" s="405"/>
      <c r="AG67" s="405"/>
      <c r="AH67" s="405"/>
      <c r="AI67" s="405"/>
      <c r="AJ67" s="405"/>
      <c r="AK67" s="405"/>
      <c r="AL67" s="405"/>
      <c r="AM67" s="405"/>
      <c r="AN67" s="405"/>
      <c r="AO67" s="405"/>
      <c r="AP67" s="405"/>
      <c r="AQ67" s="405"/>
      <c r="AR67" s="405"/>
      <c r="AS67" s="405"/>
      <c r="AT67" s="405"/>
      <c r="AU67" s="405"/>
      <c r="AV67" s="405"/>
      <c r="AW67" s="405"/>
      <c r="AX67" s="405"/>
      <c r="AY67" s="405"/>
      <c r="AZ67" s="405">
        <v>17.809999999999999</v>
      </c>
      <c r="BA67" s="405">
        <v>18.149999999999999</v>
      </c>
      <c r="BB67" s="405">
        <v>18.489999999999998</v>
      </c>
      <c r="BC67" s="405"/>
      <c r="BD67" s="405"/>
      <c r="BE67" s="405"/>
      <c r="BF67" s="405"/>
      <c r="BG67" s="405"/>
      <c r="BH67" s="405"/>
      <c r="BI67" s="405">
        <v>32.32</v>
      </c>
      <c r="BJ67" s="405">
        <v>33.22</v>
      </c>
      <c r="BK67" s="405">
        <v>34.119999999999997</v>
      </c>
      <c r="BL67" s="405"/>
      <c r="BM67" s="405"/>
      <c r="BN67" s="405"/>
      <c r="BO67" s="405">
        <v>47.27</v>
      </c>
      <c r="BP67" s="405">
        <v>48.55</v>
      </c>
      <c r="BQ67" s="405">
        <v>49.82</v>
      </c>
      <c r="BR67" s="405">
        <v>67.38</v>
      </c>
      <c r="BS67" s="405">
        <v>69.790000000000006</v>
      </c>
      <c r="BT67" s="405">
        <v>72.209999999999994</v>
      </c>
      <c r="BU67" s="405"/>
      <c r="BV67" s="405"/>
      <c r="BW67" s="405"/>
      <c r="BX67" s="405"/>
      <c r="BY67" s="405"/>
      <c r="BZ67" s="405"/>
      <c r="CA67" s="405"/>
      <c r="CB67" s="405"/>
      <c r="CC67" s="405"/>
      <c r="CD67" s="405"/>
    </row>
    <row r="68" spans="1:82">
      <c r="A68" s="511">
        <v>2950</v>
      </c>
      <c r="B68" s="405"/>
      <c r="C68" s="405"/>
      <c r="D68" s="405"/>
      <c r="E68" s="405"/>
      <c r="F68" s="405"/>
      <c r="G68" s="405"/>
      <c r="H68" s="405">
        <v>10.84</v>
      </c>
      <c r="I68" s="405"/>
      <c r="J68" s="405"/>
      <c r="K68" s="405">
        <v>11</v>
      </c>
      <c r="L68" s="405"/>
      <c r="M68" s="405">
        <v>11.15</v>
      </c>
      <c r="N68" s="405">
        <v>11.77</v>
      </c>
      <c r="O68" s="405">
        <v>18.09</v>
      </c>
      <c r="P68" s="405"/>
      <c r="Q68" s="405"/>
      <c r="R68" s="405">
        <v>18.43</v>
      </c>
      <c r="S68" s="405"/>
      <c r="T68" s="405">
        <v>18.77</v>
      </c>
      <c r="U68" s="405"/>
      <c r="V68" s="405"/>
      <c r="W68" s="405"/>
      <c r="X68" s="405"/>
      <c r="Y68" s="405"/>
      <c r="Z68" s="405"/>
      <c r="AA68" s="405">
        <v>32.82</v>
      </c>
      <c r="AB68" s="405">
        <v>33.72</v>
      </c>
      <c r="AC68" s="405">
        <v>34.619999999999997</v>
      </c>
      <c r="AD68" s="405"/>
      <c r="AE68" s="405"/>
      <c r="AF68" s="405"/>
      <c r="AG68" s="405"/>
      <c r="AH68" s="405"/>
      <c r="AI68" s="405"/>
      <c r="AJ68" s="405"/>
      <c r="AK68" s="405"/>
      <c r="AL68" s="405"/>
      <c r="AM68" s="405"/>
      <c r="AN68" s="405"/>
      <c r="AO68" s="405"/>
      <c r="AP68" s="405"/>
      <c r="AQ68" s="405"/>
      <c r="AR68" s="405"/>
      <c r="AS68" s="405"/>
      <c r="AT68" s="405"/>
      <c r="AU68" s="405"/>
      <c r="AV68" s="405"/>
      <c r="AW68" s="405"/>
      <c r="AX68" s="405"/>
      <c r="AY68" s="405"/>
      <c r="AZ68" s="405">
        <v>18.09</v>
      </c>
      <c r="BA68" s="405">
        <v>18.43</v>
      </c>
      <c r="BB68" s="405">
        <v>18.77</v>
      </c>
      <c r="BC68" s="405"/>
      <c r="BD68" s="405"/>
      <c r="BE68" s="405"/>
      <c r="BF68" s="405"/>
      <c r="BG68" s="405"/>
      <c r="BH68" s="405"/>
      <c r="BI68" s="405">
        <v>32.82</v>
      </c>
      <c r="BJ68" s="405">
        <v>33.72</v>
      </c>
      <c r="BK68" s="405">
        <v>34.619999999999997</v>
      </c>
      <c r="BL68" s="405"/>
      <c r="BM68" s="405"/>
      <c r="BN68" s="405"/>
      <c r="BO68" s="405">
        <v>47.98</v>
      </c>
      <c r="BP68" s="405">
        <v>49.26</v>
      </c>
      <c r="BQ68" s="405">
        <v>50.53</v>
      </c>
      <c r="BR68" s="405">
        <v>68.38</v>
      </c>
      <c r="BS68" s="405">
        <v>70.8</v>
      </c>
      <c r="BT68" s="405">
        <v>73.209999999999994</v>
      </c>
      <c r="BU68" s="405"/>
      <c r="BV68" s="405"/>
      <c r="BW68" s="405"/>
      <c r="BX68" s="405"/>
      <c r="BY68" s="405"/>
      <c r="BZ68" s="405"/>
      <c r="CA68" s="405"/>
      <c r="CB68" s="405"/>
      <c r="CC68" s="405"/>
      <c r="CD68" s="405"/>
    </row>
    <row r="69" spans="1:82">
      <c r="A69" s="511">
        <v>3000</v>
      </c>
      <c r="B69" s="405"/>
      <c r="C69" s="405"/>
      <c r="D69" s="405"/>
      <c r="E69" s="405"/>
      <c r="F69" s="405"/>
      <c r="G69" s="405"/>
      <c r="H69" s="405">
        <v>11.02</v>
      </c>
      <c r="I69" s="405"/>
      <c r="J69" s="405"/>
      <c r="K69" s="405">
        <v>11.17</v>
      </c>
      <c r="L69" s="405"/>
      <c r="M69" s="405">
        <v>11.32</v>
      </c>
      <c r="N69" s="405">
        <v>11.94</v>
      </c>
      <c r="O69" s="405">
        <v>18.37</v>
      </c>
      <c r="P69" s="405"/>
      <c r="Q69" s="405"/>
      <c r="R69" s="405">
        <v>18.71</v>
      </c>
      <c r="S69" s="405"/>
      <c r="T69" s="405">
        <v>19.05</v>
      </c>
      <c r="U69" s="405"/>
      <c r="V69" s="405"/>
      <c r="W69" s="405"/>
      <c r="X69" s="405"/>
      <c r="Y69" s="405"/>
      <c r="Z69" s="405"/>
      <c r="AA69" s="405">
        <v>33.32</v>
      </c>
      <c r="AB69" s="405">
        <v>34.22</v>
      </c>
      <c r="AC69" s="405">
        <v>35.119999999999997</v>
      </c>
      <c r="AD69" s="405"/>
      <c r="AE69" s="405"/>
      <c r="AF69" s="405"/>
      <c r="AG69" s="405"/>
      <c r="AH69" s="405"/>
      <c r="AI69" s="405"/>
      <c r="AJ69" s="405"/>
      <c r="AK69" s="405"/>
      <c r="AL69" s="405"/>
      <c r="AM69" s="405"/>
      <c r="AN69" s="405"/>
      <c r="AO69" s="405"/>
      <c r="AP69" s="405"/>
      <c r="AQ69" s="405"/>
      <c r="AR69" s="405"/>
      <c r="AS69" s="405"/>
      <c r="AT69" s="405"/>
      <c r="AU69" s="405"/>
      <c r="AV69" s="405"/>
      <c r="AW69" s="405"/>
      <c r="AX69" s="405"/>
      <c r="AY69" s="405"/>
      <c r="AZ69" s="405">
        <v>18.37</v>
      </c>
      <c r="BA69" s="405">
        <v>18.71</v>
      </c>
      <c r="BB69" s="405">
        <v>19.05</v>
      </c>
      <c r="BC69" s="405"/>
      <c r="BD69" s="405"/>
      <c r="BE69" s="405"/>
      <c r="BF69" s="405"/>
      <c r="BG69" s="405"/>
      <c r="BH69" s="405"/>
      <c r="BI69" s="405">
        <v>33.32</v>
      </c>
      <c r="BJ69" s="405">
        <v>34.22</v>
      </c>
      <c r="BK69" s="405">
        <v>35.119999999999997</v>
      </c>
      <c r="BL69" s="405"/>
      <c r="BM69" s="405"/>
      <c r="BN69" s="405"/>
      <c r="BO69" s="405">
        <v>48.69</v>
      </c>
      <c r="BP69" s="405">
        <v>49.97</v>
      </c>
      <c r="BQ69" s="405">
        <v>51.24</v>
      </c>
      <c r="BR69" s="405">
        <v>69.39</v>
      </c>
      <c r="BS69" s="405">
        <v>71.8</v>
      </c>
      <c r="BT69" s="405">
        <v>74.22</v>
      </c>
      <c r="BU69" s="405"/>
      <c r="BV69" s="405"/>
      <c r="BW69" s="405"/>
      <c r="BX69" s="405"/>
      <c r="BY69" s="405"/>
      <c r="BZ69" s="405"/>
      <c r="CA69" s="405"/>
      <c r="CB69" s="405"/>
      <c r="CC69" s="405"/>
      <c r="CD69" s="405"/>
    </row>
    <row r="70" spans="1:82">
      <c r="A70" s="511">
        <v>3050</v>
      </c>
      <c r="B70" s="405"/>
      <c r="C70" s="405"/>
      <c r="D70" s="405"/>
      <c r="E70" s="405"/>
      <c r="F70" s="405"/>
      <c r="G70" s="405"/>
      <c r="H70" s="405">
        <v>11.19</v>
      </c>
      <c r="I70" s="405"/>
      <c r="J70" s="405"/>
      <c r="K70" s="405">
        <v>11.34</v>
      </c>
      <c r="L70" s="405"/>
      <c r="M70" s="405">
        <v>11.5</v>
      </c>
      <c r="N70" s="405">
        <v>12.11</v>
      </c>
      <c r="O70" s="405">
        <v>18.66</v>
      </c>
      <c r="P70" s="405"/>
      <c r="Q70" s="405"/>
      <c r="R70" s="405">
        <v>18.989999999999998</v>
      </c>
      <c r="S70" s="405"/>
      <c r="T70" s="405">
        <v>19.329999999999998</v>
      </c>
      <c r="U70" s="405"/>
      <c r="V70" s="405"/>
      <c r="W70" s="405"/>
      <c r="X70" s="405"/>
      <c r="Y70" s="405"/>
      <c r="Z70" s="405"/>
      <c r="AA70" s="405">
        <v>33.82</v>
      </c>
      <c r="AB70" s="405">
        <v>34.72</v>
      </c>
      <c r="AC70" s="405">
        <v>35.619999999999997</v>
      </c>
      <c r="AD70" s="405"/>
      <c r="AE70" s="405"/>
      <c r="AF70" s="405"/>
      <c r="AG70" s="405"/>
      <c r="AH70" s="405"/>
      <c r="AI70" s="405"/>
      <c r="AJ70" s="405"/>
      <c r="AK70" s="405"/>
      <c r="AL70" s="405"/>
      <c r="AM70" s="405"/>
      <c r="AN70" s="405"/>
      <c r="AO70" s="405"/>
      <c r="AP70" s="405"/>
      <c r="AQ70" s="405"/>
      <c r="AR70" s="405"/>
      <c r="AS70" s="405"/>
      <c r="AT70" s="405"/>
      <c r="AU70" s="405"/>
      <c r="AV70" s="405"/>
      <c r="AW70" s="405"/>
      <c r="AX70" s="405"/>
      <c r="AY70" s="405"/>
      <c r="AZ70" s="405">
        <v>18.66</v>
      </c>
      <c r="BA70" s="405">
        <v>18.989999999999998</v>
      </c>
      <c r="BB70" s="405">
        <v>19.329999999999998</v>
      </c>
      <c r="BC70" s="405"/>
      <c r="BD70" s="405"/>
      <c r="BE70" s="405"/>
      <c r="BF70" s="405"/>
      <c r="BG70" s="405"/>
      <c r="BH70" s="405"/>
      <c r="BI70" s="405">
        <v>33.82</v>
      </c>
      <c r="BJ70" s="405">
        <v>34.72</v>
      </c>
      <c r="BK70" s="405">
        <v>35.619999999999997</v>
      </c>
      <c r="BL70" s="405"/>
      <c r="BM70" s="405"/>
      <c r="BN70" s="405"/>
      <c r="BO70" s="405">
        <v>49.4</v>
      </c>
      <c r="BP70" s="405">
        <v>50.68</v>
      </c>
      <c r="BQ70" s="405">
        <v>51.95</v>
      </c>
      <c r="BR70" s="405" t="s">
        <v>322</v>
      </c>
      <c r="BS70" s="405" t="s">
        <v>322</v>
      </c>
      <c r="BT70" s="405" t="s">
        <v>322</v>
      </c>
      <c r="BU70" s="405"/>
      <c r="BV70" s="405"/>
      <c r="BW70" s="405"/>
      <c r="BX70" s="405"/>
      <c r="BY70" s="405"/>
      <c r="BZ70" s="405"/>
      <c r="CA70" s="405"/>
      <c r="CB70" s="405"/>
      <c r="CC70" s="405"/>
      <c r="CD70" s="405"/>
    </row>
    <row r="71" spans="1:82">
      <c r="A71" s="511">
        <v>3100</v>
      </c>
      <c r="B71" s="405"/>
      <c r="C71" s="405"/>
      <c r="D71" s="405"/>
      <c r="E71" s="405"/>
      <c r="F71" s="405"/>
      <c r="G71" s="405"/>
      <c r="H71" s="405">
        <v>11.36</v>
      </c>
      <c r="I71" s="405"/>
      <c r="J71" s="405"/>
      <c r="K71" s="405">
        <v>11.51</v>
      </c>
      <c r="L71" s="405"/>
      <c r="M71" s="405">
        <v>11.67</v>
      </c>
      <c r="N71" s="405">
        <v>12.29</v>
      </c>
      <c r="O71" s="405">
        <v>18.940000000000001</v>
      </c>
      <c r="P71" s="405"/>
      <c r="Q71" s="405"/>
      <c r="R71" s="405">
        <v>19.28</v>
      </c>
      <c r="S71" s="405"/>
      <c r="T71" s="405">
        <v>19.61</v>
      </c>
      <c r="U71" s="405"/>
      <c r="V71" s="405"/>
      <c r="W71" s="405"/>
      <c r="X71" s="405"/>
      <c r="Y71" s="405"/>
      <c r="Z71" s="405"/>
      <c r="AA71" s="405">
        <v>34.32</v>
      </c>
      <c r="AB71" s="405">
        <v>35.22</v>
      </c>
      <c r="AC71" s="405">
        <v>36.130000000000003</v>
      </c>
      <c r="AD71" s="405"/>
      <c r="AE71" s="405"/>
      <c r="AF71" s="405"/>
      <c r="AG71" s="405"/>
      <c r="AH71" s="405"/>
      <c r="AI71" s="405"/>
      <c r="AJ71" s="405"/>
      <c r="AK71" s="405"/>
      <c r="AL71" s="405"/>
      <c r="AM71" s="405"/>
      <c r="AN71" s="405"/>
      <c r="AO71" s="405"/>
      <c r="AP71" s="405"/>
      <c r="AQ71" s="405"/>
      <c r="AR71" s="405"/>
      <c r="AS71" s="405"/>
      <c r="AT71" s="405"/>
      <c r="AU71" s="405"/>
      <c r="AV71" s="405"/>
      <c r="AW71" s="405"/>
      <c r="AX71" s="405"/>
      <c r="AY71" s="405"/>
      <c r="AZ71" s="405">
        <v>18.940000000000001</v>
      </c>
      <c r="BA71" s="405">
        <v>19.28</v>
      </c>
      <c r="BB71" s="405">
        <v>19.61</v>
      </c>
      <c r="BC71" s="405"/>
      <c r="BD71" s="405"/>
      <c r="BE71" s="405"/>
      <c r="BF71" s="405"/>
      <c r="BG71" s="405"/>
      <c r="BH71" s="405"/>
      <c r="BI71" s="405">
        <v>34.32</v>
      </c>
      <c r="BJ71" s="405">
        <v>35.22</v>
      </c>
      <c r="BK71" s="405">
        <v>36.130000000000003</v>
      </c>
      <c r="BL71" s="405"/>
      <c r="BM71" s="405"/>
      <c r="BN71" s="405"/>
      <c r="BO71" s="405">
        <v>50.11</v>
      </c>
      <c r="BP71" s="405">
        <v>51.39</v>
      </c>
      <c r="BQ71" s="405">
        <v>52.66</v>
      </c>
      <c r="BR71" s="405"/>
      <c r="BS71" s="405"/>
      <c r="BT71" s="405"/>
      <c r="BU71" s="405"/>
      <c r="BV71" s="405"/>
      <c r="BW71" s="405"/>
      <c r="BX71" s="405"/>
      <c r="BY71" s="405"/>
      <c r="BZ71" s="405"/>
      <c r="CA71" s="405"/>
      <c r="CB71" s="405"/>
      <c r="CC71" s="405"/>
      <c r="CD71" s="405"/>
    </row>
    <row r="72" spans="1:82">
      <c r="A72" s="404">
        <v>3150</v>
      </c>
      <c r="B72" s="405"/>
      <c r="C72" s="405"/>
      <c r="D72" s="405"/>
      <c r="E72" s="405"/>
      <c r="F72" s="405"/>
      <c r="G72" s="405"/>
      <c r="H72" s="405">
        <v>11.53</v>
      </c>
      <c r="I72" s="405"/>
      <c r="J72" s="405"/>
      <c r="K72" s="405">
        <v>11.69</v>
      </c>
      <c r="L72" s="405"/>
      <c r="M72" s="405">
        <v>11.84</v>
      </c>
      <c r="N72" s="405">
        <v>12.46</v>
      </c>
      <c r="O72" s="405">
        <v>19.22</v>
      </c>
      <c r="P72" s="405"/>
      <c r="Q72" s="405"/>
      <c r="R72" s="405">
        <v>19.559999999999999</v>
      </c>
      <c r="S72" s="405"/>
      <c r="T72" s="405">
        <v>19.89</v>
      </c>
      <c r="U72" s="405"/>
      <c r="V72" s="405"/>
      <c r="W72" s="405"/>
      <c r="X72" s="405"/>
      <c r="Y72" s="405"/>
      <c r="Z72" s="405"/>
      <c r="AA72" s="405">
        <v>34.82</v>
      </c>
      <c r="AB72" s="405">
        <v>35.72</v>
      </c>
      <c r="AC72" s="405">
        <v>36.630000000000003</v>
      </c>
      <c r="AD72" s="405"/>
      <c r="AE72" s="405"/>
      <c r="AF72" s="405"/>
      <c r="AG72" s="405"/>
      <c r="AH72" s="405"/>
      <c r="AI72" s="405"/>
      <c r="AJ72" s="405"/>
      <c r="AK72" s="405"/>
      <c r="AL72" s="405"/>
      <c r="AM72" s="405"/>
      <c r="AN72" s="405"/>
      <c r="AO72" s="405"/>
      <c r="AP72" s="405"/>
      <c r="AQ72" s="405"/>
      <c r="AR72" s="405"/>
      <c r="AS72" s="405"/>
      <c r="AT72" s="405"/>
      <c r="AU72" s="405"/>
      <c r="AV72" s="405"/>
      <c r="AW72" s="405"/>
      <c r="AX72" s="405"/>
      <c r="AY72" s="405"/>
      <c r="AZ72" s="405">
        <v>19.22</v>
      </c>
      <c r="BA72" s="405">
        <v>19.559999999999999</v>
      </c>
      <c r="BB72" s="405">
        <v>19.89</v>
      </c>
      <c r="BC72" s="405"/>
      <c r="BD72" s="405"/>
      <c r="BE72" s="405"/>
      <c r="BF72" s="405"/>
      <c r="BG72" s="405"/>
      <c r="BH72" s="405"/>
      <c r="BI72" s="405">
        <v>34.82</v>
      </c>
      <c r="BJ72" s="405">
        <v>35.72</v>
      </c>
      <c r="BK72" s="405">
        <v>36.630000000000003</v>
      </c>
      <c r="BL72" s="405"/>
      <c r="BM72" s="405"/>
      <c r="BN72" s="405"/>
      <c r="BO72" s="405">
        <v>50.82</v>
      </c>
      <c r="BP72" s="405">
        <v>52.1</v>
      </c>
      <c r="BQ72" s="405">
        <v>53.37</v>
      </c>
      <c r="BR72" s="405"/>
      <c r="BS72" s="405"/>
      <c r="BT72" s="405"/>
      <c r="BU72" s="405"/>
      <c r="BV72" s="405"/>
      <c r="BW72" s="405"/>
      <c r="BX72" s="405"/>
      <c r="BY72" s="405"/>
      <c r="BZ72" s="405"/>
      <c r="CA72" s="405"/>
      <c r="CB72" s="405"/>
      <c r="CC72" s="405"/>
      <c r="CD72" s="405"/>
    </row>
    <row r="73" spans="1:82">
      <c r="A73" s="404">
        <v>3200</v>
      </c>
      <c r="B73" s="405"/>
      <c r="C73" s="405"/>
      <c r="D73" s="405"/>
      <c r="E73" s="405"/>
      <c r="F73" s="405"/>
      <c r="G73" s="405"/>
      <c r="H73" s="405">
        <v>11.7</v>
      </c>
      <c r="I73" s="405"/>
      <c r="J73" s="405"/>
      <c r="K73" s="405">
        <v>11.86</v>
      </c>
      <c r="L73" s="405"/>
      <c r="M73" s="405">
        <v>12.01</v>
      </c>
      <c r="N73" s="405">
        <v>12.63</v>
      </c>
      <c r="O73" s="405">
        <v>19.5</v>
      </c>
      <c r="P73" s="405"/>
      <c r="Q73" s="405"/>
      <c r="R73" s="405">
        <v>19.84</v>
      </c>
      <c r="S73" s="405"/>
      <c r="T73" s="405">
        <v>20.18</v>
      </c>
      <c r="U73" s="405"/>
      <c r="V73" s="405"/>
      <c r="W73" s="405"/>
      <c r="X73" s="405"/>
      <c r="Y73" s="405"/>
      <c r="Z73" s="405"/>
      <c r="AA73" s="405">
        <v>35.32</v>
      </c>
      <c r="AB73" s="405">
        <v>36.229999999999997</v>
      </c>
      <c r="AC73" s="405">
        <v>37.130000000000003</v>
      </c>
      <c r="AD73" s="405"/>
      <c r="AE73" s="405"/>
      <c r="AF73" s="405"/>
      <c r="AG73" s="405"/>
      <c r="AH73" s="405"/>
      <c r="AI73" s="405"/>
      <c r="AJ73" s="405"/>
      <c r="AK73" s="405"/>
      <c r="AL73" s="405"/>
      <c r="AM73" s="405"/>
      <c r="AN73" s="405"/>
      <c r="AO73" s="405"/>
      <c r="AP73" s="405"/>
      <c r="AQ73" s="405"/>
      <c r="AR73" s="405"/>
      <c r="AS73" s="405"/>
      <c r="AT73" s="405"/>
      <c r="AU73" s="405"/>
      <c r="AV73" s="405"/>
      <c r="AW73" s="405"/>
      <c r="AX73" s="405"/>
      <c r="AY73" s="405"/>
      <c r="AZ73" s="405">
        <v>19.5</v>
      </c>
      <c r="BA73" s="405">
        <v>19.84</v>
      </c>
      <c r="BB73" s="405">
        <v>20.18</v>
      </c>
      <c r="BC73" s="405"/>
      <c r="BD73" s="405"/>
      <c r="BE73" s="405"/>
      <c r="BF73" s="405"/>
      <c r="BG73" s="405"/>
      <c r="BH73" s="405"/>
      <c r="BI73" s="405">
        <v>35.32</v>
      </c>
      <c r="BJ73" s="405">
        <v>36.229999999999997</v>
      </c>
      <c r="BK73" s="405">
        <v>37.130000000000003</v>
      </c>
      <c r="BL73" s="405"/>
      <c r="BM73" s="405"/>
      <c r="BN73" s="405"/>
      <c r="BO73" s="405">
        <v>51.53</v>
      </c>
      <c r="BP73" s="405">
        <v>52.81</v>
      </c>
      <c r="BQ73" s="405">
        <v>54.08</v>
      </c>
      <c r="BR73" s="405"/>
      <c r="BS73" s="405"/>
      <c r="BT73" s="405"/>
      <c r="BU73" s="405"/>
      <c r="BV73" s="405"/>
      <c r="BW73" s="405"/>
      <c r="BX73" s="405"/>
      <c r="BY73" s="405"/>
      <c r="BZ73" s="405"/>
      <c r="CA73" s="405"/>
      <c r="CB73" s="405"/>
      <c r="CC73" s="405"/>
      <c r="CD73" s="405"/>
    </row>
    <row r="74" spans="1:82">
      <c r="A74" s="511">
        <v>3250</v>
      </c>
      <c r="B74" s="405"/>
      <c r="C74" s="405"/>
      <c r="D74" s="405"/>
      <c r="E74" s="405"/>
      <c r="F74" s="405"/>
      <c r="G74" s="405"/>
      <c r="H74" s="405">
        <v>11.87</v>
      </c>
      <c r="I74" s="405"/>
      <c r="J74" s="405"/>
      <c r="K74" s="405">
        <v>12.03</v>
      </c>
      <c r="L74" s="405"/>
      <c r="M74" s="405">
        <v>12.18</v>
      </c>
      <c r="N74" s="405">
        <v>12.8</v>
      </c>
      <c r="O74" s="405">
        <v>19.78</v>
      </c>
      <c r="P74" s="405"/>
      <c r="Q74" s="405"/>
      <c r="R74" s="405">
        <v>20.12</v>
      </c>
      <c r="S74" s="405"/>
      <c r="T74" s="405">
        <v>20.46</v>
      </c>
      <c r="U74" s="405"/>
      <c r="V74" s="405"/>
      <c r="W74" s="405"/>
      <c r="X74" s="405"/>
      <c r="Y74" s="405"/>
      <c r="Z74" s="405"/>
      <c r="AA74" s="405">
        <v>35.83</v>
      </c>
      <c r="AB74" s="405">
        <v>36.729999999999997</v>
      </c>
      <c r="AC74" s="405">
        <v>37.630000000000003</v>
      </c>
      <c r="AD74" s="405"/>
      <c r="AE74" s="405"/>
      <c r="AF74" s="405"/>
      <c r="AG74" s="405"/>
      <c r="AH74" s="405"/>
      <c r="AI74" s="405"/>
      <c r="AJ74" s="405"/>
      <c r="AK74" s="405"/>
      <c r="AL74" s="405"/>
      <c r="AM74" s="405"/>
      <c r="AN74" s="405"/>
      <c r="AO74" s="405"/>
      <c r="AP74" s="405"/>
      <c r="AQ74" s="405"/>
      <c r="AR74" s="405"/>
      <c r="AS74" s="405"/>
      <c r="AT74" s="405"/>
      <c r="AU74" s="405"/>
      <c r="AV74" s="405"/>
      <c r="AW74" s="405"/>
      <c r="AX74" s="405"/>
      <c r="AY74" s="405"/>
      <c r="AZ74" s="405">
        <v>19.78</v>
      </c>
      <c r="BA74" s="405">
        <v>20.12</v>
      </c>
      <c r="BB74" s="405">
        <v>20.46</v>
      </c>
      <c r="BC74" s="405"/>
      <c r="BD74" s="405"/>
      <c r="BE74" s="405"/>
      <c r="BF74" s="405"/>
      <c r="BG74" s="405"/>
      <c r="BH74" s="405"/>
      <c r="BI74" s="405">
        <v>35.83</v>
      </c>
      <c r="BJ74" s="405">
        <v>36.729999999999997</v>
      </c>
      <c r="BK74" s="405">
        <v>37.630000000000003</v>
      </c>
      <c r="BL74" s="405"/>
      <c r="BM74" s="405"/>
      <c r="BN74" s="405"/>
      <c r="BO74" s="405" t="s">
        <v>322</v>
      </c>
      <c r="BP74" s="405" t="s">
        <v>322</v>
      </c>
      <c r="BQ74" s="405" t="s">
        <v>322</v>
      </c>
      <c r="BR74" s="405"/>
      <c r="BS74" s="405"/>
      <c r="BT74" s="405"/>
      <c r="BU74" s="405"/>
      <c r="BV74" s="405"/>
      <c r="BW74" s="405"/>
      <c r="BX74" s="405"/>
      <c r="BY74" s="405"/>
      <c r="BZ74" s="405"/>
      <c r="CA74" s="405"/>
      <c r="CB74" s="405"/>
      <c r="CC74" s="405"/>
      <c r="CD74" s="405"/>
    </row>
    <row r="75" spans="1:82">
      <c r="A75" s="511">
        <v>3300</v>
      </c>
      <c r="B75" s="405"/>
      <c r="C75" s="405"/>
      <c r="D75" s="405"/>
      <c r="E75" s="405"/>
      <c r="F75" s="405"/>
      <c r="G75" s="405"/>
      <c r="H75" s="405">
        <v>12.05</v>
      </c>
      <c r="I75" s="405"/>
      <c r="J75" s="405"/>
      <c r="K75" s="405">
        <v>12.2</v>
      </c>
      <c r="L75" s="405"/>
      <c r="M75" s="405">
        <v>12.36</v>
      </c>
      <c r="N75" s="405">
        <v>12.97</v>
      </c>
      <c r="O75" s="405">
        <v>20.059999999999999</v>
      </c>
      <c r="P75" s="405"/>
      <c r="Q75" s="405"/>
      <c r="R75" s="405">
        <v>20.399999999999999</v>
      </c>
      <c r="S75" s="405"/>
      <c r="T75" s="405">
        <v>20.74</v>
      </c>
      <c r="U75" s="405"/>
      <c r="V75" s="405"/>
      <c r="W75" s="405"/>
      <c r="X75" s="405"/>
      <c r="Y75" s="405"/>
      <c r="Z75" s="405"/>
      <c r="AA75" s="405">
        <v>36.33</v>
      </c>
      <c r="AB75" s="405">
        <v>37.229999999999997</v>
      </c>
      <c r="AC75" s="405">
        <v>38.130000000000003</v>
      </c>
      <c r="AD75" s="405"/>
      <c r="AE75" s="405"/>
      <c r="AF75" s="405"/>
      <c r="AG75" s="405"/>
      <c r="AH75" s="405"/>
      <c r="AI75" s="405"/>
      <c r="AJ75" s="405"/>
      <c r="AK75" s="405"/>
      <c r="AL75" s="405"/>
      <c r="AM75" s="405"/>
      <c r="AN75" s="405"/>
      <c r="AO75" s="405"/>
      <c r="AP75" s="405"/>
      <c r="AQ75" s="405"/>
      <c r="AR75" s="405"/>
      <c r="AS75" s="405"/>
      <c r="AT75" s="405"/>
      <c r="AU75" s="405"/>
      <c r="AV75" s="405"/>
      <c r="AW75" s="405"/>
      <c r="AX75" s="405"/>
      <c r="AY75" s="405"/>
      <c r="AZ75" s="405">
        <v>20.059999999999999</v>
      </c>
      <c r="BA75" s="405">
        <v>20.399999999999999</v>
      </c>
      <c r="BB75" s="405">
        <v>20.74</v>
      </c>
      <c r="BC75" s="405"/>
      <c r="BD75" s="405"/>
      <c r="BE75" s="405"/>
      <c r="BF75" s="405"/>
      <c r="BG75" s="405"/>
      <c r="BH75" s="405"/>
      <c r="BI75" s="405">
        <v>36.33</v>
      </c>
      <c r="BJ75" s="405">
        <v>37.229999999999997</v>
      </c>
      <c r="BK75" s="405">
        <v>38.130000000000003</v>
      </c>
      <c r="BL75" s="405"/>
      <c r="BM75" s="405"/>
      <c r="BN75" s="405"/>
      <c r="BO75" s="405"/>
      <c r="BP75" s="405"/>
      <c r="BQ75" s="405"/>
      <c r="BR75" s="405"/>
      <c r="BS75" s="405"/>
      <c r="BT75" s="405"/>
      <c r="BU75" s="405"/>
      <c r="BV75" s="405"/>
      <c r="BW75" s="405"/>
      <c r="BX75" s="405"/>
      <c r="BY75" s="405"/>
      <c r="BZ75" s="405"/>
      <c r="CA75" s="405"/>
      <c r="CB75" s="405"/>
      <c r="CC75" s="405"/>
      <c r="CD75" s="405"/>
    </row>
    <row r="76" spans="1:82">
      <c r="A76" s="511">
        <v>3350</v>
      </c>
      <c r="B76" s="405"/>
      <c r="C76" s="405"/>
      <c r="D76" s="405"/>
      <c r="E76" s="405"/>
      <c r="F76" s="405"/>
      <c r="G76" s="405"/>
      <c r="H76" s="405">
        <v>12.22</v>
      </c>
      <c r="I76" s="405"/>
      <c r="J76" s="405"/>
      <c r="K76" s="405">
        <v>12.37</v>
      </c>
      <c r="L76" s="405"/>
      <c r="M76" s="405">
        <v>12.53</v>
      </c>
      <c r="N76" s="405">
        <v>13.15</v>
      </c>
      <c r="O76" s="405">
        <v>20.350000000000001</v>
      </c>
      <c r="P76" s="405"/>
      <c r="Q76" s="405"/>
      <c r="R76" s="405">
        <v>20.68</v>
      </c>
      <c r="S76" s="405"/>
      <c r="T76" s="405">
        <v>21.02</v>
      </c>
      <c r="U76" s="405"/>
      <c r="V76" s="405"/>
      <c r="W76" s="405"/>
      <c r="X76" s="405"/>
      <c r="Y76" s="405"/>
      <c r="Z76" s="405"/>
      <c r="AA76" s="405">
        <v>36.83</v>
      </c>
      <c r="AB76" s="405">
        <v>37.729999999999997</v>
      </c>
      <c r="AC76" s="405">
        <v>38.630000000000003</v>
      </c>
      <c r="AD76" s="405"/>
      <c r="AE76" s="405"/>
      <c r="AF76" s="405"/>
      <c r="AG76" s="405"/>
      <c r="AH76" s="405"/>
      <c r="AI76" s="405"/>
      <c r="AJ76" s="405"/>
      <c r="AK76" s="405"/>
      <c r="AL76" s="405"/>
      <c r="AM76" s="405"/>
      <c r="AN76" s="405"/>
      <c r="AO76" s="405"/>
      <c r="AP76" s="405"/>
      <c r="AQ76" s="405"/>
      <c r="AR76" s="405"/>
      <c r="AS76" s="405"/>
      <c r="AT76" s="405"/>
      <c r="AU76" s="405"/>
      <c r="AV76" s="405"/>
      <c r="AW76" s="405"/>
      <c r="AX76" s="405"/>
      <c r="AY76" s="405"/>
      <c r="AZ76" s="405">
        <v>20.350000000000001</v>
      </c>
      <c r="BA76" s="405">
        <v>20.68</v>
      </c>
      <c r="BB76" s="405">
        <v>21.02</v>
      </c>
      <c r="BC76" s="405"/>
      <c r="BD76" s="405"/>
      <c r="BE76" s="405"/>
      <c r="BF76" s="405"/>
      <c r="BG76" s="405"/>
      <c r="BH76" s="405"/>
      <c r="BI76" s="405">
        <v>36.83</v>
      </c>
      <c r="BJ76" s="405">
        <v>37.729999999999997</v>
      </c>
      <c r="BK76" s="405">
        <v>38.630000000000003</v>
      </c>
      <c r="BL76" s="405"/>
      <c r="BM76" s="405"/>
      <c r="BN76" s="405"/>
      <c r="BO76" s="405"/>
      <c r="BP76" s="405"/>
      <c r="BQ76" s="405"/>
      <c r="BR76" s="405"/>
      <c r="BS76" s="405"/>
      <c r="BT76" s="405"/>
      <c r="BU76" s="405"/>
      <c r="BV76" s="405"/>
      <c r="BW76" s="405"/>
      <c r="BX76" s="405"/>
      <c r="BY76" s="405"/>
      <c r="BZ76" s="405"/>
      <c r="CA76" s="405"/>
      <c r="CB76" s="405"/>
      <c r="CC76" s="405"/>
      <c r="CD76" s="405"/>
    </row>
    <row r="77" spans="1:82">
      <c r="A77" s="404">
        <v>3400</v>
      </c>
      <c r="B77" s="405"/>
      <c r="C77" s="405"/>
      <c r="D77" s="405"/>
      <c r="E77" s="405"/>
      <c r="F77" s="405"/>
      <c r="G77" s="405"/>
      <c r="H77" s="405">
        <v>12.39</v>
      </c>
      <c r="I77" s="405"/>
      <c r="J77" s="405"/>
      <c r="K77" s="405">
        <v>12.54</v>
      </c>
      <c r="L77" s="405"/>
      <c r="M77" s="405">
        <v>12.7</v>
      </c>
      <c r="N77" s="405">
        <v>13.32</v>
      </c>
      <c r="O77" s="405">
        <v>20.63</v>
      </c>
      <c r="P77" s="405"/>
      <c r="Q77" s="405"/>
      <c r="R77" s="405">
        <v>20.96</v>
      </c>
      <c r="S77" s="405"/>
      <c r="T77" s="405">
        <v>21.3</v>
      </c>
      <c r="U77" s="405"/>
      <c r="V77" s="405"/>
      <c r="W77" s="405"/>
      <c r="X77" s="405"/>
      <c r="Y77" s="405"/>
      <c r="Z77" s="405"/>
      <c r="AA77" s="405">
        <v>37.33</v>
      </c>
      <c r="AB77" s="405">
        <v>38.229999999999997</v>
      </c>
      <c r="AC77" s="405">
        <v>39.130000000000003</v>
      </c>
      <c r="AD77" s="405"/>
      <c r="AE77" s="405"/>
      <c r="AF77" s="405"/>
      <c r="AG77" s="405"/>
      <c r="AH77" s="405"/>
      <c r="AI77" s="405"/>
      <c r="AJ77" s="405"/>
      <c r="AK77" s="405"/>
      <c r="AL77" s="405"/>
      <c r="AM77" s="405"/>
      <c r="AN77" s="405"/>
      <c r="AO77" s="405"/>
      <c r="AP77" s="405"/>
      <c r="AQ77" s="405"/>
      <c r="AR77" s="405"/>
      <c r="AS77" s="405"/>
      <c r="AT77" s="405"/>
      <c r="AU77" s="405"/>
      <c r="AV77" s="405"/>
      <c r="AW77" s="405"/>
      <c r="AX77" s="405"/>
      <c r="AY77" s="405"/>
      <c r="AZ77" s="405">
        <v>20.63</v>
      </c>
      <c r="BA77" s="405">
        <v>20.96</v>
      </c>
      <c r="BB77" s="405">
        <v>21.3</v>
      </c>
      <c r="BC77" s="405"/>
      <c r="BD77" s="405"/>
      <c r="BE77" s="405"/>
      <c r="BF77" s="405"/>
      <c r="BG77" s="405"/>
      <c r="BH77" s="405"/>
      <c r="BI77" s="405">
        <v>37.33</v>
      </c>
      <c r="BJ77" s="405">
        <v>38.229999999999997</v>
      </c>
      <c r="BK77" s="405">
        <v>39.130000000000003</v>
      </c>
      <c r="BL77" s="405"/>
      <c r="BM77" s="405"/>
      <c r="BN77" s="405"/>
      <c r="BO77" s="405"/>
      <c r="BP77" s="405"/>
      <c r="BQ77" s="405"/>
      <c r="BR77" s="405"/>
      <c r="BS77" s="405"/>
      <c r="BT77" s="405"/>
      <c r="BU77" s="405"/>
      <c r="BV77" s="405"/>
      <c r="BW77" s="405"/>
      <c r="BX77" s="405"/>
      <c r="BY77" s="405"/>
      <c r="BZ77" s="405"/>
      <c r="CA77" s="405"/>
      <c r="CB77" s="405"/>
      <c r="CC77" s="405"/>
      <c r="CD77" s="405"/>
    </row>
    <row r="78" spans="1:82">
      <c r="A78" s="404">
        <v>3450</v>
      </c>
      <c r="B78" s="405"/>
      <c r="C78" s="405"/>
      <c r="D78" s="405"/>
      <c r="E78" s="405"/>
      <c r="F78" s="405"/>
      <c r="G78" s="405"/>
      <c r="H78" s="405">
        <v>12.56</v>
      </c>
      <c r="I78" s="405"/>
      <c r="J78" s="405"/>
      <c r="K78" s="405">
        <v>12.72</v>
      </c>
      <c r="L78" s="405"/>
      <c r="M78" s="405">
        <v>12.87</v>
      </c>
      <c r="N78" s="405">
        <v>13.49</v>
      </c>
      <c r="O78" s="405">
        <v>20.91</v>
      </c>
      <c r="P78" s="405"/>
      <c r="Q78" s="405"/>
      <c r="R78" s="405">
        <v>21.25</v>
      </c>
      <c r="S78" s="405"/>
      <c r="T78" s="405">
        <v>21.58</v>
      </c>
      <c r="U78" s="405"/>
      <c r="V78" s="405"/>
      <c r="W78" s="405"/>
      <c r="X78" s="405"/>
      <c r="Y78" s="405"/>
      <c r="Z78" s="405"/>
      <c r="AA78" s="405">
        <v>37.83</v>
      </c>
      <c r="AB78" s="405">
        <v>38.729999999999997</v>
      </c>
      <c r="AC78" s="405">
        <v>39.630000000000003</v>
      </c>
      <c r="AD78" s="405"/>
      <c r="AE78" s="405"/>
      <c r="AF78" s="405"/>
      <c r="AG78" s="405"/>
      <c r="AH78" s="405"/>
      <c r="AI78" s="405"/>
      <c r="AJ78" s="405"/>
      <c r="AK78" s="405"/>
      <c r="AL78" s="405"/>
      <c r="AM78" s="405"/>
      <c r="AN78" s="405"/>
      <c r="AO78" s="405"/>
      <c r="AP78" s="405"/>
      <c r="AQ78" s="405"/>
      <c r="AR78" s="405"/>
      <c r="AS78" s="405"/>
      <c r="AT78" s="405"/>
      <c r="AU78" s="405"/>
      <c r="AV78" s="405"/>
      <c r="AW78" s="405"/>
      <c r="AX78" s="405"/>
      <c r="AY78" s="405"/>
      <c r="AZ78" s="405">
        <v>20.91</v>
      </c>
      <c r="BA78" s="405">
        <v>21.25</v>
      </c>
      <c r="BB78" s="405">
        <v>21.58</v>
      </c>
      <c r="BC78" s="405"/>
      <c r="BD78" s="405"/>
      <c r="BE78" s="405"/>
      <c r="BF78" s="405"/>
      <c r="BG78" s="405"/>
      <c r="BH78" s="405"/>
      <c r="BI78" s="405">
        <v>37.83</v>
      </c>
      <c r="BJ78" s="405">
        <v>38.729999999999997</v>
      </c>
      <c r="BK78" s="405">
        <v>39.630000000000003</v>
      </c>
      <c r="BL78" s="405"/>
      <c r="BM78" s="405"/>
      <c r="BN78" s="405"/>
      <c r="BO78" s="405"/>
      <c r="BP78" s="405"/>
      <c r="BQ78" s="405"/>
      <c r="BR78" s="405"/>
      <c r="BS78" s="405"/>
      <c r="BT78" s="405"/>
      <c r="BU78" s="405"/>
      <c r="BV78" s="405"/>
      <c r="BW78" s="405"/>
      <c r="BX78" s="405"/>
      <c r="BY78" s="405"/>
      <c r="BZ78" s="405"/>
      <c r="CA78" s="405"/>
      <c r="CB78" s="405"/>
      <c r="CC78" s="405"/>
      <c r="CD78" s="405"/>
    </row>
    <row r="79" spans="1:82">
      <c r="A79" s="511">
        <v>3500</v>
      </c>
      <c r="B79" s="405"/>
      <c r="C79" s="405"/>
      <c r="D79" s="405"/>
      <c r="E79" s="405"/>
      <c r="F79" s="405"/>
      <c r="G79" s="405"/>
      <c r="H79" s="405">
        <v>12.73</v>
      </c>
      <c r="I79" s="405"/>
      <c r="J79" s="405"/>
      <c r="K79" s="405">
        <v>12.89</v>
      </c>
      <c r="L79" s="405"/>
      <c r="M79" s="405">
        <v>13.04</v>
      </c>
      <c r="N79" s="405">
        <v>13.66</v>
      </c>
      <c r="O79" s="405">
        <v>21.19</v>
      </c>
      <c r="P79" s="405"/>
      <c r="Q79" s="405"/>
      <c r="R79" s="405">
        <v>21.53</v>
      </c>
      <c r="S79" s="405"/>
      <c r="T79" s="405">
        <v>21.87</v>
      </c>
      <c r="U79" s="405"/>
      <c r="V79" s="405"/>
      <c r="W79" s="405"/>
      <c r="X79" s="405"/>
      <c r="Y79" s="405"/>
      <c r="Z79" s="405"/>
      <c r="AA79" s="405">
        <v>38.33</v>
      </c>
      <c r="AB79" s="405">
        <v>39.229999999999997</v>
      </c>
      <c r="AC79" s="405">
        <v>40.14</v>
      </c>
      <c r="AD79" s="405"/>
      <c r="AE79" s="405"/>
      <c r="AF79" s="405"/>
      <c r="AG79" s="405"/>
      <c r="AH79" s="405"/>
      <c r="AI79" s="405"/>
      <c r="AJ79" s="405"/>
      <c r="AK79" s="405"/>
      <c r="AL79" s="405"/>
      <c r="AM79" s="405"/>
      <c r="AN79" s="405"/>
      <c r="AO79" s="405"/>
      <c r="AP79" s="405"/>
      <c r="AQ79" s="405"/>
      <c r="AR79" s="405"/>
      <c r="AS79" s="405"/>
      <c r="AT79" s="405"/>
      <c r="AU79" s="405"/>
      <c r="AV79" s="405"/>
      <c r="AW79" s="405"/>
      <c r="AX79" s="405"/>
      <c r="AY79" s="405"/>
      <c r="AZ79" s="405">
        <v>21.19</v>
      </c>
      <c r="BA79" s="405">
        <v>21.53</v>
      </c>
      <c r="BB79" s="405">
        <v>21.87</v>
      </c>
      <c r="BC79" s="405"/>
      <c r="BD79" s="405"/>
      <c r="BE79" s="405"/>
      <c r="BF79" s="405"/>
      <c r="BG79" s="405"/>
      <c r="BH79" s="405"/>
      <c r="BI79" s="405">
        <v>38.33</v>
      </c>
      <c r="BJ79" s="405">
        <v>39.229999999999997</v>
      </c>
      <c r="BK79" s="405">
        <v>40.14</v>
      </c>
      <c r="BL79" s="405"/>
      <c r="BM79" s="405"/>
      <c r="BN79" s="405"/>
      <c r="BO79" s="405"/>
      <c r="BP79" s="405"/>
      <c r="BQ79" s="405"/>
      <c r="BR79" s="405"/>
      <c r="BS79" s="405"/>
      <c r="BT79" s="405"/>
      <c r="BU79" s="405"/>
      <c r="BV79" s="405"/>
      <c r="BW79" s="405"/>
      <c r="BX79" s="405"/>
      <c r="BY79" s="405"/>
      <c r="BZ79" s="405"/>
      <c r="CA79" s="405"/>
      <c r="CB79" s="405"/>
      <c r="CC79" s="405"/>
      <c r="CD79" s="405"/>
    </row>
    <row r="80" spans="1:82">
      <c r="A80" s="511">
        <v>3550</v>
      </c>
      <c r="B80" s="405"/>
      <c r="C80" s="405"/>
      <c r="D80" s="405"/>
      <c r="E80" s="405"/>
      <c r="F80" s="405"/>
      <c r="G80" s="405"/>
      <c r="H80" s="405">
        <v>12.91</v>
      </c>
      <c r="I80" s="405"/>
      <c r="J80" s="405"/>
      <c r="K80" s="405">
        <v>13.06</v>
      </c>
      <c r="L80" s="405"/>
      <c r="M80" s="405" t="s">
        <v>530</v>
      </c>
      <c r="N80" s="405" t="s">
        <v>530</v>
      </c>
      <c r="O80" s="405">
        <v>21.47</v>
      </c>
      <c r="P80" s="405"/>
      <c r="Q80" s="405"/>
      <c r="R80" s="405">
        <v>21.81</v>
      </c>
      <c r="S80" s="405"/>
      <c r="T80" s="405" t="s">
        <v>322</v>
      </c>
      <c r="U80" s="405"/>
      <c r="V80" s="405"/>
      <c r="W80" s="405"/>
      <c r="X80" s="405"/>
      <c r="Y80" s="405"/>
      <c r="Z80" s="405"/>
      <c r="AA80" s="405">
        <v>38.83</v>
      </c>
      <c r="AB80" s="405">
        <v>39.729999999999997</v>
      </c>
      <c r="AC80" s="405">
        <v>40.64</v>
      </c>
      <c r="AD80" s="405"/>
      <c r="AE80" s="405"/>
      <c r="AF80" s="405"/>
      <c r="AG80" s="405"/>
      <c r="AH80" s="405"/>
      <c r="AI80" s="405"/>
      <c r="AJ80" s="405"/>
      <c r="AK80" s="405"/>
      <c r="AL80" s="405"/>
      <c r="AM80" s="405"/>
      <c r="AN80" s="405"/>
      <c r="AO80" s="405"/>
      <c r="AP80" s="405"/>
      <c r="AQ80" s="405"/>
      <c r="AR80" s="405"/>
      <c r="AS80" s="405"/>
      <c r="AT80" s="405"/>
      <c r="AU80" s="405"/>
      <c r="AV80" s="405"/>
      <c r="AW80" s="405"/>
      <c r="AX80" s="405"/>
      <c r="AY80" s="405"/>
      <c r="AZ80" s="405">
        <v>21.47</v>
      </c>
      <c r="BA80" s="405" t="s">
        <v>322</v>
      </c>
      <c r="BB80" s="405" t="s">
        <v>322</v>
      </c>
      <c r="BC80" s="405"/>
      <c r="BD80" s="405"/>
      <c r="BE80" s="405"/>
      <c r="BF80" s="405"/>
      <c r="BG80" s="405"/>
      <c r="BH80" s="405"/>
      <c r="BI80" s="405">
        <v>38.83</v>
      </c>
      <c r="BJ80" s="405">
        <v>39.729999999999997</v>
      </c>
      <c r="BK80" s="405">
        <v>40.64</v>
      </c>
      <c r="BL80" s="405"/>
      <c r="BM80" s="405"/>
      <c r="BN80" s="405"/>
      <c r="BO80" s="405"/>
      <c r="BP80" s="405"/>
      <c r="BQ80" s="405"/>
      <c r="BR80" s="405"/>
      <c r="BS80" s="405"/>
      <c r="BT80" s="405"/>
      <c r="BU80" s="405"/>
      <c r="BV80" s="405"/>
      <c r="BW80" s="405"/>
      <c r="BX80" s="405"/>
      <c r="BY80" s="405"/>
      <c r="BZ80" s="405"/>
      <c r="CA80" s="405"/>
      <c r="CB80" s="405"/>
      <c r="CC80" s="405"/>
      <c r="CD80" s="405"/>
    </row>
    <row r="81" spans="1:82">
      <c r="A81" s="511">
        <v>3600</v>
      </c>
      <c r="B81" s="405"/>
      <c r="C81" s="405"/>
      <c r="D81" s="405"/>
      <c r="E81" s="405"/>
      <c r="F81" s="405"/>
      <c r="G81" s="405"/>
      <c r="H81" s="405">
        <v>13.08</v>
      </c>
      <c r="I81" s="405"/>
      <c r="J81" s="405"/>
      <c r="K81" s="405" t="s">
        <v>530</v>
      </c>
      <c r="L81" s="405"/>
      <c r="M81" s="405"/>
      <c r="N81" s="405"/>
      <c r="O81" s="405">
        <v>21.75</v>
      </c>
      <c r="P81" s="405"/>
      <c r="Q81" s="405"/>
      <c r="R81" s="405">
        <v>22.09</v>
      </c>
      <c r="S81" s="405"/>
      <c r="T81" s="405"/>
      <c r="U81" s="405"/>
      <c r="V81" s="405"/>
      <c r="W81" s="405"/>
      <c r="X81" s="405"/>
      <c r="Y81" s="405"/>
      <c r="Z81" s="405"/>
      <c r="AA81" s="405">
        <v>39.33</v>
      </c>
      <c r="AB81" s="405">
        <v>40.24</v>
      </c>
      <c r="AC81" s="405">
        <v>41.14</v>
      </c>
      <c r="AD81" s="405"/>
      <c r="AE81" s="405"/>
      <c r="AF81" s="405"/>
      <c r="AG81" s="405"/>
      <c r="AH81" s="405"/>
      <c r="AI81" s="405"/>
      <c r="AJ81" s="405"/>
      <c r="AK81" s="405"/>
      <c r="AL81" s="405"/>
      <c r="AM81" s="405"/>
      <c r="AN81" s="405"/>
      <c r="AO81" s="405"/>
      <c r="AP81" s="405"/>
      <c r="AQ81" s="405"/>
      <c r="AR81" s="405"/>
      <c r="AS81" s="405"/>
      <c r="AT81" s="405"/>
      <c r="AU81" s="405"/>
      <c r="AV81" s="405"/>
      <c r="AW81" s="405"/>
      <c r="AX81" s="405"/>
      <c r="AY81" s="405"/>
      <c r="AZ81" s="405">
        <v>21.75</v>
      </c>
      <c r="BA81" s="405"/>
      <c r="BB81" s="405"/>
      <c r="BC81" s="405"/>
      <c r="BD81" s="405"/>
      <c r="BE81" s="405"/>
      <c r="BF81" s="405"/>
      <c r="BG81" s="405"/>
      <c r="BH81" s="405"/>
      <c r="BI81" s="405">
        <v>39.33</v>
      </c>
      <c r="BJ81" s="405">
        <v>40.24</v>
      </c>
      <c r="BK81" s="405">
        <v>41.14</v>
      </c>
      <c r="BL81" s="405"/>
      <c r="BM81" s="405"/>
      <c r="BN81" s="405"/>
      <c r="BO81" s="405"/>
      <c r="BP81" s="405"/>
      <c r="BQ81" s="405"/>
      <c r="BR81" s="405"/>
      <c r="BS81" s="405"/>
      <c r="BT81" s="405"/>
      <c r="BU81" s="405"/>
      <c r="BV81" s="405"/>
      <c r="BW81" s="405"/>
      <c r="BX81" s="405"/>
      <c r="BY81" s="405"/>
      <c r="BZ81" s="405"/>
      <c r="CA81" s="405"/>
      <c r="CB81" s="405"/>
      <c r="CC81" s="405"/>
      <c r="CD81" s="405"/>
    </row>
    <row r="82" spans="1:82">
      <c r="A82" s="404">
        <v>3650</v>
      </c>
      <c r="B82" s="405"/>
      <c r="C82" s="405"/>
      <c r="D82" s="405"/>
      <c r="E82" s="405"/>
      <c r="F82" s="405"/>
      <c r="G82" s="405"/>
      <c r="H82" s="405">
        <v>13.25</v>
      </c>
      <c r="I82" s="405"/>
      <c r="J82" s="405"/>
      <c r="K82" s="405"/>
      <c r="L82" s="405"/>
      <c r="M82" s="405"/>
      <c r="N82" s="405"/>
      <c r="O82" s="405">
        <v>22.03</v>
      </c>
      <c r="P82" s="405"/>
      <c r="Q82" s="405"/>
      <c r="R82" s="405" t="s">
        <v>322</v>
      </c>
      <c r="S82" s="405"/>
      <c r="T82" s="405"/>
      <c r="U82" s="405"/>
      <c r="V82" s="405"/>
      <c r="W82" s="405"/>
      <c r="X82" s="405"/>
      <c r="Y82" s="405"/>
      <c r="Z82" s="405"/>
      <c r="AA82" s="405">
        <v>39.83</v>
      </c>
      <c r="AB82" s="405">
        <v>40.74</v>
      </c>
      <c r="AC82" s="405">
        <v>41.64</v>
      </c>
      <c r="AD82" s="405"/>
      <c r="AE82" s="405"/>
      <c r="AF82" s="405"/>
      <c r="AG82" s="405"/>
      <c r="AH82" s="405"/>
      <c r="AI82" s="405"/>
      <c r="AJ82" s="405"/>
      <c r="AK82" s="405"/>
      <c r="AL82" s="405"/>
      <c r="AM82" s="405"/>
      <c r="AN82" s="405"/>
      <c r="AO82" s="405"/>
      <c r="AP82" s="405"/>
      <c r="AQ82" s="405"/>
      <c r="AR82" s="405"/>
      <c r="AS82" s="405"/>
      <c r="AT82" s="405"/>
      <c r="AU82" s="405"/>
      <c r="AV82" s="405"/>
      <c r="AW82" s="405"/>
      <c r="AX82" s="405"/>
      <c r="AY82" s="405"/>
      <c r="AZ82" s="405" t="s">
        <v>322</v>
      </c>
      <c r="BA82" s="405"/>
      <c r="BB82" s="405"/>
      <c r="BC82" s="405"/>
      <c r="BD82" s="405"/>
      <c r="BE82" s="405"/>
      <c r="BF82" s="405"/>
      <c r="BG82" s="405"/>
      <c r="BH82" s="405"/>
      <c r="BI82" s="405" t="s">
        <v>322</v>
      </c>
      <c r="BJ82" s="405" t="s">
        <v>322</v>
      </c>
      <c r="BK82" s="405" t="s">
        <v>322</v>
      </c>
      <c r="BL82" s="405"/>
      <c r="BM82" s="405"/>
      <c r="BN82" s="405"/>
      <c r="BO82" s="405"/>
      <c r="BP82" s="405"/>
      <c r="BQ82" s="405"/>
      <c r="BR82" s="405"/>
      <c r="BS82" s="405"/>
      <c r="BT82" s="405"/>
      <c r="BU82" s="405"/>
      <c r="BV82" s="405"/>
      <c r="BW82" s="405"/>
      <c r="BX82" s="405"/>
      <c r="BY82" s="405"/>
      <c r="BZ82" s="405"/>
      <c r="CA82" s="405"/>
      <c r="CB82" s="405"/>
      <c r="CC82" s="405"/>
      <c r="CD82" s="405"/>
    </row>
    <row r="83" spans="1:82">
      <c r="A83" s="404">
        <v>3700</v>
      </c>
      <c r="B83" s="405"/>
      <c r="C83" s="405"/>
      <c r="D83" s="405"/>
      <c r="E83" s="405"/>
      <c r="F83" s="405"/>
      <c r="G83" s="405"/>
      <c r="H83" s="405" t="s">
        <v>530</v>
      </c>
      <c r="I83" s="405"/>
      <c r="J83" s="405"/>
      <c r="K83" s="405"/>
      <c r="L83" s="405"/>
      <c r="M83" s="405"/>
      <c r="N83" s="405"/>
      <c r="O83" s="405" t="s">
        <v>322</v>
      </c>
      <c r="P83" s="405"/>
      <c r="Q83" s="405"/>
      <c r="R83" s="405"/>
      <c r="S83" s="405"/>
      <c r="T83" s="405"/>
      <c r="U83" s="405"/>
      <c r="V83" s="405"/>
      <c r="W83" s="405"/>
      <c r="X83" s="405"/>
      <c r="Y83" s="405"/>
      <c r="Z83" s="405"/>
      <c r="AA83" s="405">
        <v>40.340000000000003</v>
      </c>
      <c r="AB83" s="405">
        <v>41.24</v>
      </c>
      <c r="AC83" s="405">
        <v>42.14</v>
      </c>
      <c r="AD83" s="405"/>
      <c r="AE83" s="405"/>
      <c r="AF83" s="405"/>
      <c r="AG83" s="405"/>
      <c r="AH83" s="405"/>
      <c r="AI83" s="405"/>
      <c r="AJ83" s="405"/>
      <c r="AK83" s="405"/>
      <c r="AL83" s="405"/>
      <c r="AM83" s="405"/>
      <c r="AN83" s="405"/>
      <c r="AO83" s="405"/>
      <c r="AP83" s="405"/>
      <c r="AQ83" s="405"/>
      <c r="AR83" s="405"/>
      <c r="AS83" s="405"/>
      <c r="AT83" s="405"/>
      <c r="AU83" s="405"/>
      <c r="AV83" s="405"/>
      <c r="AW83" s="405"/>
      <c r="AX83" s="405"/>
      <c r="AY83" s="405"/>
      <c r="AZ83" s="405"/>
      <c r="BA83" s="405"/>
      <c r="BB83" s="405"/>
      <c r="BC83" s="405"/>
      <c r="BD83" s="405"/>
      <c r="BE83" s="405"/>
      <c r="BF83" s="405"/>
      <c r="BG83" s="405"/>
      <c r="BH83" s="405"/>
      <c r="BI83" s="405"/>
      <c r="BJ83" s="405"/>
      <c r="BK83" s="405"/>
      <c r="BL83" s="405"/>
      <c r="BM83" s="405"/>
      <c r="BN83" s="405"/>
      <c r="BO83" s="405"/>
      <c r="BP83" s="405"/>
      <c r="BQ83" s="405"/>
      <c r="BR83" s="405"/>
      <c r="BS83" s="405"/>
      <c r="BT83" s="405"/>
      <c r="BU83" s="405"/>
      <c r="BV83" s="405"/>
      <c r="BW83" s="405"/>
      <c r="BX83" s="405"/>
      <c r="BY83" s="405"/>
      <c r="BZ83" s="405"/>
      <c r="CA83" s="405"/>
      <c r="CB83" s="405"/>
      <c r="CC83" s="405"/>
      <c r="CD83" s="405"/>
    </row>
    <row r="84" spans="1:82">
      <c r="A84" s="511">
        <v>3750</v>
      </c>
      <c r="B84" s="405"/>
      <c r="C84" s="405"/>
      <c r="D84" s="405"/>
      <c r="E84" s="405"/>
      <c r="F84" s="405"/>
      <c r="G84" s="405"/>
      <c r="H84" s="405"/>
      <c r="I84" s="405"/>
      <c r="J84" s="405"/>
      <c r="K84" s="405"/>
      <c r="L84" s="405"/>
      <c r="M84" s="405"/>
      <c r="N84" s="405"/>
      <c r="O84" s="405"/>
      <c r="P84" s="405"/>
      <c r="Q84" s="405"/>
      <c r="R84" s="405"/>
      <c r="S84" s="405"/>
      <c r="T84" s="405"/>
      <c r="U84" s="405"/>
      <c r="V84" s="405"/>
      <c r="W84" s="405"/>
      <c r="X84" s="405"/>
      <c r="Y84" s="405"/>
      <c r="Z84" s="405"/>
      <c r="AA84" s="405">
        <v>40.840000000000003</v>
      </c>
      <c r="AB84" s="405">
        <v>41.74</v>
      </c>
      <c r="AC84" s="405">
        <v>42.64</v>
      </c>
      <c r="AD84" s="405"/>
      <c r="AE84" s="405"/>
      <c r="AF84" s="405"/>
      <c r="AG84" s="405"/>
      <c r="AH84" s="405"/>
      <c r="AI84" s="405"/>
      <c r="AJ84" s="405"/>
      <c r="AK84" s="405"/>
      <c r="AL84" s="405"/>
      <c r="AM84" s="405"/>
      <c r="AN84" s="405"/>
      <c r="AO84" s="405"/>
      <c r="AP84" s="405"/>
      <c r="AQ84" s="405"/>
      <c r="AR84" s="405"/>
      <c r="AS84" s="405"/>
      <c r="AT84" s="405"/>
      <c r="AU84" s="405"/>
      <c r="AV84" s="405"/>
      <c r="AW84" s="405"/>
      <c r="AX84" s="405"/>
      <c r="AY84" s="405"/>
      <c r="AZ84" s="405"/>
      <c r="BA84" s="405"/>
      <c r="BB84" s="405"/>
      <c r="BC84" s="405"/>
      <c r="BD84" s="405"/>
      <c r="BE84" s="405"/>
      <c r="BF84" s="405"/>
      <c r="BG84" s="405"/>
      <c r="BH84" s="405"/>
      <c r="BI84" s="405"/>
      <c r="BJ84" s="405"/>
      <c r="BK84" s="405"/>
      <c r="BL84" s="405"/>
      <c r="BM84" s="405"/>
      <c r="BN84" s="405"/>
      <c r="BO84" s="405"/>
      <c r="BP84" s="405"/>
      <c r="BQ84" s="405"/>
      <c r="BR84" s="405"/>
      <c r="BS84" s="405"/>
      <c r="BT84" s="405"/>
      <c r="BU84" s="405"/>
      <c r="BV84" s="405"/>
      <c r="BW84" s="405"/>
      <c r="BX84" s="405"/>
      <c r="BY84" s="405"/>
      <c r="BZ84" s="405"/>
      <c r="CA84" s="405"/>
      <c r="CB84" s="405"/>
      <c r="CC84" s="405"/>
      <c r="CD84" s="405"/>
    </row>
    <row r="85" spans="1:82">
      <c r="A85" s="511">
        <v>3800</v>
      </c>
      <c r="B85" s="405"/>
      <c r="C85" s="405"/>
      <c r="D85" s="405"/>
      <c r="E85" s="405"/>
      <c r="F85" s="405"/>
      <c r="G85" s="405"/>
      <c r="H85" s="405"/>
      <c r="I85" s="405"/>
      <c r="J85" s="405"/>
      <c r="K85" s="405"/>
      <c r="L85" s="405"/>
      <c r="M85" s="405"/>
      <c r="N85" s="405"/>
      <c r="O85" s="405"/>
      <c r="P85" s="405"/>
      <c r="Q85" s="405"/>
      <c r="R85" s="405"/>
      <c r="S85" s="405"/>
      <c r="T85" s="405"/>
      <c r="U85" s="405"/>
      <c r="V85" s="405"/>
      <c r="W85" s="405"/>
      <c r="X85" s="405"/>
      <c r="Y85" s="405"/>
      <c r="Z85" s="405"/>
      <c r="AA85" s="405">
        <v>41.34</v>
      </c>
      <c r="AB85" s="405">
        <v>42.24</v>
      </c>
      <c r="AC85" s="405">
        <v>43.14</v>
      </c>
      <c r="AD85" s="405"/>
      <c r="AE85" s="405"/>
      <c r="AF85" s="405"/>
      <c r="AG85" s="405"/>
      <c r="AH85" s="405"/>
      <c r="AI85" s="405"/>
      <c r="AJ85" s="405"/>
      <c r="AK85" s="405"/>
      <c r="AL85" s="405"/>
      <c r="AM85" s="405"/>
      <c r="AN85" s="405"/>
      <c r="AO85" s="405"/>
      <c r="AP85" s="405"/>
      <c r="AQ85" s="405"/>
      <c r="AR85" s="405"/>
      <c r="AS85" s="405"/>
      <c r="AT85" s="405"/>
      <c r="AU85" s="405"/>
      <c r="AV85" s="405"/>
      <c r="AW85" s="405"/>
      <c r="AX85" s="405"/>
      <c r="AY85" s="405"/>
      <c r="AZ85" s="405"/>
      <c r="BA85" s="405"/>
      <c r="BB85" s="405"/>
      <c r="BC85" s="405"/>
      <c r="BD85" s="405"/>
      <c r="BE85" s="405"/>
      <c r="BF85" s="405"/>
      <c r="BG85" s="405"/>
      <c r="BH85" s="405"/>
      <c r="BI85" s="405"/>
      <c r="BJ85" s="405"/>
      <c r="BK85" s="405"/>
      <c r="BL85" s="405"/>
      <c r="BM85" s="405"/>
      <c r="BN85" s="405"/>
      <c r="BO85" s="405"/>
      <c r="BP85" s="405"/>
      <c r="BQ85" s="405"/>
      <c r="BR85" s="405"/>
      <c r="BS85" s="405"/>
      <c r="BT85" s="405"/>
      <c r="BU85" s="405"/>
      <c r="BV85" s="405"/>
      <c r="BW85" s="405"/>
      <c r="BX85" s="405"/>
      <c r="BY85" s="405"/>
      <c r="BZ85" s="405"/>
      <c r="CA85" s="405"/>
      <c r="CB85" s="405"/>
      <c r="CC85" s="405"/>
      <c r="CD85" s="405"/>
    </row>
    <row r="86" spans="1:82">
      <c r="A86" s="511">
        <v>3850</v>
      </c>
      <c r="B86" s="405"/>
      <c r="C86" s="405"/>
      <c r="D86" s="405"/>
      <c r="E86" s="405"/>
      <c r="F86" s="405"/>
      <c r="G86" s="405"/>
      <c r="H86" s="405"/>
      <c r="I86" s="405"/>
      <c r="J86" s="405"/>
      <c r="K86" s="405"/>
      <c r="L86" s="405"/>
      <c r="M86" s="405"/>
      <c r="N86" s="405"/>
      <c r="O86" s="405"/>
      <c r="P86" s="405"/>
      <c r="Q86" s="405"/>
      <c r="R86" s="405"/>
      <c r="S86" s="405"/>
      <c r="T86" s="405"/>
      <c r="U86" s="405"/>
      <c r="V86" s="405"/>
      <c r="W86" s="405"/>
      <c r="X86" s="405"/>
      <c r="Y86" s="405"/>
      <c r="Z86" s="405"/>
      <c r="AA86" s="405">
        <v>41.84</v>
      </c>
      <c r="AB86" s="405">
        <v>42.74</v>
      </c>
      <c r="AC86" s="405">
        <v>43.64</v>
      </c>
      <c r="AD86" s="405"/>
      <c r="AE86" s="405"/>
      <c r="AF86" s="405"/>
      <c r="AG86" s="405"/>
      <c r="AH86" s="405"/>
      <c r="AI86" s="405"/>
      <c r="AJ86" s="405"/>
      <c r="AK86" s="405"/>
      <c r="AL86" s="405"/>
      <c r="AM86" s="405"/>
      <c r="AN86" s="405"/>
      <c r="AO86" s="405"/>
      <c r="AP86" s="405"/>
      <c r="AQ86" s="405"/>
      <c r="AR86" s="405"/>
      <c r="AS86" s="405"/>
      <c r="AT86" s="405"/>
      <c r="AU86" s="405"/>
      <c r="AV86" s="405"/>
      <c r="AW86" s="405"/>
      <c r="AX86" s="405"/>
      <c r="AY86" s="405"/>
      <c r="AZ86" s="405"/>
      <c r="BA86" s="405"/>
      <c r="BB86" s="405"/>
      <c r="BC86" s="405"/>
      <c r="BD86" s="405"/>
      <c r="BE86" s="405"/>
      <c r="BF86" s="405"/>
      <c r="BG86" s="405"/>
      <c r="BH86" s="405"/>
      <c r="BI86" s="405"/>
      <c r="BJ86" s="405"/>
      <c r="BK86" s="405"/>
      <c r="BL86" s="405"/>
      <c r="BM86" s="405"/>
      <c r="BN86" s="405"/>
      <c r="BO86" s="405"/>
      <c r="BP86" s="405"/>
      <c r="BQ86" s="405"/>
      <c r="BR86" s="405"/>
      <c r="BS86" s="405"/>
      <c r="BT86" s="405"/>
      <c r="BU86" s="405"/>
      <c r="BV86" s="405"/>
      <c r="BW86" s="405"/>
      <c r="BX86" s="405"/>
      <c r="BY86" s="405"/>
      <c r="BZ86" s="405"/>
      <c r="CA86" s="405"/>
      <c r="CB86" s="405"/>
      <c r="CC86" s="405"/>
      <c r="CD86" s="405"/>
    </row>
    <row r="87" spans="1:82">
      <c r="A87" s="511">
        <v>3900</v>
      </c>
      <c r="B87" s="405"/>
      <c r="C87" s="405"/>
      <c r="D87" s="405"/>
      <c r="E87" s="405"/>
      <c r="F87" s="405"/>
      <c r="G87" s="405"/>
      <c r="H87" s="405"/>
      <c r="I87" s="405"/>
      <c r="J87" s="405"/>
      <c r="K87" s="405"/>
      <c r="L87" s="405"/>
      <c r="M87" s="405"/>
      <c r="N87" s="405"/>
      <c r="O87" s="405"/>
      <c r="P87" s="405"/>
      <c r="Q87" s="405"/>
      <c r="R87" s="405"/>
      <c r="S87" s="405"/>
      <c r="T87" s="405"/>
      <c r="U87" s="405"/>
      <c r="V87" s="405"/>
      <c r="W87" s="405"/>
      <c r="X87" s="405"/>
      <c r="Y87" s="405"/>
      <c r="Z87" s="405"/>
      <c r="AA87" s="405">
        <v>42.34</v>
      </c>
      <c r="AB87" s="405">
        <v>43.24</v>
      </c>
      <c r="AC87" s="405">
        <v>44.15</v>
      </c>
      <c r="AD87" s="405"/>
      <c r="AE87" s="405"/>
      <c r="AF87" s="405"/>
      <c r="AG87" s="405"/>
      <c r="AH87" s="405"/>
      <c r="AI87" s="405"/>
      <c r="AJ87" s="405"/>
      <c r="AK87" s="405"/>
      <c r="AL87" s="405"/>
      <c r="AM87" s="405"/>
      <c r="AN87" s="405"/>
      <c r="AO87" s="405"/>
      <c r="AP87" s="405"/>
      <c r="AQ87" s="405"/>
      <c r="AR87" s="405"/>
      <c r="AS87" s="405"/>
      <c r="AT87" s="405"/>
      <c r="AU87" s="405"/>
      <c r="AV87" s="405"/>
      <c r="AW87" s="405"/>
      <c r="AX87" s="405"/>
      <c r="AY87" s="405"/>
      <c r="AZ87" s="405"/>
      <c r="BA87" s="405"/>
      <c r="BB87" s="405"/>
      <c r="BC87" s="405"/>
      <c r="BD87" s="405"/>
      <c r="BE87" s="405"/>
      <c r="BF87" s="405"/>
      <c r="BG87" s="405"/>
      <c r="BH87" s="405"/>
      <c r="BI87" s="405"/>
      <c r="BJ87" s="405"/>
      <c r="BK87" s="405"/>
      <c r="BL87" s="405"/>
      <c r="BM87" s="405"/>
      <c r="BN87" s="405"/>
      <c r="BO87" s="405"/>
      <c r="BP87" s="405"/>
      <c r="BQ87" s="405"/>
      <c r="BR87" s="405"/>
      <c r="BS87" s="405"/>
      <c r="BT87" s="405"/>
      <c r="BU87" s="405"/>
      <c r="BV87" s="405"/>
      <c r="BW87" s="405"/>
      <c r="BX87" s="405"/>
      <c r="BY87" s="405"/>
      <c r="BZ87" s="405"/>
      <c r="CA87" s="405"/>
      <c r="CB87" s="405"/>
      <c r="CC87" s="405"/>
      <c r="CD87" s="405"/>
    </row>
    <row r="88" spans="1:82">
      <c r="A88" s="404">
        <v>3950</v>
      </c>
      <c r="B88" s="405"/>
      <c r="C88" s="405"/>
      <c r="D88" s="405"/>
      <c r="E88" s="405"/>
      <c r="F88" s="405"/>
      <c r="G88" s="405"/>
      <c r="H88" s="405"/>
      <c r="I88" s="405"/>
      <c r="J88" s="405"/>
      <c r="K88" s="405"/>
      <c r="L88" s="405"/>
      <c r="M88" s="405"/>
      <c r="N88" s="405"/>
      <c r="O88" s="405"/>
      <c r="P88" s="405"/>
      <c r="Q88" s="405"/>
      <c r="R88" s="405"/>
      <c r="S88" s="405"/>
      <c r="T88" s="405"/>
      <c r="U88" s="405"/>
      <c r="V88" s="405"/>
      <c r="W88" s="405"/>
      <c r="X88" s="405"/>
      <c r="Y88" s="405"/>
      <c r="Z88" s="405"/>
      <c r="AA88" s="405">
        <v>42.84</v>
      </c>
      <c r="AB88" s="405">
        <v>43.74</v>
      </c>
      <c r="AC88" s="405">
        <v>44.65</v>
      </c>
      <c r="AD88" s="405"/>
      <c r="AE88" s="405"/>
      <c r="AF88" s="405"/>
      <c r="AG88" s="405"/>
      <c r="AH88" s="405"/>
      <c r="AI88" s="405"/>
      <c r="AJ88" s="405"/>
      <c r="AK88" s="405"/>
      <c r="AL88" s="405"/>
      <c r="AM88" s="405"/>
      <c r="AN88" s="405"/>
      <c r="AO88" s="405"/>
      <c r="AP88" s="405"/>
      <c r="AQ88" s="405"/>
      <c r="AR88" s="405"/>
      <c r="AS88" s="405"/>
      <c r="AT88" s="405"/>
      <c r="AU88" s="405"/>
      <c r="AV88" s="405"/>
      <c r="AW88" s="405"/>
      <c r="AX88" s="405"/>
      <c r="AY88" s="405"/>
      <c r="AZ88" s="405"/>
      <c r="BA88" s="405"/>
      <c r="BB88" s="405"/>
      <c r="BC88" s="405"/>
      <c r="BD88" s="405"/>
      <c r="BE88" s="405"/>
      <c r="BF88" s="405"/>
      <c r="BG88" s="405"/>
      <c r="BH88" s="405"/>
      <c r="BI88" s="405"/>
      <c r="BJ88" s="405"/>
      <c r="BK88" s="405"/>
      <c r="BL88" s="405"/>
      <c r="BM88" s="405"/>
      <c r="BN88" s="405"/>
      <c r="BO88" s="405"/>
      <c r="BP88" s="405"/>
      <c r="BQ88" s="405"/>
      <c r="BR88" s="405"/>
      <c r="BS88" s="405"/>
      <c r="BT88" s="405"/>
      <c r="BU88" s="405"/>
      <c r="BV88" s="405"/>
      <c r="BW88" s="405"/>
      <c r="BX88" s="405"/>
      <c r="BY88" s="405"/>
      <c r="BZ88" s="405"/>
      <c r="CA88" s="405"/>
      <c r="CB88" s="405"/>
      <c r="CC88" s="405"/>
      <c r="CD88" s="405"/>
    </row>
    <row r="89" spans="1:82">
      <c r="A89" s="404">
        <v>4000</v>
      </c>
      <c r="B89" s="405"/>
      <c r="C89" s="405"/>
      <c r="D89" s="405"/>
      <c r="E89" s="405"/>
      <c r="F89" s="405"/>
      <c r="G89" s="405"/>
      <c r="H89" s="405"/>
      <c r="I89" s="405"/>
      <c r="J89" s="405"/>
      <c r="K89" s="405"/>
      <c r="L89" s="405"/>
      <c r="M89" s="405"/>
      <c r="N89" s="405"/>
      <c r="O89" s="405"/>
      <c r="P89" s="405"/>
      <c r="Q89" s="405"/>
      <c r="R89" s="405"/>
      <c r="S89" s="405"/>
      <c r="T89" s="405"/>
      <c r="U89" s="405"/>
      <c r="V89" s="405"/>
      <c r="W89" s="405"/>
      <c r="X89" s="405"/>
      <c r="Y89" s="405"/>
      <c r="Z89" s="405"/>
      <c r="AA89" s="405">
        <v>43.34</v>
      </c>
      <c r="AB89" s="405">
        <v>44.25</v>
      </c>
      <c r="AC89" s="405">
        <v>45.15</v>
      </c>
      <c r="AD89" s="405"/>
      <c r="AE89" s="405"/>
      <c r="AF89" s="405"/>
      <c r="AG89" s="405"/>
      <c r="AH89" s="405"/>
      <c r="AI89" s="405"/>
      <c r="AJ89" s="405"/>
      <c r="AK89" s="405"/>
      <c r="AL89" s="405"/>
      <c r="AM89" s="405"/>
      <c r="AN89" s="405"/>
      <c r="AO89" s="405"/>
      <c r="AP89" s="405"/>
      <c r="AQ89" s="405"/>
      <c r="AR89" s="405"/>
      <c r="AS89" s="405"/>
      <c r="AT89" s="405"/>
      <c r="AU89" s="405"/>
      <c r="AV89" s="405"/>
      <c r="AW89" s="405"/>
      <c r="AX89" s="405"/>
      <c r="AY89" s="405"/>
      <c r="AZ89" s="405"/>
      <c r="BA89" s="405"/>
      <c r="BB89" s="405"/>
      <c r="BC89" s="405"/>
      <c r="BD89" s="405"/>
      <c r="BE89" s="405"/>
      <c r="BF89" s="405"/>
      <c r="BG89" s="405"/>
      <c r="BH89" s="405"/>
      <c r="BI89" s="405"/>
      <c r="BJ89" s="405"/>
      <c r="BK89" s="405"/>
      <c r="BL89" s="405"/>
      <c r="BM89" s="405"/>
      <c r="BN89" s="405"/>
      <c r="BO89" s="405"/>
      <c r="BP89" s="405"/>
      <c r="BQ89" s="405"/>
      <c r="BR89" s="405"/>
      <c r="BS89" s="405"/>
      <c r="BT89" s="405"/>
      <c r="BU89" s="405"/>
      <c r="BV89" s="405"/>
      <c r="BW89" s="405"/>
      <c r="BX89" s="405"/>
      <c r="BY89" s="405"/>
      <c r="BZ89" s="405"/>
      <c r="CA89" s="405"/>
      <c r="CB89" s="405"/>
      <c r="CC89" s="405"/>
      <c r="CD89" s="405"/>
    </row>
    <row r="90" spans="1:82">
      <c r="A90" s="511">
        <v>4050</v>
      </c>
      <c r="B90" s="405"/>
      <c r="C90" s="405"/>
      <c r="D90" s="405"/>
      <c r="E90" s="405"/>
      <c r="F90" s="405"/>
      <c r="G90" s="405"/>
      <c r="H90" s="405"/>
      <c r="I90" s="405"/>
      <c r="J90" s="405"/>
      <c r="K90" s="405"/>
      <c r="L90" s="405"/>
      <c r="M90" s="405"/>
      <c r="N90" s="405"/>
      <c r="O90" s="405"/>
      <c r="P90" s="405"/>
      <c r="Q90" s="405"/>
      <c r="R90" s="405"/>
      <c r="S90" s="405"/>
      <c r="T90" s="405"/>
      <c r="U90" s="405"/>
      <c r="V90" s="405"/>
      <c r="W90" s="405"/>
      <c r="X90" s="405"/>
      <c r="Y90" s="405"/>
      <c r="Z90" s="405"/>
      <c r="AA90" s="405">
        <v>43.84</v>
      </c>
      <c r="AB90" s="405">
        <v>44.75</v>
      </c>
      <c r="AC90" s="405">
        <v>45.65</v>
      </c>
      <c r="AD90" s="405"/>
      <c r="AE90" s="405"/>
      <c r="AF90" s="405"/>
      <c r="AG90" s="405"/>
      <c r="AH90" s="405"/>
      <c r="AI90" s="405"/>
      <c r="AJ90" s="405"/>
      <c r="AK90" s="405"/>
      <c r="AL90" s="405"/>
      <c r="AM90" s="405"/>
      <c r="AN90" s="405"/>
      <c r="AO90" s="405"/>
      <c r="AP90" s="405"/>
      <c r="AQ90" s="405"/>
      <c r="AR90" s="405"/>
      <c r="AS90" s="405"/>
      <c r="AT90" s="405"/>
      <c r="AU90" s="405"/>
      <c r="AV90" s="405"/>
      <c r="AW90" s="405"/>
      <c r="AX90" s="405"/>
      <c r="AY90" s="405"/>
      <c r="AZ90" s="405"/>
      <c r="BA90" s="405"/>
      <c r="BB90" s="405"/>
      <c r="BC90" s="405"/>
      <c r="BD90" s="405"/>
      <c r="BE90" s="405"/>
      <c r="BF90" s="405"/>
      <c r="BG90" s="405"/>
      <c r="BH90" s="405"/>
      <c r="BI90" s="405"/>
      <c r="BJ90" s="405"/>
      <c r="BK90" s="405"/>
      <c r="BL90" s="405"/>
      <c r="BM90" s="405"/>
      <c r="BN90" s="405"/>
      <c r="BO90" s="405"/>
      <c r="BP90" s="405"/>
      <c r="BQ90" s="405"/>
      <c r="BR90" s="405"/>
      <c r="BS90" s="405"/>
      <c r="BT90" s="405"/>
      <c r="BU90" s="405"/>
      <c r="BV90" s="405"/>
      <c r="BW90" s="405"/>
      <c r="BX90" s="405"/>
      <c r="BY90" s="405"/>
      <c r="BZ90" s="405"/>
      <c r="CA90" s="405"/>
      <c r="CB90" s="405"/>
      <c r="CC90" s="405"/>
      <c r="CD90" s="405"/>
    </row>
    <row r="91" spans="1:82">
      <c r="A91" s="511">
        <v>4100</v>
      </c>
      <c r="B91" s="405"/>
      <c r="C91" s="405"/>
      <c r="D91" s="405"/>
      <c r="E91" s="405"/>
      <c r="F91" s="405"/>
      <c r="G91" s="405"/>
      <c r="H91" s="405"/>
      <c r="I91" s="405"/>
      <c r="J91" s="405"/>
      <c r="K91" s="405"/>
      <c r="L91" s="405"/>
      <c r="M91" s="405"/>
      <c r="N91" s="405"/>
      <c r="O91" s="405"/>
      <c r="P91" s="405"/>
      <c r="Q91" s="405"/>
      <c r="R91" s="405"/>
      <c r="S91" s="405"/>
      <c r="T91" s="405"/>
      <c r="U91" s="405"/>
      <c r="V91" s="405"/>
      <c r="W91" s="405"/>
      <c r="X91" s="405"/>
      <c r="Y91" s="405"/>
      <c r="Z91" s="405"/>
      <c r="AA91" s="405">
        <v>44.35</v>
      </c>
      <c r="AB91" s="405">
        <v>45.25</v>
      </c>
      <c r="AC91" s="405">
        <v>46.15</v>
      </c>
      <c r="AD91" s="405"/>
      <c r="AE91" s="405"/>
      <c r="AF91" s="405"/>
      <c r="AG91" s="405"/>
      <c r="AH91" s="405"/>
      <c r="AI91" s="405"/>
      <c r="AJ91" s="405"/>
      <c r="AK91" s="405"/>
      <c r="AL91" s="405"/>
      <c r="AM91" s="405"/>
      <c r="AN91" s="405"/>
      <c r="AO91" s="405"/>
      <c r="AP91" s="405"/>
      <c r="AQ91" s="405"/>
      <c r="AR91" s="405"/>
      <c r="AS91" s="405"/>
      <c r="AT91" s="405"/>
      <c r="AU91" s="405"/>
      <c r="AV91" s="405"/>
      <c r="AW91" s="405"/>
      <c r="AX91" s="405"/>
      <c r="AY91" s="405"/>
      <c r="AZ91" s="405"/>
      <c r="BA91" s="405"/>
      <c r="BB91" s="405"/>
      <c r="BC91" s="405"/>
      <c r="BD91" s="405"/>
      <c r="BE91" s="405"/>
      <c r="BF91" s="405"/>
      <c r="BG91" s="405"/>
      <c r="BH91" s="405"/>
      <c r="BI91" s="405"/>
      <c r="BJ91" s="405"/>
      <c r="BK91" s="405"/>
      <c r="BL91" s="405"/>
      <c r="BM91" s="405"/>
      <c r="BN91" s="405"/>
      <c r="BO91" s="405"/>
      <c r="BP91" s="405"/>
      <c r="BQ91" s="405"/>
      <c r="BR91" s="405"/>
      <c r="BS91" s="405"/>
      <c r="BT91" s="405"/>
      <c r="BU91" s="405"/>
      <c r="BV91" s="405"/>
      <c r="BW91" s="405"/>
      <c r="BX91" s="405"/>
      <c r="BY91" s="405"/>
      <c r="BZ91" s="405"/>
      <c r="CA91" s="405"/>
      <c r="CB91" s="405"/>
      <c r="CC91" s="405"/>
      <c r="CD91" s="405"/>
    </row>
    <row r="92" spans="1:82">
      <c r="A92" s="511">
        <v>4150</v>
      </c>
      <c r="B92" s="405"/>
      <c r="C92" s="405"/>
      <c r="D92" s="405"/>
      <c r="E92" s="405"/>
      <c r="F92" s="405"/>
      <c r="G92" s="405"/>
      <c r="H92" s="405"/>
      <c r="I92" s="405"/>
      <c r="J92" s="405"/>
      <c r="K92" s="405"/>
      <c r="L92" s="405"/>
      <c r="M92" s="405"/>
      <c r="N92" s="405"/>
      <c r="O92" s="405"/>
      <c r="P92" s="405"/>
      <c r="Q92" s="405"/>
      <c r="R92" s="405"/>
      <c r="S92" s="405"/>
      <c r="T92" s="405"/>
      <c r="U92" s="405"/>
      <c r="V92" s="405"/>
      <c r="W92" s="405"/>
      <c r="X92" s="405"/>
      <c r="Y92" s="405"/>
      <c r="Z92" s="405"/>
      <c r="AA92" s="405">
        <v>44.85</v>
      </c>
      <c r="AB92" s="405">
        <v>45.75</v>
      </c>
      <c r="AC92" s="405">
        <v>46.65</v>
      </c>
      <c r="AD92" s="405"/>
      <c r="AE92" s="405"/>
      <c r="AF92" s="405"/>
      <c r="AG92" s="405"/>
      <c r="AH92" s="405"/>
      <c r="AI92" s="405"/>
      <c r="AJ92" s="405"/>
      <c r="AK92" s="405"/>
      <c r="AL92" s="405"/>
      <c r="AM92" s="405"/>
      <c r="AN92" s="405"/>
      <c r="AO92" s="405"/>
      <c r="AP92" s="405"/>
      <c r="AQ92" s="405"/>
      <c r="AR92" s="405"/>
      <c r="AS92" s="405"/>
      <c r="AT92" s="405"/>
      <c r="AU92" s="405"/>
      <c r="AV92" s="405"/>
      <c r="AW92" s="405"/>
      <c r="AX92" s="405"/>
      <c r="AY92" s="405"/>
      <c r="AZ92" s="405"/>
      <c r="BA92" s="405"/>
      <c r="BB92" s="405"/>
      <c r="BC92" s="405"/>
      <c r="BD92" s="405"/>
      <c r="BE92" s="405"/>
      <c r="BF92" s="405"/>
      <c r="BG92" s="405"/>
      <c r="BH92" s="405"/>
      <c r="BI92" s="405"/>
      <c r="BJ92" s="405"/>
      <c r="BK92" s="405"/>
      <c r="BL92" s="405"/>
      <c r="BM92" s="405"/>
      <c r="BN92" s="405"/>
      <c r="BO92" s="405"/>
      <c r="BP92" s="405"/>
      <c r="BQ92" s="405"/>
      <c r="BR92" s="405"/>
      <c r="BS92" s="405"/>
      <c r="BT92" s="405"/>
      <c r="BU92" s="405"/>
      <c r="BV92" s="405"/>
      <c r="BW92" s="405"/>
      <c r="BX92" s="405"/>
      <c r="BY92" s="405"/>
      <c r="BZ92" s="405"/>
      <c r="CA92" s="405"/>
      <c r="CB92" s="405"/>
      <c r="CC92" s="405"/>
      <c r="CD92" s="405"/>
    </row>
    <row r="93" spans="1:82">
      <c r="A93" s="511">
        <v>4200</v>
      </c>
      <c r="B93" s="405"/>
      <c r="C93" s="405"/>
      <c r="D93" s="405"/>
      <c r="E93" s="405"/>
      <c r="F93" s="405"/>
      <c r="G93" s="405"/>
      <c r="H93" s="405"/>
      <c r="I93" s="405"/>
      <c r="J93" s="405"/>
      <c r="K93" s="405"/>
      <c r="L93" s="405"/>
      <c r="M93" s="405"/>
      <c r="N93" s="405"/>
      <c r="O93" s="405"/>
      <c r="P93" s="405"/>
      <c r="Q93" s="405"/>
      <c r="R93" s="405"/>
      <c r="S93" s="405"/>
      <c r="T93" s="405"/>
      <c r="U93" s="405"/>
      <c r="V93" s="405"/>
      <c r="W93" s="405"/>
      <c r="X93" s="405"/>
      <c r="Y93" s="405"/>
      <c r="Z93" s="405"/>
      <c r="AA93" s="405">
        <v>45.35</v>
      </c>
      <c r="AB93" s="405">
        <v>46.25</v>
      </c>
      <c r="AC93" s="405">
        <v>47.15</v>
      </c>
      <c r="AD93" s="405"/>
      <c r="AE93" s="405"/>
      <c r="AF93" s="405"/>
      <c r="AG93" s="405"/>
      <c r="AH93" s="405"/>
      <c r="AI93" s="405"/>
      <c r="AJ93" s="405"/>
      <c r="AK93" s="405"/>
      <c r="AL93" s="405"/>
      <c r="AM93" s="405"/>
      <c r="AN93" s="405"/>
      <c r="AO93" s="405"/>
      <c r="AP93" s="405"/>
      <c r="AQ93" s="405"/>
      <c r="AR93" s="405"/>
      <c r="AS93" s="405"/>
      <c r="AT93" s="405"/>
      <c r="AU93" s="405"/>
      <c r="AV93" s="405"/>
      <c r="AW93" s="405"/>
      <c r="AX93" s="405"/>
      <c r="AY93" s="405"/>
      <c r="AZ93" s="405"/>
      <c r="BA93" s="405"/>
      <c r="BB93" s="405"/>
      <c r="BC93" s="405"/>
      <c r="BD93" s="405"/>
      <c r="BE93" s="405"/>
      <c r="BF93" s="405"/>
      <c r="BG93" s="405"/>
      <c r="BH93" s="405"/>
      <c r="BI93" s="405"/>
      <c r="BJ93" s="405"/>
      <c r="BK93" s="405"/>
      <c r="BL93" s="405"/>
      <c r="BM93" s="405"/>
      <c r="BN93" s="405"/>
      <c r="BO93" s="405"/>
      <c r="BP93" s="405"/>
      <c r="BQ93" s="405"/>
      <c r="BR93" s="405"/>
      <c r="BS93" s="405"/>
      <c r="BT93" s="405"/>
      <c r="BU93" s="405"/>
      <c r="BV93" s="405"/>
      <c r="BW93" s="405"/>
      <c r="BX93" s="405"/>
      <c r="BY93" s="405"/>
      <c r="BZ93" s="405"/>
      <c r="CA93" s="405"/>
      <c r="CB93" s="405"/>
      <c r="CC93" s="405"/>
      <c r="CD93" s="405"/>
    </row>
    <row r="94" spans="1:82">
      <c r="A94" s="404">
        <v>4250</v>
      </c>
      <c r="B94" s="405"/>
      <c r="C94" s="405"/>
      <c r="D94" s="405"/>
      <c r="E94" s="405"/>
      <c r="F94" s="405"/>
      <c r="G94" s="405"/>
      <c r="H94" s="405"/>
      <c r="I94" s="405"/>
      <c r="J94" s="405"/>
      <c r="K94" s="405"/>
      <c r="L94" s="405"/>
      <c r="M94" s="405"/>
      <c r="N94" s="405"/>
      <c r="O94" s="405"/>
      <c r="P94" s="405"/>
      <c r="Q94" s="405"/>
      <c r="R94" s="405"/>
      <c r="S94" s="405"/>
      <c r="T94" s="405"/>
      <c r="U94" s="405"/>
      <c r="V94" s="405"/>
      <c r="W94" s="405"/>
      <c r="X94" s="405"/>
      <c r="Y94" s="405"/>
      <c r="Z94" s="405"/>
      <c r="AA94" s="405">
        <v>45.85</v>
      </c>
      <c r="AB94" s="405">
        <v>46.75</v>
      </c>
      <c r="AC94" s="405">
        <v>47.65</v>
      </c>
      <c r="AD94" s="405"/>
      <c r="AE94" s="405"/>
      <c r="AF94" s="405"/>
      <c r="AG94" s="405"/>
      <c r="AH94" s="405"/>
      <c r="AI94" s="405"/>
      <c r="AJ94" s="405"/>
      <c r="AK94" s="405"/>
      <c r="AL94" s="405"/>
      <c r="AM94" s="405"/>
      <c r="AN94" s="405"/>
      <c r="AO94" s="405"/>
      <c r="AP94" s="405"/>
      <c r="AQ94" s="405"/>
      <c r="AR94" s="405"/>
      <c r="AS94" s="405"/>
      <c r="AT94" s="405"/>
      <c r="AU94" s="405"/>
      <c r="AV94" s="405"/>
      <c r="AW94" s="405"/>
      <c r="AX94" s="405"/>
      <c r="AY94" s="405"/>
      <c r="AZ94" s="405"/>
      <c r="BA94" s="405"/>
      <c r="BB94" s="405"/>
      <c r="BC94" s="405"/>
      <c r="BD94" s="405"/>
      <c r="BE94" s="405"/>
      <c r="BF94" s="405"/>
      <c r="BG94" s="405"/>
      <c r="BH94" s="405"/>
      <c r="BI94" s="405"/>
      <c r="BJ94" s="405"/>
      <c r="BK94" s="405"/>
      <c r="BL94" s="405"/>
      <c r="BM94" s="405"/>
      <c r="BN94" s="405"/>
      <c r="BO94" s="405"/>
      <c r="BP94" s="405"/>
      <c r="BQ94" s="405"/>
      <c r="BR94" s="405"/>
      <c r="BS94" s="405"/>
      <c r="BT94" s="405"/>
      <c r="BU94" s="405"/>
      <c r="BV94" s="405"/>
      <c r="BW94" s="405"/>
      <c r="BX94" s="405"/>
      <c r="BY94" s="405"/>
      <c r="BZ94" s="405"/>
      <c r="CA94" s="405"/>
      <c r="CB94" s="405"/>
      <c r="CC94" s="405"/>
      <c r="CD94" s="405"/>
    </row>
    <row r="95" spans="1:82">
      <c r="A95" s="404">
        <v>4300</v>
      </c>
      <c r="B95" s="405"/>
      <c r="C95" s="405"/>
      <c r="D95" s="405"/>
      <c r="E95" s="405"/>
      <c r="F95" s="405"/>
      <c r="G95" s="405"/>
      <c r="H95" s="405"/>
      <c r="I95" s="405"/>
      <c r="J95" s="405"/>
      <c r="K95" s="405"/>
      <c r="L95" s="405"/>
      <c r="M95" s="405"/>
      <c r="N95" s="405"/>
      <c r="O95" s="405"/>
      <c r="P95" s="405"/>
      <c r="Q95" s="405"/>
      <c r="R95" s="405"/>
      <c r="S95" s="405"/>
      <c r="T95" s="405"/>
      <c r="U95" s="405"/>
      <c r="V95" s="405"/>
      <c r="W95" s="405"/>
      <c r="X95" s="405"/>
      <c r="Y95" s="405"/>
      <c r="Z95" s="405"/>
      <c r="AA95" s="405">
        <v>46.35</v>
      </c>
      <c r="AB95" s="405">
        <v>47.25</v>
      </c>
      <c r="AC95" s="405">
        <v>48.15</v>
      </c>
      <c r="AD95" s="405"/>
      <c r="AE95" s="405"/>
      <c r="AF95" s="405"/>
      <c r="AG95" s="405"/>
      <c r="AH95" s="405"/>
      <c r="AI95" s="405"/>
      <c r="AJ95" s="405"/>
      <c r="AK95" s="405"/>
      <c r="AL95" s="405"/>
      <c r="AM95" s="405"/>
      <c r="AN95" s="405"/>
      <c r="AO95" s="405"/>
      <c r="AP95" s="405"/>
      <c r="AQ95" s="405"/>
      <c r="AR95" s="405"/>
      <c r="AS95" s="405"/>
      <c r="AT95" s="405"/>
      <c r="AU95" s="405"/>
      <c r="AV95" s="405"/>
      <c r="AW95" s="405"/>
      <c r="AX95" s="405"/>
      <c r="AY95" s="405"/>
      <c r="AZ95" s="405"/>
      <c r="BA95" s="405"/>
      <c r="BB95" s="405"/>
      <c r="BC95" s="405"/>
      <c r="BD95" s="405"/>
      <c r="BE95" s="405"/>
      <c r="BF95" s="405"/>
      <c r="BG95" s="405"/>
      <c r="BH95" s="405"/>
      <c r="BI95" s="405"/>
      <c r="BJ95" s="405"/>
      <c r="BK95" s="405"/>
      <c r="BL95" s="405"/>
      <c r="BM95" s="405"/>
      <c r="BN95" s="405"/>
      <c r="BO95" s="405"/>
      <c r="BP95" s="405"/>
      <c r="BQ95" s="405"/>
      <c r="BR95" s="405"/>
      <c r="BS95" s="405"/>
      <c r="BT95" s="405"/>
      <c r="BU95" s="405"/>
      <c r="BV95" s="405"/>
      <c r="BW95" s="405"/>
      <c r="BX95" s="405"/>
      <c r="BY95" s="405"/>
      <c r="BZ95" s="405"/>
      <c r="CA95" s="405"/>
      <c r="CB95" s="405"/>
      <c r="CC95" s="405"/>
      <c r="CD95" s="405"/>
    </row>
    <row r="96" spans="1:82">
      <c r="A96" s="511">
        <v>4350</v>
      </c>
      <c r="B96" s="405"/>
      <c r="C96" s="405"/>
      <c r="D96" s="405"/>
      <c r="E96" s="405"/>
      <c r="F96" s="405"/>
      <c r="G96" s="405"/>
      <c r="H96" s="405"/>
      <c r="I96" s="405"/>
      <c r="J96" s="405"/>
      <c r="K96" s="405"/>
      <c r="L96" s="405"/>
      <c r="M96" s="405"/>
      <c r="N96" s="405"/>
      <c r="O96" s="405"/>
      <c r="P96" s="405"/>
      <c r="Q96" s="405"/>
      <c r="R96" s="405"/>
      <c r="S96" s="405"/>
      <c r="T96" s="405"/>
      <c r="U96" s="405"/>
      <c r="V96" s="405"/>
      <c r="W96" s="405"/>
      <c r="X96" s="405"/>
      <c r="Y96" s="405"/>
      <c r="Z96" s="405"/>
      <c r="AA96" s="405">
        <v>46.85</v>
      </c>
      <c r="AB96" s="405">
        <v>47.75</v>
      </c>
      <c r="AC96" s="405">
        <v>48.66</v>
      </c>
      <c r="AD96" s="405"/>
      <c r="AE96" s="405"/>
      <c r="AF96" s="405"/>
      <c r="AG96" s="405"/>
      <c r="AH96" s="405"/>
      <c r="AI96" s="405"/>
      <c r="AJ96" s="405"/>
      <c r="AK96" s="405"/>
      <c r="AL96" s="405"/>
      <c r="AM96" s="405"/>
      <c r="AN96" s="405"/>
      <c r="AO96" s="405"/>
      <c r="AP96" s="405"/>
      <c r="AQ96" s="405"/>
      <c r="AR96" s="405"/>
      <c r="AS96" s="405"/>
      <c r="AT96" s="405"/>
      <c r="AU96" s="405"/>
      <c r="AV96" s="405"/>
      <c r="AW96" s="405"/>
      <c r="AX96" s="405"/>
      <c r="AY96" s="405"/>
      <c r="AZ96" s="405"/>
      <c r="BA96" s="405"/>
      <c r="BB96" s="405"/>
      <c r="BC96" s="405"/>
      <c r="BD96" s="405"/>
      <c r="BE96" s="405"/>
      <c r="BF96" s="405"/>
      <c r="BG96" s="405"/>
      <c r="BH96" s="405"/>
      <c r="BI96" s="405"/>
      <c r="BJ96" s="405"/>
      <c r="BK96" s="405"/>
      <c r="BL96" s="405"/>
      <c r="BM96" s="405"/>
      <c r="BN96" s="405"/>
      <c r="BO96" s="405"/>
      <c r="BP96" s="405"/>
      <c r="BQ96" s="405"/>
      <c r="BR96" s="405"/>
      <c r="BS96" s="405"/>
      <c r="BT96" s="405"/>
      <c r="BU96" s="405"/>
      <c r="BV96" s="405"/>
      <c r="BW96" s="405"/>
      <c r="BX96" s="405"/>
      <c r="BY96" s="405"/>
      <c r="BZ96" s="405"/>
      <c r="CA96" s="405"/>
      <c r="CB96" s="405"/>
      <c r="CC96" s="405"/>
      <c r="CD96" s="405"/>
    </row>
    <row r="97" spans="1:82">
      <c r="A97" s="511">
        <v>4400</v>
      </c>
      <c r="B97" s="405"/>
      <c r="C97" s="405"/>
      <c r="D97" s="405"/>
      <c r="E97" s="405"/>
      <c r="F97" s="405"/>
      <c r="G97" s="405"/>
      <c r="H97" s="405"/>
      <c r="I97" s="405"/>
      <c r="J97" s="405"/>
      <c r="K97" s="405"/>
      <c r="L97" s="405"/>
      <c r="M97" s="405"/>
      <c r="N97" s="405"/>
      <c r="O97" s="405"/>
      <c r="P97" s="405"/>
      <c r="Q97" s="405"/>
      <c r="R97" s="405"/>
      <c r="S97" s="405"/>
      <c r="T97" s="405"/>
      <c r="U97" s="405"/>
      <c r="V97" s="405"/>
      <c r="W97" s="405"/>
      <c r="X97" s="405"/>
      <c r="Y97" s="405"/>
      <c r="Z97" s="405"/>
      <c r="AA97" s="405">
        <v>47.35</v>
      </c>
      <c r="AB97" s="405">
        <v>48.25</v>
      </c>
      <c r="AC97" s="405">
        <v>49.16</v>
      </c>
      <c r="AD97" s="405"/>
      <c r="AE97" s="405"/>
      <c r="AF97" s="405"/>
      <c r="AG97" s="405"/>
      <c r="AH97" s="405"/>
      <c r="AI97" s="405"/>
      <c r="AJ97" s="405"/>
      <c r="AK97" s="405"/>
      <c r="AL97" s="405"/>
      <c r="AM97" s="405"/>
      <c r="AN97" s="405"/>
      <c r="AO97" s="405"/>
      <c r="AP97" s="405"/>
      <c r="AQ97" s="405"/>
      <c r="AR97" s="405"/>
      <c r="AS97" s="405"/>
      <c r="AT97" s="405"/>
      <c r="AU97" s="405"/>
      <c r="AV97" s="405"/>
      <c r="AW97" s="405"/>
      <c r="AX97" s="405"/>
      <c r="AY97" s="405"/>
      <c r="AZ97" s="405"/>
      <c r="BA97" s="405"/>
      <c r="BB97" s="405"/>
      <c r="BC97" s="405"/>
      <c r="BD97" s="405"/>
      <c r="BE97" s="405"/>
      <c r="BF97" s="405"/>
      <c r="BG97" s="405"/>
      <c r="BH97" s="405"/>
      <c r="BI97" s="405"/>
      <c r="BJ97" s="405"/>
      <c r="BK97" s="405"/>
      <c r="BL97" s="405"/>
      <c r="BM97" s="405"/>
      <c r="BN97" s="405"/>
      <c r="BO97" s="405"/>
      <c r="BP97" s="405"/>
      <c r="BQ97" s="405"/>
      <c r="BR97" s="405"/>
      <c r="BS97" s="405"/>
      <c r="BT97" s="405"/>
      <c r="BU97" s="405"/>
      <c r="BV97" s="405"/>
      <c r="BW97" s="405"/>
      <c r="BX97" s="405"/>
      <c r="BY97" s="405"/>
      <c r="BZ97" s="405"/>
      <c r="CA97" s="405"/>
      <c r="CB97" s="405"/>
      <c r="CC97" s="405"/>
      <c r="CD97" s="405"/>
    </row>
    <row r="98" spans="1:82">
      <c r="A98" s="511">
        <v>4450</v>
      </c>
      <c r="B98" s="405"/>
      <c r="C98" s="405"/>
      <c r="D98" s="405"/>
      <c r="E98" s="405"/>
      <c r="F98" s="405"/>
      <c r="G98" s="405"/>
      <c r="H98" s="405"/>
      <c r="I98" s="405"/>
      <c r="J98" s="405"/>
      <c r="K98" s="405"/>
      <c r="L98" s="405"/>
      <c r="M98" s="405"/>
      <c r="N98" s="405"/>
      <c r="O98" s="405"/>
      <c r="P98" s="405"/>
      <c r="Q98" s="405"/>
      <c r="R98" s="405"/>
      <c r="S98" s="405"/>
      <c r="T98" s="405"/>
      <c r="U98" s="405"/>
      <c r="V98" s="405"/>
      <c r="W98" s="405"/>
      <c r="X98" s="405"/>
      <c r="Y98" s="405"/>
      <c r="Z98" s="405"/>
      <c r="AA98" s="405">
        <v>47.85</v>
      </c>
      <c r="AB98" s="405">
        <v>48.76</v>
      </c>
      <c r="AC98" s="405">
        <v>49.66</v>
      </c>
      <c r="AD98" s="405"/>
      <c r="AE98" s="405"/>
      <c r="AF98" s="405"/>
      <c r="AG98" s="405"/>
      <c r="AH98" s="405"/>
      <c r="AI98" s="405"/>
      <c r="AJ98" s="405"/>
      <c r="AK98" s="405"/>
      <c r="AL98" s="405"/>
      <c r="AM98" s="405"/>
      <c r="AN98" s="405"/>
      <c r="AO98" s="405"/>
      <c r="AP98" s="405"/>
      <c r="AQ98" s="405"/>
      <c r="AR98" s="405"/>
      <c r="AS98" s="405"/>
      <c r="AT98" s="405"/>
      <c r="AU98" s="405"/>
      <c r="AV98" s="405"/>
      <c r="AW98" s="405"/>
      <c r="AX98" s="405"/>
      <c r="AY98" s="405"/>
      <c r="AZ98" s="405"/>
      <c r="BA98" s="405"/>
      <c r="BB98" s="405"/>
      <c r="BC98" s="405"/>
      <c r="BD98" s="405"/>
      <c r="BE98" s="405"/>
      <c r="BF98" s="405"/>
      <c r="BG98" s="405"/>
      <c r="BH98" s="405"/>
      <c r="BI98" s="405"/>
      <c r="BJ98" s="405"/>
      <c r="BK98" s="405"/>
      <c r="BL98" s="405"/>
      <c r="BM98" s="405"/>
      <c r="BN98" s="405"/>
      <c r="BO98" s="405"/>
      <c r="BP98" s="405"/>
      <c r="BQ98" s="405"/>
      <c r="BR98" s="405"/>
      <c r="BS98" s="405"/>
      <c r="BT98" s="405"/>
      <c r="BU98" s="405"/>
      <c r="BV98" s="405"/>
      <c r="BW98" s="405"/>
      <c r="BX98" s="405"/>
      <c r="BY98" s="405"/>
      <c r="BZ98" s="405"/>
      <c r="CA98" s="405"/>
      <c r="CB98" s="405"/>
      <c r="CC98" s="405"/>
      <c r="CD98" s="405"/>
    </row>
    <row r="99" spans="1:82">
      <c r="A99" s="511">
        <v>4500</v>
      </c>
      <c r="B99" s="405"/>
      <c r="C99" s="405"/>
      <c r="D99" s="405"/>
      <c r="E99" s="405"/>
      <c r="F99" s="405"/>
      <c r="G99" s="405"/>
      <c r="H99" s="405"/>
      <c r="I99" s="405"/>
      <c r="J99" s="405"/>
      <c r="K99" s="405"/>
      <c r="L99" s="405"/>
      <c r="M99" s="405"/>
      <c r="N99" s="405"/>
      <c r="O99" s="405"/>
      <c r="P99" s="405"/>
      <c r="Q99" s="405"/>
      <c r="R99" s="405"/>
      <c r="S99" s="405"/>
      <c r="T99" s="405"/>
      <c r="U99" s="405"/>
      <c r="V99" s="405"/>
      <c r="W99" s="405"/>
      <c r="X99" s="405"/>
      <c r="Y99" s="405"/>
      <c r="Z99" s="405"/>
      <c r="AA99" s="405">
        <v>48.36</v>
      </c>
      <c r="AB99" s="405">
        <v>49.26</v>
      </c>
      <c r="AC99" s="405">
        <v>50.16</v>
      </c>
      <c r="AD99" s="405"/>
      <c r="AE99" s="405"/>
      <c r="AF99" s="405"/>
      <c r="AG99" s="405"/>
      <c r="AH99" s="405"/>
      <c r="AI99" s="405"/>
      <c r="AJ99" s="405"/>
      <c r="AK99" s="405"/>
      <c r="AL99" s="405"/>
      <c r="AM99" s="405"/>
      <c r="AN99" s="405"/>
      <c r="AO99" s="405"/>
      <c r="AP99" s="405"/>
      <c r="AQ99" s="405"/>
      <c r="AR99" s="405"/>
      <c r="AS99" s="405"/>
      <c r="AT99" s="405"/>
      <c r="AU99" s="405"/>
      <c r="AV99" s="405"/>
      <c r="AW99" s="405"/>
      <c r="AX99" s="405"/>
      <c r="AY99" s="405"/>
      <c r="AZ99" s="405"/>
      <c r="BA99" s="405"/>
      <c r="BB99" s="405"/>
      <c r="BC99" s="405"/>
      <c r="BD99" s="405"/>
      <c r="BE99" s="405"/>
      <c r="BF99" s="405"/>
      <c r="BG99" s="405"/>
      <c r="BH99" s="405"/>
      <c r="BI99" s="405"/>
      <c r="BJ99" s="405"/>
      <c r="BK99" s="405"/>
      <c r="BL99" s="405"/>
      <c r="BM99" s="405"/>
      <c r="BN99" s="405"/>
      <c r="BO99" s="405"/>
      <c r="BP99" s="405"/>
      <c r="BQ99" s="405"/>
      <c r="BR99" s="405"/>
      <c r="BS99" s="405"/>
      <c r="BT99" s="405"/>
      <c r="BU99" s="405"/>
      <c r="BV99" s="405"/>
      <c r="BW99" s="405"/>
      <c r="BX99" s="405"/>
      <c r="BY99" s="405"/>
      <c r="BZ99" s="405"/>
      <c r="CA99" s="405"/>
      <c r="CB99" s="405"/>
      <c r="CC99" s="405"/>
      <c r="CD99" s="405"/>
    </row>
    <row r="100" spans="1:82">
      <c r="A100" s="404">
        <v>4550</v>
      </c>
      <c r="B100" s="405"/>
      <c r="C100" s="405"/>
      <c r="D100" s="405"/>
      <c r="E100" s="405"/>
      <c r="F100" s="405"/>
      <c r="G100" s="405"/>
      <c r="H100" s="405"/>
      <c r="I100" s="405"/>
      <c r="J100" s="405"/>
      <c r="K100" s="405"/>
      <c r="L100" s="405"/>
      <c r="M100" s="405"/>
      <c r="N100" s="405"/>
      <c r="O100" s="405"/>
      <c r="P100" s="405"/>
      <c r="Q100" s="405"/>
      <c r="R100" s="405"/>
      <c r="S100" s="405"/>
      <c r="T100" s="405"/>
      <c r="U100" s="405"/>
      <c r="V100" s="405"/>
      <c r="W100" s="405"/>
      <c r="X100" s="405"/>
      <c r="Y100" s="405"/>
      <c r="Z100" s="405"/>
      <c r="AA100" s="405">
        <v>48.86</v>
      </c>
      <c r="AB100" s="405">
        <v>49.76</v>
      </c>
      <c r="AC100" s="405">
        <v>50.66</v>
      </c>
      <c r="AD100" s="405"/>
      <c r="AE100" s="405"/>
      <c r="AF100" s="405"/>
      <c r="AG100" s="405"/>
      <c r="AH100" s="405"/>
      <c r="AI100" s="405"/>
      <c r="AJ100" s="405"/>
      <c r="AK100" s="405"/>
      <c r="AL100" s="405"/>
      <c r="AM100" s="405"/>
      <c r="AN100" s="405"/>
      <c r="AO100" s="405"/>
      <c r="AP100" s="405"/>
      <c r="AQ100" s="405"/>
      <c r="AR100" s="405"/>
      <c r="AS100" s="405"/>
      <c r="AT100" s="405"/>
      <c r="AU100" s="405"/>
      <c r="AV100" s="405"/>
      <c r="AW100" s="405"/>
      <c r="AX100" s="405"/>
      <c r="AY100" s="405"/>
      <c r="AZ100" s="405"/>
      <c r="BA100" s="405"/>
      <c r="BB100" s="405"/>
      <c r="BC100" s="405"/>
      <c r="BD100" s="405"/>
      <c r="BE100" s="405"/>
      <c r="BF100" s="405"/>
      <c r="BG100" s="405"/>
      <c r="BH100" s="405"/>
      <c r="BI100" s="405"/>
      <c r="BJ100" s="405"/>
      <c r="BK100" s="405"/>
      <c r="BL100" s="405"/>
      <c r="BM100" s="405"/>
      <c r="BN100" s="405"/>
      <c r="BO100" s="405"/>
      <c r="BP100" s="405"/>
      <c r="BQ100" s="405"/>
      <c r="BR100" s="405"/>
      <c r="BS100" s="405"/>
      <c r="BT100" s="405"/>
      <c r="BU100" s="405"/>
      <c r="BV100" s="405"/>
      <c r="BW100" s="405"/>
      <c r="BX100" s="405"/>
      <c r="BY100" s="405"/>
      <c r="BZ100" s="405"/>
      <c r="CA100" s="405"/>
      <c r="CB100" s="405"/>
      <c r="CC100" s="405"/>
      <c r="CD100" s="405"/>
    </row>
    <row r="101" spans="1:82">
      <c r="A101" s="404">
        <v>4600</v>
      </c>
      <c r="B101" s="405"/>
      <c r="C101" s="405"/>
      <c r="D101" s="405"/>
      <c r="E101" s="405"/>
      <c r="F101" s="405"/>
      <c r="G101" s="405"/>
      <c r="H101" s="405"/>
      <c r="I101" s="405"/>
      <c r="J101" s="405"/>
      <c r="K101" s="405"/>
      <c r="L101" s="405"/>
      <c r="M101" s="405"/>
      <c r="N101" s="405"/>
      <c r="O101" s="405"/>
      <c r="P101" s="405"/>
      <c r="Q101" s="405"/>
      <c r="R101" s="405"/>
      <c r="S101" s="405"/>
      <c r="T101" s="405"/>
      <c r="U101" s="405"/>
      <c r="V101" s="405"/>
      <c r="W101" s="405"/>
      <c r="X101" s="405"/>
      <c r="Y101" s="405"/>
      <c r="Z101" s="405"/>
      <c r="AA101" s="405">
        <v>49.36</v>
      </c>
      <c r="AB101" s="405">
        <v>50.26</v>
      </c>
      <c r="AC101" s="405">
        <v>51.16</v>
      </c>
      <c r="AD101" s="405"/>
      <c r="AE101" s="405"/>
      <c r="AF101" s="405"/>
      <c r="AG101" s="405"/>
      <c r="AH101" s="405"/>
      <c r="AI101" s="405"/>
      <c r="AJ101" s="405"/>
      <c r="AK101" s="405"/>
      <c r="AL101" s="405"/>
      <c r="AM101" s="405"/>
      <c r="AN101" s="405"/>
      <c r="AO101" s="405"/>
      <c r="AP101" s="405"/>
      <c r="AQ101" s="405"/>
      <c r="AR101" s="405"/>
      <c r="AS101" s="405"/>
      <c r="AT101" s="405"/>
      <c r="AU101" s="405"/>
      <c r="AV101" s="405"/>
      <c r="AW101" s="405"/>
      <c r="AX101" s="405"/>
      <c r="AY101" s="405"/>
      <c r="AZ101" s="405"/>
      <c r="BA101" s="405"/>
      <c r="BB101" s="405"/>
      <c r="BC101" s="405"/>
      <c r="BD101" s="405"/>
      <c r="BE101" s="405"/>
      <c r="BF101" s="405"/>
      <c r="BG101" s="405"/>
      <c r="BH101" s="405"/>
      <c r="BI101" s="405"/>
      <c r="BJ101" s="405"/>
      <c r="BK101" s="405"/>
      <c r="BL101" s="405"/>
      <c r="BM101" s="405"/>
      <c r="BN101" s="405"/>
      <c r="BO101" s="405"/>
      <c r="BP101" s="405"/>
      <c r="BQ101" s="405"/>
      <c r="BR101" s="405"/>
      <c r="BS101" s="405"/>
      <c r="BT101" s="405"/>
      <c r="BU101" s="405"/>
      <c r="BV101" s="405"/>
      <c r="BW101" s="405"/>
      <c r="BX101" s="405"/>
      <c r="BY101" s="405"/>
      <c r="BZ101" s="405"/>
      <c r="CA101" s="405"/>
      <c r="CB101" s="405"/>
      <c r="CC101" s="405"/>
      <c r="CD101" s="405"/>
    </row>
    <row r="102" spans="1:82">
      <c r="A102" s="404"/>
      <c r="B102" s="405" t="e">
        <f>IF(#REF!="","",#REF!)</f>
        <v>#REF!</v>
      </c>
      <c r="C102" s="405" t="e">
        <f>IF(#REF!="","",#REF!)</f>
        <v>#REF!</v>
      </c>
      <c r="D102" s="405" t="e">
        <f>IF(#REF!="","",#REF!)</f>
        <v>#REF!</v>
      </c>
      <c r="E102" s="405" t="e">
        <f>IF(#REF!="","",#REF!)</f>
        <v>#REF!</v>
      </c>
      <c r="F102" s="405" t="e">
        <f>IF(#REF!="","",#REF!)</f>
        <v>#REF!</v>
      </c>
      <c r="G102" s="405" t="e">
        <f>IF(#REF!="","",#REF!)</f>
        <v>#REF!</v>
      </c>
      <c r="H102" s="405" t="e">
        <f>IF(#REF!="","",#REF!)</f>
        <v>#REF!</v>
      </c>
      <c r="I102" s="405" t="e">
        <f>IF(#REF!="","",#REF!)</f>
        <v>#REF!</v>
      </c>
      <c r="J102" s="405" t="e">
        <f>IF(#REF!="","",#REF!)</f>
        <v>#REF!</v>
      </c>
      <c r="K102" s="405" t="e">
        <f>IF(#REF!="","",#REF!)</f>
        <v>#REF!</v>
      </c>
      <c r="L102" s="405" t="e">
        <f>IF(#REF!="","",#REF!)</f>
        <v>#REF!</v>
      </c>
      <c r="M102" s="405" t="e">
        <f>IF(#REF!="","",#REF!)</f>
        <v>#REF!</v>
      </c>
      <c r="N102" s="405" t="e">
        <f>IF(#REF!="","",#REF!)</f>
        <v>#REF!</v>
      </c>
      <c r="O102" s="405" t="e">
        <f>IF(#REF!="","",#REF!)</f>
        <v>#REF!</v>
      </c>
      <c r="P102" s="405" t="e">
        <f>IF(#REF!="","",#REF!)</f>
        <v>#REF!</v>
      </c>
      <c r="Q102" s="405" t="e">
        <f>IF(#REF!="","",#REF!)</f>
        <v>#REF!</v>
      </c>
      <c r="R102" s="405" t="e">
        <f>IF(#REF!="","",#REF!)</f>
        <v>#REF!</v>
      </c>
      <c r="S102" s="405" t="e">
        <f>IF(#REF!="","",#REF!)</f>
        <v>#REF!</v>
      </c>
      <c r="T102" s="405" t="e">
        <f>IF(#REF!="","",#REF!)</f>
        <v>#REF!</v>
      </c>
      <c r="U102" s="405" t="e">
        <f>IF(#REF!="","",#REF!)</f>
        <v>#REF!</v>
      </c>
      <c r="V102" s="405" t="e">
        <f>IF(#REF!="","",#REF!)</f>
        <v>#REF!</v>
      </c>
      <c r="W102" s="405" t="e">
        <f>IF(#REF!="","",#REF!)</f>
        <v>#REF!</v>
      </c>
      <c r="X102" s="405" t="e">
        <f>IF(#REF!="","",#REF!)</f>
        <v>#REF!</v>
      </c>
      <c r="Y102" s="405" t="e">
        <f>IF(#REF!="","",#REF!)</f>
        <v>#REF!</v>
      </c>
      <c r="Z102" s="405" t="e">
        <f>IF(#REF!="","",#REF!)</f>
        <v>#REF!</v>
      </c>
      <c r="AA102" s="405" t="e">
        <f>IF(#REF!="","",#REF!)</f>
        <v>#REF!</v>
      </c>
      <c r="AB102" s="405" t="e">
        <f>IF(#REF!="","",#REF!)</f>
        <v>#REF!</v>
      </c>
      <c r="AC102" s="405" t="e">
        <f>IF(#REF!="","",#REF!)</f>
        <v>#REF!</v>
      </c>
      <c r="AD102" s="405" t="e">
        <f>IF(#REF!="","",#REF!)</f>
        <v>#REF!</v>
      </c>
      <c r="AE102" s="405" t="e">
        <f>IF(#REF!="","",#REF!)</f>
        <v>#REF!</v>
      </c>
      <c r="AF102" s="405" t="e">
        <f>IF(#REF!="","",#REF!)</f>
        <v>#REF!</v>
      </c>
      <c r="AG102" s="405" t="e">
        <f>IF(#REF!="","",#REF!)</f>
        <v>#REF!</v>
      </c>
      <c r="AH102" s="405" t="e">
        <f>IF(#REF!="","",#REF!)</f>
        <v>#REF!</v>
      </c>
      <c r="AI102" s="405" t="e">
        <f>IF(#REF!="","",#REF!)</f>
        <v>#REF!</v>
      </c>
      <c r="AJ102" s="405" t="e">
        <f>IF(#REF!="","",#REF!)</f>
        <v>#REF!</v>
      </c>
      <c r="AK102" s="405" t="e">
        <f>IF(#REF!="","",#REF!)</f>
        <v>#REF!</v>
      </c>
      <c r="AL102" s="405" t="e">
        <f>IF(#REF!="","",#REF!)</f>
        <v>#REF!</v>
      </c>
      <c r="AM102" s="405" t="e">
        <f>IF(#REF!="","",#REF!)</f>
        <v>#REF!</v>
      </c>
      <c r="AN102" s="405" t="e">
        <f>IF(#REF!="","",#REF!)</f>
        <v>#REF!</v>
      </c>
      <c r="AO102" s="405" t="e">
        <f>IF(#REF!="","",#REF!)</f>
        <v>#REF!</v>
      </c>
      <c r="AP102" s="405" t="e">
        <f>IF(#REF!="","",#REF!)</f>
        <v>#REF!</v>
      </c>
      <c r="AQ102" s="405" t="e">
        <f>IF(#REF!="","",#REF!)</f>
        <v>#REF!</v>
      </c>
      <c r="AR102" s="405" t="e">
        <f>IF(#REF!="","",#REF!)</f>
        <v>#REF!</v>
      </c>
      <c r="AS102" s="405" t="e">
        <f>IF(#REF!="","",#REF!)</f>
        <v>#REF!</v>
      </c>
      <c r="AT102" s="405" t="e">
        <f>IF(#REF!="","",#REF!)</f>
        <v>#REF!</v>
      </c>
      <c r="AU102" s="405" t="e">
        <f>IF(#REF!="","",#REF!)</f>
        <v>#REF!</v>
      </c>
      <c r="AV102" s="405" t="e">
        <f>IF(#REF!="","",#REF!)</f>
        <v>#REF!</v>
      </c>
      <c r="AW102" s="405" t="e">
        <f>IF(#REF!="","",#REF!)</f>
        <v>#REF!</v>
      </c>
      <c r="AX102" s="405" t="e">
        <f>IF(#REF!="","",#REF!)</f>
        <v>#REF!</v>
      </c>
      <c r="AY102" s="405" t="e">
        <f>IF(#REF!="","",#REF!)</f>
        <v>#REF!</v>
      </c>
      <c r="AZ102" s="405" t="e">
        <f>IF(#REF!="","",#REF!)</f>
        <v>#REF!</v>
      </c>
      <c r="BA102" s="405" t="e">
        <f>IF(#REF!="","",#REF!)</f>
        <v>#REF!</v>
      </c>
      <c r="BB102" s="405" t="e">
        <f>IF(#REF!="","",#REF!)</f>
        <v>#REF!</v>
      </c>
      <c r="BC102" s="405" t="e">
        <f>IF(#REF!="","",#REF!)</f>
        <v>#REF!</v>
      </c>
      <c r="BD102" s="405" t="e">
        <f>IF(#REF!="","",#REF!)</f>
        <v>#REF!</v>
      </c>
      <c r="BE102" s="405" t="e">
        <f>IF(#REF!="","",#REF!)</f>
        <v>#REF!</v>
      </c>
      <c r="BF102" s="405" t="e">
        <f>IF(#REF!="","",#REF!)</f>
        <v>#REF!</v>
      </c>
      <c r="BG102" s="405" t="e">
        <f>IF(#REF!="","",#REF!)</f>
        <v>#REF!</v>
      </c>
      <c r="BH102" s="405" t="e">
        <f>IF(#REF!="","",#REF!)</f>
        <v>#REF!</v>
      </c>
      <c r="BI102" s="405" t="e">
        <f>IF(#REF!="","",#REF!)</f>
        <v>#REF!</v>
      </c>
      <c r="BJ102" s="405" t="e">
        <f>IF(#REF!="","",#REF!)</f>
        <v>#REF!</v>
      </c>
      <c r="BK102" s="405" t="e">
        <f>IF(#REF!="","",#REF!)</f>
        <v>#REF!</v>
      </c>
      <c r="BL102" s="405" t="e">
        <f>IF(#REF!="","",#REF!)</f>
        <v>#REF!</v>
      </c>
      <c r="BM102" s="405" t="e">
        <f>IF(#REF!="","",#REF!)</f>
        <v>#REF!</v>
      </c>
      <c r="BN102" s="405" t="e">
        <f>IF(#REF!="","",#REF!)</f>
        <v>#REF!</v>
      </c>
      <c r="BO102" s="405" t="e">
        <f>IF(#REF!="","",#REF!)</f>
        <v>#REF!</v>
      </c>
      <c r="BP102" s="405" t="e">
        <f>IF(#REF!="","",#REF!)</f>
        <v>#REF!</v>
      </c>
      <c r="BQ102" s="405" t="e">
        <f>IF(#REF!="","",#REF!)</f>
        <v>#REF!</v>
      </c>
      <c r="BR102" s="405" t="e">
        <f>IF(#REF!="","",#REF!)</f>
        <v>#REF!</v>
      </c>
      <c r="BS102" s="405" t="e">
        <f>IF(#REF!="","",#REF!)</f>
        <v>#REF!</v>
      </c>
      <c r="BT102" s="405" t="e">
        <f>IF(#REF!="","",#REF!)</f>
        <v>#REF!</v>
      </c>
      <c r="BU102" s="405" t="e">
        <f>IF(#REF!="","",#REF!)</f>
        <v>#REF!</v>
      </c>
      <c r="BV102" s="405" t="e">
        <f>IF(#REF!="","",#REF!)</f>
        <v>#REF!</v>
      </c>
      <c r="BW102" s="405" t="e">
        <f>IF(#REF!="","",#REF!)</f>
        <v>#REF!</v>
      </c>
      <c r="BX102" s="405" t="e">
        <f>IF(#REF!="","",#REF!)</f>
        <v>#REF!</v>
      </c>
      <c r="BY102" s="405" t="e">
        <f>IF(#REF!="","",#REF!)</f>
        <v>#REF!</v>
      </c>
      <c r="BZ102" s="405" t="e">
        <f>IF(#REF!="","",#REF!)</f>
        <v>#REF!</v>
      </c>
      <c r="CA102" s="405" t="e">
        <f>IF(#REF!="","",#REF!)</f>
        <v>#REF!</v>
      </c>
      <c r="CB102" s="405" t="e">
        <f>IF(#REF!="","",#REF!)</f>
        <v>#REF!</v>
      </c>
      <c r="CC102" s="405" t="e">
        <f>IF(#REF!="","",#REF!)</f>
        <v>#REF!</v>
      </c>
      <c r="CD102" s="405" t="e">
        <f>IF(#REF!="","",#REF!)</f>
        <v>#REF!</v>
      </c>
    </row>
    <row r="103" spans="1:82">
      <c r="E103" s="17"/>
      <c r="F103" s="17"/>
      <c r="G103" s="17"/>
      <c r="AA103" s="405" t="e">
        <f>IF(#REF!="","",#REF!)</f>
        <v>#REF!</v>
      </c>
      <c r="AB103" s="17"/>
      <c r="AC103" s="17"/>
      <c r="AD103" s="17"/>
      <c r="AE103" s="17"/>
      <c r="AF103" s="17"/>
    </row>
    <row r="104" spans="1:82">
      <c r="E104" s="17"/>
      <c r="F104" s="17"/>
      <c r="G104" s="17"/>
      <c r="AA104" s="405" t="e">
        <f>IF(#REF!="","",#REF!)</f>
        <v>#REF!</v>
      </c>
      <c r="AB104" s="17"/>
      <c r="AC104" s="17"/>
      <c r="AD104" s="17"/>
      <c r="AE104" s="17"/>
      <c r="AF104" s="17"/>
    </row>
    <row r="105" spans="1:82">
      <c r="E105" s="17"/>
      <c r="F105" s="17"/>
      <c r="G105" s="17"/>
      <c r="AB105" s="17"/>
      <c r="AC105" s="17"/>
      <c r="AD105" s="17"/>
      <c r="AE105" s="17"/>
      <c r="AF105" s="17"/>
    </row>
    <row r="106" spans="1:82">
      <c r="E106" s="17"/>
      <c r="F106" s="17"/>
      <c r="G106" s="17"/>
      <c r="AB106" s="17"/>
      <c r="AC106" s="17"/>
      <c r="AD106" s="17"/>
      <c r="AE106" s="17"/>
      <c r="AF106" s="17"/>
    </row>
    <row r="107" spans="1:82">
      <c r="E107" s="17"/>
      <c r="F107" s="17"/>
      <c r="G107" s="17"/>
      <c r="AB107" s="17"/>
      <c r="AC107" s="17"/>
      <c r="AD107" s="17"/>
      <c r="AE107" s="17"/>
      <c r="AF107" s="17"/>
    </row>
    <row r="108" spans="1:82">
      <c r="E108" s="17"/>
      <c r="F108" s="17"/>
      <c r="G108" s="17"/>
      <c r="AB108" s="17"/>
      <c r="AC108" s="17"/>
      <c r="AD108" s="17"/>
      <c r="AE108" s="17"/>
      <c r="AF108" s="17"/>
    </row>
    <row r="109" spans="1:82">
      <c r="E109" s="17"/>
      <c r="F109" s="17"/>
      <c r="G109" s="17"/>
      <c r="AB109" s="17"/>
      <c r="AC109" s="17"/>
      <c r="AD109" s="17"/>
      <c r="AE109" s="17"/>
      <c r="AF109" s="17"/>
    </row>
    <row r="110" spans="1:82">
      <c r="E110" s="17"/>
      <c r="F110" s="17"/>
      <c r="G110" s="17"/>
      <c r="AB110" s="17"/>
      <c r="AC110" s="17"/>
      <c r="AD110" s="17"/>
      <c r="AE110" s="17"/>
      <c r="AF110" s="17"/>
    </row>
    <row r="111" spans="1:82">
      <c r="E111" s="17"/>
      <c r="F111" s="17"/>
      <c r="G111" s="17"/>
      <c r="AB111" s="17"/>
      <c r="AC111" s="17"/>
      <c r="AD111" s="17"/>
      <c r="AE111" s="17"/>
      <c r="AF111" s="17"/>
    </row>
    <row r="112" spans="1:82">
      <c r="E112" s="17"/>
      <c r="F112" s="17"/>
      <c r="G112" s="17"/>
      <c r="AB112" s="17"/>
      <c r="AC112" s="17"/>
      <c r="AD112" s="17"/>
      <c r="AE112" s="17"/>
      <c r="AF112" s="17"/>
    </row>
    <row r="113" spans="5:32">
      <c r="E113" s="17"/>
      <c r="F113" s="17"/>
      <c r="G113" s="17"/>
      <c r="AB113" s="17"/>
      <c r="AC113" s="17"/>
      <c r="AD113" s="17"/>
      <c r="AE113" s="17"/>
      <c r="AF113" s="17"/>
    </row>
    <row r="114" spans="5:32">
      <c r="E114" s="17"/>
      <c r="F114" s="17"/>
      <c r="G114" s="17"/>
      <c r="AB114" s="17"/>
      <c r="AC114" s="17"/>
      <c r="AD114" s="17"/>
      <c r="AE114" s="17"/>
      <c r="AF114" s="17"/>
    </row>
    <row r="115" spans="5:32">
      <c r="E115" s="17"/>
      <c r="F115" s="17"/>
      <c r="G115" s="17"/>
      <c r="AB115" s="17"/>
      <c r="AC115" s="17"/>
      <c r="AD115" s="17"/>
      <c r="AE115" s="17"/>
      <c r="AF115" s="17"/>
    </row>
    <row r="116" spans="5:32">
      <c r="E116" s="17"/>
      <c r="F116" s="17"/>
      <c r="G116" s="17"/>
      <c r="AB116" s="17"/>
      <c r="AC116" s="17"/>
      <c r="AD116" s="17"/>
      <c r="AE116" s="17"/>
      <c r="AF116" s="17"/>
    </row>
    <row r="117" spans="5:32">
      <c r="E117" s="17"/>
      <c r="F117" s="17"/>
      <c r="G117" s="17"/>
      <c r="AB117" s="17"/>
      <c r="AC117" s="17"/>
      <c r="AD117" s="17"/>
      <c r="AE117" s="17"/>
      <c r="AF117" s="17"/>
    </row>
    <row r="118" spans="5:32">
      <c r="E118" s="17"/>
      <c r="F118" s="17"/>
      <c r="G118" s="17"/>
      <c r="AB118" s="17"/>
      <c r="AC118" s="17"/>
      <c r="AD118" s="17"/>
      <c r="AE118" s="17"/>
      <c r="AF118" s="17"/>
    </row>
    <row r="119" spans="5:32">
      <c r="E119" s="17"/>
      <c r="F119" s="17"/>
      <c r="G119" s="17"/>
      <c r="AB119" s="17"/>
      <c r="AC119" s="17"/>
      <c r="AD119" s="17"/>
      <c r="AE119" s="17"/>
      <c r="AF119" s="17"/>
    </row>
    <row r="120" spans="5:32">
      <c r="E120" s="17"/>
      <c r="F120" s="17"/>
      <c r="G120" s="17"/>
      <c r="AB120" s="17"/>
      <c r="AC120" s="17"/>
      <c r="AD120" s="17"/>
      <c r="AE120" s="17"/>
      <c r="AF120" s="17"/>
    </row>
    <row r="121" spans="5:32">
      <c r="E121" s="17"/>
      <c r="F121" s="17"/>
      <c r="G121" s="17"/>
      <c r="AB121" s="17"/>
      <c r="AC121" s="17"/>
      <c r="AD121" s="17"/>
      <c r="AE121" s="17"/>
      <c r="AF121" s="17"/>
    </row>
    <row r="122" spans="5:32">
      <c r="E122" s="17"/>
      <c r="F122" s="17"/>
      <c r="G122" s="17"/>
      <c r="AB122" s="17"/>
      <c r="AC122" s="17"/>
      <c r="AD122" s="17"/>
      <c r="AE122" s="17"/>
      <c r="AF122" s="17"/>
    </row>
    <row r="123" spans="5:32">
      <c r="E123" s="17"/>
      <c r="F123" s="17"/>
      <c r="G123" s="17"/>
      <c r="AB123" s="17"/>
      <c r="AC123" s="17"/>
      <c r="AD123" s="17"/>
      <c r="AE123" s="17"/>
      <c r="AF123" s="17"/>
    </row>
    <row r="124" spans="5:32">
      <c r="E124" s="17"/>
      <c r="F124" s="17"/>
      <c r="G124" s="17"/>
      <c r="AB124" s="17"/>
      <c r="AC124" s="17"/>
      <c r="AD124" s="17"/>
      <c r="AE124" s="17"/>
      <c r="AF124" s="17"/>
    </row>
    <row r="125" spans="5:32">
      <c r="E125" s="17"/>
      <c r="F125" s="17"/>
      <c r="G125" s="17"/>
      <c r="AB125" s="17"/>
      <c r="AC125" s="17"/>
      <c r="AD125" s="17"/>
      <c r="AE125" s="17"/>
      <c r="AF125" s="17"/>
    </row>
    <row r="126" spans="5:32">
      <c r="E126" s="17"/>
      <c r="F126" s="17"/>
      <c r="G126" s="17"/>
      <c r="AB126" s="17"/>
      <c r="AC126" s="17"/>
      <c r="AD126" s="17"/>
      <c r="AE126" s="17"/>
      <c r="AF126" s="17"/>
    </row>
    <row r="127" spans="5:32">
      <c r="E127" s="17"/>
      <c r="F127" s="17"/>
      <c r="G127" s="17"/>
      <c r="AB127" s="17"/>
      <c r="AC127" s="17"/>
      <c r="AD127" s="17"/>
      <c r="AE127" s="17"/>
      <c r="AF127" s="17"/>
    </row>
    <row r="128" spans="5:32">
      <c r="E128" s="17"/>
      <c r="F128" s="17"/>
      <c r="G128" s="17"/>
      <c r="AB128" s="17"/>
      <c r="AC128" s="17"/>
      <c r="AD128" s="17"/>
      <c r="AE128" s="17"/>
      <c r="AF128" s="17"/>
    </row>
    <row r="129" spans="5:32">
      <c r="E129" s="17"/>
      <c r="F129" s="17"/>
      <c r="G129" s="17"/>
      <c r="AB129" s="17"/>
      <c r="AC129" s="17"/>
      <c r="AD129" s="17"/>
      <c r="AE129" s="17"/>
      <c r="AF129" s="17"/>
    </row>
    <row r="130" spans="5:32">
      <c r="E130" s="17"/>
      <c r="F130" s="17"/>
      <c r="G130" s="17"/>
      <c r="AB130" s="17"/>
      <c r="AC130" s="17"/>
      <c r="AD130" s="17"/>
      <c r="AE130" s="17"/>
      <c r="AF130" s="17"/>
    </row>
    <row r="131" spans="5:32">
      <c r="E131" s="17"/>
      <c r="F131" s="17"/>
      <c r="G131" s="17"/>
      <c r="AB131" s="17"/>
      <c r="AC131" s="17"/>
      <c r="AD131" s="17"/>
      <c r="AE131" s="17"/>
      <c r="AF131" s="17"/>
    </row>
    <row r="132" spans="5:32">
      <c r="E132" s="17"/>
      <c r="F132" s="17"/>
      <c r="G132" s="17"/>
      <c r="AB132" s="17"/>
      <c r="AC132" s="17"/>
      <c r="AD132" s="17"/>
      <c r="AE132" s="17"/>
      <c r="AF132" s="17"/>
    </row>
  </sheetData>
  <phoneticPr fontId="28"/>
  <pageMargins left="0.75" right="0.75" top="1" bottom="1" header="0.51200000000000001" footer="0.51200000000000001"/>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AK39"/>
  <sheetViews>
    <sheetView showGridLines="0" showRowColHeaders="0" showZeros="0" showOutlineSymbols="0" workbookViewId="0">
      <selection activeCell="H18" sqref="H18"/>
    </sheetView>
  </sheetViews>
  <sheetFormatPr defaultColWidth="9.140625" defaultRowHeight="12.75"/>
  <cols>
    <col min="1" max="1" width="5" style="267" customWidth="1"/>
    <col min="2" max="3" width="10.7109375" style="267" customWidth="1"/>
    <col min="4" max="4" width="8" style="267" customWidth="1"/>
    <col min="5" max="5" width="3.42578125" style="267" customWidth="1"/>
    <col min="6" max="6" width="9.140625" style="361"/>
    <col min="7" max="7" width="6" style="267" bestFit="1" customWidth="1"/>
    <col min="8" max="11" width="20.7109375" style="267" customWidth="1"/>
    <col min="12" max="12" width="21.7109375" style="267" bestFit="1" customWidth="1"/>
    <col min="13" max="13" width="6.42578125" style="304" hidden="1" customWidth="1"/>
    <col min="14" max="14" width="8.5703125" style="304" hidden="1" customWidth="1"/>
    <col min="15" max="15" width="1.85546875" style="304" hidden="1" customWidth="1"/>
    <col min="16" max="16" width="7.5703125" style="304" hidden="1" customWidth="1"/>
    <col min="17" max="17" width="8.5703125" style="304" hidden="1" customWidth="1"/>
    <col min="18" max="18" width="1.5703125" style="304" hidden="1" customWidth="1"/>
    <col min="19" max="19" width="9.140625" style="304" hidden="1" customWidth="1"/>
    <col min="20" max="20" width="8.5703125" style="304" hidden="1" customWidth="1"/>
    <col min="21" max="21" width="2.85546875" style="304" hidden="1" customWidth="1"/>
    <col min="22" max="34" width="9.140625" style="304" hidden="1" customWidth="1"/>
    <col min="35" max="37" width="0" style="304" hidden="1" customWidth="1"/>
    <col min="38" max="16384" width="9.140625" style="267"/>
  </cols>
  <sheetData>
    <row r="1" spans="1:34" ht="13.5" thickBot="1">
      <c r="F1" s="267"/>
      <c r="M1" s="285" t="s">
        <v>3</v>
      </c>
      <c r="N1" s="309"/>
      <c r="O1" s="309"/>
      <c r="P1" s="309"/>
      <c r="Q1" s="309"/>
      <c r="R1" s="309"/>
      <c r="S1" s="309"/>
      <c r="T1" s="309"/>
      <c r="U1" s="309"/>
      <c r="V1" s="309"/>
      <c r="W1" s="309"/>
      <c r="X1" s="309"/>
      <c r="Y1" s="309"/>
      <c r="Z1" s="309"/>
      <c r="AA1" s="309"/>
      <c r="AB1" s="309"/>
      <c r="AC1" s="309"/>
      <c r="AD1" s="309"/>
      <c r="AE1" s="309"/>
      <c r="AF1" s="308"/>
      <c r="AG1" s="308"/>
      <c r="AH1" s="307"/>
    </row>
    <row r="2" spans="1:34" ht="17.25" customHeight="1">
      <c r="B2" s="980" t="s">
        <v>556</v>
      </c>
      <c r="C2" s="981"/>
      <c r="D2" s="981"/>
      <c r="E2" s="981"/>
      <c r="F2" s="981"/>
      <c r="G2" s="981"/>
      <c r="H2" s="981"/>
      <c r="I2" s="981"/>
      <c r="J2" s="981"/>
      <c r="K2" s="981"/>
      <c r="L2" s="656">
        <v>2</v>
      </c>
      <c r="M2" s="310" t="s">
        <v>7</v>
      </c>
      <c r="N2" s="310" t="s">
        <v>144</v>
      </c>
      <c r="O2" s="286"/>
      <c r="P2" s="287" t="s">
        <v>16</v>
      </c>
      <c r="Q2" s="287" t="s">
        <v>141</v>
      </c>
      <c r="R2" s="309"/>
      <c r="S2" s="288" t="s">
        <v>147</v>
      </c>
      <c r="T2" s="287" t="s">
        <v>337</v>
      </c>
      <c r="U2" s="309"/>
      <c r="V2" s="288" t="s">
        <v>151</v>
      </c>
      <c r="W2" s="287" t="s">
        <v>163</v>
      </c>
      <c r="X2" s="309"/>
      <c r="Y2" s="310" t="s">
        <v>46</v>
      </c>
      <c r="Z2" s="310" t="s">
        <v>155</v>
      </c>
      <c r="AA2" s="286"/>
      <c r="AB2" s="288" t="s">
        <v>365</v>
      </c>
      <c r="AC2" s="287" t="s">
        <v>299</v>
      </c>
      <c r="AD2" s="309"/>
      <c r="AE2" s="288" t="s">
        <v>33</v>
      </c>
      <c r="AF2" s="289"/>
      <c r="AG2" s="308"/>
      <c r="AH2" s="288" t="s">
        <v>29</v>
      </c>
    </row>
    <row r="3" spans="1:34" ht="14.25" customHeight="1">
      <c r="B3" s="988" t="s">
        <v>368</v>
      </c>
      <c r="C3" s="989"/>
      <c r="D3" s="989"/>
      <c r="E3" s="989"/>
      <c r="F3" s="989"/>
      <c r="G3" s="989"/>
      <c r="H3" s="989"/>
      <c r="I3" s="989"/>
      <c r="J3" s="989"/>
      <c r="K3" s="989"/>
      <c r="L3" s="164"/>
      <c r="M3" s="311" t="s">
        <v>143</v>
      </c>
      <c r="N3" s="290">
        <v>1E-3</v>
      </c>
      <c r="O3" s="309"/>
      <c r="P3" s="311" t="s">
        <v>143</v>
      </c>
      <c r="Q3" s="290">
        <v>9.8066500000000001E-3</v>
      </c>
      <c r="R3" s="309"/>
      <c r="S3" s="311" t="s">
        <v>294</v>
      </c>
      <c r="T3" s="290">
        <v>10</v>
      </c>
      <c r="U3" s="309"/>
      <c r="V3" s="311" t="s">
        <v>153</v>
      </c>
      <c r="W3" s="290">
        <v>304.8</v>
      </c>
      <c r="X3" s="309"/>
      <c r="Y3" s="311" t="s">
        <v>157</v>
      </c>
      <c r="Z3" s="290">
        <v>60</v>
      </c>
      <c r="AA3" s="309"/>
      <c r="AB3" s="311" t="s">
        <v>162</v>
      </c>
      <c r="AC3" s="290">
        <v>0.01</v>
      </c>
      <c r="AD3" s="309"/>
      <c r="AE3" s="311" t="s">
        <v>34</v>
      </c>
      <c r="AF3" s="291">
        <v>1</v>
      </c>
      <c r="AG3" s="312"/>
      <c r="AH3" s="311" t="s">
        <v>20</v>
      </c>
    </row>
    <row r="4" spans="1:34" ht="14.25">
      <c r="B4" s="990"/>
      <c r="C4" s="989"/>
      <c r="D4" s="989"/>
      <c r="E4" s="989"/>
      <c r="F4" s="989"/>
      <c r="G4" s="989"/>
      <c r="H4" s="989"/>
      <c r="I4" s="989"/>
      <c r="J4" s="989"/>
      <c r="K4" s="989"/>
      <c r="L4" s="164"/>
      <c r="M4" s="311" t="s">
        <v>11</v>
      </c>
      <c r="N4" s="290">
        <v>1</v>
      </c>
      <c r="O4" s="309"/>
      <c r="P4" s="311" t="s">
        <v>11</v>
      </c>
      <c r="Q4" s="290">
        <v>9.8066499999999994</v>
      </c>
      <c r="R4" s="309"/>
      <c r="S4" s="311" t="s">
        <v>295</v>
      </c>
      <c r="T4" s="290">
        <v>30.48</v>
      </c>
      <c r="U4" s="313"/>
      <c r="V4" s="311" t="s">
        <v>152</v>
      </c>
      <c r="W4" s="290">
        <v>25.4</v>
      </c>
      <c r="X4" s="313"/>
      <c r="Y4" s="311" t="s">
        <v>156</v>
      </c>
      <c r="Z4" s="290">
        <v>1E-3</v>
      </c>
      <c r="AA4" s="313"/>
      <c r="AB4" s="311" t="s">
        <v>159</v>
      </c>
      <c r="AC4" s="290">
        <v>0.30480000000000002</v>
      </c>
      <c r="AD4" s="313"/>
      <c r="AE4" s="311" t="s">
        <v>26</v>
      </c>
      <c r="AF4" s="291">
        <f>1/SQRT(2)</f>
        <v>0.70710678118654746</v>
      </c>
      <c r="AG4" s="312"/>
      <c r="AH4" s="311" t="s">
        <v>31</v>
      </c>
    </row>
    <row r="5" spans="1:34" ht="14.25">
      <c r="B5" s="990"/>
      <c r="C5" s="989"/>
      <c r="D5" s="989"/>
      <c r="E5" s="989"/>
      <c r="F5" s="989"/>
      <c r="G5" s="989"/>
      <c r="H5" s="989"/>
      <c r="I5" s="989"/>
      <c r="J5" s="989"/>
      <c r="K5" s="989"/>
      <c r="L5" s="164"/>
      <c r="M5" s="311" t="s">
        <v>145</v>
      </c>
      <c r="N5" s="290">
        <v>0.45359237000000002</v>
      </c>
      <c r="O5" s="313"/>
      <c r="P5" s="311" t="s">
        <v>12</v>
      </c>
      <c r="Q5" s="290">
        <v>4.4482216149999996</v>
      </c>
      <c r="R5" s="313"/>
      <c r="S5" s="311" t="s">
        <v>149</v>
      </c>
      <c r="T5" s="290">
        <v>0.4233333333</v>
      </c>
      <c r="U5" s="313"/>
      <c r="V5" s="311" t="s">
        <v>154</v>
      </c>
      <c r="W5" s="290">
        <v>1000</v>
      </c>
      <c r="X5" s="313"/>
      <c r="Y5" s="311" t="s">
        <v>120</v>
      </c>
      <c r="Z5" s="290">
        <v>1</v>
      </c>
      <c r="AA5" s="313"/>
      <c r="AB5" s="311" t="s">
        <v>110</v>
      </c>
      <c r="AC5" s="290">
        <v>9.8066499999999994</v>
      </c>
      <c r="AD5" s="313"/>
      <c r="AE5" s="313"/>
      <c r="AF5" s="312"/>
      <c r="AG5" s="312"/>
    </row>
    <row r="6" spans="1:34" ht="30.75" customHeight="1">
      <c r="B6" s="996" t="s">
        <v>367</v>
      </c>
      <c r="C6" s="997"/>
      <c r="D6" s="998" t="s">
        <v>381</v>
      </c>
      <c r="E6" s="999"/>
      <c r="F6" s="999"/>
      <c r="G6" s="999"/>
      <c r="H6" s="999"/>
      <c r="I6" s="999"/>
      <c r="J6" s="999"/>
      <c r="K6" s="999"/>
      <c r="L6" s="164"/>
      <c r="M6" s="311" t="s">
        <v>142</v>
      </c>
      <c r="N6" s="290">
        <v>2.8349523129999998E-2</v>
      </c>
      <c r="O6" s="313"/>
      <c r="P6" s="311" t="s">
        <v>17</v>
      </c>
      <c r="Q6" s="290">
        <v>1</v>
      </c>
      <c r="R6" s="313"/>
      <c r="S6" s="311" t="s">
        <v>109</v>
      </c>
      <c r="T6" s="290">
        <v>25.4</v>
      </c>
      <c r="U6" s="313"/>
      <c r="V6" s="311" t="s">
        <v>24</v>
      </c>
      <c r="W6" s="290">
        <v>1</v>
      </c>
      <c r="X6" s="313"/>
      <c r="Y6" s="313"/>
      <c r="Z6" s="313"/>
      <c r="AA6" s="313"/>
      <c r="AB6" s="311" t="s">
        <v>158</v>
      </c>
      <c r="AC6" s="290">
        <v>2.5399999999999999E-2</v>
      </c>
      <c r="AD6" s="313"/>
      <c r="AE6" s="313"/>
      <c r="AF6" s="312"/>
      <c r="AG6" s="312"/>
    </row>
    <row r="7" spans="1:34" ht="14.25">
      <c r="B7" s="994" t="s">
        <v>349</v>
      </c>
      <c r="C7" s="995"/>
      <c r="D7" s="999"/>
      <c r="E7" s="999"/>
      <c r="F7" s="999"/>
      <c r="G7" s="999"/>
      <c r="H7" s="999"/>
      <c r="I7" s="999"/>
      <c r="J7" s="999"/>
      <c r="K7" s="999"/>
      <c r="L7" s="409"/>
      <c r="M7" s="311" t="s">
        <v>146</v>
      </c>
      <c r="N7" s="290">
        <v>14.59390294</v>
      </c>
      <c r="O7" s="313"/>
      <c r="P7" s="311" t="s">
        <v>142</v>
      </c>
      <c r="Q7" s="290">
        <v>0.27801385099999998</v>
      </c>
      <c r="R7" s="313"/>
      <c r="S7" s="311" t="s">
        <v>150</v>
      </c>
      <c r="T7" s="290">
        <v>16.666666670000001</v>
      </c>
      <c r="U7" s="313"/>
      <c r="V7" s="313"/>
      <c r="W7" s="313"/>
      <c r="X7" s="313"/>
      <c r="Y7" s="313"/>
      <c r="Z7" s="313"/>
      <c r="AA7" s="313"/>
      <c r="AB7" s="311" t="s">
        <v>160</v>
      </c>
      <c r="AC7" s="290">
        <v>1</v>
      </c>
      <c r="AD7" s="313"/>
      <c r="AE7" s="313"/>
      <c r="AF7" s="312"/>
      <c r="AG7" s="312"/>
    </row>
    <row r="8" spans="1:34" ht="14.25">
      <c r="A8" s="267" t="s">
        <v>267</v>
      </c>
      <c r="B8" s="982" t="s">
        <v>345</v>
      </c>
      <c r="C8" s="983"/>
      <c r="D8" s="991" t="s">
        <v>137</v>
      </c>
      <c r="E8" s="992"/>
      <c r="F8" s="993"/>
      <c r="G8" s="67"/>
      <c r="H8" s="389" t="s">
        <v>341</v>
      </c>
      <c r="I8" s="389" t="s">
        <v>343</v>
      </c>
      <c r="J8" s="389" t="s">
        <v>352</v>
      </c>
      <c r="K8" s="389" t="s">
        <v>353</v>
      </c>
      <c r="L8" s="410" t="s">
        <v>384</v>
      </c>
      <c r="M8" s="346"/>
      <c r="N8" s="313"/>
      <c r="O8" s="313"/>
      <c r="P8" s="313"/>
      <c r="Q8" s="313"/>
      <c r="R8" s="313"/>
      <c r="S8" s="311" t="s">
        <v>108</v>
      </c>
      <c r="T8" s="290">
        <v>1000</v>
      </c>
      <c r="U8" s="313"/>
      <c r="V8" s="313"/>
      <c r="W8" s="313"/>
      <c r="X8" s="313"/>
      <c r="Y8" s="313"/>
      <c r="Z8" s="313"/>
      <c r="AA8" s="313"/>
      <c r="AB8" s="311" t="s">
        <v>161</v>
      </c>
      <c r="AC8" s="290">
        <v>1E-3</v>
      </c>
      <c r="AD8" s="313"/>
      <c r="AF8" s="312"/>
      <c r="AG8" s="312"/>
    </row>
    <row r="9" spans="1:34" ht="17.25" customHeight="1">
      <c r="B9" s="984" t="s">
        <v>17</v>
      </c>
      <c r="C9" s="985"/>
      <c r="D9" s="1000" t="s">
        <v>17</v>
      </c>
      <c r="E9" s="1001"/>
      <c r="F9" s="985"/>
      <c r="G9" s="67"/>
      <c r="H9" s="427" t="s">
        <v>344</v>
      </c>
      <c r="I9" s="427" t="s">
        <v>64</v>
      </c>
      <c r="J9" s="392" t="s">
        <v>24</v>
      </c>
      <c r="K9" s="392" t="s">
        <v>20</v>
      </c>
      <c r="L9" s="428" t="s">
        <v>17</v>
      </c>
      <c r="M9" s="347" t="s">
        <v>333</v>
      </c>
      <c r="P9" s="304" t="s">
        <v>332</v>
      </c>
      <c r="Q9" s="304" t="s">
        <v>334</v>
      </c>
      <c r="S9" s="348" t="s">
        <v>296</v>
      </c>
      <c r="T9" s="349">
        <v>1</v>
      </c>
      <c r="V9" s="304" t="s">
        <v>59</v>
      </c>
      <c r="W9" s="304" t="s">
        <v>336</v>
      </c>
      <c r="Y9" s="304" t="s">
        <v>346</v>
      </c>
      <c r="Z9" s="304" t="s">
        <v>347</v>
      </c>
      <c r="AB9" s="304" t="s">
        <v>363</v>
      </c>
      <c r="AE9" s="304" t="s">
        <v>398</v>
      </c>
      <c r="AF9" s="312" t="s">
        <v>399</v>
      </c>
      <c r="AG9" s="312"/>
    </row>
    <row r="10" spans="1:34" ht="15.75">
      <c r="B10" s="986"/>
      <c r="C10" s="987"/>
      <c r="D10" s="1011"/>
      <c r="E10" s="1012"/>
      <c r="F10" s="987"/>
      <c r="G10" s="67"/>
      <c r="H10" s="344"/>
      <c r="I10" s="344"/>
      <c r="J10" s="344"/>
      <c r="K10" s="408"/>
      <c r="L10" s="411"/>
      <c r="M10" s="304" t="s">
        <v>339</v>
      </c>
      <c r="N10" s="304">
        <v>1</v>
      </c>
      <c r="P10" s="304" t="s">
        <v>360</v>
      </c>
      <c r="Q10" s="290">
        <f>4.448221615</f>
        <v>4.4482216149999996</v>
      </c>
      <c r="V10" s="311" t="s">
        <v>294</v>
      </c>
      <c r="W10" s="290">
        <f>T3/1000</f>
        <v>0.01</v>
      </c>
      <c r="Y10" s="304" t="s">
        <v>348</v>
      </c>
      <c r="Z10" s="304">
        <v>1.7</v>
      </c>
      <c r="AB10" s="311" t="s">
        <v>66</v>
      </c>
      <c r="AE10" s="304" t="s">
        <v>402</v>
      </c>
      <c r="AF10" s="304">
        <v>0.113</v>
      </c>
      <c r="AG10" s="312"/>
    </row>
    <row r="11" spans="1:34" ht="14.25">
      <c r="A11" s="152"/>
      <c r="B11" s="1022">
        <f>(B10*VLOOKUP(B9,P3:Q7,2))/VLOOKUP(B7,Y10:Z13,2)</f>
        <v>0</v>
      </c>
      <c r="C11" s="1014"/>
      <c r="D11" s="1014">
        <f>(D10*VLOOKUP(D9,P3:Q7,2))</f>
        <v>0</v>
      </c>
      <c r="E11" s="1014"/>
      <c r="F11" s="1014"/>
      <c r="G11" s="307"/>
      <c r="H11" s="352">
        <f>H10</f>
        <v>0</v>
      </c>
      <c r="I11" s="352">
        <f>I10</f>
        <v>0</v>
      </c>
      <c r="J11" s="353">
        <f>J10*VLOOKUP(J9,V3:W6,2)</f>
        <v>0</v>
      </c>
      <c r="K11" s="353">
        <f>IF(K9=AH3,K10,(K10-32)/1.8)</f>
        <v>0</v>
      </c>
      <c r="L11" s="657">
        <f>IF(AND(L10="",L2=2),B11*14,(L10*VLOOKUP(L9,P3:Q7,2)))</f>
        <v>0</v>
      </c>
      <c r="M11" s="345" t="s">
        <v>338</v>
      </c>
      <c r="N11" s="304">
        <v>1.2</v>
      </c>
      <c r="P11" s="304" t="s">
        <v>58</v>
      </c>
      <c r="Q11" s="304">
        <v>1</v>
      </c>
      <c r="V11" s="311" t="s">
        <v>295</v>
      </c>
      <c r="W11" s="290">
        <f t="shared" ref="W11:W16" si="0">T4/1000</f>
        <v>3.048E-2</v>
      </c>
      <c r="Y11" s="304" t="s">
        <v>349</v>
      </c>
      <c r="Z11" s="304">
        <v>1.1200000000000001</v>
      </c>
      <c r="AB11" s="311" t="s">
        <v>355</v>
      </c>
      <c r="AE11" s="304" t="s">
        <v>400</v>
      </c>
      <c r="AF11" s="312">
        <v>1</v>
      </c>
    </row>
    <row r="12" spans="1:34" ht="31.5" customHeight="1">
      <c r="B12" s="1023" t="s">
        <v>332</v>
      </c>
      <c r="C12" s="993"/>
      <c r="D12" s="1019" t="s">
        <v>340</v>
      </c>
      <c r="E12" s="1020"/>
      <c r="F12" s="1021"/>
      <c r="G12" s="391"/>
      <c r="H12" s="389" t="s">
        <v>342</v>
      </c>
      <c r="I12" s="389" t="s">
        <v>354</v>
      </c>
      <c r="J12" s="1002" t="s">
        <v>359</v>
      </c>
      <c r="K12" s="1003"/>
      <c r="L12" s="390" t="s">
        <v>401</v>
      </c>
      <c r="M12" s="304" t="s">
        <v>335</v>
      </c>
      <c r="N12" s="304">
        <f>SQRT(2)</f>
        <v>1.4142135623730951</v>
      </c>
      <c r="V12" s="311" t="s">
        <v>149</v>
      </c>
      <c r="W12" s="290">
        <f t="shared" si="0"/>
        <v>4.2333333329999998E-4</v>
      </c>
      <c r="Y12" s="304" t="s">
        <v>350</v>
      </c>
      <c r="Z12" s="304">
        <v>2</v>
      </c>
      <c r="AB12" s="311" t="s">
        <v>356</v>
      </c>
      <c r="AF12" s="304">
        <v>1.3560000000000001</v>
      </c>
    </row>
    <row r="13" spans="1:34" ht="15.75">
      <c r="B13" s="394" t="s">
        <v>58</v>
      </c>
      <c r="C13" s="397" t="s">
        <v>335</v>
      </c>
      <c r="D13" s="396" t="s">
        <v>328</v>
      </c>
      <c r="E13" s="398" t="s">
        <v>335</v>
      </c>
      <c r="F13" s="395" t="s">
        <v>108</v>
      </c>
      <c r="G13" s="67"/>
      <c r="H13" s="392" t="s">
        <v>11</v>
      </c>
      <c r="I13" s="392" t="str">
        <f>AB10</f>
        <v>°C/W</v>
      </c>
      <c r="J13" s="1004"/>
      <c r="K13" s="1005"/>
      <c r="L13" s="393" t="s">
        <v>400</v>
      </c>
      <c r="M13" s="304" t="s">
        <v>92</v>
      </c>
      <c r="N13" s="304">
        <v>1</v>
      </c>
      <c r="V13" s="311" t="s">
        <v>109</v>
      </c>
      <c r="W13" s="290">
        <f t="shared" si="0"/>
        <v>2.5399999999999999E-2</v>
      </c>
      <c r="Y13" s="304" t="s">
        <v>351</v>
      </c>
      <c r="Z13" s="304">
        <v>1</v>
      </c>
      <c r="AB13" s="311" t="s">
        <v>357</v>
      </c>
    </row>
    <row r="14" spans="1:34" ht="15" thickBot="1">
      <c r="B14" s="1024"/>
      <c r="C14" s="1010"/>
      <c r="D14" s="1008"/>
      <c r="E14" s="1009"/>
      <c r="F14" s="1010"/>
      <c r="G14" s="354"/>
      <c r="H14" s="350"/>
      <c r="I14" s="350"/>
      <c r="J14" s="1006"/>
      <c r="K14" s="1007"/>
      <c r="L14" s="412"/>
      <c r="V14" s="311" t="s">
        <v>150</v>
      </c>
      <c r="W14" s="290">
        <f t="shared" si="0"/>
        <v>1.666666667E-2</v>
      </c>
    </row>
    <row r="15" spans="1:34" ht="15" thickBot="1">
      <c r="A15" s="152"/>
      <c r="B15" s="1014">
        <f>(B14*VLOOKUP(B13,P10:Q11,2))*VLOOKUP(C13,M12:N13,2)</f>
        <v>0</v>
      </c>
      <c r="C15" s="1014"/>
      <c r="D15" s="1014">
        <f>(D14/VLOOKUP(F13,V10:W16,2))*VLOOKUP(E13,M12:N13,2)</f>
        <v>0</v>
      </c>
      <c r="E15" s="1014"/>
      <c r="F15" s="1014"/>
      <c r="G15" s="307"/>
      <c r="H15" s="355">
        <f>H14*VLOOKUP(H13,M3:N7,2)</f>
        <v>0</v>
      </c>
      <c r="I15" s="355">
        <f>I14</f>
        <v>0</v>
      </c>
      <c r="J15" s="355"/>
      <c r="K15" s="307"/>
      <c r="L15" s="355">
        <f>IF(AND(L14="",B7&lt;&gt;"no external cooling"),IF(L2=2,B11*9,B11*0.1),(L14*VLOOKUP(L13,AE10:AF11,2)))</f>
        <v>0</v>
      </c>
      <c r="V15" s="311" t="s">
        <v>108</v>
      </c>
      <c r="W15" s="290">
        <f t="shared" si="0"/>
        <v>1</v>
      </c>
    </row>
    <row r="16" spans="1:34" ht="18">
      <c r="B16" s="980" t="s">
        <v>361</v>
      </c>
      <c r="C16" s="981"/>
      <c r="D16" s="981"/>
      <c r="E16" s="981"/>
      <c r="F16" s="981"/>
      <c r="G16" s="981"/>
      <c r="H16" s="1013"/>
      <c r="I16" s="356"/>
      <c r="J16" s="430"/>
      <c r="K16" s="307" t="s">
        <v>331</v>
      </c>
      <c r="V16" s="348" t="s">
        <v>296</v>
      </c>
      <c r="W16" s="290">
        <f t="shared" si="0"/>
        <v>1E-3</v>
      </c>
      <c r="AB16" s="307"/>
      <c r="AC16" s="307"/>
    </row>
    <row r="17" spans="2:29">
      <c r="B17" s="1015" t="s">
        <v>380</v>
      </c>
      <c r="C17" s="1016">
        <v>0</v>
      </c>
      <c r="D17" s="978" t="s">
        <v>379</v>
      </c>
      <c r="E17" s="978"/>
      <c r="F17" s="978"/>
      <c r="G17" s="357"/>
      <c r="H17" s="374" t="s">
        <v>626</v>
      </c>
      <c r="I17" s="152"/>
      <c r="J17" s="307"/>
      <c r="K17" s="431"/>
      <c r="AB17" s="307"/>
      <c r="AC17" s="307"/>
    </row>
    <row r="18" spans="2:29">
      <c r="B18" s="1015"/>
      <c r="C18" s="1016"/>
      <c r="D18" s="979" t="s">
        <v>51</v>
      </c>
      <c r="E18" s="979"/>
      <c r="F18" s="979"/>
      <c r="G18" s="358" t="s">
        <v>52</v>
      </c>
      <c r="H18" s="362">
        <v>307</v>
      </c>
      <c r="I18" s="152"/>
      <c r="J18" s="307"/>
      <c r="K18" s="432">
        <f>B11</f>
        <v>0</v>
      </c>
      <c r="AB18" s="307"/>
      <c r="AC18" s="307"/>
    </row>
    <row r="19" spans="2:29">
      <c r="B19" s="1015"/>
      <c r="C19" s="1016"/>
      <c r="D19" s="978" t="s">
        <v>53</v>
      </c>
      <c r="E19" s="978"/>
      <c r="F19" s="978"/>
      <c r="G19" s="359" t="s">
        <v>54</v>
      </c>
      <c r="H19" s="363">
        <v>8.8000000000000007</v>
      </c>
      <c r="I19" s="152"/>
      <c r="J19" s="307"/>
      <c r="K19" s="433" t="e">
        <f>K18/K22</f>
        <v>#DIV/0!</v>
      </c>
    </row>
    <row r="20" spans="2:29">
      <c r="B20" s="1015"/>
      <c r="C20" s="1016"/>
      <c r="D20" s="979" t="s">
        <v>233</v>
      </c>
      <c r="E20" s="979"/>
      <c r="F20" s="979"/>
      <c r="G20" s="358" t="s">
        <v>52</v>
      </c>
      <c r="H20" s="364">
        <v>1230</v>
      </c>
      <c r="I20" s="152"/>
      <c r="J20" s="307"/>
      <c r="K20" s="432">
        <f>D11</f>
        <v>0</v>
      </c>
    </row>
    <row r="21" spans="2:29">
      <c r="B21" s="1015"/>
      <c r="C21" s="1016"/>
      <c r="D21" s="978" t="s">
        <v>558</v>
      </c>
      <c r="E21" s="978"/>
      <c r="F21" s="978"/>
      <c r="G21" s="359" t="s">
        <v>54</v>
      </c>
      <c r="H21" s="365">
        <v>35</v>
      </c>
      <c r="I21" s="152"/>
      <c r="J21" s="430"/>
      <c r="K21" s="433" t="e">
        <f>K20/K22</f>
        <v>#DIV/0!</v>
      </c>
    </row>
    <row r="22" spans="2:29">
      <c r="B22" s="1015"/>
      <c r="C22" s="1016"/>
      <c r="D22" s="979" t="s">
        <v>57</v>
      </c>
      <c r="E22" s="979"/>
      <c r="F22" s="979"/>
      <c r="G22" s="358" t="s">
        <v>58</v>
      </c>
      <c r="H22" s="364">
        <v>35</v>
      </c>
      <c r="I22" s="152"/>
      <c r="J22" s="430"/>
      <c r="K22" s="432">
        <f>B15</f>
        <v>0</v>
      </c>
    </row>
    <row r="23" spans="2:29">
      <c r="B23" s="1015"/>
      <c r="C23" s="1016"/>
      <c r="D23" s="978" t="s">
        <v>59</v>
      </c>
      <c r="E23" s="978"/>
      <c r="F23" s="978"/>
      <c r="G23" s="359" t="s">
        <v>60</v>
      </c>
      <c r="H23" s="366">
        <v>12</v>
      </c>
      <c r="I23" s="152"/>
      <c r="J23" s="309"/>
      <c r="K23" s="434">
        <f>D15</f>
        <v>0</v>
      </c>
    </row>
    <row r="24" spans="2:29">
      <c r="B24" s="1015"/>
      <c r="C24" s="1016"/>
      <c r="D24" s="979" t="s">
        <v>61</v>
      </c>
      <c r="E24" s="979"/>
      <c r="F24" s="979"/>
      <c r="G24" s="358" t="s">
        <v>62</v>
      </c>
      <c r="H24" s="367">
        <v>0.89</v>
      </c>
      <c r="I24" s="152"/>
      <c r="J24" s="430"/>
      <c r="K24" s="435">
        <f>H11</f>
        <v>0</v>
      </c>
    </row>
    <row r="25" spans="2:29">
      <c r="B25" s="1015"/>
      <c r="C25" s="1016"/>
      <c r="D25" s="978" t="s">
        <v>63</v>
      </c>
      <c r="E25" s="978"/>
      <c r="F25" s="978"/>
      <c r="G25" s="359" t="s">
        <v>64</v>
      </c>
      <c r="H25" s="368">
        <v>1.4</v>
      </c>
      <c r="I25" s="152"/>
      <c r="J25" s="307"/>
      <c r="K25" s="434">
        <f>I11</f>
        <v>0</v>
      </c>
      <c r="L25" s="658"/>
    </row>
    <row r="26" spans="2:29">
      <c r="B26" s="1015"/>
      <c r="C26" s="1016"/>
      <c r="D26" s="979" t="s">
        <v>65</v>
      </c>
      <c r="E26" s="979"/>
      <c r="F26" s="979"/>
      <c r="G26" s="358" t="s">
        <v>66</v>
      </c>
      <c r="H26" s="369">
        <v>1.6</v>
      </c>
      <c r="I26" s="152"/>
      <c r="J26" s="307"/>
      <c r="K26" s="435">
        <f>I15</f>
        <v>0</v>
      </c>
      <c r="L26" s="658"/>
    </row>
    <row r="27" spans="2:29">
      <c r="B27" s="1015"/>
      <c r="C27" s="1016"/>
      <c r="D27" s="978" t="s">
        <v>68</v>
      </c>
      <c r="E27" s="978"/>
      <c r="F27" s="978"/>
      <c r="G27" s="359" t="s">
        <v>24</v>
      </c>
      <c r="H27" s="370">
        <v>520</v>
      </c>
      <c r="I27" s="152"/>
      <c r="J27" s="307"/>
      <c r="K27" s="434"/>
      <c r="L27" s="659"/>
    </row>
    <row r="28" spans="2:29">
      <c r="B28" s="1015"/>
      <c r="C28" s="1016"/>
      <c r="D28" s="979" t="s">
        <v>69</v>
      </c>
      <c r="E28" s="979"/>
      <c r="F28" s="979"/>
      <c r="G28" s="358" t="s">
        <v>24</v>
      </c>
      <c r="H28" s="603">
        <v>60</v>
      </c>
      <c r="I28" s="152"/>
      <c r="J28" s="307"/>
      <c r="K28" s="436"/>
      <c r="L28" s="659"/>
    </row>
    <row r="29" spans="2:29">
      <c r="B29" s="1015"/>
      <c r="C29" s="1016"/>
      <c r="D29" s="978" t="s">
        <v>70</v>
      </c>
      <c r="E29" s="978"/>
      <c r="F29" s="978"/>
      <c r="G29" s="359" t="s">
        <v>11</v>
      </c>
      <c r="H29" s="368">
        <v>4.5999999999999996</v>
      </c>
      <c r="I29" s="152"/>
      <c r="J29" s="307"/>
      <c r="K29" s="434">
        <f>H15</f>
        <v>0</v>
      </c>
      <c r="L29" s="658"/>
    </row>
    <row r="30" spans="2:29">
      <c r="B30" s="1015"/>
      <c r="C30" s="1016"/>
      <c r="D30" s="979" t="s">
        <v>71</v>
      </c>
      <c r="E30" s="979"/>
      <c r="F30" s="979"/>
      <c r="G30" s="358" t="s">
        <v>24</v>
      </c>
      <c r="H30" s="372">
        <v>1</v>
      </c>
      <c r="I30" s="152"/>
      <c r="J30" s="307"/>
      <c r="K30" s="437" t="s">
        <v>58</v>
      </c>
      <c r="L30" s="659"/>
    </row>
    <row r="31" spans="2:29">
      <c r="B31" s="1015"/>
      <c r="C31" s="1016"/>
      <c r="D31" s="978" t="s">
        <v>72</v>
      </c>
      <c r="E31" s="978"/>
      <c r="F31" s="978"/>
      <c r="G31" s="359" t="s">
        <v>24</v>
      </c>
      <c r="H31" s="368">
        <v>35</v>
      </c>
      <c r="I31" s="152"/>
      <c r="J31" s="307"/>
      <c r="K31" s="433" t="s">
        <v>58</v>
      </c>
      <c r="L31" s="658"/>
    </row>
    <row r="32" spans="2:29">
      <c r="B32" s="1015"/>
      <c r="C32" s="1016"/>
      <c r="D32" s="979" t="s">
        <v>73</v>
      </c>
      <c r="E32" s="979"/>
      <c r="F32" s="979"/>
      <c r="G32" s="358" t="s">
        <v>24</v>
      </c>
      <c r="H32" s="371">
        <v>120</v>
      </c>
      <c r="I32" s="152"/>
      <c r="J32" s="307"/>
      <c r="K32" s="432">
        <f>J11</f>
        <v>0</v>
      </c>
      <c r="L32" s="658"/>
    </row>
    <row r="33" spans="2:12" ht="13.5" thickBot="1">
      <c r="B33" s="1017"/>
      <c r="C33" s="1018"/>
      <c r="D33" s="1025" t="s">
        <v>74</v>
      </c>
      <c r="E33" s="1025"/>
      <c r="F33" s="1025"/>
      <c r="G33" s="360" t="s">
        <v>24</v>
      </c>
      <c r="H33" s="373">
        <v>1000</v>
      </c>
      <c r="I33" s="152"/>
      <c r="J33" s="307"/>
      <c r="K33" s="438">
        <v>100</v>
      </c>
      <c r="L33" s="659"/>
    </row>
    <row r="34" spans="2:12">
      <c r="I34" s="152"/>
      <c r="J34" s="307"/>
      <c r="K34" s="307">
        <f>K11</f>
        <v>0</v>
      </c>
      <c r="L34" s="304"/>
    </row>
    <row r="35" spans="2:12">
      <c r="I35" s="152"/>
      <c r="J35" s="304"/>
      <c r="K35" s="304"/>
      <c r="L35" s="304"/>
    </row>
    <row r="36" spans="2:12">
      <c r="J36" s="153"/>
      <c r="K36" s="153"/>
      <c r="L36" s="153"/>
    </row>
    <row r="37" spans="2:12">
      <c r="J37" s="153"/>
      <c r="K37" s="153"/>
      <c r="L37" s="153"/>
    </row>
    <row r="38" spans="2:12">
      <c r="J38" s="153"/>
      <c r="K38" s="153"/>
      <c r="L38" s="153"/>
    </row>
    <row r="39" spans="2:12">
      <c r="J39" s="153"/>
      <c r="K39" s="153"/>
      <c r="L39" s="153"/>
    </row>
  </sheetData>
  <sheetProtection algorithmName="SHA-512" hashValue="cnci+9O4kQWEbfIdZAfbVWTDikMNbjXCRVwbaw8FfQdxdz/QUuAZ3e6S98Cm2snf1Vb0WpLjwQC59Ttt4hPgBA==" saltValue="m3F2u2cQfmT+RgWRR6JJ2w==" spinCount="100000" sheet="1" objects="1" scenarios="1" selectLockedCells="1"/>
  <mergeCells count="40">
    <mergeCell ref="D10:F10"/>
    <mergeCell ref="D18:F18"/>
    <mergeCell ref="B16:H16"/>
    <mergeCell ref="B15:C15"/>
    <mergeCell ref="D15:F15"/>
    <mergeCell ref="B17:C33"/>
    <mergeCell ref="D30:F30"/>
    <mergeCell ref="D12:F12"/>
    <mergeCell ref="D23:F23"/>
    <mergeCell ref="D19:F19"/>
    <mergeCell ref="D26:F26"/>
    <mergeCell ref="B11:C11"/>
    <mergeCell ref="D11:F11"/>
    <mergeCell ref="B12:C12"/>
    <mergeCell ref="B14:C14"/>
    <mergeCell ref="D33:F33"/>
    <mergeCell ref="J13:K14"/>
    <mergeCell ref="D20:F20"/>
    <mergeCell ref="D25:F25"/>
    <mergeCell ref="D14:F14"/>
    <mergeCell ref="D17:F17"/>
    <mergeCell ref="D24:F24"/>
    <mergeCell ref="D21:F21"/>
    <mergeCell ref="D22:F22"/>
    <mergeCell ref="D31:F31"/>
    <mergeCell ref="D32:F32"/>
    <mergeCell ref="D29:F29"/>
    <mergeCell ref="B2:K2"/>
    <mergeCell ref="B8:C8"/>
    <mergeCell ref="B9:C9"/>
    <mergeCell ref="B10:C10"/>
    <mergeCell ref="B3:K5"/>
    <mergeCell ref="D8:F8"/>
    <mergeCell ref="B7:C7"/>
    <mergeCell ref="B6:C6"/>
    <mergeCell ref="D6:K7"/>
    <mergeCell ref="D9:F9"/>
    <mergeCell ref="D27:F27"/>
    <mergeCell ref="D28:F28"/>
    <mergeCell ref="J12:K12"/>
  </mergeCells>
  <phoneticPr fontId="7" type="noConversion"/>
  <dataValidations count="9">
    <dataValidation type="list" allowBlank="1" showInputMessage="1" showErrorMessage="1" sqref="B7">
      <formula1>$Y$10:$Y$13</formula1>
    </dataValidation>
    <dataValidation type="list" allowBlank="1" showInputMessage="1" showErrorMessage="1" sqref="J9">
      <formula1>$V$3:$V$6</formula1>
    </dataValidation>
    <dataValidation type="list" allowBlank="1" showInputMessage="1" showErrorMessage="1" sqref="H13">
      <formula1>$M$3:$M$7</formula1>
    </dataValidation>
    <dataValidation type="list" allowBlank="1" showInputMessage="1" showErrorMessage="1" sqref="B13">
      <formula1>$P$10:$P$11</formula1>
    </dataValidation>
    <dataValidation type="list" allowBlank="1" showInputMessage="1" showErrorMessage="1" sqref="F13">
      <formula1>$S$3:$S$9</formula1>
    </dataValidation>
    <dataValidation type="list" allowBlank="1" showInputMessage="1" showErrorMessage="1" sqref="B9:F9 L9">
      <formula1>$P$3:$P$7</formula1>
    </dataValidation>
    <dataValidation type="list" allowBlank="1" showInputMessage="1" showErrorMessage="1" sqref="E13 C13">
      <formula1>$M$12:$M$13</formula1>
    </dataValidation>
    <dataValidation type="list" allowBlank="1" showInputMessage="1" showErrorMessage="1" sqref="K9">
      <formula1>$AH$3:$AH$4</formula1>
    </dataValidation>
    <dataValidation type="list" allowBlank="1" showInputMessage="1" showErrorMessage="1" sqref="L13">
      <formula1>$AE$10:$AE$11</formula1>
    </dataValidation>
  </dataValidations>
  <pageMargins left="0.7" right="0.7" top="0.75" bottom="0.75" header="0.3" footer="0.3"/>
  <pageSetup orientation="portrait"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137307" r:id="rId4" name="Option Button 91">
              <controlPr defaultSize="0" autoFill="0" autoLine="0" autoPict="0">
                <anchor moveWithCells="1" sizeWithCells="1">
                  <from>
                    <xdr:col>9</xdr:col>
                    <xdr:colOff>123825</xdr:colOff>
                    <xdr:row>5</xdr:row>
                    <xdr:rowOff>304800</xdr:rowOff>
                  </from>
                  <to>
                    <xdr:col>9</xdr:col>
                    <xdr:colOff>1057275</xdr:colOff>
                    <xdr:row>6</xdr:row>
                    <xdr:rowOff>76200</xdr:rowOff>
                  </to>
                </anchor>
              </controlPr>
            </control>
          </mc:Choice>
        </mc:AlternateContent>
        <mc:AlternateContent xmlns:mc="http://schemas.openxmlformats.org/markup-compatibility/2006">
          <mc:Choice Requires="x14">
            <control shapeId="137309" r:id="rId5" name="Option Button 93">
              <controlPr defaultSize="0" autoFill="0" autoLine="0" autoPict="0">
                <anchor moveWithCells="1" sizeWithCells="1">
                  <from>
                    <xdr:col>9</xdr:col>
                    <xdr:colOff>123825</xdr:colOff>
                    <xdr:row>5</xdr:row>
                    <xdr:rowOff>133350</xdr:rowOff>
                  </from>
                  <to>
                    <xdr:col>9</xdr:col>
                    <xdr:colOff>1019175</xdr:colOff>
                    <xdr:row>5</xdr:row>
                    <xdr:rowOff>285750</xdr:rowOff>
                  </to>
                </anchor>
              </controlPr>
            </control>
          </mc:Choice>
        </mc:AlternateContent>
        <mc:AlternateContent xmlns:mc="http://schemas.openxmlformats.org/markup-compatibility/2006">
          <mc:Choice Requires="x14">
            <control shapeId="137310" r:id="rId6" name="Group Box 94">
              <controlPr defaultSize="0" autoFill="0" autoPict="0">
                <anchor moveWithCells="1" sizeWithCells="1">
                  <from>
                    <xdr:col>9</xdr:col>
                    <xdr:colOff>76200</xdr:colOff>
                    <xdr:row>5</xdr:row>
                    <xdr:rowOff>38100</xdr:rowOff>
                  </from>
                  <to>
                    <xdr:col>9</xdr:col>
                    <xdr:colOff>1095375</xdr:colOff>
                    <xdr:row>6</xdr:row>
                    <xdr:rowOff>114300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indexed="24"/>
  </sheetPr>
  <dimension ref="A1:CA107"/>
  <sheetViews>
    <sheetView workbookViewId="0">
      <pane xSplit="1" topLeftCell="B1" activePane="topRight" state="frozen"/>
      <selection pane="topRight" activeCell="BU1" sqref="BU1:BW1048576"/>
    </sheetView>
  </sheetViews>
  <sheetFormatPr defaultColWidth="9.140625" defaultRowHeight="12.75"/>
  <cols>
    <col min="1" max="1" width="6.28515625" style="418" bestFit="1" customWidth="1"/>
    <col min="2" max="42" width="9.28515625" style="418" customWidth="1"/>
    <col min="43" max="69" width="9.140625" style="418"/>
    <col min="70" max="70" width="10.7109375" style="418" bestFit="1" customWidth="1"/>
    <col min="71" max="16384" width="9.140625" style="418"/>
  </cols>
  <sheetData>
    <row r="1" spans="1:79" s="416" customFormat="1">
      <c r="A1" s="492" t="s">
        <v>121</v>
      </c>
      <c r="B1" s="492" t="s">
        <v>455</v>
      </c>
      <c r="C1" s="492" t="s">
        <v>456</v>
      </c>
      <c r="D1" s="492" t="s">
        <v>457</v>
      </c>
      <c r="E1" s="492" t="s">
        <v>458</v>
      </c>
      <c r="F1" s="492" t="s">
        <v>459</v>
      </c>
      <c r="G1" s="492" t="s">
        <v>460</v>
      </c>
      <c r="H1" s="492" t="s">
        <v>461</v>
      </c>
      <c r="I1" s="492" t="s">
        <v>462</v>
      </c>
      <c r="J1" s="492" t="s">
        <v>463</v>
      </c>
      <c r="K1" s="492" t="s">
        <v>250</v>
      </c>
      <c r="L1" s="492" t="s">
        <v>464</v>
      </c>
      <c r="M1" s="492" t="s">
        <v>465</v>
      </c>
      <c r="N1" s="492" t="s">
        <v>466</v>
      </c>
      <c r="O1" s="492" t="s">
        <v>467</v>
      </c>
      <c r="P1" s="492" t="s">
        <v>468</v>
      </c>
      <c r="Q1" s="492" t="s">
        <v>469</v>
      </c>
      <c r="R1" s="492" t="s">
        <v>470</v>
      </c>
      <c r="S1" s="492" t="s">
        <v>471</v>
      </c>
      <c r="T1" s="492" t="s">
        <v>472</v>
      </c>
      <c r="U1" s="492" t="s">
        <v>473</v>
      </c>
      <c r="V1" s="492" t="s">
        <v>474</v>
      </c>
      <c r="W1" s="492" t="s">
        <v>475</v>
      </c>
      <c r="X1" s="492" t="s">
        <v>476</v>
      </c>
      <c r="Y1" s="492" t="s">
        <v>477</v>
      </c>
      <c r="Z1" s="492" t="s">
        <v>478</v>
      </c>
      <c r="AA1" s="492" t="s">
        <v>479</v>
      </c>
      <c r="AB1" s="492" t="s">
        <v>480</v>
      </c>
      <c r="AC1" s="492" t="s">
        <v>481</v>
      </c>
      <c r="AD1" s="492" t="s">
        <v>482</v>
      </c>
      <c r="AE1" s="492" t="s">
        <v>483</v>
      </c>
      <c r="AF1" s="492" t="s">
        <v>484</v>
      </c>
      <c r="AG1" s="492" t="s">
        <v>485</v>
      </c>
      <c r="AH1" s="492" t="s">
        <v>486</v>
      </c>
      <c r="AI1" s="492" t="s">
        <v>487</v>
      </c>
      <c r="AJ1" s="492" t="s">
        <v>488</v>
      </c>
      <c r="AK1" s="492" t="s">
        <v>489</v>
      </c>
      <c r="AL1" s="492" t="s">
        <v>490</v>
      </c>
      <c r="AM1" s="492" t="s">
        <v>491</v>
      </c>
      <c r="AN1" s="492" t="s">
        <v>492</v>
      </c>
      <c r="AO1" s="492" t="s">
        <v>493</v>
      </c>
      <c r="AP1" s="492" t="s">
        <v>494</v>
      </c>
      <c r="AQ1" s="492" t="s">
        <v>495</v>
      </c>
      <c r="AR1" s="492" t="s">
        <v>496</v>
      </c>
      <c r="AS1" s="492" t="s">
        <v>497</v>
      </c>
      <c r="AT1" s="492" t="s">
        <v>498</v>
      </c>
      <c r="AU1" s="492" t="s">
        <v>499</v>
      </c>
      <c r="AV1" s="492" t="s">
        <v>500</v>
      </c>
      <c r="AW1" s="492" t="s">
        <v>501</v>
      </c>
      <c r="AX1" s="492" t="s">
        <v>502</v>
      </c>
      <c r="AY1" s="492" t="s">
        <v>503</v>
      </c>
      <c r="AZ1" s="492" t="s">
        <v>504</v>
      </c>
      <c r="BA1" s="492" t="s">
        <v>505</v>
      </c>
      <c r="BB1" s="492" t="s">
        <v>506</v>
      </c>
      <c r="BC1" s="492" t="s">
        <v>507</v>
      </c>
      <c r="BD1" s="492" t="s">
        <v>508</v>
      </c>
      <c r="BE1" s="492" t="s">
        <v>509</v>
      </c>
      <c r="BF1" s="492" t="s">
        <v>510</v>
      </c>
      <c r="BG1" s="492" t="s">
        <v>511</v>
      </c>
      <c r="BH1" s="492" t="s">
        <v>512</v>
      </c>
      <c r="BI1" s="492" t="s">
        <v>513</v>
      </c>
      <c r="BJ1" s="492" t="s">
        <v>514</v>
      </c>
      <c r="BK1" s="492" t="s">
        <v>515</v>
      </c>
      <c r="BL1" s="492" t="s">
        <v>516</v>
      </c>
      <c r="BM1" s="492" t="s">
        <v>517</v>
      </c>
      <c r="BN1" s="492" t="s">
        <v>518</v>
      </c>
      <c r="BO1" s="492" t="s">
        <v>519</v>
      </c>
      <c r="BP1" s="492" t="s">
        <v>520</v>
      </c>
      <c r="BQ1" s="492" t="s">
        <v>521</v>
      </c>
      <c r="BR1" s="492" t="s">
        <v>522</v>
      </c>
      <c r="BS1" s="492" t="s">
        <v>523</v>
      </c>
      <c r="BT1" s="492" t="s">
        <v>524</v>
      </c>
      <c r="BU1" s="492"/>
      <c r="BV1" s="492"/>
      <c r="BW1" s="492"/>
      <c r="BX1" s="492"/>
      <c r="BY1" s="492"/>
      <c r="BZ1" s="492"/>
      <c r="CA1" s="492"/>
    </row>
    <row r="2" spans="1:79" s="417" customFormat="1">
      <c r="A2" s="493"/>
      <c r="B2" s="493">
        <v>2</v>
      </c>
      <c r="C2" s="493">
        <v>3</v>
      </c>
      <c r="D2" s="493">
        <v>4</v>
      </c>
      <c r="E2" s="493">
        <v>5</v>
      </c>
      <c r="F2" s="493">
        <v>6</v>
      </c>
      <c r="G2" s="493">
        <v>7</v>
      </c>
      <c r="H2" s="493">
        <v>8</v>
      </c>
      <c r="I2" s="493">
        <v>9</v>
      </c>
      <c r="J2" s="493">
        <v>10</v>
      </c>
      <c r="K2" s="493">
        <v>11</v>
      </c>
      <c r="L2" s="493">
        <v>12</v>
      </c>
      <c r="M2" s="493">
        <v>13</v>
      </c>
      <c r="N2" s="493">
        <v>14</v>
      </c>
      <c r="O2" s="493">
        <v>15</v>
      </c>
      <c r="P2" s="493">
        <v>16</v>
      </c>
      <c r="Q2" s="493">
        <v>17</v>
      </c>
      <c r="R2" s="493">
        <v>18</v>
      </c>
      <c r="S2" s="493">
        <v>19</v>
      </c>
      <c r="T2" s="493">
        <v>20</v>
      </c>
      <c r="U2" s="493">
        <v>21</v>
      </c>
      <c r="V2" s="493">
        <v>22</v>
      </c>
      <c r="W2" s="493">
        <v>23</v>
      </c>
      <c r="X2" s="493">
        <v>24</v>
      </c>
      <c r="Y2" s="493">
        <v>25</v>
      </c>
      <c r="Z2" s="493">
        <v>26</v>
      </c>
      <c r="AA2" s="493">
        <v>27</v>
      </c>
      <c r="AB2" s="493">
        <v>28</v>
      </c>
      <c r="AC2" s="493">
        <v>29</v>
      </c>
      <c r="AD2" s="493">
        <v>30</v>
      </c>
      <c r="AE2" s="493">
        <v>31</v>
      </c>
      <c r="AF2" s="493">
        <v>32</v>
      </c>
      <c r="AG2" s="493">
        <v>33</v>
      </c>
      <c r="AH2" s="493">
        <v>34</v>
      </c>
      <c r="AI2" s="493">
        <v>35</v>
      </c>
      <c r="AJ2" s="493">
        <v>36</v>
      </c>
      <c r="AK2" s="493">
        <v>37</v>
      </c>
      <c r="AL2" s="493">
        <v>38</v>
      </c>
      <c r="AM2" s="493">
        <v>39</v>
      </c>
      <c r="AN2" s="493">
        <v>40</v>
      </c>
      <c r="AO2" s="493">
        <v>41</v>
      </c>
      <c r="AP2" s="493">
        <v>42</v>
      </c>
      <c r="AQ2" s="493">
        <v>43</v>
      </c>
      <c r="AR2" s="493">
        <v>44</v>
      </c>
      <c r="AS2" s="493">
        <v>45</v>
      </c>
      <c r="AT2" s="493">
        <v>46</v>
      </c>
      <c r="AU2" s="493">
        <v>47</v>
      </c>
      <c r="AV2" s="493">
        <v>48</v>
      </c>
      <c r="AW2" s="493">
        <v>49</v>
      </c>
      <c r="AX2" s="493">
        <v>50</v>
      </c>
      <c r="AY2" s="493">
        <v>51</v>
      </c>
      <c r="AZ2" s="493">
        <v>52</v>
      </c>
      <c r="BA2" s="493">
        <v>53</v>
      </c>
      <c r="BB2" s="493">
        <v>54</v>
      </c>
      <c r="BC2" s="493">
        <v>55</v>
      </c>
      <c r="BD2" s="493">
        <v>56</v>
      </c>
      <c r="BE2" s="493">
        <v>57</v>
      </c>
      <c r="BF2" s="493">
        <v>58</v>
      </c>
      <c r="BG2" s="493">
        <v>59</v>
      </c>
      <c r="BH2" s="493">
        <v>60</v>
      </c>
      <c r="BI2" s="493">
        <v>61</v>
      </c>
      <c r="BJ2" s="493">
        <v>62</v>
      </c>
      <c r="BK2" s="493">
        <v>63</v>
      </c>
      <c r="BL2" s="493">
        <v>64</v>
      </c>
      <c r="BM2" s="493">
        <v>65</v>
      </c>
      <c r="BN2" s="493">
        <v>66</v>
      </c>
      <c r="BO2" s="493">
        <v>67</v>
      </c>
      <c r="BP2" s="493">
        <v>68</v>
      </c>
      <c r="BQ2" s="493">
        <v>69</v>
      </c>
      <c r="BR2" s="493">
        <v>70</v>
      </c>
      <c r="BS2" s="493">
        <v>71</v>
      </c>
      <c r="BT2" s="493">
        <v>72</v>
      </c>
      <c r="BU2" s="493"/>
      <c r="BV2" s="493"/>
      <c r="BW2" s="493"/>
      <c r="BX2" s="493"/>
      <c r="BY2" s="493"/>
    </row>
    <row r="3" spans="1:79">
      <c r="A3" s="494" t="s">
        <v>1</v>
      </c>
      <c r="B3" s="495">
        <v>350</v>
      </c>
      <c r="C3" s="495">
        <v>430</v>
      </c>
      <c r="D3" s="495">
        <v>500</v>
      </c>
      <c r="E3" s="495">
        <v>530</v>
      </c>
      <c r="F3" s="495">
        <v>600</v>
      </c>
      <c r="G3" s="495">
        <v>720</v>
      </c>
      <c r="H3" s="495">
        <v>460</v>
      </c>
      <c r="I3" s="495">
        <v>490</v>
      </c>
      <c r="J3" s="495">
        <v>460</v>
      </c>
      <c r="K3" s="495">
        <v>540</v>
      </c>
      <c r="L3" s="495">
        <v>580</v>
      </c>
      <c r="M3" s="495">
        <v>610</v>
      </c>
      <c r="N3" s="495">
        <v>910</v>
      </c>
      <c r="O3" s="495">
        <v>660</v>
      </c>
      <c r="P3" s="495">
        <v>460</v>
      </c>
      <c r="Q3" s="495">
        <v>370</v>
      </c>
      <c r="R3" s="495">
        <v>760</v>
      </c>
      <c r="S3" s="495">
        <v>560</v>
      </c>
      <c r="T3" s="495">
        <v>850</v>
      </c>
      <c r="U3" s="495">
        <v>540</v>
      </c>
      <c r="V3" s="495">
        <v>570</v>
      </c>
      <c r="W3" s="495">
        <v>490</v>
      </c>
      <c r="X3" s="495">
        <v>610</v>
      </c>
      <c r="Y3" s="495">
        <v>660</v>
      </c>
      <c r="Z3" s="495">
        <v>690</v>
      </c>
      <c r="AA3" s="495">
        <v>780</v>
      </c>
      <c r="AB3" s="495">
        <v>840</v>
      </c>
      <c r="AC3" s="495">
        <v>940</v>
      </c>
      <c r="AD3" s="495">
        <v>130</v>
      </c>
      <c r="AE3" s="495">
        <v>180</v>
      </c>
      <c r="AF3" s="495">
        <v>220</v>
      </c>
      <c r="AG3" s="495">
        <v>360</v>
      </c>
      <c r="AH3" s="495">
        <v>420</v>
      </c>
      <c r="AI3" s="495">
        <v>480</v>
      </c>
      <c r="AJ3" s="495">
        <v>340</v>
      </c>
      <c r="AK3" s="495">
        <v>420</v>
      </c>
      <c r="AL3" s="495">
        <v>500</v>
      </c>
      <c r="AM3" s="495">
        <v>510</v>
      </c>
      <c r="AN3" s="495">
        <v>700</v>
      </c>
      <c r="AO3" s="495">
        <v>870</v>
      </c>
      <c r="AP3" s="495">
        <v>350</v>
      </c>
      <c r="AQ3" s="495">
        <v>430</v>
      </c>
      <c r="AR3" s="495">
        <v>500</v>
      </c>
      <c r="AS3" s="495">
        <v>530</v>
      </c>
      <c r="AT3" s="495">
        <v>600</v>
      </c>
      <c r="AU3" s="495">
        <v>720</v>
      </c>
      <c r="AV3" s="495">
        <v>460</v>
      </c>
      <c r="AW3" s="495">
        <v>540</v>
      </c>
      <c r="AX3" s="495">
        <v>610</v>
      </c>
      <c r="AY3" s="495">
        <v>910</v>
      </c>
      <c r="AZ3" s="495">
        <v>660</v>
      </c>
      <c r="BA3" s="495">
        <v>760</v>
      </c>
      <c r="BB3" s="495">
        <v>850</v>
      </c>
      <c r="BC3" s="495">
        <v>540</v>
      </c>
      <c r="BD3" s="495">
        <v>610</v>
      </c>
      <c r="BE3" s="495">
        <v>690</v>
      </c>
      <c r="BF3" s="495">
        <v>770</v>
      </c>
      <c r="BG3" s="495">
        <v>880</v>
      </c>
      <c r="BH3" s="495">
        <v>990</v>
      </c>
      <c r="BI3" s="495">
        <v>780</v>
      </c>
      <c r="BJ3" s="495">
        <v>840</v>
      </c>
      <c r="BK3" s="495">
        <v>940</v>
      </c>
      <c r="BL3" s="495">
        <v>780</v>
      </c>
      <c r="BM3" s="495">
        <v>840</v>
      </c>
      <c r="BN3" s="495">
        <v>940</v>
      </c>
      <c r="BO3" s="495">
        <v>1220</v>
      </c>
      <c r="BP3" s="495">
        <v>2000</v>
      </c>
      <c r="BQ3" s="495">
        <v>2780</v>
      </c>
      <c r="BR3" s="495">
        <v>2700</v>
      </c>
      <c r="BS3" s="495">
        <v>3420</v>
      </c>
      <c r="BT3" s="495">
        <v>3790</v>
      </c>
      <c r="BU3" s="495"/>
      <c r="BV3" s="495"/>
      <c r="BW3" s="495"/>
      <c r="BX3" s="495"/>
      <c r="BY3" s="495"/>
      <c r="BZ3" s="495"/>
      <c r="CA3" s="495"/>
    </row>
    <row r="4" spans="1:79">
      <c r="A4" s="498" t="s">
        <v>389</v>
      </c>
      <c r="B4" s="495">
        <v>65</v>
      </c>
      <c r="C4" s="495">
        <v>65</v>
      </c>
      <c r="D4" s="495">
        <v>65</v>
      </c>
      <c r="E4" s="495">
        <v>65</v>
      </c>
      <c r="F4" s="495">
        <v>65</v>
      </c>
      <c r="G4" s="495">
        <v>65</v>
      </c>
      <c r="H4" s="495">
        <v>65</v>
      </c>
      <c r="I4" s="495">
        <v>65</v>
      </c>
      <c r="J4" s="495">
        <v>65</v>
      </c>
      <c r="K4" s="495">
        <v>65</v>
      </c>
      <c r="L4" s="495">
        <v>65</v>
      </c>
      <c r="M4" s="495">
        <v>65</v>
      </c>
      <c r="N4" s="495">
        <v>65</v>
      </c>
      <c r="O4" s="495">
        <v>65</v>
      </c>
      <c r="P4" s="495">
        <v>65</v>
      </c>
      <c r="Q4" s="495">
        <v>65</v>
      </c>
      <c r="R4" s="495">
        <v>65</v>
      </c>
      <c r="S4" s="495">
        <v>65</v>
      </c>
      <c r="T4" s="495">
        <v>65</v>
      </c>
      <c r="U4" s="495">
        <v>65</v>
      </c>
      <c r="V4" s="495">
        <v>65</v>
      </c>
      <c r="W4" s="495">
        <v>65</v>
      </c>
      <c r="X4" s="495">
        <v>65</v>
      </c>
      <c r="Y4" s="495">
        <v>65</v>
      </c>
      <c r="Z4" s="495">
        <v>65</v>
      </c>
      <c r="AA4" s="495">
        <v>65</v>
      </c>
      <c r="AB4" s="495">
        <v>65</v>
      </c>
      <c r="AC4" s="495">
        <v>65</v>
      </c>
      <c r="AD4" s="495">
        <v>65</v>
      </c>
      <c r="AE4" s="495">
        <v>65</v>
      </c>
      <c r="AF4" s="495">
        <v>65</v>
      </c>
      <c r="AG4" s="495">
        <v>65</v>
      </c>
      <c r="AH4" s="495">
        <v>65</v>
      </c>
      <c r="AI4" s="495">
        <v>65</v>
      </c>
      <c r="AJ4" s="495">
        <v>65</v>
      </c>
      <c r="AK4" s="495">
        <v>65</v>
      </c>
      <c r="AL4" s="495">
        <v>65</v>
      </c>
      <c r="AM4" s="495">
        <v>65</v>
      </c>
      <c r="AN4" s="495">
        <v>65</v>
      </c>
      <c r="AO4" s="495">
        <v>65</v>
      </c>
      <c r="AP4" s="495">
        <v>65</v>
      </c>
      <c r="AQ4" s="495">
        <v>65</v>
      </c>
      <c r="AR4" s="495">
        <v>65</v>
      </c>
      <c r="AS4" s="495">
        <v>65</v>
      </c>
      <c r="AT4" s="495">
        <v>65</v>
      </c>
      <c r="AU4" s="495">
        <v>65</v>
      </c>
      <c r="AV4" s="495">
        <v>65</v>
      </c>
      <c r="AW4" s="495">
        <v>65</v>
      </c>
      <c r="AX4" s="495">
        <v>65</v>
      </c>
      <c r="AY4" s="495">
        <v>65</v>
      </c>
      <c r="AZ4" s="495">
        <v>65</v>
      </c>
      <c r="BA4" s="495">
        <v>65</v>
      </c>
      <c r="BB4" s="495">
        <v>65</v>
      </c>
      <c r="BC4" s="495">
        <v>65</v>
      </c>
      <c r="BD4" s="495">
        <v>65</v>
      </c>
      <c r="BE4" s="495">
        <v>65</v>
      </c>
      <c r="BF4" s="495">
        <v>65</v>
      </c>
      <c r="BG4" s="495">
        <v>65</v>
      </c>
      <c r="BH4" s="495">
        <v>65</v>
      </c>
      <c r="BI4" s="495">
        <v>65</v>
      </c>
      <c r="BJ4" s="495">
        <v>65</v>
      </c>
      <c r="BK4" s="495">
        <v>65</v>
      </c>
      <c r="BL4" s="495">
        <v>65</v>
      </c>
      <c r="BM4" s="495">
        <v>65</v>
      </c>
      <c r="BN4" s="495">
        <v>65</v>
      </c>
      <c r="BO4" s="495">
        <v>65</v>
      </c>
      <c r="BP4" s="495">
        <v>65</v>
      </c>
      <c r="BQ4" s="495">
        <v>65</v>
      </c>
      <c r="BR4" s="495">
        <v>65</v>
      </c>
      <c r="BS4" s="495">
        <v>65</v>
      </c>
      <c r="BT4" s="495">
        <v>65</v>
      </c>
      <c r="BU4" s="495"/>
      <c r="BV4" s="495"/>
      <c r="BW4" s="495"/>
      <c r="BX4" s="495"/>
      <c r="BY4" s="495"/>
      <c r="BZ4" s="495"/>
      <c r="CA4" s="495"/>
    </row>
    <row r="5" spans="1:79">
      <c r="A5" s="498" t="s">
        <v>390</v>
      </c>
      <c r="B5" s="495">
        <v>105</v>
      </c>
      <c r="C5" s="495">
        <v>105</v>
      </c>
      <c r="D5" s="495">
        <v>105</v>
      </c>
      <c r="E5" s="495">
        <v>105</v>
      </c>
      <c r="F5" s="495">
        <v>105</v>
      </c>
      <c r="G5" s="495">
        <v>105</v>
      </c>
      <c r="H5" s="495">
        <v>105</v>
      </c>
      <c r="I5" s="495">
        <v>105</v>
      </c>
      <c r="J5" s="495">
        <v>105</v>
      </c>
      <c r="K5" s="495">
        <v>105</v>
      </c>
      <c r="L5" s="495">
        <v>105</v>
      </c>
      <c r="M5" s="495">
        <v>105</v>
      </c>
      <c r="N5" s="495">
        <v>105</v>
      </c>
      <c r="O5" s="495">
        <v>105</v>
      </c>
      <c r="P5" s="495">
        <v>105</v>
      </c>
      <c r="Q5" s="495">
        <v>105</v>
      </c>
      <c r="R5" s="495">
        <v>105</v>
      </c>
      <c r="S5" s="495">
        <v>105</v>
      </c>
      <c r="T5" s="495">
        <v>105</v>
      </c>
      <c r="U5" s="495">
        <v>105</v>
      </c>
      <c r="V5" s="495">
        <v>105</v>
      </c>
      <c r="W5" s="495">
        <v>105</v>
      </c>
      <c r="X5" s="495">
        <v>105</v>
      </c>
      <c r="Y5" s="495">
        <v>105</v>
      </c>
      <c r="Z5" s="495">
        <v>105</v>
      </c>
      <c r="AA5" s="495">
        <v>105</v>
      </c>
      <c r="AB5" s="495">
        <v>105</v>
      </c>
      <c r="AC5" s="495">
        <v>105</v>
      </c>
      <c r="AD5" s="495" t="s">
        <v>531</v>
      </c>
      <c r="AE5" s="495" t="s">
        <v>531</v>
      </c>
      <c r="AF5" s="495" t="s">
        <v>531</v>
      </c>
      <c r="AG5" s="495">
        <v>105</v>
      </c>
      <c r="AH5" s="495">
        <v>105</v>
      </c>
      <c r="AI5" s="495">
        <v>105</v>
      </c>
      <c r="AJ5" s="495">
        <v>105</v>
      </c>
      <c r="AK5" s="495">
        <v>105</v>
      </c>
      <c r="AL5" s="495">
        <v>105</v>
      </c>
      <c r="AM5" s="495">
        <v>105</v>
      </c>
      <c r="AN5" s="495">
        <v>105</v>
      </c>
      <c r="AO5" s="495">
        <v>105</v>
      </c>
      <c r="AP5" s="495">
        <v>105</v>
      </c>
      <c r="AQ5" s="495">
        <v>105</v>
      </c>
      <c r="AR5" s="495">
        <v>105</v>
      </c>
      <c r="AS5" s="495">
        <v>105</v>
      </c>
      <c r="AT5" s="495">
        <v>105</v>
      </c>
      <c r="AU5" s="495">
        <v>105</v>
      </c>
      <c r="AV5" s="495">
        <v>105</v>
      </c>
      <c r="AW5" s="495">
        <v>105</v>
      </c>
      <c r="AX5" s="495">
        <v>105</v>
      </c>
      <c r="AY5" s="495">
        <v>105</v>
      </c>
      <c r="AZ5" s="495">
        <v>105</v>
      </c>
      <c r="BA5" s="495">
        <v>105</v>
      </c>
      <c r="BB5" s="495">
        <v>105</v>
      </c>
      <c r="BC5" s="495">
        <v>105</v>
      </c>
      <c r="BD5" s="495">
        <v>105</v>
      </c>
      <c r="BE5" s="495">
        <v>105</v>
      </c>
      <c r="BF5" s="495">
        <v>105</v>
      </c>
      <c r="BG5" s="495">
        <v>105</v>
      </c>
      <c r="BH5" s="495">
        <v>105</v>
      </c>
      <c r="BI5" s="495">
        <v>105</v>
      </c>
      <c r="BJ5" s="495">
        <v>105</v>
      </c>
      <c r="BK5" s="495">
        <v>105</v>
      </c>
      <c r="BL5" s="495">
        <v>105</v>
      </c>
      <c r="BM5" s="495">
        <v>105</v>
      </c>
      <c r="BN5" s="495">
        <v>105</v>
      </c>
      <c r="BO5" s="495">
        <v>105</v>
      </c>
      <c r="BP5" s="495">
        <v>105</v>
      </c>
      <c r="BQ5" s="495">
        <v>105</v>
      </c>
      <c r="BR5" s="495">
        <v>105</v>
      </c>
      <c r="BS5" s="495">
        <v>105</v>
      </c>
      <c r="BT5" s="495">
        <v>105</v>
      </c>
      <c r="BU5" s="495"/>
      <c r="BV5" s="495"/>
      <c r="BW5" s="495"/>
      <c r="BX5" s="495"/>
      <c r="BY5" s="495"/>
      <c r="BZ5" s="495"/>
      <c r="CA5" s="495"/>
    </row>
    <row r="6" spans="1:79">
      <c r="A6" s="494" t="s">
        <v>391</v>
      </c>
      <c r="B6" s="495">
        <v>105</v>
      </c>
      <c r="C6" s="495">
        <v>105</v>
      </c>
      <c r="D6" s="495">
        <v>105</v>
      </c>
      <c r="E6" s="495">
        <v>105</v>
      </c>
      <c r="F6" s="495">
        <v>105</v>
      </c>
      <c r="G6" s="495">
        <v>105</v>
      </c>
      <c r="H6" s="495">
        <v>105</v>
      </c>
      <c r="I6" s="495">
        <v>105</v>
      </c>
      <c r="J6" s="495">
        <v>105</v>
      </c>
      <c r="K6" s="495">
        <v>105</v>
      </c>
      <c r="L6" s="495">
        <v>105</v>
      </c>
      <c r="M6" s="495">
        <v>105</v>
      </c>
      <c r="N6" s="495">
        <v>105</v>
      </c>
      <c r="O6" s="495">
        <v>105</v>
      </c>
      <c r="P6" s="495">
        <v>105</v>
      </c>
      <c r="Q6" s="495">
        <v>105</v>
      </c>
      <c r="R6" s="495">
        <v>105</v>
      </c>
      <c r="S6" s="495">
        <v>105</v>
      </c>
      <c r="T6" s="495">
        <v>105</v>
      </c>
      <c r="U6" s="495">
        <v>105</v>
      </c>
      <c r="V6" s="495">
        <v>105</v>
      </c>
      <c r="W6" s="495">
        <v>105</v>
      </c>
      <c r="X6" s="495">
        <v>105</v>
      </c>
      <c r="Y6" s="495">
        <v>105</v>
      </c>
      <c r="Z6" s="495">
        <v>105</v>
      </c>
      <c r="AA6" s="495">
        <v>105</v>
      </c>
      <c r="AB6" s="495">
        <v>105</v>
      </c>
      <c r="AC6" s="495">
        <v>105</v>
      </c>
      <c r="AD6" s="495" t="s">
        <v>531</v>
      </c>
      <c r="AE6" s="495" t="s">
        <v>531</v>
      </c>
      <c r="AF6" s="495" t="s">
        <v>531</v>
      </c>
      <c r="AG6" s="495">
        <v>105</v>
      </c>
      <c r="AH6" s="495">
        <v>105</v>
      </c>
      <c r="AI6" s="495">
        <v>105</v>
      </c>
      <c r="AJ6" s="495">
        <v>53</v>
      </c>
      <c r="AK6" s="495">
        <v>53</v>
      </c>
      <c r="AL6" s="495">
        <v>53</v>
      </c>
      <c r="AM6" s="495">
        <v>52</v>
      </c>
      <c r="AN6" s="495">
        <v>52</v>
      </c>
      <c r="AO6" s="495">
        <v>52</v>
      </c>
      <c r="AP6" s="495">
        <v>52</v>
      </c>
      <c r="AQ6" s="495">
        <v>52</v>
      </c>
      <c r="AR6" s="495">
        <v>52</v>
      </c>
      <c r="AS6" s="495">
        <v>105</v>
      </c>
      <c r="AT6" s="495">
        <v>105</v>
      </c>
      <c r="AU6" s="495">
        <v>105</v>
      </c>
      <c r="AV6" s="495">
        <v>105</v>
      </c>
      <c r="AW6" s="495">
        <v>105</v>
      </c>
      <c r="AX6" s="495">
        <v>105</v>
      </c>
      <c r="AY6" s="495">
        <v>105</v>
      </c>
      <c r="AZ6" s="495">
        <v>105</v>
      </c>
      <c r="BA6" s="495">
        <v>105</v>
      </c>
      <c r="BB6" s="495">
        <v>105</v>
      </c>
      <c r="BC6" s="495">
        <v>105</v>
      </c>
      <c r="BD6" s="495">
        <v>105</v>
      </c>
      <c r="BE6" s="495">
        <v>105</v>
      </c>
      <c r="BF6" s="495">
        <v>105</v>
      </c>
      <c r="BG6" s="495">
        <v>105</v>
      </c>
      <c r="BH6" s="495">
        <v>105</v>
      </c>
      <c r="BI6" s="495">
        <v>105</v>
      </c>
      <c r="BJ6" s="495">
        <v>105</v>
      </c>
      <c r="BK6" s="495">
        <v>105</v>
      </c>
      <c r="BL6" s="495">
        <v>105</v>
      </c>
      <c r="BM6" s="495">
        <v>105</v>
      </c>
      <c r="BN6" s="495">
        <v>105</v>
      </c>
      <c r="BO6" s="495">
        <v>105</v>
      </c>
      <c r="BP6" s="495">
        <v>105</v>
      </c>
      <c r="BQ6" s="495">
        <v>105</v>
      </c>
      <c r="BR6" s="495">
        <v>105</v>
      </c>
      <c r="BS6" s="495">
        <v>105</v>
      </c>
      <c r="BT6" s="495">
        <v>105</v>
      </c>
      <c r="BU6" s="495"/>
      <c r="BV6" s="495"/>
      <c r="BW6" s="495"/>
      <c r="BX6" s="495"/>
      <c r="BY6" s="495"/>
      <c r="BZ6" s="495"/>
      <c r="CA6" s="495"/>
    </row>
    <row r="7" spans="1:79">
      <c r="A7" s="499">
        <v>20</v>
      </c>
      <c r="B7" s="495" t="s">
        <v>531</v>
      </c>
      <c r="C7" s="495" t="s">
        <v>531</v>
      </c>
      <c r="D7" s="495" t="s">
        <v>531</v>
      </c>
      <c r="E7" s="495" t="s">
        <v>531</v>
      </c>
      <c r="F7" s="495" t="s">
        <v>531</v>
      </c>
      <c r="G7" s="495" t="s">
        <v>531</v>
      </c>
      <c r="H7" s="495" t="s">
        <v>531</v>
      </c>
      <c r="I7" s="495" t="s">
        <v>531</v>
      </c>
      <c r="J7" s="495" t="s">
        <v>531</v>
      </c>
      <c r="K7" s="495" t="s">
        <v>531</v>
      </c>
      <c r="L7" s="495" t="s">
        <v>531</v>
      </c>
      <c r="M7" s="495" t="s">
        <v>531</v>
      </c>
      <c r="N7" s="495" t="s">
        <v>531</v>
      </c>
      <c r="O7" s="495" t="s">
        <v>531</v>
      </c>
      <c r="P7" s="495" t="s">
        <v>531</v>
      </c>
      <c r="Q7" s="495" t="s">
        <v>531</v>
      </c>
      <c r="R7" s="495" t="s">
        <v>531</v>
      </c>
      <c r="S7" s="495" t="s">
        <v>531</v>
      </c>
      <c r="T7" s="495" t="s">
        <v>531</v>
      </c>
      <c r="U7" s="495" t="s">
        <v>531</v>
      </c>
      <c r="V7" s="495" t="s">
        <v>531</v>
      </c>
      <c r="W7" s="495" t="s">
        <v>531</v>
      </c>
      <c r="X7" s="495" t="s">
        <v>531</v>
      </c>
      <c r="Y7" s="495" t="s">
        <v>531</v>
      </c>
      <c r="Z7" s="495" t="s">
        <v>531</v>
      </c>
      <c r="AA7" s="495" t="s">
        <v>531</v>
      </c>
      <c r="AB7" s="495" t="s">
        <v>531</v>
      </c>
      <c r="AC7" s="495" t="s">
        <v>531</v>
      </c>
      <c r="AD7" s="495">
        <v>80</v>
      </c>
      <c r="AE7" s="495">
        <v>90</v>
      </c>
      <c r="AF7" s="495">
        <v>100</v>
      </c>
      <c r="AG7" s="495" t="s">
        <v>531</v>
      </c>
      <c r="AH7" s="495" t="s">
        <v>531</v>
      </c>
      <c r="AI7" s="495" t="s">
        <v>531</v>
      </c>
      <c r="AJ7" s="495" t="s">
        <v>531</v>
      </c>
      <c r="AK7" s="495" t="s">
        <v>531</v>
      </c>
      <c r="AL7" s="495" t="s">
        <v>531</v>
      </c>
      <c r="AM7" s="495" t="s">
        <v>531</v>
      </c>
      <c r="AN7" s="495" t="s">
        <v>531</v>
      </c>
      <c r="AO7" s="495" t="s">
        <v>531</v>
      </c>
      <c r="AP7" s="495" t="s">
        <v>531</v>
      </c>
      <c r="AQ7" s="495" t="s">
        <v>531</v>
      </c>
      <c r="AR7" s="495" t="s">
        <v>531</v>
      </c>
      <c r="AS7" s="495" t="s">
        <v>531</v>
      </c>
      <c r="AT7" s="495" t="s">
        <v>531</v>
      </c>
      <c r="AU7" s="495" t="s">
        <v>531</v>
      </c>
      <c r="AV7" s="495" t="s">
        <v>531</v>
      </c>
      <c r="AW7" s="495" t="s">
        <v>531</v>
      </c>
      <c r="AX7" s="495" t="s">
        <v>531</v>
      </c>
      <c r="AY7" s="495" t="s">
        <v>531</v>
      </c>
      <c r="AZ7" s="495" t="s">
        <v>531</v>
      </c>
      <c r="BA7" s="495" t="s">
        <v>531</v>
      </c>
      <c r="BB7" s="495" t="s">
        <v>531</v>
      </c>
      <c r="BC7" s="495" t="s">
        <v>531</v>
      </c>
      <c r="BD7" s="495" t="s">
        <v>531</v>
      </c>
      <c r="BE7" s="495" t="s">
        <v>531</v>
      </c>
      <c r="BF7" s="495" t="s">
        <v>531</v>
      </c>
      <c r="BG7" s="495" t="s">
        <v>531</v>
      </c>
      <c r="BH7" s="495" t="s">
        <v>531</v>
      </c>
      <c r="BI7" s="495" t="s">
        <v>531</v>
      </c>
      <c r="BJ7" s="495" t="s">
        <v>531</v>
      </c>
      <c r="BK7" s="495" t="s">
        <v>531</v>
      </c>
      <c r="BL7" s="495" t="s">
        <v>531</v>
      </c>
      <c r="BM7" s="495" t="s">
        <v>531</v>
      </c>
      <c r="BN7" s="495" t="s">
        <v>531</v>
      </c>
      <c r="BO7" s="495" t="s">
        <v>531</v>
      </c>
      <c r="BP7" s="495" t="s">
        <v>531</v>
      </c>
      <c r="BQ7" s="495" t="s">
        <v>531</v>
      </c>
      <c r="BR7" s="495" t="s">
        <v>531</v>
      </c>
      <c r="BS7" s="495" t="s">
        <v>531</v>
      </c>
      <c r="BT7" s="495" t="s">
        <v>531</v>
      </c>
      <c r="BU7" s="495"/>
      <c r="BV7" s="495"/>
      <c r="BW7" s="495"/>
      <c r="BX7" s="495"/>
      <c r="BY7" s="495"/>
      <c r="BZ7" s="495"/>
      <c r="CA7" s="495"/>
    </row>
    <row r="8" spans="1:79">
      <c r="A8" s="499">
        <v>25</v>
      </c>
      <c r="B8" s="495" t="s">
        <v>531</v>
      </c>
      <c r="C8" s="495" t="s">
        <v>531</v>
      </c>
      <c r="D8" s="495" t="s">
        <v>531</v>
      </c>
      <c r="E8" s="495" t="s">
        <v>531</v>
      </c>
      <c r="F8" s="495" t="s">
        <v>531</v>
      </c>
      <c r="G8" s="495" t="s">
        <v>531</v>
      </c>
      <c r="H8" s="495" t="s">
        <v>531</v>
      </c>
      <c r="I8" s="495" t="s">
        <v>531</v>
      </c>
      <c r="J8" s="495" t="s">
        <v>531</v>
      </c>
      <c r="K8" s="495" t="s">
        <v>531</v>
      </c>
      <c r="L8" s="495" t="s">
        <v>531</v>
      </c>
      <c r="M8" s="495" t="s">
        <v>531</v>
      </c>
      <c r="N8" s="495" t="s">
        <v>531</v>
      </c>
      <c r="O8" s="495" t="s">
        <v>531</v>
      </c>
      <c r="P8" s="495" t="s">
        <v>531</v>
      </c>
      <c r="Q8" s="495" t="s">
        <v>531</v>
      </c>
      <c r="R8" s="495" t="s">
        <v>531</v>
      </c>
      <c r="S8" s="495" t="s">
        <v>531</v>
      </c>
      <c r="T8" s="495" t="s">
        <v>531</v>
      </c>
      <c r="U8" s="495" t="s">
        <v>531</v>
      </c>
      <c r="V8" s="495" t="s">
        <v>531</v>
      </c>
      <c r="W8" s="495" t="s">
        <v>531</v>
      </c>
      <c r="X8" s="495" t="s">
        <v>531</v>
      </c>
      <c r="Y8" s="495" t="s">
        <v>531</v>
      </c>
      <c r="Z8" s="495" t="s">
        <v>531</v>
      </c>
      <c r="AA8" s="495" t="s">
        <v>531</v>
      </c>
      <c r="AB8" s="495" t="s">
        <v>531</v>
      </c>
      <c r="AC8" s="495" t="s">
        <v>531</v>
      </c>
      <c r="AD8" s="495" t="s">
        <v>531</v>
      </c>
      <c r="AE8" s="495" t="s">
        <v>531</v>
      </c>
      <c r="AF8" s="495" t="s">
        <v>531</v>
      </c>
      <c r="AG8" s="495">
        <v>100</v>
      </c>
      <c r="AH8" s="495">
        <v>120</v>
      </c>
      <c r="AI8" s="495">
        <v>130</v>
      </c>
      <c r="AJ8" s="495">
        <v>50</v>
      </c>
      <c r="AK8" s="495">
        <v>60</v>
      </c>
      <c r="AL8" s="495">
        <v>70</v>
      </c>
      <c r="AM8" s="495" t="s">
        <v>531</v>
      </c>
      <c r="AN8" s="495" t="s">
        <v>531</v>
      </c>
      <c r="AO8" s="495" t="s">
        <v>531</v>
      </c>
      <c r="AP8" s="495" t="s">
        <v>531</v>
      </c>
      <c r="AQ8" s="495" t="s">
        <v>531</v>
      </c>
      <c r="AR8" s="495" t="s">
        <v>531</v>
      </c>
      <c r="AS8" s="495" t="s">
        <v>531</v>
      </c>
      <c r="AT8" s="495" t="s">
        <v>531</v>
      </c>
      <c r="AU8" s="495" t="s">
        <v>531</v>
      </c>
      <c r="AV8" s="495" t="s">
        <v>531</v>
      </c>
      <c r="AW8" s="495" t="s">
        <v>531</v>
      </c>
      <c r="AX8" s="495" t="s">
        <v>531</v>
      </c>
      <c r="AY8" s="495" t="s">
        <v>531</v>
      </c>
      <c r="AZ8" s="495" t="s">
        <v>531</v>
      </c>
      <c r="BA8" s="495" t="s">
        <v>531</v>
      </c>
      <c r="BB8" s="495" t="s">
        <v>531</v>
      </c>
      <c r="BC8" s="495" t="s">
        <v>531</v>
      </c>
      <c r="BD8" s="495" t="s">
        <v>531</v>
      </c>
      <c r="BE8" s="495" t="s">
        <v>531</v>
      </c>
      <c r="BF8" s="495" t="s">
        <v>531</v>
      </c>
      <c r="BG8" s="495" t="s">
        <v>531</v>
      </c>
      <c r="BH8" s="495" t="s">
        <v>531</v>
      </c>
      <c r="BI8" s="495" t="s">
        <v>531</v>
      </c>
      <c r="BJ8" s="495" t="s">
        <v>531</v>
      </c>
      <c r="BK8" s="495" t="s">
        <v>531</v>
      </c>
      <c r="BL8" s="495" t="s">
        <v>531</v>
      </c>
      <c r="BM8" s="495" t="s">
        <v>531</v>
      </c>
      <c r="BN8" s="495" t="s">
        <v>531</v>
      </c>
      <c r="BO8" s="495" t="s">
        <v>531</v>
      </c>
      <c r="BP8" s="495" t="s">
        <v>531</v>
      </c>
      <c r="BQ8" s="495" t="s">
        <v>531</v>
      </c>
      <c r="BR8" s="495" t="s">
        <v>531</v>
      </c>
      <c r="BS8" s="495" t="s">
        <v>531</v>
      </c>
      <c r="BT8" s="495" t="s">
        <v>531</v>
      </c>
      <c r="BU8" s="495"/>
      <c r="BV8" s="495"/>
      <c r="BW8" s="495"/>
      <c r="BX8" s="495"/>
      <c r="BY8" s="495"/>
      <c r="BZ8" s="495"/>
      <c r="CA8" s="495"/>
    </row>
    <row r="9" spans="1:79">
      <c r="A9" s="499">
        <v>30</v>
      </c>
      <c r="B9" s="495" t="s">
        <v>531</v>
      </c>
      <c r="C9" s="495" t="s">
        <v>531</v>
      </c>
      <c r="D9" s="495" t="s">
        <v>531</v>
      </c>
      <c r="E9" s="495" t="s">
        <v>531</v>
      </c>
      <c r="F9" s="495" t="s">
        <v>531</v>
      </c>
      <c r="G9" s="495" t="s">
        <v>531</v>
      </c>
      <c r="H9" s="495" t="s">
        <v>531</v>
      </c>
      <c r="I9" s="495" t="s">
        <v>531</v>
      </c>
      <c r="J9" s="495" t="s">
        <v>531</v>
      </c>
      <c r="K9" s="495" t="s">
        <v>531</v>
      </c>
      <c r="L9" s="495" t="s">
        <v>531</v>
      </c>
      <c r="M9" s="495" t="s">
        <v>531</v>
      </c>
      <c r="N9" s="495" t="s">
        <v>531</v>
      </c>
      <c r="O9" s="495" t="s">
        <v>531</v>
      </c>
      <c r="P9" s="495" t="s">
        <v>531</v>
      </c>
      <c r="Q9" s="495" t="s">
        <v>531</v>
      </c>
      <c r="R9" s="495" t="s">
        <v>531</v>
      </c>
      <c r="S9" s="495" t="s">
        <v>531</v>
      </c>
      <c r="T9" s="495" t="s">
        <v>531</v>
      </c>
      <c r="U9" s="495" t="s">
        <v>531</v>
      </c>
      <c r="V9" s="495" t="s">
        <v>531</v>
      </c>
      <c r="W9" s="495" t="s">
        <v>531</v>
      </c>
      <c r="X9" s="495" t="s">
        <v>531</v>
      </c>
      <c r="Y9" s="495" t="s">
        <v>531</v>
      </c>
      <c r="Z9" s="495" t="s">
        <v>531</v>
      </c>
      <c r="AA9" s="495" t="s">
        <v>531</v>
      </c>
      <c r="AB9" s="495" t="s">
        <v>531</v>
      </c>
      <c r="AC9" s="495" t="s">
        <v>531</v>
      </c>
      <c r="AD9" s="495">
        <v>90</v>
      </c>
      <c r="AE9" s="495">
        <v>100</v>
      </c>
      <c r="AF9" s="495">
        <v>110</v>
      </c>
      <c r="AG9" s="495" t="s">
        <v>531</v>
      </c>
      <c r="AH9" s="495" t="s">
        <v>531</v>
      </c>
      <c r="AI9" s="495" t="s">
        <v>531</v>
      </c>
      <c r="AJ9" s="495" t="s">
        <v>531</v>
      </c>
      <c r="AK9" s="495" t="s">
        <v>531</v>
      </c>
      <c r="AL9" s="495" t="s">
        <v>531</v>
      </c>
      <c r="AM9" s="495" t="s">
        <v>531</v>
      </c>
      <c r="AN9" s="495" t="s">
        <v>531</v>
      </c>
      <c r="AO9" s="495" t="s">
        <v>531</v>
      </c>
      <c r="AP9" s="495" t="s">
        <v>531</v>
      </c>
      <c r="AQ9" s="495" t="s">
        <v>531</v>
      </c>
      <c r="AR9" s="495" t="s">
        <v>531</v>
      </c>
      <c r="AS9" s="495" t="s">
        <v>531</v>
      </c>
      <c r="AT9" s="495" t="s">
        <v>531</v>
      </c>
      <c r="AU9" s="495" t="s">
        <v>531</v>
      </c>
      <c r="AV9" s="495" t="s">
        <v>531</v>
      </c>
      <c r="AW9" s="495" t="s">
        <v>531</v>
      </c>
      <c r="AX9" s="495" t="s">
        <v>531</v>
      </c>
      <c r="AY9" s="495" t="s">
        <v>531</v>
      </c>
      <c r="AZ9" s="495" t="s">
        <v>531</v>
      </c>
      <c r="BA9" s="495" t="s">
        <v>531</v>
      </c>
      <c r="BB9" s="495" t="s">
        <v>531</v>
      </c>
      <c r="BC9" s="495" t="s">
        <v>531</v>
      </c>
      <c r="BD9" s="495" t="s">
        <v>531</v>
      </c>
      <c r="BE9" s="495" t="s">
        <v>531</v>
      </c>
      <c r="BF9" s="495" t="s">
        <v>531</v>
      </c>
      <c r="BG9" s="495" t="s">
        <v>531</v>
      </c>
      <c r="BH9" s="495" t="s">
        <v>531</v>
      </c>
      <c r="BI9" s="495" t="s">
        <v>531</v>
      </c>
      <c r="BJ9" s="495" t="s">
        <v>531</v>
      </c>
      <c r="BK9" s="495" t="s">
        <v>531</v>
      </c>
      <c r="BL9" s="495" t="s">
        <v>531</v>
      </c>
      <c r="BM9" s="495" t="s">
        <v>531</v>
      </c>
      <c r="BN9" s="495" t="s">
        <v>531</v>
      </c>
      <c r="BO9" s="495" t="s">
        <v>531</v>
      </c>
      <c r="BP9" s="495" t="s">
        <v>531</v>
      </c>
      <c r="BQ9" s="495" t="s">
        <v>531</v>
      </c>
      <c r="BR9" s="495" t="s">
        <v>531</v>
      </c>
      <c r="BS9" s="495" t="s">
        <v>531</v>
      </c>
      <c r="BT9" s="495" t="s">
        <v>531</v>
      </c>
      <c r="BU9" s="495"/>
      <c r="BV9" s="495"/>
      <c r="BW9" s="495"/>
      <c r="BX9" s="495"/>
      <c r="BY9" s="495"/>
      <c r="BZ9" s="495"/>
      <c r="CA9" s="495"/>
    </row>
    <row r="10" spans="1:79">
      <c r="A10" s="499">
        <v>40</v>
      </c>
      <c r="B10" s="495" t="s">
        <v>531</v>
      </c>
      <c r="C10" s="495" t="s">
        <v>531</v>
      </c>
      <c r="D10" s="495" t="s">
        <v>531</v>
      </c>
      <c r="E10" s="495" t="s">
        <v>531</v>
      </c>
      <c r="F10" s="495" t="s">
        <v>531</v>
      </c>
      <c r="G10" s="495" t="s">
        <v>531</v>
      </c>
      <c r="H10" s="495" t="s">
        <v>531</v>
      </c>
      <c r="I10" s="495" t="s">
        <v>531</v>
      </c>
      <c r="J10" s="495" t="s">
        <v>531</v>
      </c>
      <c r="K10" s="495" t="s">
        <v>531</v>
      </c>
      <c r="L10" s="495" t="s">
        <v>531</v>
      </c>
      <c r="M10" s="495" t="s">
        <v>531</v>
      </c>
      <c r="N10" s="495" t="s">
        <v>531</v>
      </c>
      <c r="O10" s="495" t="s">
        <v>531</v>
      </c>
      <c r="P10" s="495" t="s">
        <v>531</v>
      </c>
      <c r="Q10" s="495" t="s">
        <v>531</v>
      </c>
      <c r="R10" s="495" t="s">
        <v>531</v>
      </c>
      <c r="S10" s="495" t="s">
        <v>531</v>
      </c>
      <c r="T10" s="495" t="s">
        <v>531</v>
      </c>
      <c r="U10" s="495" t="s">
        <v>531</v>
      </c>
      <c r="V10" s="495" t="s">
        <v>531</v>
      </c>
      <c r="W10" s="495" t="s">
        <v>531</v>
      </c>
      <c r="X10" s="495" t="s">
        <v>531</v>
      </c>
      <c r="Y10" s="495" t="s">
        <v>531</v>
      </c>
      <c r="Z10" s="495" t="s">
        <v>531</v>
      </c>
      <c r="AA10" s="495" t="s">
        <v>531</v>
      </c>
      <c r="AB10" s="495" t="s">
        <v>531</v>
      </c>
      <c r="AC10" s="495" t="s">
        <v>531</v>
      </c>
      <c r="AD10" s="495">
        <v>100</v>
      </c>
      <c r="AE10" s="495">
        <v>110</v>
      </c>
      <c r="AF10" s="495">
        <v>120</v>
      </c>
      <c r="AG10" s="495" t="s">
        <v>531</v>
      </c>
      <c r="AH10" s="495" t="s">
        <v>531</v>
      </c>
      <c r="AI10" s="495" t="s">
        <v>531</v>
      </c>
      <c r="AJ10" s="495" t="s">
        <v>531</v>
      </c>
      <c r="AK10" s="495" t="s">
        <v>531</v>
      </c>
      <c r="AL10" s="495" t="s">
        <v>531</v>
      </c>
      <c r="AM10" s="495" t="s">
        <v>531</v>
      </c>
      <c r="AN10" s="495" t="s">
        <v>531</v>
      </c>
      <c r="AO10" s="495" t="s">
        <v>531</v>
      </c>
      <c r="AP10" s="495" t="s">
        <v>531</v>
      </c>
      <c r="AQ10" s="495" t="s">
        <v>531</v>
      </c>
      <c r="AR10" s="495" t="s">
        <v>531</v>
      </c>
      <c r="AS10" s="495" t="s">
        <v>531</v>
      </c>
      <c r="AT10" s="495" t="s">
        <v>531</v>
      </c>
      <c r="AU10" s="495" t="s">
        <v>531</v>
      </c>
      <c r="AV10" s="495" t="s">
        <v>531</v>
      </c>
      <c r="AW10" s="495" t="s">
        <v>531</v>
      </c>
      <c r="AX10" s="495" t="s">
        <v>531</v>
      </c>
      <c r="AY10" s="495" t="s">
        <v>531</v>
      </c>
      <c r="AZ10" s="495" t="s">
        <v>531</v>
      </c>
      <c r="BA10" s="495" t="s">
        <v>531</v>
      </c>
      <c r="BB10" s="495" t="s">
        <v>531</v>
      </c>
      <c r="BC10" s="495" t="s">
        <v>531</v>
      </c>
      <c r="BD10" s="495" t="s">
        <v>531</v>
      </c>
      <c r="BE10" s="495" t="s">
        <v>531</v>
      </c>
      <c r="BF10" s="495" t="s">
        <v>531</v>
      </c>
      <c r="BG10" s="495" t="s">
        <v>531</v>
      </c>
      <c r="BH10" s="495" t="s">
        <v>531</v>
      </c>
      <c r="BI10" s="495" t="s">
        <v>531</v>
      </c>
      <c r="BJ10" s="495" t="s">
        <v>531</v>
      </c>
      <c r="BK10" s="495" t="s">
        <v>531</v>
      </c>
      <c r="BL10" s="495" t="s">
        <v>531</v>
      </c>
      <c r="BM10" s="495" t="s">
        <v>531</v>
      </c>
      <c r="BN10" s="495" t="s">
        <v>531</v>
      </c>
      <c r="BO10" s="495" t="s">
        <v>531</v>
      </c>
      <c r="BP10" s="495" t="s">
        <v>531</v>
      </c>
      <c r="BQ10" s="495" t="s">
        <v>531</v>
      </c>
      <c r="BR10" s="495" t="s">
        <v>531</v>
      </c>
      <c r="BS10" s="495" t="s">
        <v>531</v>
      </c>
      <c r="BT10" s="495" t="s">
        <v>531</v>
      </c>
      <c r="BU10" s="495"/>
      <c r="BV10" s="495"/>
      <c r="BW10" s="495"/>
      <c r="BX10" s="495"/>
      <c r="BY10" s="495"/>
      <c r="BZ10" s="495"/>
      <c r="CA10" s="495"/>
    </row>
    <row r="11" spans="1:79">
      <c r="A11" s="499">
        <v>50</v>
      </c>
      <c r="B11" s="495" t="s">
        <v>531</v>
      </c>
      <c r="C11" s="495" t="s">
        <v>531</v>
      </c>
      <c r="D11" s="495" t="s">
        <v>531</v>
      </c>
      <c r="E11" s="495" t="s">
        <v>531</v>
      </c>
      <c r="F11" s="495" t="s">
        <v>531</v>
      </c>
      <c r="G11" s="495" t="s">
        <v>531</v>
      </c>
      <c r="H11" s="495" t="s">
        <v>531</v>
      </c>
      <c r="I11" s="495" t="s">
        <v>531</v>
      </c>
      <c r="J11" s="495" t="s">
        <v>531</v>
      </c>
      <c r="K11" s="495" t="s">
        <v>531</v>
      </c>
      <c r="L11" s="495" t="s">
        <v>531</v>
      </c>
      <c r="M11" s="495" t="s">
        <v>531</v>
      </c>
      <c r="N11" s="495" t="s">
        <v>531</v>
      </c>
      <c r="O11" s="495" t="s">
        <v>531</v>
      </c>
      <c r="P11" s="495" t="s">
        <v>531</v>
      </c>
      <c r="Q11" s="495" t="s">
        <v>531</v>
      </c>
      <c r="R11" s="495" t="s">
        <v>531</v>
      </c>
      <c r="S11" s="495" t="s">
        <v>531</v>
      </c>
      <c r="T11" s="495" t="s">
        <v>531</v>
      </c>
      <c r="U11" s="495" t="s">
        <v>531</v>
      </c>
      <c r="V11" s="495" t="s">
        <v>531</v>
      </c>
      <c r="W11" s="495" t="s">
        <v>531</v>
      </c>
      <c r="X11" s="495" t="s">
        <v>531</v>
      </c>
      <c r="Y11" s="495" t="s">
        <v>531</v>
      </c>
      <c r="Z11" s="495" t="s">
        <v>531</v>
      </c>
      <c r="AA11" s="495" t="s">
        <v>531</v>
      </c>
      <c r="AB11" s="495" t="s">
        <v>531</v>
      </c>
      <c r="AC11" s="495" t="s">
        <v>531</v>
      </c>
      <c r="AD11" s="495" t="s">
        <v>531</v>
      </c>
      <c r="AE11" s="495" t="s">
        <v>531</v>
      </c>
      <c r="AF11" s="495" t="s">
        <v>531</v>
      </c>
      <c r="AG11" s="495">
        <v>130</v>
      </c>
      <c r="AH11" s="495">
        <v>140</v>
      </c>
      <c r="AI11" s="495">
        <v>160</v>
      </c>
      <c r="AJ11" s="495">
        <v>70</v>
      </c>
      <c r="AK11" s="495">
        <v>80</v>
      </c>
      <c r="AL11" s="495">
        <v>90</v>
      </c>
      <c r="AM11" s="495">
        <v>70</v>
      </c>
      <c r="AN11" s="495">
        <v>80</v>
      </c>
      <c r="AO11" s="495">
        <v>90</v>
      </c>
      <c r="AP11" s="495" t="s">
        <v>531</v>
      </c>
      <c r="AQ11" s="495" t="s">
        <v>531</v>
      </c>
      <c r="AR11" s="495" t="s">
        <v>531</v>
      </c>
      <c r="AS11" s="495" t="s">
        <v>531</v>
      </c>
      <c r="AT11" s="495" t="s">
        <v>531</v>
      </c>
      <c r="AU11" s="495" t="s">
        <v>531</v>
      </c>
      <c r="AV11" s="495" t="s">
        <v>531</v>
      </c>
      <c r="AW11" s="495" t="s">
        <v>531</v>
      </c>
      <c r="AX11" s="495" t="s">
        <v>531</v>
      </c>
      <c r="AY11" s="495" t="s">
        <v>531</v>
      </c>
      <c r="AZ11" s="495" t="s">
        <v>531</v>
      </c>
      <c r="BA11" s="495" t="s">
        <v>531</v>
      </c>
      <c r="BB11" s="495" t="s">
        <v>531</v>
      </c>
      <c r="BC11" s="495" t="s">
        <v>531</v>
      </c>
      <c r="BD11" s="495" t="s">
        <v>531</v>
      </c>
      <c r="BE11" s="495" t="s">
        <v>531</v>
      </c>
      <c r="BF11" s="495" t="s">
        <v>531</v>
      </c>
      <c r="BG11" s="495" t="s">
        <v>531</v>
      </c>
      <c r="BH11" s="495" t="s">
        <v>531</v>
      </c>
      <c r="BI11" s="495" t="s">
        <v>531</v>
      </c>
      <c r="BJ11" s="495" t="s">
        <v>531</v>
      </c>
      <c r="BK11" s="495" t="s">
        <v>531</v>
      </c>
      <c r="BL11" s="495" t="s">
        <v>531</v>
      </c>
      <c r="BM11" s="495" t="s">
        <v>531</v>
      </c>
      <c r="BN11" s="495" t="s">
        <v>531</v>
      </c>
      <c r="BO11" s="495" t="s">
        <v>531</v>
      </c>
      <c r="BP11" s="495" t="s">
        <v>531</v>
      </c>
      <c r="BQ11" s="495" t="s">
        <v>531</v>
      </c>
      <c r="BR11" s="495" t="s">
        <v>531</v>
      </c>
      <c r="BS11" s="495" t="s">
        <v>531</v>
      </c>
      <c r="BT11" s="495" t="s">
        <v>531</v>
      </c>
      <c r="BU11" s="495"/>
      <c r="BV11" s="495"/>
      <c r="BW11" s="495"/>
      <c r="BX11" s="495"/>
      <c r="BY11" s="495"/>
      <c r="BZ11" s="495"/>
      <c r="CA11" s="495"/>
    </row>
    <row r="12" spans="1:79">
      <c r="A12" s="499">
        <v>100</v>
      </c>
      <c r="B12" s="495">
        <v>250</v>
      </c>
      <c r="C12" s="495">
        <v>260</v>
      </c>
      <c r="D12" s="495">
        <v>280</v>
      </c>
      <c r="E12" s="495">
        <v>230</v>
      </c>
      <c r="F12" s="495">
        <v>270</v>
      </c>
      <c r="G12" s="495">
        <v>310</v>
      </c>
      <c r="H12" s="495">
        <v>470</v>
      </c>
      <c r="I12" s="495">
        <v>410</v>
      </c>
      <c r="J12" s="495">
        <v>370</v>
      </c>
      <c r="K12" s="495">
        <v>530</v>
      </c>
      <c r="L12" s="495">
        <v>450</v>
      </c>
      <c r="M12" s="495">
        <v>600</v>
      </c>
      <c r="N12" s="495">
        <v>860</v>
      </c>
      <c r="O12" s="495">
        <v>720</v>
      </c>
      <c r="P12" s="495">
        <v>560</v>
      </c>
      <c r="Q12" s="495">
        <v>500</v>
      </c>
      <c r="R12" s="495">
        <v>840</v>
      </c>
      <c r="S12" s="495">
        <v>620</v>
      </c>
      <c r="T12" s="495">
        <v>960</v>
      </c>
      <c r="U12" s="495">
        <v>990</v>
      </c>
      <c r="V12" s="495">
        <v>620</v>
      </c>
      <c r="W12" s="495">
        <v>550</v>
      </c>
      <c r="X12" s="495">
        <v>1130</v>
      </c>
      <c r="Y12" s="495">
        <v>680</v>
      </c>
      <c r="Z12" s="495">
        <v>1260</v>
      </c>
      <c r="AA12" s="495">
        <v>1560</v>
      </c>
      <c r="AB12" s="495">
        <v>1890</v>
      </c>
      <c r="AC12" s="495">
        <v>2200</v>
      </c>
      <c r="AD12" s="495" t="s">
        <v>531</v>
      </c>
      <c r="AE12" s="495" t="s">
        <v>531</v>
      </c>
      <c r="AF12" s="495" t="s">
        <v>531</v>
      </c>
      <c r="AG12" s="495">
        <v>180</v>
      </c>
      <c r="AH12" s="495">
        <v>200</v>
      </c>
      <c r="AI12" s="495">
        <v>220</v>
      </c>
      <c r="AJ12" s="495">
        <v>100</v>
      </c>
      <c r="AK12" s="495">
        <v>110</v>
      </c>
      <c r="AL12" s="495">
        <v>120</v>
      </c>
      <c r="AM12" s="495">
        <v>90</v>
      </c>
      <c r="AN12" s="495">
        <v>100</v>
      </c>
      <c r="AO12" s="495">
        <v>110</v>
      </c>
      <c r="AP12" s="495">
        <v>290</v>
      </c>
      <c r="AQ12" s="495">
        <v>260</v>
      </c>
      <c r="AR12" s="495">
        <v>330</v>
      </c>
      <c r="AS12" s="495">
        <v>230</v>
      </c>
      <c r="AT12" s="495">
        <v>270</v>
      </c>
      <c r="AU12" s="495">
        <v>310</v>
      </c>
      <c r="AV12" s="495">
        <v>470</v>
      </c>
      <c r="AW12" s="495">
        <v>530</v>
      </c>
      <c r="AX12" s="495">
        <v>600</v>
      </c>
      <c r="AY12" s="495">
        <v>860</v>
      </c>
      <c r="AZ12" s="495">
        <v>720</v>
      </c>
      <c r="BA12" s="495">
        <v>840</v>
      </c>
      <c r="BB12" s="495">
        <v>960</v>
      </c>
      <c r="BC12" s="495">
        <v>990</v>
      </c>
      <c r="BD12" s="495">
        <v>1130</v>
      </c>
      <c r="BE12" s="495">
        <v>1260</v>
      </c>
      <c r="BF12" s="495">
        <v>1120</v>
      </c>
      <c r="BG12" s="495">
        <v>1310</v>
      </c>
      <c r="BH12" s="495">
        <v>1500</v>
      </c>
      <c r="BI12" s="495">
        <v>1560</v>
      </c>
      <c r="BJ12" s="495">
        <v>1890</v>
      </c>
      <c r="BK12" s="495">
        <v>2200</v>
      </c>
      <c r="BL12" s="495">
        <v>2100</v>
      </c>
      <c r="BM12" s="495">
        <v>2540</v>
      </c>
      <c r="BN12" s="495">
        <v>2960</v>
      </c>
      <c r="BO12" s="495">
        <v>2670</v>
      </c>
      <c r="BP12" s="495">
        <v>3150</v>
      </c>
      <c r="BQ12" s="495">
        <v>3630</v>
      </c>
      <c r="BR12" s="495">
        <v>3770</v>
      </c>
      <c r="BS12" s="495">
        <v>4560</v>
      </c>
      <c r="BT12" s="495">
        <v>5350</v>
      </c>
      <c r="BU12" s="495"/>
      <c r="BV12" s="495"/>
      <c r="BW12" s="495"/>
      <c r="BX12" s="495"/>
      <c r="BY12" s="495"/>
      <c r="BZ12" s="495"/>
      <c r="CA12" s="495"/>
    </row>
    <row r="13" spans="1:79">
      <c r="A13" s="499">
        <v>150</v>
      </c>
      <c r="B13" s="495">
        <v>270</v>
      </c>
      <c r="C13" s="495">
        <v>290</v>
      </c>
      <c r="D13" s="495">
        <v>300</v>
      </c>
      <c r="E13" s="495">
        <v>280</v>
      </c>
      <c r="F13" s="495">
        <v>320</v>
      </c>
      <c r="G13" s="495">
        <v>360</v>
      </c>
      <c r="H13" s="495">
        <v>540</v>
      </c>
      <c r="I13" s="495">
        <v>480</v>
      </c>
      <c r="J13" s="495">
        <v>440</v>
      </c>
      <c r="K13" s="495">
        <v>600</v>
      </c>
      <c r="L13" s="495">
        <v>520</v>
      </c>
      <c r="M13" s="495">
        <v>670</v>
      </c>
      <c r="N13" s="495">
        <v>940</v>
      </c>
      <c r="O13" s="495">
        <v>820</v>
      </c>
      <c r="P13" s="495">
        <v>660</v>
      </c>
      <c r="Q13" s="495">
        <v>600</v>
      </c>
      <c r="R13" s="495">
        <v>930</v>
      </c>
      <c r="S13" s="495">
        <v>720</v>
      </c>
      <c r="T13" s="495">
        <v>1060</v>
      </c>
      <c r="U13" s="495">
        <v>1100</v>
      </c>
      <c r="V13" s="495">
        <v>730</v>
      </c>
      <c r="W13" s="495">
        <v>660</v>
      </c>
      <c r="X13" s="495">
        <v>1240</v>
      </c>
      <c r="Y13" s="495">
        <v>790</v>
      </c>
      <c r="Z13" s="495">
        <v>1370</v>
      </c>
      <c r="AA13" s="495">
        <v>1740</v>
      </c>
      <c r="AB13" s="495">
        <v>2060</v>
      </c>
      <c r="AC13" s="495">
        <v>2380</v>
      </c>
      <c r="AD13" s="495" t="s">
        <v>531</v>
      </c>
      <c r="AE13" s="495" t="s">
        <v>531</v>
      </c>
      <c r="AF13" s="495" t="s">
        <v>531</v>
      </c>
      <c r="AG13" s="495" t="s">
        <v>531</v>
      </c>
      <c r="AH13" s="495" t="s">
        <v>531</v>
      </c>
      <c r="AI13" s="495" t="s">
        <v>531</v>
      </c>
      <c r="AJ13" s="495">
        <v>130</v>
      </c>
      <c r="AK13" s="495">
        <v>140</v>
      </c>
      <c r="AL13" s="495">
        <v>140</v>
      </c>
      <c r="AM13" s="495">
        <v>110</v>
      </c>
      <c r="AN13" s="495">
        <v>120</v>
      </c>
      <c r="AO13" s="495">
        <v>130</v>
      </c>
      <c r="AP13" s="495">
        <v>270</v>
      </c>
      <c r="AQ13" s="495">
        <v>280</v>
      </c>
      <c r="AR13" s="495">
        <v>360</v>
      </c>
      <c r="AS13" s="495">
        <v>280</v>
      </c>
      <c r="AT13" s="495">
        <v>320</v>
      </c>
      <c r="AU13" s="495">
        <v>360</v>
      </c>
      <c r="AV13" s="495">
        <v>540</v>
      </c>
      <c r="AW13" s="495">
        <v>600</v>
      </c>
      <c r="AX13" s="495">
        <v>670</v>
      </c>
      <c r="AY13" s="495">
        <v>940</v>
      </c>
      <c r="AZ13" s="495">
        <v>820</v>
      </c>
      <c r="BA13" s="495">
        <v>930</v>
      </c>
      <c r="BB13" s="495">
        <v>1060</v>
      </c>
      <c r="BC13" s="495">
        <v>1100</v>
      </c>
      <c r="BD13" s="495">
        <v>1240</v>
      </c>
      <c r="BE13" s="495">
        <v>1370</v>
      </c>
      <c r="BF13" s="495">
        <v>1280</v>
      </c>
      <c r="BG13" s="495">
        <v>1470</v>
      </c>
      <c r="BH13" s="495">
        <v>1650</v>
      </c>
      <c r="BI13" s="495">
        <v>1740</v>
      </c>
      <c r="BJ13" s="495">
        <v>2060</v>
      </c>
      <c r="BK13" s="495">
        <v>2380</v>
      </c>
      <c r="BL13" s="495">
        <v>2340</v>
      </c>
      <c r="BM13" s="495">
        <v>2770</v>
      </c>
      <c r="BN13" s="495">
        <v>3200</v>
      </c>
      <c r="BO13" s="495">
        <v>2930</v>
      </c>
      <c r="BP13" s="495">
        <v>3410</v>
      </c>
      <c r="BQ13" s="495">
        <v>3890</v>
      </c>
      <c r="BR13" s="495">
        <v>4100</v>
      </c>
      <c r="BS13" s="495">
        <v>4890</v>
      </c>
      <c r="BT13" s="495">
        <v>5690</v>
      </c>
      <c r="BU13" s="495"/>
      <c r="BV13" s="495"/>
      <c r="BW13" s="495"/>
      <c r="BX13" s="495"/>
      <c r="BY13" s="495"/>
      <c r="BZ13" s="495"/>
      <c r="CA13" s="495"/>
    </row>
    <row r="14" spans="1:79">
      <c r="A14" s="499">
        <v>200</v>
      </c>
      <c r="B14" s="495">
        <v>300</v>
      </c>
      <c r="C14" s="495">
        <v>310</v>
      </c>
      <c r="D14" s="495">
        <v>330</v>
      </c>
      <c r="E14" s="495">
        <v>330</v>
      </c>
      <c r="F14" s="495">
        <v>370</v>
      </c>
      <c r="G14" s="495">
        <v>400</v>
      </c>
      <c r="H14" s="495">
        <v>620</v>
      </c>
      <c r="I14" s="495">
        <v>560</v>
      </c>
      <c r="J14" s="495">
        <v>510</v>
      </c>
      <c r="K14" s="495">
        <v>680</v>
      </c>
      <c r="L14" s="495">
        <v>590</v>
      </c>
      <c r="M14" s="495">
        <v>750</v>
      </c>
      <c r="N14" s="495">
        <v>1010</v>
      </c>
      <c r="O14" s="495">
        <v>920</v>
      </c>
      <c r="P14" s="495">
        <v>760</v>
      </c>
      <c r="Q14" s="495">
        <v>700</v>
      </c>
      <c r="R14" s="495">
        <v>1030</v>
      </c>
      <c r="S14" s="495">
        <v>820</v>
      </c>
      <c r="T14" s="495">
        <v>1160</v>
      </c>
      <c r="U14" s="495">
        <v>1210</v>
      </c>
      <c r="V14" s="495">
        <v>840</v>
      </c>
      <c r="W14" s="495">
        <v>770</v>
      </c>
      <c r="X14" s="495">
        <v>1350</v>
      </c>
      <c r="Y14" s="495">
        <v>900</v>
      </c>
      <c r="Z14" s="495">
        <v>1480</v>
      </c>
      <c r="AA14" s="495">
        <v>1920</v>
      </c>
      <c r="AB14" s="495">
        <v>2240</v>
      </c>
      <c r="AC14" s="495">
        <v>2560</v>
      </c>
      <c r="AD14" s="495" t="s">
        <v>531</v>
      </c>
      <c r="AE14" s="495" t="s">
        <v>531</v>
      </c>
      <c r="AF14" s="495" t="s">
        <v>531</v>
      </c>
      <c r="AG14" s="495" t="s">
        <v>531</v>
      </c>
      <c r="AH14" s="495" t="s">
        <v>531</v>
      </c>
      <c r="AI14" s="495" t="s">
        <v>531</v>
      </c>
      <c r="AJ14" s="495">
        <v>160</v>
      </c>
      <c r="AK14" s="495">
        <v>160</v>
      </c>
      <c r="AL14" s="495">
        <v>170</v>
      </c>
      <c r="AM14" s="495">
        <v>130</v>
      </c>
      <c r="AN14" s="495">
        <v>140</v>
      </c>
      <c r="AO14" s="495">
        <v>150</v>
      </c>
      <c r="AP14" s="495">
        <v>300</v>
      </c>
      <c r="AQ14" s="495">
        <v>310</v>
      </c>
      <c r="AR14" s="495">
        <v>380</v>
      </c>
      <c r="AS14" s="495">
        <v>330</v>
      </c>
      <c r="AT14" s="495">
        <v>370</v>
      </c>
      <c r="AU14" s="495">
        <v>400</v>
      </c>
      <c r="AV14" s="495">
        <v>620</v>
      </c>
      <c r="AW14" s="495">
        <v>680</v>
      </c>
      <c r="AX14" s="495">
        <v>750</v>
      </c>
      <c r="AY14" s="495">
        <v>1010</v>
      </c>
      <c r="AZ14" s="495">
        <v>920</v>
      </c>
      <c r="BA14" s="495">
        <v>1030</v>
      </c>
      <c r="BB14" s="495">
        <v>1160</v>
      </c>
      <c r="BC14" s="495">
        <v>1210</v>
      </c>
      <c r="BD14" s="495">
        <v>1350</v>
      </c>
      <c r="BE14" s="495">
        <v>1480</v>
      </c>
      <c r="BF14" s="495">
        <v>1440</v>
      </c>
      <c r="BG14" s="495">
        <v>1620</v>
      </c>
      <c r="BH14" s="495">
        <v>1810</v>
      </c>
      <c r="BI14" s="495">
        <v>1920</v>
      </c>
      <c r="BJ14" s="495">
        <v>2240</v>
      </c>
      <c r="BK14" s="495">
        <v>2560</v>
      </c>
      <c r="BL14" s="495">
        <v>2580</v>
      </c>
      <c r="BM14" s="495">
        <v>3010</v>
      </c>
      <c r="BN14" s="495">
        <v>3440</v>
      </c>
      <c r="BO14" s="495">
        <v>3200</v>
      </c>
      <c r="BP14" s="495">
        <v>3680</v>
      </c>
      <c r="BQ14" s="495">
        <v>4160</v>
      </c>
      <c r="BR14" s="495">
        <v>4430</v>
      </c>
      <c r="BS14" s="495">
        <v>5220</v>
      </c>
      <c r="BT14" s="495">
        <v>6020</v>
      </c>
      <c r="BU14" s="495"/>
      <c r="BV14" s="495"/>
      <c r="BW14" s="495"/>
      <c r="BX14" s="495"/>
      <c r="BY14" s="495"/>
      <c r="BZ14" s="495"/>
      <c r="CA14" s="495"/>
    </row>
    <row r="15" spans="1:79">
      <c r="A15" s="499">
        <v>250</v>
      </c>
      <c r="B15" s="495">
        <v>320</v>
      </c>
      <c r="C15" s="495">
        <v>340</v>
      </c>
      <c r="D15" s="495">
        <v>350</v>
      </c>
      <c r="E15" s="495">
        <v>380</v>
      </c>
      <c r="F15" s="495">
        <v>420</v>
      </c>
      <c r="G15" s="495">
        <v>450</v>
      </c>
      <c r="H15" s="495">
        <v>690</v>
      </c>
      <c r="I15" s="495">
        <v>630</v>
      </c>
      <c r="J15" s="495">
        <v>580</v>
      </c>
      <c r="K15" s="495">
        <v>750</v>
      </c>
      <c r="L15" s="495">
        <v>670</v>
      </c>
      <c r="M15" s="495">
        <v>820</v>
      </c>
      <c r="N15" s="495">
        <v>1080</v>
      </c>
      <c r="O15" s="495">
        <v>1020</v>
      </c>
      <c r="P15" s="495">
        <v>860</v>
      </c>
      <c r="Q15" s="495">
        <v>800</v>
      </c>
      <c r="R15" s="495">
        <v>1130</v>
      </c>
      <c r="S15" s="495">
        <v>920</v>
      </c>
      <c r="T15" s="495">
        <v>1260</v>
      </c>
      <c r="U15" s="495">
        <v>1320</v>
      </c>
      <c r="V15" s="495">
        <v>950</v>
      </c>
      <c r="W15" s="495">
        <v>880</v>
      </c>
      <c r="X15" s="495">
        <v>1460</v>
      </c>
      <c r="Y15" s="495">
        <v>1010</v>
      </c>
      <c r="Z15" s="495">
        <v>1590</v>
      </c>
      <c r="AA15" s="495">
        <v>2100</v>
      </c>
      <c r="AB15" s="495">
        <v>2420</v>
      </c>
      <c r="AC15" s="495">
        <v>2730</v>
      </c>
      <c r="AD15" s="495" t="s">
        <v>531</v>
      </c>
      <c r="AE15" s="495" t="s">
        <v>531</v>
      </c>
      <c r="AF15" s="495" t="s">
        <v>531</v>
      </c>
      <c r="AG15" s="495" t="s">
        <v>531</v>
      </c>
      <c r="AH15" s="495" t="s">
        <v>531</v>
      </c>
      <c r="AI15" s="495" t="s">
        <v>531</v>
      </c>
      <c r="AJ15" s="495">
        <v>180</v>
      </c>
      <c r="AK15" s="495">
        <v>190</v>
      </c>
      <c r="AL15" s="495">
        <v>200</v>
      </c>
      <c r="AM15" s="495">
        <v>150</v>
      </c>
      <c r="AN15" s="495">
        <v>160</v>
      </c>
      <c r="AO15" s="495">
        <v>170</v>
      </c>
      <c r="AP15" s="495">
        <v>320</v>
      </c>
      <c r="AQ15" s="495">
        <v>330</v>
      </c>
      <c r="AR15" s="495">
        <v>410</v>
      </c>
      <c r="AS15" s="495">
        <v>380</v>
      </c>
      <c r="AT15" s="495">
        <v>420</v>
      </c>
      <c r="AU15" s="495">
        <v>450</v>
      </c>
      <c r="AV15" s="495">
        <v>690</v>
      </c>
      <c r="AW15" s="495">
        <v>750</v>
      </c>
      <c r="AX15" s="495">
        <v>820</v>
      </c>
      <c r="AY15" s="495">
        <v>1080</v>
      </c>
      <c r="AZ15" s="495">
        <v>1020</v>
      </c>
      <c r="BA15" s="495">
        <v>1130</v>
      </c>
      <c r="BB15" s="495">
        <v>1260</v>
      </c>
      <c r="BC15" s="495">
        <v>1320</v>
      </c>
      <c r="BD15" s="495">
        <v>1460</v>
      </c>
      <c r="BE15" s="495">
        <v>1590</v>
      </c>
      <c r="BF15" s="495">
        <v>1590</v>
      </c>
      <c r="BG15" s="495">
        <v>1780</v>
      </c>
      <c r="BH15" s="495">
        <v>1960</v>
      </c>
      <c r="BI15" s="495">
        <v>2100</v>
      </c>
      <c r="BJ15" s="495">
        <v>2420</v>
      </c>
      <c r="BK15" s="495">
        <v>2730</v>
      </c>
      <c r="BL15" s="495">
        <v>2820</v>
      </c>
      <c r="BM15" s="495">
        <v>3250</v>
      </c>
      <c r="BN15" s="495">
        <v>3680</v>
      </c>
      <c r="BO15" s="495">
        <v>3460</v>
      </c>
      <c r="BP15" s="495">
        <v>3950</v>
      </c>
      <c r="BQ15" s="495">
        <v>4430</v>
      </c>
      <c r="BR15" s="495">
        <v>4760</v>
      </c>
      <c r="BS15" s="495">
        <v>5550</v>
      </c>
      <c r="BT15" s="495">
        <v>6350</v>
      </c>
      <c r="BU15" s="495"/>
      <c r="BV15" s="495"/>
      <c r="BW15" s="495"/>
      <c r="BX15" s="495"/>
      <c r="BY15" s="495"/>
      <c r="BZ15" s="495"/>
      <c r="CA15" s="495"/>
    </row>
    <row r="16" spans="1:79">
      <c r="A16" s="499">
        <v>300</v>
      </c>
      <c r="B16" s="495">
        <v>350</v>
      </c>
      <c r="C16" s="495">
        <v>360</v>
      </c>
      <c r="D16" s="495">
        <v>380</v>
      </c>
      <c r="E16" s="495">
        <v>420</v>
      </c>
      <c r="F16" s="495">
        <v>470</v>
      </c>
      <c r="G16" s="495">
        <v>500</v>
      </c>
      <c r="H16" s="495">
        <v>760</v>
      </c>
      <c r="I16" s="495">
        <v>700</v>
      </c>
      <c r="J16" s="495">
        <v>660</v>
      </c>
      <c r="K16" s="495">
        <v>820</v>
      </c>
      <c r="L16" s="495">
        <v>740</v>
      </c>
      <c r="M16" s="495">
        <v>890</v>
      </c>
      <c r="N16" s="495">
        <v>1160</v>
      </c>
      <c r="O16" s="495">
        <v>1120</v>
      </c>
      <c r="P16" s="495">
        <v>960</v>
      </c>
      <c r="Q16" s="495">
        <v>900</v>
      </c>
      <c r="R16" s="495">
        <v>1230</v>
      </c>
      <c r="S16" s="495">
        <v>1020</v>
      </c>
      <c r="T16" s="495">
        <v>1350</v>
      </c>
      <c r="U16" s="495">
        <v>1430</v>
      </c>
      <c r="V16" s="495">
        <v>1060</v>
      </c>
      <c r="W16" s="495">
        <v>990</v>
      </c>
      <c r="X16" s="495">
        <v>1570</v>
      </c>
      <c r="Y16" s="495">
        <v>1120</v>
      </c>
      <c r="Z16" s="495">
        <v>1700</v>
      </c>
      <c r="AA16" s="495">
        <v>2270</v>
      </c>
      <c r="AB16" s="495">
        <v>2590</v>
      </c>
      <c r="AC16" s="495">
        <v>2910</v>
      </c>
      <c r="AD16" s="495" t="s">
        <v>531</v>
      </c>
      <c r="AE16" s="495" t="s">
        <v>531</v>
      </c>
      <c r="AF16" s="495" t="s">
        <v>531</v>
      </c>
      <c r="AG16" s="495" t="s">
        <v>531</v>
      </c>
      <c r="AH16" s="495" t="s">
        <v>531</v>
      </c>
      <c r="AI16" s="495" t="s">
        <v>531</v>
      </c>
      <c r="AJ16" s="495">
        <v>210</v>
      </c>
      <c r="AK16" s="495">
        <v>220</v>
      </c>
      <c r="AL16" s="495">
        <v>230</v>
      </c>
      <c r="AM16" s="495">
        <v>170</v>
      </c>
      <c r="AN16" s="495">
        <v>180</v>
      </c>
      <c r="AO16" s="495">
        <v>190</v>
      </c>
      <c r="AP16" s="495">
        <v>350</v>
      </c>
      <c r="AQ16" s="495">
        <v>360</v>
      </c>
      <c r="AR16" s="495">
        <v>430</v>
      </c>
      <c r="AS16" s="495">
        <v>420</v>
      </c>
      <c r="AT16" s="495">
        <v>470</v>
      </c>
      <c r="AU16" s="495">
        <v>500</v>
      </c>
      <c r="AV16" s="495">
        <v>760</v>
      </c>
      <c r="AW16" s="495">
        <v>820</v>
      </c>
      <c r="AX16" s="495">
        <v>890</v>
      </c>
      <c r="AY16" s="495">
        <v>1160</v>
      </c>
      <c r="AZ16" s="495">
        <v>1120</v>
      </c>
      <c r="BA16" s="495">
        <v>1230</v>
      </c>
      <c r="BB16" s="495">
        <v>1350</v>
      </c>
      <c r="BC16" s="495">
        <v>1430</v>
      </c>
      <c r="BD16" s="495">
        <v>1570</v>
      </c>
      <c r="BE16" s="495">
        <v>1700</v>
      </c>
      <c r="BF16" s="495">
        <v>1750</v>
      </c>
      <c r="BG16" s="495">
        <v>1930</v>
      </c>
      <c r="BH16" s="495">
        <v>2120</v>
      </c>
      <c r="BI16" s="495">
        <v>2270</v>
      </c>
      <c r="BJ16" s="495">
        <v>2590</v>
      </c>
      <c r="BK16" s="495">
        <v>2910</v>
      </c>
      <c r="BL16" s="495">
        <v>3060</v>
      </c>
      <c r="BM16" s="495">
        <v>3490</v>
      </c>
      <c r="BN16" s="495">
        <v>3920</v>
      </c>
      <c r="BO16" s="495">
        <v>3730</v>
      </c>
      <c r="BP16" s="495">
        <v>4210</v>
      </c>
      <c r="BQ16" s="495">
        <v>4690</v>
      </c>
      <c r="BR16" s="495">
        <v>5090</v>
      </c>
      <c r="BS16" s="495">
        <v>5880</v>
      </c>
      <c r="BT16" s="495">
        <v>6680</v>
      </c>
      <c r="BU16" s="495"/>
      <c r="BV16" s="495"/>
      <c r="BW16" s="495"/>
      <c r="BX16" s="495"/>
      <c r="BY16" s="495"/>
      <c r="BZ16" s="495"/>
      <c r="CA16" s="495"/>
    </row>
    <row r="17" spans="1:79">
      <c r="A17" s="499">
        <v>350</v>
      </c>
      <c r="B17" s="495">
        <v>370</v>
      </c>
      <c r="C17" s="495">
        <v>390</v>
      </c>
      <c r="D17" s="495">
        <v>400</v>
      </c>
      <c r="E17" s="495">
        <v>500</v>
      </c>
      <c r="F17" s="495">
        <v>540</v>
      </c>
      <c r="G17" s="495">
        <v>580</v>
      </c>
      <c r="H17" s="495">
        <v>840</v>
      </c>
      <c r="I17" s="495">
        <v>780</v>
      </c>
      <c r="J17" s="495">
        <v>730</v>
      </c>
      <c r="K17" s="495">
        <v>900</v>
      </c>
      <c r="L17" s="495">
        <v>810</v>
      </c>
      <c r="M17" s="495">
        <v>970</v>
      </c>
      <c r="N17" s="495">
        <v>1230</v>
      </c>
      <c r="O17" s="495">
        <v>1220</v>
      </c>
      <c r="P17" s="495">
        <v>1060</v>
      </c>
      <c r="Q17" s="495">
        <v>1000</v>
      </c>
      <c r="R17" s="495">
        <v>1330</v>
      </c>
      <c r="S17" s="495">
        <v>1120</v>
      </c>
      <c r="T17" s="495">
        <v>1450</v>
      </c>
      <c r="U17" s="495">
        <v>1540</v>
      </c>
      <c r="V17" s="495">
        <v>1170</v>
      </c>
      <c r="W17" s="495">
        <v>1100</v>
      </c>
      <c r="X17" s="495">
        <v>1680</v>
      </c>
      <c r="Y17" s="495">
        <v>1230</v>
      </c>
      <c r="Z17" s="495">
        <v>1810</v>
      </c>
      <c r="AA17" s="495">
        <v>2450</v>
      </c>
      <c r="AB17" s="495">
        <v>2770</v>
      </c>
      <c r="AC17" s="495">
        <v>3090</v>
      </c>
      <c r="AD17" s="495" t="s">
        <v>531</v>
      </c>
      <c r="AE17" s="495" t="s">
        <v>531</v>
      </c>
      <c r="AF17" s="495" t="s">
        <v>531</v>
      </c>
      <c r="AG17" s="495" t="s">
        <v>531</v>
      </c>
      <c r="AH17" s="495" t="s">
        <v>531</v>
      </c>
      <c r="AI17" s="495" t="s">
        <v>531</v>
      </c>
      <c r="AJ17" s="495" t="s">
        <v>531</v>
      </c>
      <c r="AK17" s="495" t="s">
        <v>531</v>
      </c>
      <c r="AL17" s="495" t="s">
        <v>531</v>
      </c>
      <c r="AM17" s="495">
        <v>190</v>
      </c>
      <c r="AN17" s="495">
        <v>200</v>
      </c>
      <c r="AO17" s="495">
        <v>210</v>
      </c>
      <c r="AP17" s="495">
        <v>370</v>
      </c>
      <c r="AQ17" s="495">
        <v>380</v>
      </c>
      <c r="AR17" s="495">
        <v>460</v>
      </c>
      <c r="AS17" s="495">
        <v>500</v>
      </c>
      <c r="AT17" s="495">
        <v>540</v>
      </c>
      <c r="AU17" s="495">
        <v>580</v>
      </c>
      <c r="AV17" s="495">
        <v>840</v>
      </c>
      <c r="AW17" s="495">
        <v>900</v>
      </c>
      <c r="AX17" s="495">
        <v>970</v>
      </c>
      <c r="AY17" s="495">
        <v>1230</v>
      </c>
      <c r="AZ17" s="495">
        <v>1220</v>
      </c>
      <c r="BA17" s="495">
        <v>1330</v>
      </c>
      <c r="BB17" s="495">
        <v>1450</v>
      </c>
      <c r="BC17" s="495">
        <v>1540</v>
      </c>
      <c r="BD17" s="495">
        <v>1680</v>
      </c>
      <c r="BE17" s="495">
        <v>1810</v>
      </c>
      <c r="BF17" s="495">
        <v>1900</v>
      </c>
      <c r="BG17" s="495">
        <v>2090</v>
      </c>
      <c r="BH17" s="495">
        <v>2280</v>
      </c>
      <c r="BI17" s="495">
        <v>2450</v>
      </c>
      <c r="BJ17" s="495">
        <v>2770</v>
      </c>
      <c r="BK17" s="495">
        <v>3090</v>
      </c>
      <c r="BL17" s="495">
        <v>3300</v>
      </c>
      <c r="BM17" s="495">
        <v>3730</v>
      </c>
      <c r="BN17" s="495">
        <v>4160</v>
      </c>
      <c r="BO17" s="495">
        <v>4000</v>
      </c>
      <c r="BP17" s="495">
        <v>4480</v>
      </c>
      <c r="BQ17" s="495">
        <v>4960</v>
      </c>
      <c r="BR17" s="495">
        <v>5420</v>
      </c>
      <c r="BS17" s="495">
        <v>6220</v>
      </c>
      <c r="BT17" s="495">
        <v>7010</v>
      </c>
      <c r="BU17" s="495"/>
      <c r="BV17" s="495"/>
      <c r="BW17" s="495"/>
      <c r="BX17" s="495"/>
      <c r="BY17" s="495"/>
      <c r="BZ17" s="495"/>
      <c r="CA17" s="495"/>
    </row>
    <row r="18" spans="1:79">
      <c r="A18" s="499">
        <v>400</v>
      </c>
      <c r="B18" s="495">
        <v>410</v>
      </c>
      <c r="C18" s="495">
        <v>430</v>
      </c>
      <c r="D18" s="495">
        <v>440</v>
      </c>
      <c r="E18" s="495">
        <v>550</v>
      </c>
      <c r="F18" s="495">
        <v>590</v>
      </c>
      <c r="G18" s="495">
        <v>630</v>
      </c>
      <c r="H18" s="495">
        <v>910</v>
      </c>
      <c r="I18" s="495">
        <v>850</v>
      </c>
      <c r="J18" s="495">
        <v>800</v>
      </c>
      <c r="K18" s="495">
        <v>970</v>
      </c>
      <c r="L18" s="495">
        <v>890</v>
      </c>
      <c r="M18" s="495">
        <v>1040</v>
      </c>
      <c r="N18" s="495">
        <v>1300</v>
      </c>
      <c r="O18" s="495">
        <v>1320</v>
      </c>
      <c r="P18" s="495">
        <v>1160</v>
      </c>
      <c r="Q18" s="495">
        <v>1100</v>
      </c>
      <c r="R18" s="495">
        <v>1430</v>
      </c>
      <c r="S18" s="495">
        <v>1220</v>
      </c>
      <c r="T18" s="495">
        <v>1550</v>
      </c>
      <c r="U18" s="495">
        <v>1650</v>
      </c>
      <c r="V18" s="495">
        <v>1280</v>
      </c>
      <c r="W18" s="495">
        <v>1210</v>
      </c>
      <c r="X18" s="495">
        <v>1790</v>
      </c>
      <c r="Y18" s="495">
        <v>1340</v>
      </c>
      <c r="Z18" s="495">
        <v>1920</v>
      </c>
      <c r="AA18" s="495">
        <v>2630</v>
      </c>
      <c r="AB18" s="495">
        <v>2950</v>
      </c>
      <c r="AC18" s="495">
        <v>3270</v>
      </c>
      <c r="AD18" s="495" t="s">
        <v>531</v>
      </c>
      <c r="AE18" s="495" t="s">
        <v>531</v>
      </c>
      <c r="AF18" s="495" t="s">
        <v>531</v>
      </c>
      <c r="AG18" s="495" t="s">
        <v>531</v>
      </c>
      <c r="AH18" s="495" t="s">
        <v>531</v>
      </c>
      <c r="AI18" s="495" t="s">
        <v>531</v>
      </c>
      <c r="AJ18" s="495" t="s">
        <v>531</v>
      </c>
      <c r="AK18" s="495" t="s">
        <v>531</v>
      </c>
      <c r="AL18" s="495" t="s">
        <v>531</v>
      </c>
      <c r="AM18" s="495">
        <v>220</v>
      </c>
      <c r="AN18" s="495">
        <v>230</v>
      </c>
      <c r="AO18" s="495">
        <v>240</v>
      </c>
      <c r="AP18" s="495">
        <v>410</v>
      </c>
      <c r="AQ18" s="495">
        <v>420</v>
      </c>
      <c r="AR18" s="495">
        <v>500</v>
      </c>
      <c r="AS18" s="495">
        <v>550</v>
      </c>
      <c r="AT18" s="495">
        <v>590</v>
      </c>
      <c r="AU18" s="495">
        <v>630</v>
      </c>
      <c r="AV18" s="495">
        <v>910</v>
      </c>
      <c r="AW18" s="495">
        <v>970</v>
      </c>
      <c r="AX18" s="495">
        <v>1040</v>
      </c>
      <c r="AY18" s="495">
        <v>1300</v>
      </c>
      <c r="AZ18" s="495">
        <v>1320</v>
      </c>
      <c r="BA18" s="495">
        <v>1430</v>
      </c>
      <c r="BB18" s="495">
        <v>1550</v>
      </c>
      <c r="BC18" s="495">
        <v>1650</v>
      </c>
      <c r="BD18" s="495">
        <v>1790</v>
      </c>
      <c r="BE18" s="495">
        <v>1920</v>
      </c>
      <c r="BF18" s="495">
        <v>2060</v>
      </c>
      <c r="BG18" s="495">
        <v>2240</v>
      </c>
      <c r="BH18" s="495">
        <v>2430</v>
      </c>
      <c r="BI18" s="495">
        <v>2630</v>
      </c>
      <c r="BJ18" s="495">
        <v>2950</v>
      </c>
      <c r="BK18" s="495">
        <v>3270</v>
      </c>
      <c r="BL18" s="495">
        <v>3540</v>
      </c>
      <c r="BM18" s="495">
        <v>3970</v>
      </c>
      <c r="BN18" s="495">
        <v>4400</v>
      </c>
      <c r="BO18" s="495">
        <v>4260</v>
      </c>
      <c r="BP18" s="495">
        <v>4750</v>
      </c>
      <c r="BQ18" s="495">
        <v>5230</v>
      </c>
      <c r="BR18" s="495">
        <v>5750</v>
      </c>
      <c r="BS18" s="495">
        <v>6550</v>
      </c>
      <c r="BT18" s="495">
        <v>7340</v>
      </c>
      <c r="BU18" s="495"/>
      <c r="BV18" s="495"/>
      <c r="BW18" s="495"/>
      <c r="BX18" s="495"/>
      <c r="BY18" s="495"/>
      <c r="BZ18" s="495"/>
      <c r="CA18" s="495"/>
    </row>
    <row r="19" spans="1:79">
      <c r="A19" s="499">
        <v>450</v>
      </c>
      <c r="B19" s="495">
        <v>440</v>
      </c>
      <c r="C19" s="495">
        <v>450</v>
      </c>
      <c r="D19" s="495">
        <v>470</v>
      </c>
      <c r="E19" s="495">
        <v>600</v>
      </c>
      <c r="F19" s="495">
        <v>640</v>
      </c>
      <c r="G19" s="495">
        <v>670</v>
      </c>
      <c r="H19" s="495">
        <v>980</v>
      </c>
      <c r="I19" s="495">
        <v>920</v>
      </c>
      <c r="J19" s="495">
        <v>880</v>
      </c>
      <c r="K19" s="495">
        <v>1040</v>
      </c>
      <c r="L19" s="495">
        <v>960</v>
      </c>
      <c r="M19" s="495">
        <v>1110</v>
      </c>
      <c r="N19" s="495">
        <v>1370</v>
      </c>
      <c r="O19" s="495">
        <v>1420</v>
      </c>
      <c r="P19" s="495">
        <v>1260</v>
      </c>
      <c r="Q19" s="495">
        <v>1200</v>
      </c>
      <c r="R19" s="495">
        <v>1530</v>
      </c>
      <c r="S19" s="495">
        <v>1320</v>
      </c>
      <c r="T19" s="495">
        <v>1650</v>
      </c>
      <c r="U19" s="495">
        <v>1760</v>
      </c>
      <c r="V19" s="495">
        <v>1390</v>
      </c>
      <c r="W19" s="495">
        <v>1320</v>
      </c>
      <c r="X19" s="495">
        <v>1900</v>
      </c>
      <c r="Y19" s="495">
        <v>1450</v>
      </c>
      <c r="Z19" s="495">
        <v>2030</v>
      </c>
      <c r="AA19" s="495">
        <v>2800</v>
      </c>
      <c r="AB19" s="495">
        <v>3130</v>
      </c>
      <c r="AC19" s="495">
        <v>3440</v>
      </c>
      <c r="AD19" s="495" t="s">
        <v>531</v>
      </c>
      <c r="AE19" s="495" t="s">
        <v>531</v>
      </c>
      <c r="AF19" s="495" t="s">
        <v>531</v>
      </c>
      <c r="AG19" s="495" t="s">
        <v>531</v>
      </c>
      <c r="AH19" s="495" t="s">
        <v>531</v>
      </c>
      <c r="AI19" s="495" t="s">
        <v>531</v>
      </c>
      <c r="AJ19" s="495" t="s">
        <v>531</v>
      </c>
      <c r="AK19" s="495" t="s">
        <v>531</v>
      </c>
      <c r="AL19" s="495" t="s">
        <v>531</v>
      </c>
      <c r="AM19" s="495">
        <v>240</v>
      </c>
      <c r="AN19" s="495">
        <v>250</v>
      </c>
      <c r="AO19" s="495">
        <v>260</v>
      </c>
      <c r="AP19" s="495">
        <v>440</v>
      </c>
      <c r="AQ19" s="495">
        <v>450</v>
      </c>
      <c r="AR19" s="495">
        <v>520</v>
      </c>
      <c r="AS19" s="495">
        <v>600</v>
      </c>
      <c r="AT19" s="495">
        <v>640</v>
      </c>
      <c r="AU19" s="495">
        <v>670</v>
      </c>
      <c r="AV19" s="495">
        <v>980</v>
      </c>
      <c r="AW19" s="495">
        <v>1040</v>
      </c>
      <c r="AX19" s="495">
        <v>1110</v>
      </c>
      <c r="AY19" s="495">
        <v>1370</v>
      </c>
      <c r="AZ19" s="495">
        <v>1420</v>
      </c>
      <c r="BA19" s="495">
        <v>1530</v>
      </c>
      <c r="BB19" s="495">
        <v>1650</v>
      </c>
      <c r="BC19" s="495">
        <v>1760</v>
      </c>
      <c r="BD19" s="495">
        <v>1900</v>
      </c>
      <c r="BE19" s="495">
        <v>2030</v>
      </c>
      <c r="BF19" s="495">
        <v>2210</v>
      </c>
      <c r="BG19" s="495">
        <v>2400</v>
      </c>
      <c r="BH19" s="495">
        <v>2590</v>
      </c>
      <c r="BI19" s="495">
        <v>2800</v>
      </c>
      <c r="BJ19" s="495">
        <v>3130</v>
      </c>
      <c r="BK19" s="495">
        <v>3440</v>
      </c>
      <c r="BL19" s="495">
        <v>3780</v>
      </c>
      <c r="BM19" s="495">
        <v>4210</v>
      </c>
      <c r="BN19" s="495">
        <v>4630</v>
      </c>
      <c r="BO19" s="495">
        <v>4530</v>
      </c>
      <c r="BP19" s="495">
        <v>5010</v>
      </c>
      <c r="BQ19" s="495">
        <v>5490</v>
      </c>
      <c r="BR19" s="495">
        <v>6080</v>
      </c>
      <c r="BS19" s="495">
        <v>6880</v>
      </c>
      <c r="BT19" s="495">
        <v>7670</v>
      </c>
      <c r="BU19" s="495"/>
      <c r="BV19" s="495"/>
      <c r="BW19" s="495"/>
      <c r="BX19" s="495"/>
      <c r="BY19" s="495"/>
      <c r="BZ19" s="495"/>
      <c r="CA19" s="495"/>
    </row>
    <row r="20" spans="1:79">
      <c r="A20" s="499">
        <v>500</v>
      </c>
      <c r="B20" s="495">
        <v>460</v>
      </c>
      <c r="C20" s="495">
        <v>480</v>
      </c>
      <c r="D20" s="495">
        <v>490</v>
      </c>
      <c r="E20" s="495">
        <v>650</v>
      </c>
      <c r="F20" s="495">
        <v>690</v>
      </c>
      <c r="G20" s="495">
        <v>720</v>
      </c>
      <c r="H20" s="495">
        <v>1050</v>
      </c>
      <c r="I20" s="495">
        <v>990</v>
      </c>
      <c r="J20" s="495">
        <v>950</v>
      </c>
      <c r="K20" s="495">
        <v>1110</v>
      </c>
      <c r="L20" s="495">
        <v>1030</v>
      </c>
      <c r="M20" s="495">
        <v>1180</v>
      </c>
      <c r="N20" s="495">
        <v>1450</v>
      </c>
      <c r="O20" s="495">
        <v>1520</v>
      </c>
      <c r="P20" s="495">
        <v>1360</v>
      </c>
      <c r="Q20" s="495">
        <v>1300</v>
      </c>
      <c r="R20" s="495">
        <v>1630</v>
      </c>
      <c r="S20" s="495">
        <v>1420</v>
      </c>
      <c r="T20" s="495">
        <v>1750</v>
      </c>
      <c r="U20" s="495">
        <v>1870</v>
      </c>
      <c r="V20" s="495">
        <v>1500</v>
      </c>
      <c r="W20" s="495">
        <v>1430</v>
      </c>
      <c r="X20" s="495">
        <v>2010</v>
      </c>
      <c r="Y20" s="495">
        <v>1560</v>
      </c>
      <c r="Z20" s="495">
        <v>2140</v>
      </c>
      <c r="AA20" s="495">
        <v>2980</v>
      </c>
      <c r="AB20" s="495">
        <v>3300</v>
      </c>
      <c r="AC20" s="495">
        <v>3620</v>
      </c>
      <c r="AD20" s="495" t="s">
        <v>531</v>
      </c>
      <c r="AE20" s="495" t="s">
        <v>531</v>
      </c>
      <c r="AF20" s="495" t="s">
        <v>531</v>
      </c>
      <c r="AG20" s="495" t="s">
        <v>531</v>
      </c>
      <c r="AH20" s="495" t="s">
        <v>531</v>
      </c>
      <c r="AI20" s="495" t="s">
        <v>531</v>
      </c>
      <c r="AJ20" s="495" t="s">
        <v>531</v>
      </c>
      <c r="AK20" s="495" t="s">
        <v>531</v>
      </c>
      <c r="AL20" s="495" t="s">
        <v>531</v>
      </c>
      <c r="AM20" s="495">
        <v>260</v>
      </c>
      <c r="AN20" s="495">
        <v>270</v>
      </c>
      <c r="AO20" s="495">
        <v>280</v>
      </c>
      <c r="AP20" s="495">
        <v>460</v>
      </c>
      <c r="AQ20" s="495">
        <v>470</v>
      </c>
      <c r="AR20" s="495">
        <v>550</v>
      </c>
      <c r="AS20" s="495">
        <v>650</v>
      </c>
      <c r="AT20" s="495">
        <v>690</v>
      </c>
      <c r="AU20" s="495">
        <v>720</v>
      </c>
      <c r="AV20" s="495">
        <v>1050</v>
      </c>
      <c r="AW20" s="495">
        <v>1110</v>
      </c>
      <c r="AX20" s="495">
        <v>1180</v>
      </c>
      <c r="AY20" s="495">
        <v>1450</v>
      </c>
      <c r="AZ20" s="495">
        <v>1520</v>
      </c>
      <c r="BA20" s="495">
        <v>1630</v>
      </c>
      <c r="BB20" s="495">
        <v>1750</v>
      </c>
      <c r="BC20" s="495">
        <v>1870</v>
      </c>
      <c r="BD20" s="495">
        <v>2010</v>
      </c>
      <c r="BE20" s="495">
        <v>2140</v>
      </c>
      <c r="BF20" s="495">
        <v>2370</v>
      </c>
      <c r="BG20" s="495">
        <v>2560</v>
      </c>
      <c r="BH20" s="495">
        <v>2740</v>
      </c>
      <c r="BI20" s="495">
        <v>2980</v>
      </c>
      <c r="BJ20" s="495">
        <v>3300</v>
      </c>
      <c r="BK20" s="495">
        <v>3620</v>
      </c>
      <c r="BL20" s="495">
        <v>4010</v>
      </c>
      <c r="BM20" s="495">
        <v>4450</v>
      </c>
      <c r="BN20" s="495">
        <v>4870</v>
      </c>
      <c r="BO20" s="495">
        <v>4800</v>
      </c>
      <c r="BP20" s="495">
        <v>5280</v>
      </c>
      <c r="BQ20" s="495">
        <v>5760</v>
      </c>
      <c r="BR20" s="495">
        <v>6410</v>
      </c>
      <c r="BS20" s="495">
        <v>7210</v>
      </c>
      <c r="BT20" s="495">
        <v>8000</v>
      </c>
      <c r="BU20" s="495"/>
      <c r="BV20" s="495"/>
      <c r="BW20" s="495"/>
      <c r="BX20" s="495"/>
      <c r="BY20" s="495"/>
      <c r="BZ20" s="495"/>
      <c r="CA20" s="495"/>
    </row>
    <row r="21" spans="1:79">
      <c r="A21" s="499">
        <v>550</v>
      </c>
      <c r="B21" s="495">
        <v>490</v>
      </c>
      <c r="C21" s="495">
        <v>500</v>
      </c>
      <c r="D21" s="495">
        <v>520</v>
      </c>
      <c r="E21" s="495">
        <v>690</v>
      </c>
      <c r="F21" s="495">
        <v>730</v>
      </c>
      <c r="G21" s="495">
        <v>770</v>
      </c>
      <c r="H21" s="495">
        <v>1130</v>
      </c>
      <c r="I21" s="495">
        <v>1070</v>
      </c>
      <c r="J21" s="495">
        <v>1020</v>
      </c>
      <c r="K21" s="495">
        <v>1190</v>
      </c>
      <c r="L21" s="495">
        <v>1100</v>
      </c>
      <c r="M21" s="495">
        <v>1260</v>
      </c>
      <c r="N21" s="495">
        <v>1580</v>
      </c>
      <c r="O21" s="495">
        <v>1620</v>
      </c>
      <c r="P21" s="495">
        <v>1460</v>
      </c>
      <c r="Q21" s="495">
        <v>1400</v>
      </c>
      <c r="R21" s="495">
        <v>1730</v>
      </c>
      <c r="S21" s="495">
        <v>1520</v>
      </c>
      <c r="T21" s="495">
        <v>1850</v>
      </c>
      <c r="U21" s="495">
        <v>1980</v>
      </c>
      <c r="V21" s="495">
        <v>1610</v>
      </c>
      <c r="W21" s="495">
        <v>1540</v>
      </c>
      <c r="X21" s="495">
        <v>2120</v>
      </c>
      <c r="Y21" s="495">
        <v>1670</v>
      </c>
      <c r="Z21" s="495">
        <v>2250</v>
      </c>
      <c r="AA21" s="495">
        <v>3160</v>
      </c>
      <c r="AB21" s="495">
        <v>3480</v>
      </c>
      <c r="AC21" s="495">
        <v>3800</v>
      </c>
      <c r="AD21" s="495" t="s">
        <v>531</v>
      </c>
      <c r="AE21" s="495" t="s">
        <v>531</v>
      </c>
      <c r="AF21" s="495" t="s">
        <v>531</v>
      </c>
      <c r="AG21" s="495" t="s">
        <v>531</v>
      </c>
      <c r="AH21" s="495" t="s">
        <v>531</v>
      </c>
      <c r="AI21" s="495" t="s">
        <v>531</v>
      </c>
      <c r="AJ21" s="495" t="s">
        <v>531</v>
      </c>
      <c r="AK21" s="495" t="s">
        <v>531</v>
      </c>
      <c r="AL21" s="495" t="s">
        <v>531</v>
      </c>
      <c r="AM21" s="495">
        <v>280</v>
      </c>
      <c r="AN21" s="495">
        <v>290</v>
      </c>
      <c r="AO21" s="495">
        <v>300</v>
      </c>
      <c r="AP21" s="495">
        <v>490</v>
      </c>
      <c r="AQ21" s="495">
        <v>500</v>
      </c>
      <c r="AR21" s="495">
        <v>570</v>
      </c>
      <c r="AS21" s="495">
        <v>690</v>
      </c>
      <c r="AT21" s="495">
        <v>730</v>
      </c>
      <c r="AU21" s="495">
        <v>770</v>
      </c>
      <c r="AV21" s="495">
        <v>1130</v>
      </c>
      <c r="AW21" s="495">
        <v>1190</v>
      </c>
      <c r="AX21" s="495">
        <v>1260</v>
      </c>
      <c r="AY21" s="495">
        <v>1580</v>
      </c>
      <c r="AZ21" s="495">
        <v>1620</v>
      </c>
      <c r="BA21" s="495">
        <v>1730</v>
      </c>
      <c r="BB21" s="495">
        <v>1850</v>
      </c>
      <c r="BC21" s="495">
        <v>1980</v>
      </c>
      <c r="BD21" s="495">
        <v>2120</v>
      </c>
      <c r="BE21" s="495">
        <v>2250</v>
      </c>
      <c r="BF21" s="495">
        <v>2520</v>
      </c>
      <c r="BG21" s="495">
        <v>2710</v>
      </c>
      <c r="BH21" s="495">
        <v>2900</v>
      </c>
      <c r="BI21" s="495">
        <v>3160</v>
      </c>
      <c r="BJ21" s="495">
        <v>3480</v>
      </c>
      <c r="BK21" s="495">
        <v>3800</v>
      </c>
      <c r="BL21" s="495">
        <v>4250</v>
      </c>
      <c r="BM21" s="495">
        <v>4690</v>
      </c>
      <c r="BN21" s="495">
        <v>5110</v>
      </c>
      <c r="BO21" s="495">
        <v>5060</v>
      </c>
      <c r="BP21" s="495">
        <v>5540</v>
      </c>
      <c r="BQ21" s="495">
        <v>6020</v>
      </c>
      <c r="BR21" s="495">
        <v>6740</v>
      </c>
      <c r="BS21" s="495">
        <v>7540</v>
      </c>
      <c r="BT21" s="495">
        <v>8330</v>
      </c>
      <c r="BU21" s="495"/>
      <c r="BV21" s="495"/>
      <c r="BW21" s="495"/>
      <c r="BX21" s="495"/>
      <c r="BY21" s="495"/>
      <c r="BZ21" s="495"/>
      <c r="CA21" s="495"/>
    </row>
    <row r="22" spans="1:79">
      <c r="A22" s="499">
        <v>600</v>
      </c>
      <c r="B22" s="495">
        <v>510</v>
      </c>
      <c r="C22" s="495">
        <v>520</v>
      </c>
      <c r="D22" s="495">
        <v>540</v>
      </c>
      <c r="E22" s="495">
        <v>740</v>
      </c>
      <c r="F22" s="495">
        <v>780</v>
      </c>
      <c r="G22" s="495">
        <v>820</v>
      </c>
      <c r="H22" s="495">
        <v>1200</v>
      </c>
      <c r="I22" s="495">
        <v>1140</v>
      </c>
      <c r="J22" s="495">
        <v>1090</v>
      </c>
      <c r="K22" s="495">
        <v>1260</v>
      </c>
      <c r="L22" s="495">
        <v>1180</v>
      </c>
      <c r="M22" s="495">
        <v>1330</v>
      </c>
      <c r="N22" s="495">
        <v>1650</v>
      </c>
      <c r="O22" s="495">
        <v>1720</v>
      </c>
      <c r="P22" s="495">
        <v>1560</v>
      </c>
      <c r="Q22" s="495">
        <v>1500</v>
      </c>
      <c r="R22" s="495">
        <v>1830</v>
      </c>
      <c r="S22" s="495">
        <v>1620</v>
      </c>
      <c r="T22" s="495">
        <v>1950</v>
      </c>
      <c r="U22" s="495">
        <v>2090</v>
      </c>
      <c r="V22" s="495">
        <v>1720</v>
      </c>
      <c r="W22" s="495">
        <v>1650</v>
      </c>
      <c r="X22" s="495">
        <v>2230</v>
      </c>
      <c r="Y22" s="495">
        <v>1780</v>
      </c>
      <c r="Z22" s="495">
        <v>2360</v>
      </c>
      <c r="AA22" s="495">
        <v>3480</v>
      </c>
      <c r="AB22" s="495">
        <v>3800</v>
      </c>
      <c r="AC22" s="495">
        <v>4120</v>
      </c>
      <c r="AD22" s="495" t="s">
        <v>531</v>
      </c>
      <c r="AE22" s="495" t="s">
        <v>531</v>
      </c>
      <c r="AF22" s="495" t="s">
        <v>531</v>
      </c>
      <c r="AG22" s="495" t="s">
        <v>531</v>
      </c>
      <c r="AH22" s="495" t="s">
        <v>531</v>
      </c>
      <c r="AI22" s="495" t="s">
        <v>531</v>
      </c>
      <c r="AJ22" s="495" t="s">
        <v>531</v>
      </c>
      <c r="AK22" s="495" t="s">
        <v>531</v>
      </c>
      <c r="AL22" s="495" t="s">
        <v>531</v>
      </c>
      <c r="AM22" s="495">
        <v>300</v>
      </c>
      <c r="AN22" s="495">
        <v>310</v>
      </c>
      <c r="AO22" s="495">
        <v>320</v>
      </c>
      <c r="AP22" s="495">
        <v>510</v>
      </c>
      <c r="AQ22" s="495">
        <v>520</v>
      </c>
      <c r="AR22" s="495">
        <v>600</v>
      </c>
      <c r="AS22" s="495">
        <v>740</v>
      </c>
      <c r="AT22" s="495">
        <v>780</v>
      </c>
      <c r="AU22" s="495">
        <v>820</v>
      </c>
      <c r="AV22" s="495">
        <v>1200</v>
      </c>
      <c r="AW22" s="495">
        <v>1260</v>
      </c>
      <c r="AX22" s="495">
        <v>1330</v>
      </c>
      <c r="AY22" s="495">
        <v>1650</v>
      </c>
      <c r="AZ22" s="495">
        <v>1720</v>
      </c>
      <c r="BA22" s="495">
        <v>1830</v>
      </c>
      <c r="BB22" s="495">
        <v>1950</v>
      </c>
      <c r="BC22" s="495">
        <v>2090</v>
      </c>
      <c r="BD22" s="495">
        <v>2230</v>
      </c>
      <c r="BE22" s="495">
        <v>2360</v>
      </c>
      <c r="BF22" s="495">
        <v>2680</v>
      </c>
      <c r="BG22" s="495">
        <v>2870</v>
      </c>
      <c r="BH22" s="495">
        <v>3050</v>
      </c>
      <c r="BI22" s="495">
        <v>3480</v>
      </c>
      <c r="BJ22" s="495">
        <v>3800</v>
      </c>
      <c r="BK22" s="495">
        <v>4120</v>
      </c>
      <c r="BL22" s="495">
        <v>4680</v>
      </c>
      <c r="BM22" s="495">
        <v>5120</v>
      </c>
      <c r="BN22" s="495">
        <v>5540</v>
      </c>
      <c r="BO22" s="495">
        <v>5330</v>
      </c>
      <c r="BP22" s="495">
        <v>5810</v>
      </c>
      <c r="BQ22" s="495">
        <v>6290</v>
      </c>
      <c r="BR22" s="495">
        <v>7080</v>
      </c>
      <c r="BS22" s="495">
        <v>7870</v>
      </c>
      <c r="BT22" s="495">
        <v>8660</v>
      </c>
      <c r="BU22" s="495"/>
      <c r="BV22" s="495"/>
      <c r="BW22" s="495"/>
      <c r="BX22" s="495"/>
      <c r="BY22" s="495"/>
      <c r="BZ22" s="495"/>
      <c r="CA22" s="495"/>
    </row>
    <row r="23" spans="1:79">
      <c r="A23" s="499">
        <v>650</v>
      </c>
      <c r="B23" s="495">
        <v>530</v>
      </c>
      <c r="C23" s="495">
        <v>550</v>
      </c>
      <c r="D23" s="495">
        <v>560</v>
      </c>
      <c r="E23" s="495">
        <v>790</v>
      </c>
      <c r="F23" s="495">
        <v>830</v>
      </c>
      <c r="G23" s="495">
        <v>870</v>
      </c>
      <c r="H23" s="495">
        <v>1270</v>
      </c>
      <c r="I23" s="495">
        <v>1210</v>
      </c>
      <c r="J23" s="495">
        <v>1170</v>
      </c>
      <c r="K23" s="495">
        <v>1330</v>
      </c>
      <c r="L23" s="495">
        <v>1250</v>
      </c>
      <c r="M23" s="495">
        <v>1400</v>
      </c>
      <c r="N23" s="495">
        <v>1720</v>
      </c>
      <c r="O23" s="495">
        <v>1820</v>
      </c>
      <c r="P23" s="495">
        <v>1660</v>
      </c>
      <c r="Q23" s="495">
        <v>1600</v>
      </c>
      <c r="R23" s="495">
        <v>1930</v>
      </c>
      <c r="S23" s="495">
        <v>1720</v>
      </c>
      <c r="T23" s="495">
        <v>2050</v>
      </c>
      <c r="U23" s="495">
        <v>2200</v>
      </c>
      <c r="V23" s="495">
        <v>1830</v>
      </c>
      <c r="W23" s="495">
        <v>1760</v>
      </c>
      <c r="X23" s="495">
        <v>2340</v>
      </c>
      <c r="Y23" s="495">
        <v>1890</v>
      </c>
      <c r="Z23" s="495">
        <v>2470</v>
      </c>
      <c r="AA23" s="495">
        <v>3660</v>
      </c>
      <c r="AB23" s="495">
        <v>3980</v>
      </c>
      <c r="AC23" s="495">
        <v>4290</v>
      </c>
      <c r="AD23" s="495" t="s">
        <v>531</v>
      </c>
      <c r="AE23" s="495" t="s">
        <v>531</v>
      </c>
      <c r="AF23" s="495" t="s">
        <v>531</v>
      </c>
      <c r="AG23" s="495" t="s">
        <v>531</v>
      </c>
      <c r="AH23" s="495" t="s">
        <v>531</v>
      </c>
      <c r="AI23" s="495" t="s">
        <v>531</v>
      </c>
      <c r="AJ23" s="495" t="s">
        <v>531</v>
      </c>
      <c r="AK23" s="495" t="s">
        <v>531</v>
      </c>
      <c r="AL23" s="495" t="s">
        <v>531</v>
      </c>
      <c r="AM23" s="495">
        <v>320</v>
      </c>
      <c r="AN23" s="495">
        <v>330</v>
      </c>
      <c r="AO23" s="495">
        <v>340</v>
      </c>
      <c r="AP23" s="495">
        <v>530</v>
      </c>
      <c r="AQ23" s="495">
        <v>540</v>
      </c>
      <c r="AR23" s="495">
        <v>620</v>
      </c>
      <c r="AS23" s="495">
        <v>790</v>
      </c>
      <c r="AT23" s="495">
        <v>830</v>
      </c>
      <c r="AU23" s="495">
        <v>870</v>
      </c>
      <c r="AV23" s="495">
        <v>1270</v>
      </c>
      <c r="AW23" s="495">
        <v>1330</v>
      </c>
      <c r="AX23" s="495">
        <v>1400</v>
      </c>
      <c r="AY23" s="495">
        <v>1720</v>
      </c>
      <c r="AZ23" s="495">
        <v>1820</v>
      </c>
      <c r="BA23" s="495">
        <v>1930</v>
      </c>
      <c r="BB23" s="495">
        <v>2050</v>
      </c>
      <c r="BC23" s="495">
        <v>2200</v>
      </c>
      <c r="BD23" s="495">
        <v>2340</v>
      </c>
      <c r="BE23" s="495">
        <v>2470</v>
      </c>
      <c r="BF23" s="495">
        <v>2840</v>
      </c>
      <c r="BG23" s="495">
        <v>3020</v>
      </c>
      <c r="BH23" s="495">
        <v>3210</v>
      </c>
      <c r="BI23" s="495">
        <v>3660</v>
      </c>
      <c r="BJ23" s="495">
        <v>3980</v>
      </c>
      <c r="BK23" s="495">
        <v>4290</v>
      </c>
      <c r="BL23" s="495">
        <v>4920</v>
      </c>
      <c r="BM23" s="495">
        <v>5350</v>
      </c>
      <c r="BN23" s="495">
        <v>5780</v>
      </c>
      <c r="BO23" s="495">
        <v>5600</v>
      </c>
      <c r="BP23" s="495">
        <v>6080</v>
      </c>
      <c r="BQ23" s="495">
        <v>6560</v>
      </c>
      <c r="BR23" s="495">
        <v>7410</v>
      </c>
      <c r="BS23" s="495">
        <v>8200</v>
      </c>
      <c r="BT23" s="495">
        <v>8990</v>
      </c>
      <c r="BU23" s="495"/>
      <c r="BV23" s="495"/>
      <c r="BW23" s="495"/>
      <c r="BX23" s="495"/>
      <c r="BY23" s="495"/>
      <c r="BZ23" s="495"/>
      <c r="CA23" s="495"/>
    </row>
    <row r="24" spans="1:79">
      <c r="A24" s="499">
        <v>700</v>
      </c>
      <c r="B24" s="495">
        <v>560</v>
      </c>
      <c r="C24" s="495">
        <v>570</v>
      </c>
      <c r="D24" s="495">
        <v>590</v>
      </c>
      <c r="E24" s="495">
        <v>840</v>
      </c>
      <c r="F24" s="495">
        <v>880</v>
      </c>
      <c r="G24" s="495">
        <v>910</v>
      </c>
      <c r="H24" s="495">
        <v>1340</v>
      </c>
      <c r="I24" s="495">
        <v>1290</v>
      </c>
      <c r="J24" s="495">
        <v>1240</v>
      </c>
      <c r="K24" s="495">
        <v>1410</v>
      </c>
      <c r="L24" s="495">
        <v>1320</v>
      </c>
      <c r="M24" s="495">
        <v>1480</v>
      </c>
      <c r="N24" s="495">
        <v>1800</v>
      </c>
      <c r="O24" s="495">
        <v>1920</v>
      </c>
      <c r="P24" s="495">
        <v>1760</v>
      </c>
      <c r="Q24" s="495">
        <v>1700</v>
      </c>
      <c r="R24" s="495">
        <v>2030</v>
      </c>
      <c r="S24" s="495">
        <v>1820</v>
      </c>
      <c r="T24" s="495">
        <v>2150</v>
      </c>
      <c r="U24" s="495">
        <v>2310</v>
      </c>
      <c r="V24" s="495">
        <v>1940</v>
      </c>
      <c r="W24" s="495">
        <v>1870</v>
      </c>
      <c r="X24" s="495">
        <v>2450</v>
      </c>
      <c r="Y24" s="495">
        <v>2000</v>
      </c>
      <c r="Z24" s="495">
        <v>2580</v>
      </c>
      <c r="AA24" s="495">
        <v>3830</v>
      </c>
      <c r="AB24" s="495">
        <v>4160</v>
      </c>
      <c r="AC24" s="495">
        <v>4470</v>
      </c>
      <c r="AD24" s="495" t="s">
        <v>531</v>
      </c>
      <c r="AE24" s="495" t="s">
        <v>531</v>
      </c>
      <c r="AF24" s="495" t="s">
        <v>531</v>
      </c>
      <c r="AG24" s="495" t="s">
        <v>531</v>
      </c>
      <c r="AH24" s="495" t="s">
        <v>531</v>
      </c>
      <c r="AI24" s="495" t="s">
        <v>531</v>
      </c>
      <c r="AJ24" s="495" t="s">
        <v>531</v>
      </c>
      <c r="AK24" s="495" t="s">
        <v>531</v>
      </c>
      <c r="AL24" s="495" t="s">
        <v>531</v>
      </c>
      <c r="AM24" s="495">
        <v>340</v>
      </c>
      <c r="AN24" s="495">
        <v>350</v>
      </c>
      <c r="AO24" s="495">
        <v>360</v>
      </c>
      <c r="AP24" s="495">
        <v>560</v>
      </c>
      <c r="AQ24" s="495">
        <v>570</v>
      </c>
      <c r="AR24" s="495">
        <v>650</v>
      </c>
      <c r="AS24" s="495">
        <v>840</v>
      </c>
      <c r="AT24" s="495">
        <v>880</v>
      </c>
      <c r="AU24" s="495">
        <v>910</v>
      </c>
      <c r="AV24" s="495">
        <v>1340</v>
      </c>
      <c r="AW24" s="495">
        <v>1410</v>
      </c>
      <c r="AX24" s="495">
        <v>1480</v>
      </c>
      <c r="AY24" s="495">
        <v>1800</v>
      </c>
      <c r="AZ24" s="495">
        <v>1920</v>
      </c>
      <c r="BA24" s="495">
        <v>2030</v>
      </c>
      <c r="BB24" s="495">
        <v>2150</v>
      </c>
      <c r="BC24" s="495">
        <v>2310</v>
      </c>
      <c r="BD24" s="495">
        <v>2450</v>
      </c>
      <c r="BE24" s="495">
        <v>2580</v>
      </c>
      <c r="BF24" s="495">
        <v>2990</v>
      </c>
      <c r="BG24" s="495">
        <v>3180</v>
      </c>
      <c r="BH24" s="495">
        <v>3360</v>
      </c>
      <c r="BI24" s="495">
        <v>3830</v>
      </c>
      <c r="BJ24" s="495">
        <v>4160</v>
      </c>
      <c r="BK24" s="495">
        <v>4470</v>
      </c>
      <c r="BL24" s="495">
        <v>5160</v>
      </c>
      <c r="BM24" s="495">
        <v>5590</v>
      </c>
      <c r="BN24" s="495">
        <v>6020</v>
      </c>
      <c r="BO24" s="495">
        <v>5860</v>
      </c>
      <c r="BP24" s="495">
        <v>6340</v>
      </c>
      <c r="BQ24" s="495">
        <v>6820</v>
      </c>
      <c r="BR24" s="495">
        <v>7740</v>
      </c>
      <c r="BS24" s="495">
        <v>8530</v>
      </c>
      <c r="BT24" s="495">
        <v>9320</v>
      </c>
      <c r="BU24" s="495"/>
      <c r="BV24" s="495"/>
      <c r="BW24" s="495"/>
      <c r="BX24" s="495"/>
      <c r="BY24" s="495"/>
      <c r="BZ24" s="495"/>
      <c r="CA24" s="495"/>
    </row>
    <row r="25" spans="1:79">
      <c r="A25" s="499">
        <v>750</v>
      </c>
      <c r="B25" s="495">
        <v>580</v>
      </c>
      <c r="C25" s="495">
        <v>600</v>
      </c>
      <c r="D25" s="495">
        <v>610</v>
      </c>
      <c r="E25" s="495">
        <v>920</v>
      </c>
      <c r="F25" s="495">
        <v>970</v>
      </c>
      <c r="G25" s="495">
        <v>1000</v>
      </c>
      <c r="H25" s="495">
        <v>1480</v>
      </c>
      <c r="I25" s="495">
        <v>1420</v>
      </c>
      <c r="J25" s="495">
        <v>1370</v>
      </c>
      <c r="K25" s="495">
        <v>1540</v>
      </c>
      <c r="L25" s="495">
        <v>1450</v>
      </c>
      <c r="M25" s="495">
        <v>1610</v>
      </c>
      <c r="N25" s="495">
        <v>1870</v>
      </c>
      <c r="O25" s="495">
        <v>2020</v>
      </c>
      <c r="P25" s="495">
        <v>1860</v>
      </c>
      <c r="Q25" s="495">
        <v>1800</v>
      </c>
      <c r="R25" s="495">
        <v>2130</v>
      </c>
      <c r="S25" s="495">
        <v>1920</v>
      </c>
      <c r="T25" s="495">
        <v>2250</v>
      </c>
      <c r="U25" s="495">
        <v>2420</v>
      </c>
      <c r="V25" s="495">
        <v>2140</v>
      </c>
      <c r="W25" s="495">
        <v>2070</v>
      </c>
      <c r="X25" s="495">
        <v>2560</v>
      </c>
      <c r="Y25" s="495">
        <v>2200</v>
      </c>
      <c r="Z25" s="495">
        <v>2690</v>
      </c>
      <c r="AA25" s="495">
        <v>4010</v>
      </c>
      <c r="AB25" s="495">
        <v>4330</v>
      </c>
      <c r="AC25" s="495">
        <v>4650</v>
      </c>
      <c r="AD25" s="495" t="s">
        <v>531</v>
      </c>
      <c r="AE25" s="495" t="s">
        <v>531</v>
      </c>
      <c r="AF25" s="495" t="s">
        <v>531</v>
      </c>
      <c r="AG25" s="495" t="s">
        <v>531</v>
      </c>
      <c r="AH25" s="495" t="s">
        <v>531</v>
      </c>
      <c r="AI25" s="495" t="s">
        <v>531</v>
      </c>
      <c r="AJ25" s="495" t="s">
        <v>531</v>
      </c>
      <c r="AK25" s="495" t="s">
        <v>531</v>
      </c>
      <c r="AL25" s="495" t="s">
        <v>531</v>
      </c>
      <c r="AM25" s="495">
        <v>360</v>
      </c>
      <c r="AN25" s="495">
        <v>370</v>
      </c>
      <c r="AO25" s="495">
        <v>380</v>
      </c>
      <c r="AP25" s="495">
        <v>580</v>
      </c>
      <c r="AQ25" s="495">
        <v>590</v>
      </c>
      <c r="AR25" s="495">
        <v>670</v>
      </c>
      <c r="AS25" s="495">
        <v>920</v>
      </c>
      <c r="AT25" s="495">
        <v>970</v>
      </c>
      <c r="AU25" s="495">
        <v>1000</v>
      </c>
      <c r="AV25" s="495">
        <v>1480</v>
      </c>
      <c r="AW25" s="495">
        <v>1540</v>
      </c>
      <c r="AX25" s="495">
        <v>1610</v>
      </c>
      <c r="AY25" s="495">
        <v>1870</v>
      </c>
      <c r="AZ25" s="495">
        <v>2020</v>
      </c>
      <c r="BA25" s="495">
        <v>2130</v>
      </c>
      <c r="BB25" s="495">
        <v>2250</v>
      </c>
      <c r="BC25" s="495">
        <v>2420</v>
      </c>
      <c r="BD25" s="495">
        <v>2560</v>
      </c>
      <c r="BE25" s="495">
        <v>2690</v>
      </c>
      <c r="BF25" s="495">
        <v>3150</v>
      </c>
      <c r="BG25" s="495">
        <v>3330</v>
      </c>
      <c r="BH25" s="495">
        <v>3520</v>
      </c>
      <c r="BI25" s="495">
        <v>4010</v>
      </c>
      <c r="BJ25" s="495">
        <v>4330</v>
      </c>
      <c r="BK25" s="495">
        <v>4650</v>
      </c>
      <c r="BL25" s="495">
        <v>5400</v>
      </c>
      <c r="BM25" s="495">
        <v>5830</v>
      </c>
      <c r="BN25" s="495">
        <v>6260</v>
      </c>
      <c r="BO25" s="495">
        <v>6130</v>
      </c>
      <c r="BP25" s="495">
        <v>6610</v>
      </c>
      <c r="BQ25" s="495">
        <v>7090</v>
      </c>
      <c r="BR25" s="495">
        <v>8070</v>
      </c>
      <c r="BS25" s="495">
        <v>8860</v>
      </c>
      <c r="BT25" s="495">
        <v>9650</v>
      </c>
      <c r="BU25" s="495"/>
      <c r="BV25" s="495"/>
      <c r="BW25" s="495"/>
      <c r="BX25" s="495"/>
      <c r="BY25" s="495"/>
      <c r="BZ25" s="495"/>
      <c r="CA25" s="495"/>
    </row>
    <row r="26" spans="1:79">
      <c r="A26" s="499">
        <v>800</v>
      </c>
      <c r="B26" s="495">
        <v>610</v>
      </c>
      <c r="C26" s="495">
        <v>620</v>
      </c>
      <c r="D26" s="495">
        <v>640</v>
      </c>
      <c r="E26" s="495">
        <v>970</v>
      </c>
      <c r="F26" s="495">
        <v>1010</v>
      </c>
      <c r="G26" s="495">
        <v>1050</v>
      </c>
      <c r="H26" s="495">
        <v>1550</v>
      </c>
      <c r="I26" s="495">
        <v>1490</v>
      </c>
      <c r="J26" s="495">
        <v>1440</v>
      </c>
      <c r="K26" s="495">
        <v>1610</v>
      </c>
      <c r="L26" s="495">
        <v>1530</v>
      </c>
      <c r="M26" s="495">
        <v>1680</v>
      </c>
      <c r="N26" s="495">
        <v>1940</v>
      </c>
      <c r="O26" s="495">
        <v>2200</v>
      </c>
      <c r="P26" s="495">
        <v>2040</v>
      </c>
      <c r="Q26" s="495">
        <v>1980</v>
      </c>
      <c r="R26" s="495">
        <v>2310</v>
      </c>
      <c r="S26" s="495">
        <v>2100</v>
      </c>
      <c r="T26" s="495">
        <v>2430</v>
      </c>
      <c r="U26" s="495">
        <v>2620</v>
      </c>
      <c r="V26" s="495">
        <v>2250</v>
      </c>
      <c r="W26" s="495">
        <v>2180</v>
      </c>
      <c r="X26" s="495">
        <v>2760</v>
      </c>
      <c r="Y26" s="495">
        <v>2310</v>
      </c>
      <c r="Z26" s="495">
        <v>2880</v>
      </c>
      <c r="AA26" s="495">
        <v>4190</v>
      </c>
      <c r="AB26" s="495">
        <v>4510</v>
      </c>
      <c r="AC26" s="495">
        <v>4830</v>
      </c>
      <c r="AD26" s="495" t="s">
        <v>531</v>
      </c>
      <c r="AE26" s="495" t="s">
        <v>531</v>
      </c>
      <c r="AF26" s="495" t="s">
        <v>531</v>
      </c>
      <c r="AG26" s="495" t="s">
        <v>531</v>
      </c>
      <c r="AH26" s="495" t="s">
        <v>531</v>
      </c>
      <c r="AI26" s="495" t="s">
        <v>531</v>
      </c>
      <c r="AJ26" s="495" t="s">
        <v>531</v>
      </c>
      <c r="AK26" s="495" t="s">
        <v>531</v>
      </c>
      <c r="AL26" s="495" t="s">
        <v>531</v>
      </c>
      <c r="AM26" s="495">
        <v>380</v>
      </c>
      <c r="AN26" s="495">
        <v>390</v>
      </c>
      <c r="AO26" s="495">
        <v>400</v>
      </c>
      <c r="AP26" s="495">
        <v>610</v>
      </c>
      <c r="AQ26" s="495">
        <v>620</v>
      </c>
      <c r="AR26" s="495">
        <v>700</v>
      </c>
      <c r="AS26" s="495">
        <v>970</v>
      </c>
      <c r="AT26" s="495">
        <v>1010</v>
      </c>
      <c r="AU26" s="495">
        <v>1050</v>
      </c>
      <c r="AV26" s="495">
        <v>1550</v>
      </c>
      <c r="AW26" s="495">
        <v>1610</v>
      </c>
      <c r="AX26" s="495">
        <v>1680</v>
      </c>
      <c r="AY26" s="495">
        <v>1940</v>
      </c>
      <c r="AZ26" s="495">
        <v>2200</v>
      </c>
      <c r="BA26" s="495">
        <v>2310</v>
      </c>
      <c r="BB26" s="495">
        <v>2430</v>
      </c>
      <c r="BC26" s="495">
        <v>2620</v>
      </c>
      <c r="BD26" s="495">
        <v>2760</v>
      </c>
      <c r="BE26" s="495">
        <v>2880</v>
      </c>
      <c r="BF26" s="495">
        <v>3430</v>
      </c>
      <c r="BG26" s="495">
        <v>3610</v>
      </c>
      <c r="BH26" s="495">
        <v>3800</v>
      </c>
      <c r="BI26" s="495">
        <v>4190</v>
      </c>
      <c r="BJ26" s="495">
        <v>4510</v>
      </c>
      <c r="BK26" s="495">
        <v>4830</v>
      </c>
      <c r="BL26" s="495">
        <v>5640</v>
      </c>
      <c r="BM26" s="495">
        <v>6070</v>
      </c>
      <c r="BN26" s="495">
        <v>6500</v>
      </c>
      <c r="BO26" s="495">
        <v>6610</v>
      </c>
      <c r="BP26" s="495">
        <v>7090</v>
      </c>
      <c r="BQ26" s="495">
        <v>7570</v>
      </c>
      <c r="BR26" s="495">
        <v>8660</v>
      </c>
      <c r="BS26" s="495">
        <v>9460</v>
      </c>
      <c r="BT26" s="495">
        <v>10250</v>
      </c>
      <c r="BU26" s="495"/>
      <c r="BV26" s="495"/>
      <c r="BW26" s="495"/>
      <c r="BX26" s="495"/>
      <c r="BY26" s="495"/>
      <c r="BZ26" s="495"/>
      <c r="CA26" s="495"/>
    </row>
    <row r="27" spans="1:79">
      <c r="A27" s="499">
        <v>850</v>
      </c>
      <c r="B27" s="495">
        <v>650</v>
      </c>
      <c r="C27" s="495">
        <v>670</v>
      </c>
      <c r="D27" s="495">
        <v>680</v>
      </c>
      <c r="E27" s="495">
        <v>1020</v>
      </c>
      <c r="F27" s="495">
        <v>1060</v>
      </c>
      <c r="G27" s="495">
        <v>1100</v>
      </c>
      <c r="H27" s="495">
        <v>1620</v>
      </c>
      <c r="I27" s="495">
        <v>1560</v>
      </c>
      <c r="J27" s="495">
        <v>1520</v>
      </c>
      <c r="K27" s="495">
        <v>1680</v>
      </c>
      <c r="L27" s="495">
        <v>1600</v>
      </c>
      <c r="M27" s="495">
        <v>1750</v>
      </c>
      <c r="N27" s="495">
        <v>2010</v>
      </c>
      <c r="O27" s="495">
        <v>2300</v>
      </c>
      <c r="P27" s="495">
        <v>2140</v>
      </c>
      <c r="Q27" s="495">
        <v>2080</v>
      </c>
      <c r="R27" s="495">
        <v>2410</v>
      </c>
      <c r="S27" s="495">
        <v>2190</v>
      </c>
      <c r="T27" s="495">
        <v>2530</v>
      </c>
      <c r="U27" s="495">
        <v>2730</v>
      </c>
      <c r="V27" s="495">
        <v>2360</v>
      </c>
      <c r="W27" s="495">
        <v>2290</v>
      </c>
      <c r="X27" s="495">
        <v>2870</v>
      </c>
      <c r="Y27" s="495">
        <v>2420</v>
      </c>
      <c r="Z27" s="495">
        <v>2990</v>
      </c>
      <c r="AA27" s="495">
        <v>4370</v>
      </c>
      <c r="AB27" s="495">
        <v>4690</v>
      </c>
      <c r="AC27" s="495">
        <v>5000</v>
      </c>
      <c r="AD27" s="495" t="s">
        <v>531</v>
      </c>
      <c r="AE27" s="495" t="s">
        <v>531</v>
      </c>
      <c r="AF27" s="495" t="s">
        <v>531</v>
      </c>
      <c r="AG27" s="495" t="s">
        <v>531</v>
      </c>
      <c r="AH27" s="495" t="s">
        <v>531</v>
      </c>
      <c r="AI27" s="495" t="s">
        <v>531</v>
      </c>
      <c r="AJ27" s="495" t="s">
        <v>531</v>
      </c>
      <c r="AK27" s="495" t="s">
        <v>531</v>
      </c>
      <c r="AL27" s="495" t="s">
        <v>531</v>
      </c>
      <c r="AM27" s="495">
        <v>420</v>
      </c>
      <c r="AN27" s="495">
        <v>430</v>
      </c>
      <c r="AO27" s="495">
        <v>440</v>
      </c>
      <c r="AP27" s="495">
        <v>650</v>
      </c>
      <c r="AQ27" s="495">
        <v>660</v>
      </c>
      <c r="AR27" s="495">
        <v>740</v>
      </c>
      <c r="AS27" s="495">
        <v>1020</v>
      </c>
      <c r="AT27" s="495">
        <v>1060</v>
      </c>
      <c r="AU27" s="495">
        <v>1100</v>
      </c>
      <c r="AV27" s="495">
        <v>1620</v>
      </c>
      <c r="AW27" s="495">
        <v>1680</v>
      </c>
      <c r="AX27" s="495">
        <v>1750</v>
      </c>
      <c r="AY27" s="495">
        <v>2010</v>
      </c>
      <c r="AZ27" s="495">
        <v>2300</v>
      </c>
      <c r="BA27" s="495">
        <v>2410</v>
      </c>
      <c r="BB27" s="495">
        <v>2530</v>
      </c>
      <c r="BC27" s="495">
        <v>2730</v>
      </c>
      <c r="BD27" s="495">
        <v>2870</v>
      </c>
      <c r="BE27" s="495">
        <v>2990</v>
      </c>
      <c r="BF27" s="495">
        <v>3580</v>
      </c>
      <c r="BG27" s="495">
        <v>3770</v>
      </c>
      <c r="BH27" s="495">
        <v>3960</v>
      </c>
      <c r="BI27" s="495">
        <v>4370</v>
      </c>
      <c r="BJ27" s="495">
        <v>4690</v>
      </c>
      <c r="BK27" s="495">
        <v>5000</v>
      </c>
      <c r="BL27" s="495">
        <v>5880</v>
      </c>
      <c r="BM27" s="495">
        <v>6310</v>
      </c>
      <c r="BN27" s="495">
        <v>6740</v>
      </c>
      <c r="BO27" s="495">
        <v>6870</v>
      </c>
      <c r="BP27" s="495">
        <v>7360</v>
      </c>
      <c r="BQ27" s="495">
        <v>7840</v>
      </c>
      <c r="BR27" s="495">
        <v>8990</v>
      </c>
      <c r="BS27" s="495">
        <v>9790</v>
      </c>
      <c r="BT27" s="495">
        <v>10580</v>
      </c>
      <c r="BU27" s="495"/>
      <c r="BV27" s="495"/>
      <c r="BW27" s="495"/>
      <c r="BX27" s="495"/>
      <c r="BY27" s="495"/>
      <c r="BZ27" s="495"/>
      <c r="CA27" s="495"/>
    </row>
    <row r="28" spans="1:79">
      <c r="A28" s="499">
        <v>900</v>
      </c>
      <c r="B28" s="495">
        <v>680</v>
      </c>
      <c r="C28" s="495">
        <v>690</v>
      </c>
      <c r="D28" s="495">
        <v>710</v>
      </c>
      <c r="E28" s="495">
        <v>1070</v>
      </c>
      <c r="F28" s="495">
        <v>1110</v>
      </c>
      <c r="G28" s="495">
        <v>1140</v>
      </c>
      <c r="H28" s="495">
        <v>1690</v>
      </c>
      <c r="I28" s="495">
        <v>1630</v>
      </c>
      <c r="J28" s="495">
        <v>1590</v>
      </c>
      <c r="K28" s="495">
        <v>1750</v>
      </c>
      <c r="L28" s="495">
        <v>1670</v>
      </c>
      <c r="M28" s="495">
        <v>1830</v>
      </c>
      <c r="N28" s="495">
        <v>2090</v>
      </c>
      <c r="O28" s="495">
        <v>2400</v>
      </c>
      <c r="P28" s="495">
        <v>2240</v>
      </c>
      <c r="Q28" s="495">
        <v>2170</v>
      </c>
      <c r="R28" s="495">
        <v>2510</v>
      </c>
      <c r="S28" s="495">
        <v>2290</v>
      </c>
      <c r="T28" s="495">
        <v>2630</v>
      </c>
      <c r="U28" s="495">
        <v>2840</v>
      </c>
      <c r="V28" s="495">
        <v>2470</v>
      </c>
      <c r="W28" s="495">
        <v>2400</v>
      </c>
      <c r="X28" s="495">
        <v>2980</v>
      </c>
      <c r="Y28" s="495">
        <v>2530</v>
      </c>
      <c r="Z28" s="495">
        <v>3100</v>
      </c>
      <c r="AA28" s="495">
        <v>4540</v>
      </c>
      <c r="AB28" s="495">
        <v>4870</v>
      </c>
      <c r="AC28" s="495">
        <v>5180</v>
      </c>
      <c r="AD28" s="495" t="s">
        <v>531</v>
      </c>
      <c r="AE28" s="495" t="s">
        <v>531</v>
      </c>
      <c r="AF28" s="495" t="s">
        <v>531</v>
      </c>
      <c r="AG28" s="495" t="s">
        <v>531</v>
      </c>
      <c r="AH28" s="495" t="s">
        <v>531</v>
      </c>
      <c r="AI28" s="495" t="s">
        <v>531</v>
      </c>
      <c r="AJ28" s="495" t="s">
        <v>531</v>
      </c>
      <c r="AK28" s="495" t="s">
        <v>531</v>
      </c>
      <c r="AL28" s="495" t="s">
        <v>531</v>
      </c>
      <c r="AM28" s="495">
        <v>440</v>
      </c>
      <c r="AN28" s="495">
        <v>450</v>
      </c>
      <c r="AO28" s="495">
        <v>460</v>
      </c>
      <c r="AP28" s="495">
        <v>680</v>
      </c>
      <c r="AQ28" s="495">
        <v>690</v>
      </c>
      <c r="AR28" s="495">
        <v>770</v>
      </c>
      <c r="AS28" s="495">
        <v>1070</v>
      </c>
      <c r="AT28" s="495">
        <v>1110</v>
      </c>
      <c r="AU28" s="495">
        <v>1140</v>
      </c>
      <c r="AV28" s="495">
        <v>1690</v>
      </c>
      <c r="AW28" s="495">
        <v>1750</v>
      </c>
      <c r="AX28" s="495">
        <v>1830</v>
      </c>
      <c r="AY28" s="495">
        <v>2090</v>
      </c>
      <c r="AZ28" s="495">
        <v>2400</v>
      </c>
      <c r="BA28" s="495">
        <v>2510</v>
      </c>
      <c r="BB28" s="495">
        <v>2630</v>
      </c>
      <c r="BC28" s="495">
        <v>2840</v>
      </c>
      <c r="BD28" s="495">
        <v>2980</v>
      </c>
      <c r="BE28" s="495">
        <v>3100</v>
      </c>
      <c r="BF28" s="495">
        <v>3740</v>
      </c>
      <c r="BG28" s="495">
        <v>3920</v>
      </c>
      <c r="BH28" s="495">
        <v>4110</v>
      </c>
      <c r="BI28" s="495">
        <v>4540</v>
      </c>
      <c r="BJ28" s="495">
        <v>4870</v>
      </c>
      <c r="BK28" s="495">
        <v>5180</v>
      </c>
      <c r="BL28" s="495">
        <v>6120</v>
      </c>
      <c r="BM28" s="495">
        <v>6550</v>
      </c>
      <c r="BN28" s="495">
        <v>6980</v>
      </c>
      <c r="BO28" s="495">
        <v>7140</v>
      </c>
      <c r="BP28" s="495">
        <v>7620</v>
      </c>
      <c r="BQ28" s="495">
        <v>8100</v>
      </c>
      <c r="BR28" s="495">
        <v>9320</v>
      </c>
      <c r="BS28" s="495">
        <v>10120</v>
      </c>
      <c r="BT28" s="495">
        <v>10910</v>
      </c>
      <c r="BU28" s="495"/>
      <c r="BV28" s="495"/>
      <c r="BW28" s="495"/>
      <c r="BX28" s="495"/>
      <c r="BY28" s="495"/>
      <c r="BZ28" s="495"/>
      <c r="CA28" s="495"/>
    </row>
    <row r="29" spans="1:79">
      <c r="A29" s="499">
        <v>950</v>
      </c>
      <c r="B29" s="495">
        <v>700</v>
      </c>
      <c r="C29" s="495">
        <v>720</v>
      </c>
      <c r="D29" s="495">
        <v>730</v>
      </c>
      <c r="E29" s="495">
        <v>1120</v>
      </c>
      <c r="F29" s="495">
        <v>1160</v>
      </c>
      <c r="G29" s="495">
        <v>1190</v>
      </c>
      <c r="H29" s="495">
        <v>1770</v>
      </c>
      <c r="I29" s="495">
        <v>1710</v>
      </c>
      <c r="J29" s="495">
        <v>1660</v>
      </c>
      <c r="K29" s="495">
        <v>1830</v>
      </c>
      <c r="L29" s="495">
        <v>1750</v>
      </c>
      <c r="M29" s="495">
        <v>1900</v>
      </c>
      <c r="N29" s="495">
        <v>2160</v>
      </c>
      <c r="O29" s="495">
        <v>2500</v>
      </c>
      <c r="P29" s="495">
        <v>2340</v>
      </c>
      <c r="Q29" s="495">
        <v>2270</v>
      </c>
      <c r="R29" s="495">
        <v>2610</v>
      </c>
      <c r="S29" s="495">
        <v>2390</v>
      </c>
      <c r="T29" s="495">
        <v>2730</v>
      </c>
      <c r="U29" s="495">
        <v>2950</v>
      </c>
      <c r="V29" s="495">
        <v>2580</v>
      </c>
      <c r="W29" s="495">
        <v>2510</v>
      </c>
      <c r="X29" s="495">
        <v>3090</v>
      </c>
      <c r="Y29" s="495">
        <v>2640</v>
      </c>
      <c r="Z29" s="495">
        <v>3210</v>
      </c>
      <c r="AA29" s="495">
        <v>4720</v>
      </c>
      <c r="AB29" s="495">
        <v>5040</v>
      </c>
      <c r="AC29" s="495">
        <v>5360</v>
      </c>
      <c r="AD29" s="495" t="s">
        <v>531</v>
      </c>
      <c r="AE29" s="495" t="s">
        <v>531</v>
      </c>
      <c r="AF29" s="495" t="s">
        <v>531</v>
      </c>
      <c r="AG29" s="495" t="s">
        <v>531</v>
      </c>
      <c r="AH29" s="495" t="s">
        <v>531</v>
      </c>
      <c r="AI29" s="495" t="s">
        <v>531</v>
      </c>
      <c r="AJ29" s="495" t="s">
        <v>531</v>
      </c>
      <c r="AK29" s="495" t="s">
        <v>531</v>
      </c>
      <c r="AL29" s="495" t="s">
        <v>531</v>
      </c>
      <c r="AM29" s="495">
        <v>460</v>
      </c>
      <c r="AN29" s="495">
        <v>470</v>
      </c>
      <c r="AO29" s="495">
        <v>480</v>
      </c>
      <c r="AP29" s="495">
        <v>700</v>
      </c>
      <c r="AQ29" s="495">
        <v>710</v>
      </c>
      <c r="AR29" s="495">
        <v>790</v>
      </c>
      <c r="AS29" s="495">
        <v>1120</v>
      </c>
      <c r="AT29" s="495">
        <v>1160</v>
      </c>
      <c r="AU29" s="495">
        <v>1190</v>
      </c>
      <c r="AV29" s="495">
        <v>1770</v>
      </c>
      <c r="AW29" s="495">
        <v>1830</v>
      </c>
      <c r="AX29" s="495">
        <v>1900</v>
      </c>
      <c r="AY29" s="495">
        <v>2160</v>
      </c>
      <c r="AZ29" s="495">
        <v>2500</v>
      </c>
      <c r="BA29" s="495">
        <v>2610</v>
      </c>
      <c r="BB29" s="495">
        <v>2730</v>
      </c>
      <c r="BC29" s="495">
        <v>2950</v>
      </c>
      <c r="BD29" s="495">
        <v>3090</v>
      </c>
      <c r="BE29" s="495">
        <v>3210</v>
      </c>
      <c r="BF29" s="495">
        <v>3890</v>
      </c>
      <c r="BG29" s="495">
        <v>4080</v>
      </c>
      <c r="BH29" s="495">
        <v>4270</v>
      </c>
      <c r="BI29" s="495">
        <v>4720</v>
      </c>
      <c r="BJ29" s="495">
        <v>5040</v>
      </c>
      <c r="BK29" s="495">
        <v>5360</v>
      </c>
      <c r="BL29" s="495">
        <v>6360</v>
      </c>
      <c r="BM29" s="495">
        <v>6790</v>
      </c>
      <c r="BN29" s="495">
        <v>7210</v>
      </c>
      <c r="BO29" s="495">
        <v>7410</v>
      </c>
      <c r="BP29" s="495">
        <v>7890</v>
      </c>
      <c r="BQ29" s="495">
        <v>8370</v>
      </c>
      <c r="BR29" s="495">
        <v>9650</v>
      </c>
      <c r="BS29" s="495">
        <v>10450</v>
      </c>
      <c r="BT29" s="495">
        <v>11240</v>
      </c>
      <c r="BU29" s="495"/>
      <c r="BV29" s="495"/>
      <c r="BW29" s="495"/>
      <c r="BX29" s="495"/>
      <c r="BY29" s="495"/>
      <c r="BZ29" s="495"/>
      <c r="CA29" s="495"/>
    </row>
    <row r="30" spans="1:79">
      <c r="A30" s="499">
        <v>1000</v>
      </c>
      <c r="B30" s="495">
        <v>730</v>
      </c>
      <c r="C30" s="495">
        <v>740</v>
      </c>
      <c r="D30" s="495">
        <v>760</v>
      </c>
      <c r="E30" s="495">
        <v>1160</v>
      </c>
      <c r="F30" s="495">
        <v>1210</v>
      </c>
      <c r="G30" s="495">
        <v>1240</v>
      </c>
      <c r="H30" s="495">
        <v>1840</v>
      </c>
      <c r="I30" s="495">
        <v>1780</v>
      </c>
      <c r="J30" s="495">
        <v>1730</v>
      </c>
      <c r="K30" s="495">
        <v>1900</v>
      </c>
      <c r="L30" s="495">
        <v>1820</v>
      </c>
      <c r="M30" s="495">
        <v>1970</v>
      </c>
      <c r="N30" s="495">
        <v>2230</v>
      </c>
      <c r="O30" s="495">
        <v>2600</v>
      </c>
      <c r="P30" s="495">
        <v>2440</v>
      </c>
      <c r="Q30" s="495">
        <v>2370</v>
      </c>
      <c r="R30" s="495">
        <v>2710</v>
      </c>
      <c r="S30" s="495">
        <v>2490</v>
      </c>
      <c r="T30" s="495">
        <v>2830</v>
      </c>
      <c r="U30" s="495">
        <v>3060</v>
      </c>
      <c r="V30" s="495">
        <v>2690</v>
      </c>
      <c r="W30" s="495">
        <v>2620</v>
      </c>
      <c r="X30" s="495">
        <v>3200</v>
      </c>
      <c r="Y30" s="495">
        <v>2750</v>
      </c>
      <c r="Z30" s="495">
        <v>3320</v>
      </c>
      <c r="AA30" s="495">
        <v>4900</v>
      </c>
      <c r="AB30" s="495">
        <v>5220</v>
      </c>
      <c r="AC30" s="495">
        <v>5540</v>
      </c>
      <c r="AD30" s="495" t="s">
        <v>531</v>
      </c>
      <c r="AE30" s="495" t="s">
        <v>531</v>
      </c>
      <c r="AF30" s="495" t="s">
        <v>531</v>
      </c>
      <c r="AG30" s="495" t="s">
        <v>531</v>
      </c>
      <c r="AH30" s="495" t="s">
        <v>531</v>
      </c>
      <c r="AI30" s="495" t="s">
        <v>531</v>
      </c>
      <c r="AJ30" s="495" t="s">
        <v>531</v>
      </c>
      <c r="AK30" s="495" t="s">
        <v>531</v>
      </c>
      <c r="AL30" s="495" t="s">
        <v>531</v>
      </c>
      <c r="AM30" s="495">
        <v>480</v>
      </c>
      <c r="AN30" s="495">
        <v>490</v>
      </c>
      <c r="AO30" s="495">
        <v>500</v>
      </c>
      <c r="AP30" s="495">
        <v>730</v>
      </c>
      <c r="AQ30" s="495">
        <v>740</v>
      </c>
      <c r="AR30" s="495">
        <v>820</v>
      </c>
      <c r="AS30" s="495">
        <v>1160</v>
      </c>
      <c r="AT30" s="495">
        <v>1210</v>
      </c>
      <c r="AU30" s="495">
        <v>1240</v>
      </c>
      <c r="AV30" s="495">
        <v>1840</v>
      </c>
      <c r="AW30" s="495">
        <v>1900</v>
      </c>
      <c r="AX30" s="495">
        <v>1970</v>
      </c>
      <c r="AY30" s="495">
        <v>2230</v>
      </c>
      <c r="AZ30" s="495">
        <v>2600</v>
      </c>
      <c r="BA30" s="495">
        <v>2710</v>
      </c>
      <c r="BB30" s="495">
        <v>2830</v>
      </c>
      <c r="BC30" s="495">
        <v>3060</v>
      </c>
      <c r="BD30" s="495">
        <v>3200</v>
      </c>
      <c r="BE30" s="495">
        <v>3320</v>
      </c>
      <c r="BF30" s="495">
        <v>4050</v>
      </c>
      <c r="BG30" s="495">
        <v>4240</v>
      </c>
      <c r="BH30" s="495">
        <v>4420</v>
      </c>
      <c r="BI30" s="495">
        <v>4900</v>
      </c>
      <c r="BJ30" s="495">
        <v>5220</v>
      </c>
      <c r="BK30" s="495">
        <v>5540</v>
      </c>
      <c r="BL30" s="495">
        <v>6590</v>
      </c>
      <c r="BM30" s="495">
        <v>7030</v>
      </c>
      <c r="BN30" s="495">
        <v>7450</v>
      </c>
      <c r="BO30" s="495">
        <v>7670</v>
      </c>
      <c r="BP30" s="495">
        <v>8150</v>
      </c>
      <c r="BQ30" s="495">
        <v>8630</v>
      </c>
      <c r="BR30" s="495">
        <v>9980</v>
      </c>
      <c r="BS30" s="495">
        <v>10780</v>
      </c>
      <c r="BT30" s="495">
        <v>11570</v>
      </c>
      <c r="BU30" s="495"/>
      <c r="BV30" s="495"/>
      <c r="BW30" s="495"/>
      <c r="BX30" s="495"/>
      <c r="BY30" s="495"/>
      <c r="BZ30" s="495"/>
      <c r="CA30" s="495"/>
    </row>
    <row r="31" spans="1:79">
      <c r="A31" s="499">
        <v>1050</v>
      </c>
      <c r="B31" s="495">
        <v>750</v>
      </c>
      <c r="C31" s="495">
        <v>770</v>
      </c>
      <c r="D31" s="495">
        <v>780</v>
      </c>
      <c r="E31" s="495">
        <v>1210</v>
      </c>
      <c r="F31" s="495">
        <v>1250</v>
      </c>
      <c r="G31" s="495">
        <v>1290</v>
      </c>
      <c r="H31" s="495">
        <v>1910</v>
      </c>
      <c r="I31" s="495">
        <v>1850</v>
      </c>
      <c r="J31" s="495">
        <v>1810</v>
      </c>
      <c r="K31" s="495">
        <v>1970</v>
      </c>
      <c r="L31" s="495">
        <v>1890</v>
      </c>
      <c r="M31" s="495">
        <v>2040</v>
      </c>
      <c r="N31" s="495">
        <v>2310</v>
      </c>
      <c r="O31" s="495">
        <v>2700</v>
      </c>
      <c r="P31" s="495">
        <v>2540</v>
      </c>
      <c r="Q31" s="495">
        <v>2470</v>
      </c>
      <c r="R31" s="495">
        <v>2810</v>
      </c>
      <c r="S31" s="495">
        <v>2590</v>
      </c>
      <c r="T31" s="495">
        <v>2930</v>
      </c>
      <c r="U31" s="495">
        <v>3170</v>
      </c>
      <c r="V31" s="495">
        <v>2800</v>
      </c>
      <c r="W31" s="495">
        <v>2730</v>
      </c>
      <c r="X31" s="495">
        <v>3310</v>
      </c>
      <c r="Y31" s="495">
        <v>2860</v>
      </c>
      <c r="Z31" s="495">
        <v>3430</v>
      </c>
      <c r="AA31" s="495">
        <v>5220</v>
      </c>
      <c r="AB31" s="495">
        <v>5540</v>
      </c>
      <c r="AC31" s="495">
        <v>5860</v>
      </c>
      <c r="AD31" s="495" t="s">
        <v>531</v>
      </c>
      <c r="AE31" s="495" t="s">
        <v>531</v>
      </c>
      <c r="AF31" s="495" t="s">
        <v>531</v>
      </c>
      <c r="AG31" s="495" t="s">
        <v>531</v>
      </c>
      <c r="AH31" s="495" t="s">
        <v>531</v>
      </c>
      <c r="AI31" s="495" t="s">
        <v>531</v>
      </c>
      <c r="AJ31" s="495" t="s">
        <v>531</v>
      </c>
      <c r="AK31" s="495" t="s">
        <v>531</v>
      </c>
      <c r="AL31" s="495" t="s">
        <v>531</v>
      </c>
      <c r="AM31" s="495">
        <v>500</v>
      </c>
      <c r="AN31" s="495">
        <v>510</v>
      </c>
      <c r="AO31" s="495">
        <v>520</v>
      </c>
      <c r="AP31" s="495">
        <v>750</v>
      </c>
      <c r="AQ31" s="495">
        <v>760</v>
      </c>
      <c r="AR31" s="495">
        <v>840</v>
      </c>
      <c r="AS31" s="495">
        <v>1210</v>
      </c>
      <c r="AT31" s="495">
        <v>1250</v>
      </c>
      <c r="AU31" s="495">
        <v>1290</v>
      </c>
      <c r="AV31" s="495">
        <v>1910</v>
      </c>
      <c r="AW31" s="495">
        <v>1970</v>
      </c>
      <c r="AX31" s="495">
        <v>2040</v>
      </c>
      <c r="AY31" s="495">
        <v>2310</v>
      </c>
      <c r="AZ31" s="495">
        <v>2700</v>
      </c>
      <c r="BA31" s="495">
        <v>2810</v>
      </c>
      <c r="BB31" s="495">
        <v>2930</v>
      </c>
      <c r="BC31" s="495">
        <v>3170</v>
      </c>
      <c r="BD31" s="495">
        <v>3310</v>
      </c>
      <c r="BE31" s="495">
        <v>3430</v>
      </c>
      <c r="BF31" s="495">
        <v>4200</v>
      </c>
      <c r="BG31" s="495">
        <v>4390</v>
      </c>
      <c r="BH31" s="495">
        <v>4580</v>
      </c>
      <c r="BI31" s="495">
        <v>5220</v>
      </c>
      <c r="BJ31" s="495">
        <v>5540</v>
      </c>
      <c r="BK31" s="495">
        <v>5860</v>
      </c>
      <c r="BL31" s="495">
        <v>7020</v>
      </c>
      <c r="BM31" s="495">
        <v>7460</v>
      </c>
      <c r="BN31" s="495">
        <v>7880</v>
      </c>
      <c r="BO31" s="495">
        <v>7940</v>
      </c>
      <c r="BP31" s="495">
        <v>8420</v>
      </c>
      <c r="BQ31" s="495">
        <v>8900</v>
      </c>
      <c r="BR31" s="495">
        <v>10320</v>
      </c>
      <c r="BS31" s="495">
        <v>11110</v>
      </c>
      <c r="BT31" s="495">
        <v>11900</v>
      </c>
      <c r="BU31" s="495"/>
      <c r="BV31" s="495"/>
      <c r="BW31" s="495"/>
      <c r="BX31" s="495"/>
      <c r="BY31" s="495"/>
      <c r="BZ31" s="495"/>
      <c r="CA31" s="495"/>
    </row>
    <row r="32" spans="1:79">
      <c r="A32" s="499">
        <v>1100</v>
      </c>
      <c r="B32" s="495">
        <v>780</v>
      </c>
      <c r="C32" s="495">
        <v>790</v>
      </c>
      <c r="D32" s="495">
        <v>810</v>
      </c>
      <c r="E32" s="495">
        <v>1260</v>
      </c>
      <c r="F32" s="495">
        <v>1300</v>
      </c>
      <c r="G32" s="495">
        <v>1340</v>
      </c>
      <c r="H32" s="495">
        <v>1990</v>
      </c>
      <c r="I32" s="495">
        <v>1930</v>
      </c>
      <c r="J32" s="495">
        <v>1880</v>
      </c>
      <c r="K32" s="495">
        <v>2050</v>
      </c>
      <c r="L32" s="495">
        <v>1960</v>
      </c>
      <c r="M32" s="495">
        <v>2120</v>
      </c>
      <c r="N32" s="495">
        <v>2380</v>
      </c>
      <c r="O32" s="495">
        <v>2800</v>
      </c>
      <c r="P32" s="495">
        <v>2640</v>
      </c>
      <c r="Q32" s="495">
        <v>2570</v>
      </c>
      <c r="R32" s="495">
        <v>2910</v>
      </c>
      <c r="S32" s="495">
        <v>2690</v>
      </c>
      <c r="T32" s="495">
        <v>3030</v>
      </c>
      <c r="U32" s="495">
        <v>3280</v>
      </c>
      <c r="V32" s="495">
        <v>2910</v>
      </c>
      <c r="W32" s="495">
        <v>2840</v>
      </c>
      <c r="X32" s="495">
        <v>3420</v>
      </c>
      <c r="Y32" s="495">
        <v>2970</v>
      </c>
      <c r="Z32" s="495">
        <v>3540</v>
      </c>
      <c r="AA32" s="495">
        <v>5400</v>
      </c>
      <c r="AB32" s="495">
        <v>5720</v>
      </c>
      <c r="AC32" s="495">
        <v>6030</v>
      </c>
      <c r="AD32" s="495" t="s">
        <v>531</v>
      </c>
      <c r="AE32" s="495" t="s">
        <v>531</v>
      </c>
      <c r="AF32" s="495" t="s">
        <v>531</v>
      </c>
      <c r="AG32" s="495" t="s">
        <v>531</v>
      </c>
      <c r="AH32" s="495" t="s">
        <v>531</v>
      </c>
      <c r="AI32" s="495" t="s">
        <v>531</v>
      </c>
      <c r="AJ32" s="495" t="s">
        <v>531</v>
      </c>
      <c r="AK32" s="495" t="s">
        <v>531</v>
      </c>
      <c r="AL32" s="495" t="s">
        <v>531</v>
      </c>
      <c r="AM32" s="495">
        <v>520</v>
      </c>
      <c r="AN32" s="495">
        <v>530</v>
      </c>
      <c r="AO32" s="495">
        <v>540</v>
      </c>
      <c r="AP32" s="495">
        <v>780</v>
      </c>
      <c r="AQ32" s="495">
        <v>790</v>
      </c>
      <c r="AR32" s="495">
        <v>860</v>
      </c>
      <c r="AS32" s="495">
        <v>1260</v>
      </c>
      <c r="AT32" s="495">
        <v>1300</v>
      </c>
      <c r="AU32" s="495">
        <v>1340</v>
      </c>
      <c r="AV32" s="495">
        <v>1990</v>
      </c>
      <c r="AW32" s="495">
        <v>2050</v>
      </c>
      <c r="AX32" s="495">
        <v>2120</v>
      </c>
      <c r="AY32" s="495">
        <v>2380</v>
      </c>
      <c r="AZ32" s="495">
        <v>2800</v>
      </c>
      <c r="BA32" s="495">
        <v>2910</v>
      </c>
      <c r="BB32" s="495">
        <v>3030</v>
      </c>
      <c r="BC32" s="495">
        <v>3280</v>
      </c>
      <c r="BD32" s="495">
        <v>3420</v>
      </c>
      <c r="BE32" s="495">
        <v>3540</v>
      </c>
      <c r="BF32" s="495">
        <v>4360</v>
      </c>
      <c r="BG32" s="495">
        <v>4550</v>
      </c>
      <c r="BH32" s="495">
        <v>4730</v>
      </c>
      <c r="BI32" s="495">
        <v>5400</v>
      </c>
      <c r="BJ32" s="495">
        <v>5720</v>
      </c>
      <c r="BK32" s="495">
        <v>6030</v>
      </c>
      <c r="BL32" s="495">
        <v>7260</v>
      </c>
      <c r="BM32" s="495">
        <v>7700</v>
      </c>
      <c r="BN32" s="495">
        <v>8120</v>
      </c>
      <c r="BO32" s="495">
        <v>8210</v>
      </c>
      <c r="BP32" s="495">
        <v>8690</v>
      </c>
      <c r="BQ32" s="495">
        <v>9170</v>
      </c>
      <c r="BR32" s="495">
        <v>10650</v>
      </c>
      <c r="BS32" s="495">
        <v>11440</v>
      </c>
      <c r="BT32" s="495">
        <v>12230</v>
      </c>
      <c r="BU32" s="495"/>
      <c r="BV32" s="495"/>
      <c r="BW32" s="495"/>
      <c r="BX32" s="495"/>
      <c r="BY32" s="495"/>
      <c r="BZ32" s="495"/>
      <c r="CA32" s="495"/>
    </row>
    <row r="33" spans="1:79">
      <c r="A33" s="499">
        <v>1150</v>
      </c>
      <c r="B33" s="495">
        <v>800</v>
      </c>
      <c r="C33" s="495">
        <v>820</v>
      </c>
      <c r="D33" s="495">
        <v>830</v>
      </c>
      <c r="E33" s="495">
        <v>1310</v>
      </c>
      <c r="F33" s="495">
        <v>1350</v>
      </c>
      <c r="G33" s="495">
        <v>1380</v>
      </c>
      <c r="H33" s="495">
        <v>2060</v>
      </c>
      <c r="I33" s="495">
        <v>2000</v>
      </c>
      <c r="J33" s="495">
        <v>1950</v>
      </c>
      <c r="K33" s="495">
        <v>2120</v>
      </c>
      <c r="L33" s="495">
        <v>2040</v>
      </c>
      <c r="M33" s="495">
        <v>2190</v>
      </c>
      <c r="N33" s="495">
        <v>2450</v>
      </c>
      <c r="O33" s="495">
        <v>2900</v>
      </c>
      <c r="P33" s="495">
        <v>2740</v>
      </c>
      <c r="Q33" s="495">
        <v>2670</v>
      </c>
      <c r="R33" s="495">
        <v>3010</v>
      </c>
      <c r="S33" s="495">
        <v>2790</v>
      </c>
      <c r="T33" s="495">
        <v>3130</v>
      </c>
      <c r="U33" s="495">
        <v>3390</v>
      </c>
      <c r="V33" s="495">
        <v>3020</v>
      </c>
      <c r="W33" s="495">
        <v>2950</v>
      </c>
      <c r="X33" s="495">
        <v>3530</v>
      </c>
      <c r="Y33" s="495">
        <v>3080</v>
      </c>
      <c r="Z33" s="495">
        <v>3650</v>
      </c>
      <c r="AA33" s="495">
        <v>5570</v>
      </c>
      <c r="AB33" s="495">
        <v>5900</v>
      </c>
      <c r="AC33" s="495">
        <v>6210</v>
      </c>
      <c r="AD33" s="495" t="s">
        <v>531</v>
      </c>
      <c r="AE33" s="495" t="s">
        <v>531</v>
      </c>
      <c r="AF33" s="495" t="s">
        <v>531</v>
      </c>
      <c r="AG33" s="495" t="s">
        <v>531</v>
      </c>
      <c r="AH33" s="495" t="s">
        <v>531</v>
      </c>
      <c r="AI33" s="495" t="s">
        <v>531</v>
      </c>
      <c r="AJ33" s="495" t="s">
        <v>531</v>
      </c>
      <c r="AK33" s="495" t="s">
        <v>531</v>
      </c>
      <c r="AL33" s="495" t="s">
        <v>531</v>
      </c>
      <c r="AM33" s="495">
        <v>540</v>
      </c>
      <c r="AN33" s="495">
        <v>550</v>
      </c>
      <c r="AO33" s="495">
        <v>560</v>
      </c>
      <c r="AP33" s="495">
        <v>800</v>
      </c>
      <c r="AQ33" s="495">
        <v>810</v>
      </c>
      <c r="AR33" s="495">
        <v>890</v>
      </c>
      <c r="AS33" s="495">
        <v>1310</v>
      </c>
      <c r="AT33" s="495">
        <v>1350</v>
      </c>
      <c r="AU33" s="495">
        <v>1380</v>
      </c>
      <c r="AV33" s="495">
        <v>2060</v>
      </c>
      <c r="AW33" s="495">
        <v>2120</v>
      </c>
      <c r="AX33" s="495">
        <v>2190</v>
      </c>
      <c r="AY33" s="495">
        <v>2450</v>
      </c>
      <c r="AZ33" s="495">
        <v>2900</v>
      </c>
      <c r="BA33" s="495">
        <v>3010</v>
      </c>
      <c r="BB33" s="495">
        <v>3130</v>
      </c>
      <c r="BC33" s="495">
        <v>3390</v>
      </c>
      <c r="BD33" s="495">
        <v>3530</v>
      </c>
      <c r="BE33" s="495">
        <v>3650</v>
      </c>
      <c r="BF33" s="495">
        <v>4520</v>
      </c>
      <c r="BG33" s="495">
        <v>4700</v>
      </c>
      <c r="BH33" s="495">
        <v>4890</v>
      </c>
      <c r="BI33" s="495">
        <v>5570</v>
      </c>
      <c r="BJ33" s="495">
        <v>5900</v>
      </c>
      <c r="BK33" s="495">
        <v>6210</v>
      </c>
      <c r="BL33" s="495">
        <v>7500</v>
      </c>
      <c r="BM33" s="495">
        <v>7930</v>
      </c>
      <c r="BN33" s="495">
        <v>8360</v>
      </c>
      <c r="BO33" s="495">
        <v>8470</v>
      </c>
      <c r="BP33" s="495">
        <v>8950</v>
      </c>
      <c r="BQ33" s="495">
        <v>9430</v>
      </c>
      <c r="BR33" s="495">
        <v>10980</v>
      </c>
      <c r="BS33" s="495">
        <v>11770</v>
      </c>
      <c r="BT33" s="495">
        <v>12560</v>
      </c>
      <c r="BU33" s="495"/>
      <c r="BV33" s="495"/>
      <c r="BW33" s="495"/>
      <c r="BX33" s="495"/>
      <c r="BY33" s="495"/>
      <c r="BZ33" s="495"/>
      <c r="CA33" s="495"/>
    </row>
    <row r="34" spans="1:79">
      <c r="A34" s="499">
        <v>1200</v>
      </c>
      <c r="B34" s="495">
        <v>830</v>
      </c>
      <c r="C34" s="495">
        <v>840</v>
      </c>
      <c r="D34" s="495">
        <v>860</v>
      </c>
      <c r="E34" s="495">
        <v>1360</v>
      </c>
      <c r="F34" s="495">
        <v>1400</v>
      </c>
      <c r="G34" s="495">
        <v>1430</v>
      </c>
      <c r="H34" s="495">
        <v>2130</v>
      </c>
      <c r="I34" s="495">
        <v>2070</v>
      </c>
      <c r="J34" s="495">
        <v>2030</v>
      </c>
      <c r="K34" s="495">
        <v>2190</v>
      </c>
      <c r="L34" s="495">
        <v>2110</v>
      </c>
      <c r="M34" s="495">
        <v>2260</v>
      </c>
      <c r="N34" s="495">
        <v>2520</v>
      </c>
      <c r="O34" s="495">
        <v>3000</v>
      </c>
      <c r="P34" s="495">
        <v>2840</v>
      </c>
      <c r="Q34" s="495">
        <v>2770</v>
      </c>
      <c r="R34" s="495">
        <v>3110</v>
      </c>
      <c r="S34" s="495">
        <v>2890</v>
      </c>
      <c r="T34" s="495">
        <v>3230</v>
      </c>
      <c r="U34" s="495">
        <v>3500</v>
      </c>
      <c r="V34" s="495">
        <v>3130</v>
      </c>
      <c r="W34" s="495">
        <v>3060</v>
      </c>
      <c r="X34" s="495">
        <v>3640</v>
      </c>
      <c r="Y34" s="495">
        <v>3190</v>
      </c>
      <c r="Z34" s="495">
        <v>3760</v>
      </c>
      <c r="AA34" s="495">
        <v>5750</v>
      </c>
      <c r="AB34" s="495">
        <v>6070</v>
      </c>
      <c r="AC34" s="495">
        <v>6390</v>
      </c>
      <c r="AD34" s="495" t="s">
        <v>531</v>
      </c>
      <c r="AE34" s="495" t="s">
        <v>531</v>
      </c>
      <c r="AF34" s="495" t="s">
        <v>531</v>
      </c>
      <c r="AG34" s="495" t="s">
        <v>531</v>
      </c>
      <c r="AH34" s="495" t="s">
        <v>531</v>
      </c>
      <c r="AI34" s="495" t="s">
        <v>531</v>
      </c>
      <c r="AJ34" s="495" t="s">
        <v>531</v>
      </c>
      <c r="AK34" s="495" t="s">
        <v>531</v>
      </c>
      <c r="AL34" s="495" t="s">
        <v>531</v>
      </c>
      <c r="AM34" s="495">
        <v>560</v>
      </c>
      <c r="AN34" s="495">
        <v>570</v>
      </c>
      <c r="AO34" s="495">
        <v>580</v>
      </c>
      <c r="AP34" s="495">
        <v>830</v>
      </c>
      <c r="AQ34" s="495">
        <v>840</v>
      </c>
      <c r="AR34" s="495">
        <v>910</v>
      </c>
      <c r="AS34" s="495">
        <v>1360</v>
      </c>
      <c r="AT34" s="495">
        <v>1400</v>
      </c>
      <c r="AU34" s="495">
        <v>1430</v>
      </c>
      <c r="AV34" s="495">
        <v>2130</v>
      </c>
      <c r="AW34" s="495">
        <v>2190</v>
      </c>
      <c r="AX34" s="495">
        <v>2260</v>
      </c>
      <c r="AY34" s="495">
        <v>2520</v>
      </c>
      <c r="AZ34" s="495">
        <v>3000</v>
      </c>
      <c r="BA34" s="495">
        <v>3110</v>
      </c>
      <c r="BB34" s="495">
        <v>3230</v>
      </c>
      <c r="BC34" s="495">
        <v>3500</v>
      </c>
      <c r="BD34" s="495">
        <v>3640</v>
      </c>
      <c r="BE34" s="495">
        <v>3760</v>
      </c>
      <c r="BF34" s="495">
        <v>4670</v>
      </c>
      <c r="BG34" s="495">
        <v>4860</v>
      </c>
      <c r="BH34" s="495">
        <v>5040</v>
      </c>
      <c r="BI34" s="495">
        <v>5750</v>
      </c>
      <c r="BJ34" s="495">
        <v>6070</v>
      </c>
      <c r="BK34" s="495">
        <v>6390</v>
      </c>
      <c r="BL34" s="495">
        <v>7740</v>
      </c>
      <c r="BM34" s="495">
        <v>8170</v>
      </c>
      <c r="BN34" s="495">
        <v>8600</v>
      </c>
      <c r="BO34" s="495">
        <v>8740</v>
      </c>
      <c r="BP34" s="495">
        <v>9220</v>
      </c>
      <c r="BQ34" s="495">
        <v>9700</v>
      </c>
      <c r="BR34" s="495">
        <v>11310</v>
      </c>
      <c r="BS34" s="495">
        <v>12100</v>
      </c>
      <c r="BT34" s="495">
        <v>12890</v>
      </c>
      <c r="BU34" s="495"/>
      <c r="BV34" s="495"/>
      <c r="BW34" s="495"/>
      <c r="BX34" s="495"/>
      <c r="BY34" s="495"/>
      <c r="BZ34" s="495"/>
      <c r="CA34" s="495"/>
    </row>
    <row r="35" spans="1:79">
      <c r="A35" s="499">
        <v>1250</v>
      </c>
      <c r="B35" s="495">
        <v>850</v>
      </c>
      <c r="C35" s="495">
        <v>870</v>
      </c>
      <c r="D35" s="495">
        <v>880</v>
      </c>
      <c r="E35" s="495">
        <v>1400</v>
      </c>
      <c r="F35" s="495">
        <v>1450</v>
      </c>
      <c r="G35" s="495">
        <v>1480</v>
      </c>
      <c r="H35" s="495">
        <v>2200</v>
      </c>
      <c r="I35" s="495">
        <v>2140</v>
      </c>
      <c r="J35" s="495">
        <v>2100</v>
      </c>
      <c r="K35" s="495">
        <v>2260</v>
      </c>
      <c r="L35" s="495">
        <v>2180</v>
      </c>
      <c r="M35" s="495">
        <v>2340</v>
      </c>
      <c r="N35" s="495">
        <v>2600</v>
      </c>
      <c r="O35" s="495">
        <v>3100</v>
      </c>
      <c r="P35" s="495">
        <v>2940</v>
      </c>
      <c r="Q35" s="495">
        <v>2870</v>
      </c>
      <c r="R35" s="495">
        <v>3210</v>
      </c>
      <c r="S35" s="495">
        <v>2990</v>
      </c>
      <c r="T35" s="495">
        <v>3330</v>
      </c>
      <c r="U35" s="495">
        <v>3610</v>
      </c>
      <c r="V35" s="495">
        <v>3240</v>
      </c>
      <c r="W35" s="495">
        <v>3170</v>
      </c>
      <c r="X35" s="495">
        <v>3750</v>
      </c>
      <c r="Y35" s="495">
        <v>3300</v>
      </c>
      <c r="Z35" s="495">
        <v>3870</v>
      </c>
      <c r="AA35" s="495">
        <v>5930</v>
      </c>
      <c r="AB35" s="495">
        <v>6250</v>
      </c>
      <c r="AC35" s="495">
        <v>6570</v>
      </c>
      <c r="AD35" s="495" t="s">
        <v>531</v>
      </c>
      <c r="AE35" s="495" t="s">
        <v>531</v>
      </c>
      <c r="AF35" s="495" t="s">
        <v>531</v>
      </c>
      <c r="AG35" s="495" t="s">
        <v>531</v>
      </c>
      <c r="AH35" s="495" t="s">
        <v>531</v>
      </c>
      <c r="AI35" s="495" t="s">
        <v>531</v>
      </c>
      <c r="AJ35" s="495" t="s">
        <v>531</v>
      </c>
      <c r="AK35" s="495" t="s">
        <v>531</v>
      </c>
      <c r="AL35" s="495" t="s">
        <v>531</v>
      </c>
      <c r="AM35" s="495">
        <v>580</v>
      </c>
      <c r="AN35" s="495">
        <v>590</v>
      </c>
      <c r="AO35" s="495">
        <v>600</v>
      </c>
      <c r="AP35" s="495">
        <v>850</v>
      </c>
      <c r="AQ35" s="495">
        <v>860</v>
      </c>
      <c r="AR35" s="495">
        <v>940</v>
      </c>
      <c r="AS35" s="495">
        <v>1400</v>
      </c>
      <c r="AT35" s="495">
        <v>1450</v>
      </c>
      <c r="AU35" s="495">
        <v>1480</v>
      </c>
      <c r="AV35" s="495">
        <v>2200</v>
      </c>
      <c r="AW35" s="495">
        <v>2260</v>
      </c>
      <c r="AX35" s="495">
        <v>2340</v>
      </c>
      <c r="AY35" s="495">
        <v>2600</v>
      </c>
      <c r="AZ35" s="495">
        <v>3100</v>
      </c>
      <c r="BA35" s="495">
        <v>3210</v>
      </c>
      <c r="BB35" s="495">
        <v>3330</v>
      </c>
      <c r="BC35" s="495">
        <v>3610</v>
      </c>
      <c r="BD35" s="495">
        <v>3750</v>
      </c>
      <c r="BE35" s="495">
        <v>3870</v>
      </c>
      <c r="BF35" s="495">
        <v>4830</v>
      </c>
      <c r="BG35" s="495">
        <v>5010</v>
      </c>
      <c r="BH35" s="495">
        <v>5200</v>
      </c>
      <c r="BI35" s="495">
        <v>5930</v>
      </c>
      <c r="BJ35" s="495">
        <v>6250</v>
      </c>
      <c r="BK35" s="495">
        <v>6570</v>
      </c>
      <c r="BL35" s="495">
        <v>7980</v>
      </c>
      <c r="BM35" s="495">
        <v>8410</v>
      </c>
      <c r="BN35" s="495">
        <v>8840</v>
      </c>
      <c r="BO35" s="495">
        <v>9000</v>
      </c>
      <c r="BP35" s="495">
        <v>9490</v>
      </c>
      <c r="BQ35" s="495">
        <v>9970</v>
      </c>
      <c r="BR35" s="495">
        <v>11640</v>
      </c>
      <c r="BS35" s="495">
        <v>12430</v>
      </c>
      <c r="BT35" s="495">
        <v>13220</v>
      </c>
      <c r="BU35" s="495"/>
      <c r="BV35" s="495"/>
      <c r="BW35" s="495"/>
      <c r="BX35" s="495"/>
      <c r="BY35" s="495"/>
      <c r="BZ35" s="495"/>
      <c r="CA35" s="495"/>
    </row>
    <row r="36" spans="1:79">
      <c r="A36" s="499">
        <v>1300</v>
      </c>
      <c r="B36" s="495">
        <v>880</v>
      </c>
      <c r="C36" s="495">
        <v>890</v>
      </c>
      <c r="D36" s="495">
        <v>910</v>
      </c>
      <c r="E36" s="495">
        <v>1450</v>
      </c>
      <c r="F36" s="495">
        <v>1490</v>
      </c>
      <c r="G36" s="495">
        <v>1530</v>
      </c>
      <c r="H36" s="495">
        <v>2280</v>
      </c>
      <c r="I36" s="495">
        <v>2220</v>
      </c>
      <c r="J36" s="495">
        <v>2170</v>
      </c>
      <c r="K36" s="495">
        <v>2340</v>
      </c>
      <c r="L36" s="495">
        <v>2250</v>
      </c>
      <c r="M36" s="495">
        <v>2410</v>
      </c>
      <c r="N36" s="495">
        <v>2670</v>
      </c>
      <c r="O36" s="495">
        <v>3200</v>
      </c>
      <c r="P36" s="495">
        <v>3040</v>
      </c>
      <c r="Q36" s="495">
        <v>2970</v>
      </c>
      <c r="R36" s="495">
        <v>3310</v>
      </c>
      <c r="S36" s="495">
        <v>3090</v>
      </c>
      <c r="T36" s="495">
        <v>3430</v>
      </c>
      <c r="U36" s="495">
        <v>3720</v>
      </c>
      <c r="V36" s="495">
        <v>3350</v>
      </c>
      <c r="W36" s="495">
        <v>3280</v>
      </c>
      <c r="X36" s="495">
        <v>3860</v>
      </c>
      <c r="Y36" s="495">
        <v>3410</v>
      </c>
      <c r="Z36" s="495">
        <v>3980</v>
      </c>
      <c r="AA36" s="495">
        <v>6110</v>
      </c>
      <c r="AB36" s="495">
        <v>6430</v>
      </c>
      <c r="AC36" s="495">
        <v>6740</v>
      </c>
      <c r="AD36" s="495" t="s">
        <v>531</v>
      </c>
      <c r="AE36" s="495" t="s">
        <v>531</v>
      </c>
      <c r="AF36" s="495" t="s">
        <v>531</v>
      </c>
      <c r="AG36" s="495" t="s">
        <v>531</v>
      </c>
      <c r="AH36" s="495" t="s">
        <v>531</v>
      </c>
      <c r="AI36" s="495" t="s">
        <v>531</v>
      </c>
      <c r="AJ36" s="495" t="s">
        <v>531</v>
      </c>
      <c r="AK36" s="495" t="s">
        <v>531</v>
      </c>
      <c r="AL36" s="495" t="s">
        <v>531</v>
      </c>
      <c r="AM36" s="495">
        <v>600</v>
      </c>
      <c r="AN36" s="495">
        <v>610</v>
      </c>
      <c r="AO36" s="495">
        <v>620</v>
      </c>
      <c r="AP36" s="495">
        <v>880</v>
      </c>
      <c r="AQ36" s="495">
        <v>890</v>
      </c>
      <c r="AR36" s="495">
        <v>960</v>
      </c>
      <c r="AS36" s="495">
        <v>1450</v>
      </c>
      <c r="AT36" s="495">
        <v>1490</v>
      </c>
      <c r="AU36" s="495">
        <v>1530</v>
      </c>
      <c r="AV36" s="495">
        <v>2280</v>
      </c>
      <c r="AW36" s="495">
        <v>2340</v>
      </c>
      <c r="AX36" s="495">
        <v>2410</v>
      </c>
      <c r="AY36" s="495">
        <v>2670</v>
      </c>
      <c r="AZ36" s="495">
        <v>3200</v>
      </c>
      <c r="BA36" s="495">
        <v>3310</v>
      </c>
      <c r="BB36" s="495">
        <v>3430</v>
      </c>
      <c r="BC36" s="495">
        <v>3720</v>
      </c>
      <c r="BD36" s="495">
        <v>3860</v>
      </c>
      <c r="BE36" s="495">
        <v>3980</v>
      </c>
      <c r="BF36" s="495">
        <v>4980</v>
      </c>
      <c r="BG36" s="495">
        <v>5170</v>
      </c>
      <c r="BH36" s="495">
        <v>5360</v>
      </c>
      <c r="BI36" s="495">
        <v>6110</v>
      </c>
      <c r="BJ36" s="495">
        <v>6430</v>
      </c>
      <c r="BK36" s="495">
        <v>6740</v>
      </c>
      <c r="BL36" s="495">
        <v>8220</v>
      </c>
      <c r="BM36" s="495">
        <v>8650</v>
      </c>
      <c r="BN36" s="495">
        <v>9080</v>
      </c>
      <c r="BO36" s="495">
        <v>9270</v>
      </c>
      <c r="BP36" s="495">
        <v>9750</v>
      </c>
      <c r="BQ36" s="495">
        <v>10230</v>
      </c>
      <c r="BR36" s="495">
        <v>11970</v>
      </c>
      <c r="BS36" s="495">
        <v>12760</v>
      </c>
      <c r="BT36" s="495">
        <v>13560</v>
      </c>
      <c r="BU36" s="495"/>
      <c r="BV36" s="495"/>
      <c r="BW36" s="495"/>
      <c r="BX36" s="495"/>
      <c r="BY36" s="495"/>
      <c r="BZ36" s="495"/>
      <c r="CA36" s="495"/>
    </row>
    <row r="37" spans="1:79">
      <c r="A37" s="499">
        <v>1350</v>
      </c>
      <c r="B37" s="495">
        <v>900</v>
      </c>
      <c r="C37" s="495">
        <v>920</v>
      </c>
      <c r="D37" s="495">
        <v>930</v>
      </c>
      <c r="E37" s="495">
        <v>1500</v>
      </c>
      <c r="F37" s="495">
        <v>1540</v>
      </c>
      <c r="G37" s="495">
        <v>1580</v>
      </c>
      <c r="H37" s="495">
        <v>2350</v>
      </c>
      <c r="I37" s="495">
        <v>2290</v>
      </c>
      <c r="J37" s="495">
        <v>2240</v>
      </c>
      <c r="K37" s="495">
        <v>2410</v>
      </c>
      <c r="L37" s="495">
        <v>2330</v>
      </c>
      <c r="M37" s="495">
        <v>2480</v>
      </c>
      <c r="N37" s="495">
        <v>2830</v>
      </c>
      <c r="O37" s="495">
        <v>3300</v>
      </c>
      <c r="P37" s="495">
        <v>3140</v>
      </c>
      <c r="Q37" s="495">
        <v>3070</v>
      </c>
      <c r="R37" s="495">
        <v>3410</v>
      </c>
      <c r="S37" s="495">
        <v>3190</v>
      </c>
      <c r="T37" s="495">
        <v>3530</v>
      </c>
      <c r="U37" s="495">
        <v>3830</v>
      </c>
      <c r="V37" s="495">
        <v>3460</v>
      </c>
      <c r="W37" s="495">
        <v>3390</v>
      </c>
      <c r="X37" s="495">
        <v>3970</v>
      </c>
      <c r="Y37" s="495">
        <v>3520</v>
      </c>
      <c r="Z37" s="495">
        <v>4090</v>
      </c>
      <c r="AA37" s="495">
        <v>6280</v>
      </c>
      <c r="AB37" s="495">
        <v>6610</v>
      </c>
      <c r="AC37" s="495">
        <v>6920</v>
      </c>
      <c r="AD37" s="495" t="s">
        <v>531</v>
      </c>
      <c r="AE37" s="495" t="s">
        <v>531</v>
      </c>
      <c r="AF37" s="495" t="s">
        <v>531</v>
      </c>
      <c r="AG37" s="495" t="s">
        <v>531</v>
      </c>
      <c r="AH37" s="495" t="s">
        <v>531</v>
      </c>
      <c r="AI37" s="495" t="s">
        <v>531</v>
      </c>
      <c r="AJ37" s="495" t="s">
        <v>531</v>
      </c>
      <c r="AK37" s="495" t="s">
        <v>531</v>
      </c>
      <c r="AL37" s="495" t="s">
        <v>531</v>
      </c>
      <c r="AM37" s="495">
        <v>620</v>
      </c>
      <c r="AN37" s="495">
        <v>630</v>
      </c>
      <c r="AO37" s="495">
        <v>640</v>
      </c>
      <c r="AP37" s="495">
        <v>900</v>
      </c>
      <c r="AQ37" s="495">
        <v>910</v>
      </c>
      <c r="AR37" s="495">
        <v>990</v>
      </c>
      <c r="AS37" s="495">
        <v>1500</v>
      </c>
      <c r="AT37" s="495">
        <v>1540</v>
      </c>
      <c r="AU37" s="495">
        <v>1580</v>
      </c>
      <c r="AV37" s="495">
        <v>2350</v>
      </c>
      <c r="AW37" s="495">
        <v>2410</v>
      </c>
      <c r="AX37" s="495">
        <v>2480</v>
      </c>
      <c r="AY37" s="495">
        <v>2830</v>
      </c>
      <c r="AZ37" s="495">
        <v>3300</v>
      </c>
      <c r="BA37" s="495">
        <v>3410</v>
      </c>
      <c r="BB37" s="495">
        <v>3530</v>
      </c>
      <c r="BC37" s="495">
        <v>3830</v>
      </c>
      <c r="BD37" s="495">
        <v>3970</v>
      </c>
      <c r="BE37" s="495">
        <v>4090</v>
      </c>
      <c r="BF37" s="495">
        <v>5140</v>
      </c>
      <c r="BG37" s="495">
        <v>5320</v>
      </c>
      <c r="BH37" s="495">
        <v>5510</v>
      </c>
      <c r="BI37" s="495">
        <v>6280</v>
      </c>
      <c r="BJ37" s="495">
        <v>6610</v>
      </c>
      <c r="BK37" s="495">
        <v>6920</v>
      </c>
      <c r="BL37" s="495">
        <v>8460</v>
      </c>
      <c r="BM37" s="495">
        <v>8890</v>
      </c>
      <c r="BN37" s="495">
        <v>9320</v>
      </c>
      <c r="BO37" s="495">
        <v>9540</v>
      </c>
      <c r="BP37" s="495">
        <v>10020</v>
      </c>
      <c r="BQ37" s="495">
        <v>10500</v>
      </c>
      <c r="BR37" s="495">
        <v>12300</v>
      </c>
      <c r="BS37" s="495">
        <v>13090</v>
      </c>
      <c r="BT37" s="495">
        <v>13890</v>
      </c>
      <c r="BU37" s="495"/>
      <c r="BV37" s="495"/>
      <c r="BW37" s="495"/>
      <c r="BX37" s="495"/>
      <c r="BY37" s="495"/>
      <c r="BZ37" s="495"/>
      <c r="CA37" s="495"/>
    </row>
    <row r="38" spans="1:79">
      <c r="A38" s="499">
        <v>1400</v>
      </c>
      <c r="B38" s="495">
        <v>930</v>
      </c>
      <c r="C38" s="495">
        <v>940</v>
      </c>
      <c r="D38" s="495">
        <v>960</v>
      </c>
      <c r="E38" s="495">
        <v>1550</v>
      </c>
      <c r="F38" s="495">
        <v>1590</v>
      </c>
      <c r="G38" s="495">
        <v>1620</v>
      </c>
      <c r="H38" s="495">
        <v>2420</v>
      </c>
      <c r="I38" s="495">
        <v>2360</v>
      </c>
      <c r="J38" s="495">
        <v>2320</v>
      </c>
      <c r="K38" s="495">
        <v>2480</v>
      </c>
      <c r="L38" s="495">
        <v>2400</v>
      </c>
      <c r="M38" s="495">
        <v>2550</v>
      </c>
      <c r="N38" s="495">
        <v>2900</v>
      </c>
      <c r="O38" s="495">
        <v>3400</v>
      </c>
      <c r="P38" s="495">
        <v>3240</v>
      </c>
      <c r="Q38" s="495">
        <v>3170</v>
      </c>
      <c r="R38" s="495">
        <v>3510</v>
      </c>
      <c r="S38" s="495">
        <v>3290</v>
      </c>
      <c r="T38" s="495">
        <v>3630</v>
      </c>
      <c r="U38" s="495">
        <v>3940</v>
      </c>
      <c r="V38" s="495">
        <v>3570</v>
      </c>
      <c r="W38" s="495">
        <v>3500</v>
      </c>
      <c r="X38" s="495">
        <v>4080</v>
      </c>
      <c r="Y38" s="495">
        <v>3630</v>
      </c>
      <c r="Z38" s="495">
        <v>4200</v>
      </c>
      <c r="AA38" s="495">
        <v>6460</v>
      </c>
      <c r="AB38" s="495">
        <v>6780</v>
      </c>
      <c r="AC38" s="495">
        <v>7100</v>
      </c>
      <c r="AD38" s="495" t="s">
        <v>531</v>
      </c>
      <c r="AE38" s="495" t="s">
        <v>531</v>
      </c>
      <c r="AF38" s="495" t="s">
        <v>531</v>
      </c>
      <c r="AG38" s="495" t="s">
        <v>531</v>
      </c>
      <c r="AH38" s="495" t="s">
        <v>531</v>
      </c>
      <c r="AI38" s="495" t="s">
        <v>531</v>
      </c>
      <c r="AJ38" s="495" t="s">
        <v>531</v>
      </c>
      <c r="AK38" s="495" t="s">
        <v>531</v>
      </c>
      <c r="AL38" s="495" t="s">
        <v>531</v>
      </c>
      <c r="AM38" s="495">
        <v>640</v>
      </c>
      <c r="AN38" s="495">
        <v>650</v>
      </c>
      <c r="AO38" s="495">
        <v>660</v>
      </c>
      <c r="AP38" s="495">
        <v>930</v>
      </c>
      <c r="AQ38" s="495">
        <v>940</v>
      </c>
      <c r="AR38" s="495">
        <v>1010</v>
      </c>
      <c r="AS38" s="495">
        <v>1550</v>
      </c>
      <c r="AT38" s="495">
        <v>1590</v>
      </c>
      <c r="AU38" s="495">
        <v>1620</v>
      </c>
      <c r="AV38" s="495">
        <v>2420</v>
      </c>
      <c r="AW38" s="495">
        <v>2480</v>
      </c>
      <c r="AX38" s="495">
        <v>2550</v>
      </c>
      <c r="AY38" s="495">
        <v>2900</v>
      </c>
      <c r="AZ38" s="495">
        <v>3400</v>
      </c>
      <c r="BA38" s="495">
        <v>3510</v>
      </c>
      <c r="BB38" s="495">
        <v>3630</v>
      </c>
      <c r="BC38" s="495">
        <v>3940</v>
      </c>
      <c r="BD38" s="495">
        <v>4080</v>
      </c>
      <c r="BE38" s="495">
        <v>4200</v>
      </c>
      <c r="BF38" s="495">
        <v>5290</v>
      </c>
      <c r="BG38" s="495">
        <v>5480</v>
      </c>
      <c r="BH38" s="495">
        <v>5670</v>
      </c>
      <c r="BI38" s="495">
        <v>6460</v>
      </c>
      <c r="BJ38" s="495">
        <v>6780</v>
      </c>
      <c r="BK38" s="495">
        <v>7100</v>
      </c>
      <c r="BL38" s="495">
        <v>8700</v>
      </c>
      <c r="BM38" s="495">
        <v>9130</v>
      </c>
      <c r="BN38" s="495">
        <v>9560</v>
      </c>
      <c r="BO38" s="495">
        <v>9800</v>
      </c>
      <c r="BP38" s="495">
        <v>10290</v>
      </c>
      <c r="BQ38" s="495">
        <v>10770</v>
      </c>
      <c r="BR38" s="495">
        <v>12630</v>
      </c>
      <c r="BS38" s="495">
        <v>13420</v>
      </c>
      <c r="BT38" s="495">
        <v>14220</v>
      </c>
      <c r="BU38" s="495"/>
      <c r="BV38" s="495"/>
      <c r="BW38" s="495"/>
      <c r="BX38" s="495"/>
      <c r="BY38" s="495"/>
      <c r="BZ38" s="495"/>
      <c r="CA38" s="495"/>
    </row>
    <row r="39" spans="1:79">
      <c r="A39" s="499">
        <v>1450</v>
      </c>
      <c r="B39" s="495">
        <v>950</v>
      </c>
      <c r="C39" s="495">
        <v>970</v>
      </c>
      <c r="D39" s="495">
        <v>980</v>
      </c>
      <c r="E39" s="495">
        <v>1600</v>
      </c>
      <c r="F39" s="495">
        <v>1640</v>
      </c>
      <c r="G39" s="495">
        <v>1670</v>
      </c>
      <c r="H39" s="495">
        <v>2500</v>
      </c>
      <c r="I39" s="495">
        <v>2440</v>
      </c>
      <c r="J39" s="495">
        <v>2390</v>
      </c>
      <c r="K39" s="495">
        <v>2560</v>
      </c>
      <c r="L39" s="495">
        <v>2470</v>
      </c>
      <c r="M39" s="495">
        <v>2630</v>
      </c>
      <c r="N39" s="495">
        <v>2980</v>
      </c>
      <c r="O39" s="495">
        <v>3490</v>
      </c>
      <c r="P39" s="495">
        <v>3340</v>
      </c>
      <c r="Q39" s="495">
        <v>3270</v>
      </c>
      <c r="R39" s="495">
        <v>3610</v>
      </c>
      <c r="S39" s="495">
        <v>3390</v>
      </c>
      <c r="T39" s="495">
        <v>3730</v>
      </c>
      <c r="U39" s="495">
        <v>4050</v>
      </c>
      <c r="V39" s="495">
        <v>3680</v>
      </c>
      <c r="W39" s="495">
        <v>3610</v>
      </c>
      <c r="X39" s="495">
        <v>4190</v>
      </c>
      <c r="Y39" s="495">
        <v>3740</v>
      </c>
      <c r="Z39" s="495">
        <v>4310</v>
      </c>
      <c r="AA39" s="495">
        <v>6640</v>
      </c>
      <c r="AB39" s="495">
        <v>6960</v>
      </c>
      <c r="AC39" s="495">
        <v>7280</v>
      </c>
      <c r="AD39" s="495" t="s">
        <v>531</v>
      </c>
      <c r="AE39" s="495" t="s">
        <v>531</v>
      </c>
      <c r="AF39" s="495" t="s">
        <v>531</v>
      </c>
      <c r="AG39" s="495" t="s">
        <v>531</v>
      </c>
      <c r="AH39" s="495" t="s">
        <v>531</v>
      </c>
      <c r="AI39" s="495" t="s">
        <v>531</v>
      </c>
      <c r="AJ39" s="495" t="s">
        <v>531</v>
      </c>
      <c r="AK39" s="495" t="s">
        <v>531</v>
      </c>
      <c r="AL39" s="495" t="s">
        <v>531</v>
      </c>
      <c r="AM39" s="495">
        <v>660</v>
      </c>
      <c r="AN39" s="495">
        <v>670</v>
      </c>
      <c r="AO39" s="495">
        <v>680</v>
      </c>
      <c r="AP39" s="495">
        <v>950</v>
      </c>
      <c r="AQ39" s="495">
        <v>960</v>
      </c>
      <c r="AR39" s="495">
        <v>1040</v>
      </c>
      <c r="AS39" s="495">
        <v>1600</v>
      </c>
      <c r="AT39" s="495">
        <v>1640</v>
      </c>
      <c r="AU39" s="495">
        <v>1670</v>
      </c>
      <c r="AV39" s="495">
        <v>2500</v>
      </c>
      <c r="AW39" s="495">
        <v>2560</v>
      </c>
      <c r="AX39" s="495">
        <v>2630</v>
      </c>
      <c r="AY39" s="495">
        <v>2980</v>
      </c>
      <c r="AZ39" s="495">
        <v>3490</v>
      </c>
      <c r="BA39" s="495">
        <v>3610</v>
      </c>
      <c r="BB39" s="495">
        <v>3730</v>
      </c>
      <c r="BC39" s="495">
        <v>4050</v>
      </c>
      <c r="BD39" s="495">
        <v>4190</v>
      </c>
      <c r="BE39" s="495">
        <v>4310</v>
      </c>
      <c r="BF39" s="495">
        <v>5450</v>
      </c>
      <c r="BG39" s="495">
        <v>5640</v>
      </c>
      <c r="BH39" s="495">
        <v>5820</v>
      </c>
      <c r="BI39" s="495">
        <v>6640</v>
      </c>
      <c r="BJ39" s="495">
        <v>6960</v>
      </c>
      <c r="BK39" s="495">
        <v>7280</v>
      </c>
      <c r="BL39" s="495">
        <v>8930</v>
      </c>
      <c r="BM39" s="495">
        <v>9370</v>
      </c>
      <c r="BN39" s="495">
        <v>9790</v>
      </c>
      <c r="BO39" s="495">
        <v>10070</v>
      </c>
      <c r="BP39" s="495">
        <v>10550</v>
      </c>
      <c r="BQ39" s="495">
        <v>11030</v>
      </c>
      <c r="BR39" s="495">
        <v>12960</v>
      </c>
      <c r="BS39" s="495">
        <v>13750</v>
      </c>
      <c r="BT39" s="495">
        <v>14550</v>
      </c>
      <c r="BU39" s="495"/>
      <c r="BV39" s="495"/>
      <c r="BW39" s="495"/>
      <c r="BX39" s="495"/>
      <c r="BY39" s="495"/>
      <c r="BZ39" s="495"/>
      <c r="CA39" s="495"/>
    </row>
    <row r="40" spans="1:79">
      <c r="A40" s="499">
        <v>1500</v>
      </c>
      <c r="B40" s="495">
        <v>980</v>
      </c>
      <c r="C40" s="495">
        <v>990</v>
      </c>
      <c r="D40" s="495">
        <v>1010</v>
      </c>
      <c r="E40" s="495">
        <v>1640</v>
      </c>
      <c r="F40" s="495">
        <v>1690</v>
      </c>
      <c r="G40" s="495">
        <v>1720</v>
      </c>
      <c r="H40" s="495">
        <v>2570</v>
      </c>
      <c r="I40" s="495">
        <v>2510</v>
      </c>
      <c r="J40" s="495">
        <v>2460</v>
      </c>
      <c r="K40" s="495">
        <v>2630</v>
      </c>
      <c r="L40" s="495">
        <v>2550</v>
      </c>
      <c r="M40" s="495">
        <v>2700</v>
      </c>
      <c r="N40" s="495">
        <v>3050</v>
      </c>
      <c r="O40" s="495">
        <v>3590</v>
      </c>
      <c r="P40" s="495">
        <v>3440</v>
      </c>
      <c r="Q40" s="495">
        <v>3370</v>
      </c>
      <c r="R40" s="495">
        <v>3710</v>
      </c>
      <c r="S40" s="495">
        <v>3490</v>
      </c>
      <c r="T40" s="495">
        <v>3830</v>
      </c>
      <c r="U40" s="495">
        <v>4160</v>
      </c>
      <c r="V40" s="495">
        <v>3790</v>
      </c>
      <c r="W40" s="495">
        <v>3720</v>
      </c>
      <c r="X40" s="495">
        <v>4300</v>
      </c>
      <c r="Y40" s="495">
        <v>3850</v>
      </c>
      <c r="Z40" s="495">
        <v>4420</v>
      </c>
      <c r="AA40" s="495">
        <v>6820</v>
      </c>
      <c r="AB40" s="495">
        <v>7140</v>
      </c>
      <c r="AC40" s="495">
        <v>7450</v>
      </c>
      <c r="AD40" s="495" t="s">
        <v>531</v>
      </c>
      <c r="AE40" s="495" t="s">
        <v>531</v>
      </c>
      <c r="AF40" s="495" t="s">
        <v>531</v>
      </c>
      <c r="AG40" s="495" t="s">
        <v>531</v>
      </c>
      <c r="AH40" s="495" t="s">
        <v>531</v>
      </c>
      <c r="AI40" s="495" t="s">
        <v>531</v>
      </c>
      <c r="AJ40" s="495" t="s">
        <v>531</v>
      </c>
      <c r="AK40" s="495" t="s">
        <v>531</v>
      </c>
      <c r="AL40" s="495" t="s">
        <v>531</v>
      </c>
      <c r="AM40" s="495">
        <v>680</v>
      </c>
      <c r="AN40" s="495">
        <v>690</v>
      </c>
      <c r="AO40" s="495">
        <v>700</v>
      </c>
      <c r="AP40" s="495">
        <v>980</v>
      </c>
      <c r="AQ40" s="495">
        <v>990</v>
      </c>
      <c r="AR40" s="495">
        <v>1060</v>
      </c>
      <c r="AS40" s="495">
        <v>1640</v>
      </c>
      <c r="AT40" s="495">
        <v>1690</v>
      </c>
      <c r="AU40" s="495">
        <v>1720</v>
      </c>
      <c r="AV40" s="495">
        <v>2570</v>
      </c>
      <c r="AW40" s="495">
        <v>2630</v>
      </c>
      <c r="AX40" s="495">
        <v>2700</v>
      </c>
      <c r="AY40" s="495">
        <v>3050</v>
      </c>
      <c r="AZ40" s="495">
        <v>3590</v>
      </c>
      <c r="BA40" s="495">
        <v>3710</v>
      </c>
      <c r="BB40" s="495">
        <v>3830</v>
      </c>
      <c r="BC40" s="495">
        <v>4160</v>
      </c>
      <c r="BD40" s="495">
        <v>4300</v>
      </c>
      <c r="BE40" s="495">
        <v>4420</v>
      </c>
      <c r="BF40" s="495">
        <v>5600</v>
      </c>
      <c r="BG40" s="495">
        <v>5790</v>
      </c>
      <c r="BH40" s="495">
        <v>5980</v>
      </c>
      <c r="BI40" s="495">
        <v>6820</v>
      </c>
      <c r="BJ40" s="495">
        <v>7140</v>
      </c>
      <c r="BK40" s="495">
        <v>7450</v>
      </c>
      <c r="BL40" s="495">
        <v>9170</v>
      </c>
      <c r="BM40" s="495">
        <v>9610</v>
      </c>
      <c r="BN40" s="495">
        <v>10030</v>
      </c>
      <c r="BO40" s="495">
        <v>10340</v>
      </c>
      <c r="BP40" s="495">
        <v>10820</v>
      </c>
      <c r="BQ40" s="495">
        <v>11300</v>
      </c>
      <c r="BR40" s="495">
        <v>13290</v>
      </c>
      <c r="BS40" s="495">
        <v>14090</v>
      </c>
      <c r="BT40" s="495">
        <v>14880</v>
      </c>
      <c r="BU40" s="495"/>
      <c r="BV40" s="495"/>
      <c r="BW40" s="495"/>
      <c r="BX40" s="495"/>
      <c r="BY40" s="495"/>
      <c r="BZ40" s="495"/>
      <c r="CA40" s="495"/>
    </row>
    <row r="41" spans="1:79">
      <c r="A41" s="499">
        <v>1550</v>
      </c>
      <c r="B41" s="495">
        <v>1000</v>
      </c>
      <c r="C41" s="495">
        <v>1020</v>
      </c>
      <c r="D41" s="495">
        <v>1030</v>
      </c>
      <c r="E41" s="495">
        <v>1690</v>
      </c>
      <c r="F41" s="495">
        <v>1730</v>
      </c>
      <c r="G41" s="495">
        <v>1770</v>
      </c>
      <c r="H41" s="495">
        <v>2730</v>
      </c>
      <c r="I41" s="495">
        <v>2670</v>
      </c>
      <c r="J41" s="495">
        <v>2620</v>
      </c>
      <c r="K41" s="495">
        <v>2790</v>
      </c>
      <c r="L41" s="495">
        <v>2710</v>
      </c>
      <c r="M41" s="495">
        <v>2860</v>
      </c>
      <c r="N41" s="495">
        <v>3120</v>
      </c>
      <c r="O41" s="495">
        <v>3810</v>
      </c>
      <c r="P41" s="495">
        <v>3660</v>
      </c>
      <c r="Q41" s="495">
        <v>3590</v>
      </c>
      <c r="R41" s="495">
        <v>3930</v>
      </c>
      <c r="S41" s="495">
        <v>3710</v>
      </c>
      <c r="T41" s="495">
        <v>4050</v>
      </c>
      <c r="U41" s="495">
        <v>4400</v>
      </c>
      <c r="V41" s="495">
        <v>4030</v>
      </c>
      <c r="W41" s="495">
        <v>3960</v>
      </c>
      <c r="X41" s="495">
        <v>4540</v>
      </c>
      <c r="Y41" s="495">
        <v>4090</v>
      </c>
      <c r="Z41" s="495">
        <v>4660</v>
      </c>
      <c r="AA41" s="495">
        <v>6990</v>
      </c>
      <c r="AB41" s="495">
        <v>7320</v>
      </c>
      <c r="AC41" s="495">
        <v>7630</v>
      </c>
      <c r="AD41" s="495" t="s">
        <v>531</v>
      </c>
      <c r="AE41" s="495" t="s">
        <v>531</v>
      </c>
      <c r="AF41" s="495" t="s">
        <v>531</v>
      </c>
      <c r="AG41" s="495" t="s">
        <v>531</v>
      </c>
      <c r="AH41" s="495" t="s">
        <v>531</v>
      </c>
      <c r="AI41" s="495" t="s">
        <v>531</v>
      </c>
      <c r="AJ41" s="495" t="s">
        <v>531</v>
      </c>
      <c r="AK41" s="495" t="s">
        <v>531</v>
      </c>
      <c r="AL41" s="495" t="s">
        <v>531</v>
      </c>
      <c r="AM41" s="495">
        <v>700</v>
      </c>
      <c r="AN41" s="495">
        <v>710</v>
      </c>
      <c r="AO41" s="495">
        <v>720</v>
      </c>
      <c r="AP41" s="495">
        <v>1000</v>
      </c>
      <c r="AQ41" s="495">
        <v>1010</v>
      </c>
      <c r="AR41" s="495">
        <v>1090</v>
      </c>
      <c r="AS41" s="495">
        <v>1690</v>
      </c>
      <c r="AT41" s="495">
        <v>1730</v>
      </c>
      <c r="AU41" s="495">
        <v>1770</v>
      </c>
      <c r="AV41" s="495">
        <v>2730</v>
      </c>
      <c r="AW41" s="495">
        <v>2790</v>
      </c>
      <c r="AX41" s="495">
        <v>2860</v>
      </c>
      <c r="AY41" s="495">
        <v>3120</v>
      </c>
      <c r="AZ41" s="495">
        <v>3810</v>
      </c>
      <c r="BA41" s="495">
        <v>3930</v>
      </c>
      <c r="BB41" s="495">
        <v>4050</v>
      </c>
      <c r="BC41" s="495">
        <v>4400</v>
      </c>
      <c r="BD41" s="495">
        <v>4540</v>
      </c>
      <c r="BE41" s="495">
        <v>4660</v>
      </c>
      <c r="BF41" s="495">
        <v>5950</v>
      </c>
      <c r="BG41" s="495">
        <v>6130</v>
      </c>
      <c r="BH41" s="495">
        <v>6320</v>
      </c>
      <c r="BI41" s="495">
        <v>6990</v>
      </c>
      <c r="BJ41" s="495">
        <v>7320</v>
      </c>
      <c r="BK41" s="495">
        <v>7630</v>
      </c>
      <c r="BL41" s="495">
        <v>9410</v>
      </c>
      <c r="BM41" s="495">
        <v>9850</v>
      </c>
      <c r="BN41" s="495">
        <v>10270</v>
      </c>
      <c r="BO41" s="495">
        <v>10600</v>
      </c>
      <c r="BP41" s="495">
        <v>11080</v>
      </c>
      <c r="BQ41" s="495">
        <v>11560</v>
      </c>
      <c r="BR41" s="495">
        <v>13620</v>
      </c>
      <c r="BS41" s="495">
        <v>14420</v>
      </c>
      <c r="BT41" s="495">
        <v>15210</v>
      </c>
      <c r="BU41" s="495"/>
      <c r="BV41" s="495"/>
      <c r="BW41" s="495"/>
      <c r="BX41" s="495"/>
      <c r="BY41" s="495"/>
      <c r="BZ41" s="495"/>
      <c r="CA41" s="495"/>
    </row>
    <row r="42" spans="1:79">
      <c r="A42" s="499">
        <v>1600</v>
      </c>
      <c r="B42" s="495">
        <v>1030</v>
      </c>
      <c r="C42" s="495">
        <v>1040</v>
      </c>
      <c r="D42" s="495">
        <v>1050</v>
      </c>
      <c r="E42" s="495">
        <v>1740</v>
      </c>
      <c r="F42" s="495">
        <v>1780</v>
      </c>
      <c r="G42" s="495">
        <v>1820</v>
      </c>
      <c r="H42" s="495">
        <v>2800</v>
      </c>
      <c r="I42" s="495">
        <v>2740</v>
      </c>
      <c r="J42" s="495">
        <v>2700</v>
      </c>
      <c r="K42" s="495">
        <v>2860</v>
      </c>
      <c r="L42" s="495">
        <v>2780</v>
      </c>
      <c r="M42" s="495">
        <v>2930</v>
      </c>
      <c r="N42" s="495">
        <v>3190</v>
      </c>
      <c r="O42" s="495">
        <v>3910</v>
      </c>
      <c r="P42" s="495">
        <v>3760</v>
      </c>
      <c r="Q42" s="495">
        <v>3690</v>
      </c>
      <c r="R42" s="495">
        <v>4030</v>
      </c>
      <c r="S42" s="495">
        <v>3810</v>
      </c>
      <c r="T42" s="495">
        <v>4150</v>
      </c>
      <c r="U42" s="495">
        <v>4510</v>
      </c>
      <c r="V42" s="495">
        <v>4140</v>
      </c>
      <c r="W42" s="495">
        <v>4070</v>
      </c>
      <c r="X42" s="495">
        <v>4650</v>
      </c>
      <c r="Y42" s="495">
        <v>4200</v>
      </c>
      <c r="Z42" s="495">
        <v>4770</v>
      </c>
      <c r="AA42" s="495">
        <v>7170</v>
      </c>
      <c r="AB42" s="495">
        <v>7490</v>
      </c>
      <c r="AC42" s="495">
        <v>7810</v>
      </c>
      <c r="AD42" s="495" t="s">
        <v>531</v>
      </c>
      <c r="AE42" s="495" t="s">
        <v>531</v>
      </c>
      <c r="AF42" s="495" t="s">
        <v>531</v>
      </c>
      <c r="AG42" s="495" t="s">
        <v>531</v>
      </c>
      <c r="AH42" s="495" t="s">
        <v>531</v>
      </c>
      <c r="AI42" s="495" t="s">
        <v>531</v>
      </c>
      <c r="AJ42" s="495" t="s">
        <v>531</v>
      </c>
      <c r="AK42" s="495" t="s">
        <v>531</v>
      </c>
      <c r="AL42" s="495" t="s">
        <v>531</v>
      </c>
      <c r="AM42" s="495">
        <v>720</v>
      </c>
      <c r="AN42" s="495">
        <v>730</v>
      </c>
      <c r="AO42" s="495">
        <v>740</v>
      </c>
      <c r="AP42" s="495">
        <v>1030</v>
      </c>
      <c r="AQ42" s="495">
        <v>1040</v>
      </c>
      <c r="AR42" s="495">
        <v>1110</v>
      </c>
      <c r="AS42" s="495">
        <v>1740</v>
      </c>
      <c r="AT42" s="495">
        <v>1780</v>
      </c>
      <c r="AU42" s="495">
        <v>1820</v>
      </c>
      <c r="AV42" s="495">
        <v>2800</v>
      </c>
      <c r="AW42" s="495">
        <v>2860</v>
      </c>
      <c r="AX42" s="495">
        <v>2930</v>
      </c>
      <c r="AY42" s="495">
        <v>3190</v>
      </c>
      <c r="AZ42" s="495">
        <v>3910</v>
      </c>
      <c r="BA42" s="495">
        <v>4030</v>
      </c>
      <c r="BB42" s="495">
        <v>4150</v>
      </c>
      <c r="BC42" s="495">
        <v>4510</v>
      </c>
      <c r="BD42" s="495">
        <v>4650</v>
      </c>
      <c r="BE42" s="495">
        <v>4770</v>
      </c>
      <c r="BF42" s="495">
        <v>6100</v>
      </c>
      <c r="BG42" s="495">
        <v>6290</v>
      </c>
      <c r="BH42" s="495">
        <v>6480</v>
      </c>
      <c r="BI42" s="495">
        <v>7170</v>
      </c>
      <c r="BJ42" s="495">
        <v>7490</v>
      </c>
      <c r="BK42" s="495">
        <v>7810</v>
      </c>
      <c r="BL42" s="495">
        <v>9650</v>
      </c>
      <c r="BM42" s="495">
        <v>10080</v>
      </c>
      <c r="BN42" s="495">
        <v>10510</v>
      </c>
      <c r="BO42" s="495">
        <v>10870</v>
      </c>
      <c r="BP42" s="495">
        <v>11350</v>
      </c>
      <c r="BQ42" s="495">
        <v>11830</v>
      </c>
      <c r="BR42" s="495">
        <v>13950</v>
      </c>
      <c r="BS42" s="495">
        <v>14750</v>
      </c>
      <c r="BT42" s="495">
        <v>15540</v>
      </c>
      <c r="BU42" s="495"/>
      <c r="BV42" s="495"/>
      <c r="BW42" s="495"/>
      <c r="BX42" s="495"/>
      <c r="BY42" s="495"/>
      <c r="BZ42" s="495"/>
      <c r="CA42" s="495"/>
    </row>
    <row r="43" spans="1:79">
      <c r="A43" s="499">
        <v>1650</v>
      </c>
      <c r="B43" s="495">
        <v>1050</v>
      </c>
      <c r="C43" s="495">
        <v>1060</v>
      </c>
      <c r="D43" s="495">
        <v>1080</v>
      </c>
      <c r="E43" s="495">
        <v>1790</v>
      </c>
      <c r="F43" s="495">
        <v>1830</v>
      </c>
      <c r="G43" s="495">
        <v>1860</v>
      </c>
      <c r="H43" s="495">
        <v>2870</v>
      </c>
      <c r="I43" s="495">
        <v>2810</v>
      </c>
      <c r="J43" s="495">
        <v>2770</v>
      </c>
      <c r="K43" s="495">
        <v>2930</v>
      </c>
      <c r="L43" s="495">
        <v>2850</v>
      </c>
      <c r="M43" s="495">
        <v>3010</v>
      </c>
      <c r="N43" s="495">
        <v>3270</v>
      </c>
      <c r="O43" s="495">
        <v>4010</v>
      </c>
      <c r="P43" s="495">
        <v>3860</v>
      </c>
      <c r="Q43" s="495">
        <v>3790</v>
      </c>
      <c r="R43" s="495">
        <v>4130</v>
      </c>
      <c r="S43" s="495">
        <v>3910</v>
      </c>
      <c r="T43" s="495">
        <v>4250</v>
      </c>
      <c r="U43" s="495">
        <v>4620</v>
      </c>
      <c r="V43" s="495">
        <v>4250</v>
      </c>
      <c r="W43" s="495">
        <v>4180</v>
      </c>
      <c r="X43" s="495">
        <v>4760</v>
      </c>
      <c r="Y43" s="495">
        <v>4310</v>
      </c>
      <c r="Z43" s="495">
        <v>4880</v>
      </c>
      <c r="AA43" s="495">
        <v>7350</v>
      </c>
      <c r="AB43" s="495">
        <v>7670</v>
      </c>
      <c r="AC43" s="495">
        <v>7990</v>
      </c>
      <c r="AD43" s="495" t="s">
        <v>531</v>
      </c>
      <c r="AE43" s="495" t="s">
        <v>531</v>
      </c>
      <c r="AF43" s="495" t="s">
        <v>531</v>
      </c>
      <c r="AG43" s="495" t="s">
        <v>531</v>
      </c>
      <c r="AH43" s="495" t="s">
        <v>531</v>
      </c>
      <c r="AI43" s="495" t="s">
        <v>531</v>
      </c>
      <c r="AJ43" s="495" t="s">
        <v>531</v>
      </c>
      <c r="AK43" s="495" t="s">
        <v>531</v>
      </c>
      <c r="AL43" s="495" t="s">
        <v>531</v>
      </c>
      <c r="AM43" s="495">
        <v>740</v>
      </c>
      <c r="AN43" s="495">
        <v>750</v>
      </c>
      <c r="AO43" s="495">
        <v>760</v>
      </c>
      <c r="AP43" s="495">
        <v>1050</v>
      </c>
      <c r="AQ43" s="495">
        <v>1060</v>
      </c>
      <c r="AR43" s="495">
        <v>1140</v>
      </c>
      <c r="AS43" s="495">
        <v>1790</v>
      </c>
      <c r="AT43" s="495">
        <v>1830</v>
      </c>
      <c r="AU43" s="495">
        <v>1860</v>
      </c>
      <c r="AV43" s="495">
        <v>2870</v>
      </c>
      <c r="AW43" s="495">
        <v>2930</v>
      </c>
      <c r="AX43" s="495">
        <v>3010</v>
      </c>
      <c r="AY43" s="495">
        <v>3270</v>
      </c>
      <c r="AZ43" s="495">
        <v>4010</v>
      </c>
      <c r="BA43" s="495">
        <v>4130</v>
      </c>
      <c r="BB43" s="495">
        <v>4250</v>
      </c>
      <c r="BC43" s="495">
        <v>4620</v>
      </c>
      <c r="BD43" s="495">
        <v>4760</v>
      </c>
      <c r="BE43" s="495">
        <v>4880</v>
      </c>
      <c r="BF43" s="495">
        <v>6260</v>
      </c>
      <c r="BG43" s="495">
        <v>6440</v>
      </c>
      <c r="BH43" s="495">
        <v>6630</v>
      </c>
      <c r="BI43" s="495">
        <v>7350</v>
      </c>
      <c r="BJ43" s="495">
        <v>7670</v>
      </c>
      <c r="BK43" s="495">
        <v>7990</v>
      </c>
      <c r="BL43" s="495">
        <v>9890</v>
      </c>
      <c r="BM43" s="495">
        <v>10320</v>
      </c>
      <c r="BN43" s="495">
        <v>10750</v>
      </c>
      <c r="BO43" s="495">
        <v>11140</v>
      </c>
      <c r="BP43" s="495">
        <v>11620</v>
      </c>
      <c r="BQ43" s="495">
        <v>12100</v>
      </c>
      <c r="BR43" s="495">
        <v>14280</v>
      </c>
      <c r="BS43" s="495">
        <v>15080</v>
      </c>
      <c r="BT43" s="495">
        <v>15870</v>
      </c>
      <c r="BU43" s="495"/>
      <c r="BV43" s="495"/>
      <c r="BW43" s="495"/>
      <c r="BX43" s="495"/>
      <c r="BY43" s="495"/>
      <c r="BZ43" s="495"/>
      <c r="CA43" s="495"/>
    </row>
    <row r="44" spans="1:79">
      <c r="A44" s="499">
        <v>1700</v>
      </c>
      <c r="B44" s="495">
        <v>1070</v>
      </c>
      <c r="C44" s="495">
        <v>1090</v>
      </c>
      <c r="D44" s="495">
        <v>1100</v>
      </c>
      <c r="E44" s="495">
        <v>1840</v>
      </c>
      <c r="F44" s="495">
        <v>1880</v>
      </c>
      <c r="G44" s="495">
        <v>1910</v>
      </c>
      <c r="H44" s="495">
        <v>2950</v>
      </c>
      <c r="I44" s="495">
        <v>2890</v>
      </c>
      <c r="J44" s="495">
        <v>2840</v>
      </c>
      <c r="K44" s="495">
        <v>3010</v>
      </c>
      <c r="L44" s="495">
        <v>2920</v>
      </c>
      <c r="M44" s="495">
        <v>3080</v>
      </c>
      <c r="N44" s="495">
        <v>3340</v>
      </c>
      <c r="O44" s="495">
        <v>4110</v>
      </c>
      <c r="P44" s="495">
        <v>3960</v>
      </c>
      <c r="Q44" s="495">
        <v>3890</v>
      </c>
      <c r="R44" s="495">
        <v>4230</v>
      </c>
      <c r="S44" s="495">
        <v>4010</v>
      </c>
      <c r="T44" s="495">
        <v>4350</v>
      </c>
      <c r="U44" s="495">
        <v>4730</v>
      </c>
      <c r="V44" s="495">
        <v>4360</v>
      </c>
      <c r="W44" s="495">
        <v>4290</v>
      </c>
      <c r="X44" s="495">
        <v>4870</v>
      </c>
      <c r="Y44" s="495">
        <v>4420</v>
      </c>
      <c r="Z44" s="495">
        <v>4990</v>
      </c>
      <c r="AA44" s="495">
        <v>7530</v>
      </c>
      <c r="AB44" s="495">
        <v>7850</v>
      </c>
      <c r="AC44" s="495">
        <v>8160</v>
      </c>
      <c r="AD44" s="495" t="s">
        <v>531</v>
      </c>
      <c r="AE44" s="495" t="s">
        <v>531</v>
      </c>
      <c r="AF44" s="495" t="s">
        <v>531</v>
      </c>
      <c r="AG44" s="495" t="s">
        <v>531</v>
      </c>
      <c r="AH44" s="495" t="s">
        <v>531</v>
      </c>
      <c r="AI44" s="495" t="s">
        <v>531</v>
      </c>
      <c r="AJ44" s="495" t="s">
        <v>531</v>
      </c>
      <c r="AK44" s="495" t="s">
        <v>531</v>
      </c>
      <c r="AL44" s="495" t="s">
        <v>531</v>
      </c>
      <c r="AM44" s="495">
        <v>760</v>
      </c>
      <c r="AN44" s="495">
        <v>770</v>
      </c>
      <c r="AO44" s="495">
        <v>780</v>
      </c>
      <c r="AP44" s="495">
        <v>1070</v>
      </c>
      <c r="AQ44" s="495">
        <v>1080</v>
      </c>
      <c r="AR44" s="495">
        <v>1160</v>
      </c>
      <c r="AS44" s="495">
        <v>1840</v>
      </c>
      <c r="AT44" s="495">
        <v>1880</v>
      </c>
      <c r="AU44" s="495">
        <v>1910</v>
      </c>
      <c r="AV44" s="495">
        <v>2950</v>
      </c>
      <c r="AW44" s="495">
        <v>3010</v>
      </c>
      <c r="AX44" s="495">
        <v>3080</v>
      </c>
      <c r="AY44" s="495">
        <v>3340</v>
      </c>
      <c r="AZ44" s="495">
        <v>4110</v>
      </c>
      <c r="BA44" s="495">
        <v>4230</v>
      </c>
      <c r="BB44" s="495">
        <v>4350</v>
      </c>
      <c r="BC44" s="495">
        <v>4730</v>
      </c>
      <c r="BD44" s="495">
        <v>4870</v>
      </c>
      <c r="BE44" s="495">
        <v>4990</v>
      </c>
      <c r="BF44" s="495">
        <v>6410</v>
      </c>
      <c r="BG44" s="495">
        <v>6600</v>
      </c>
      <c r="BH44" s="495">
        <v>6790</v>
      </c>
      <c r="BI44" s="495">
        <v>7530</v>
      </c>
      <c r="BJ44" s="495">
        <v>7850</v>
      </c>
      <c r="BK44" s="495">
        <v>8160</v>
      </c>
      <c r="BL44" s="495">
        <v>10130</v>
      </c>
      <c r="BM44" s="495">
        <v>10560</v>
      </c>
      <c r="BN44" s="495">
        <v>10990</v>
      </c>
      <c r="BO44" s="495">
        <v>11400</v>
      </c>
      <c r="BP44" s="495">
        <v>11880</v>
      </c>
      <c r="BQ44" s="495">
        <v>12360</v>
      </c>
      <c r="BR44" s="495">
        <v>14610</v>
      </c>
      <c r="BS44" s="495">
        <v>15410</v>
      </c>
      <c r="BT44" s="495">
        <v>16200</v>
      </c>
      <c r="BU44" s="495"/>
      <c r="BV44" s="495"/>
      <c r="BW44" s="495"/>
      <c r="BX44" s="495"/>
      <c r="BY44" s="495"/>
      <c r="BZ44" s="495"/>
      <c r="CA44" s="495"/>
    </row>
    <row r="45" spans="1:79">
      <c r="A45" s="499">
        <v>1750</v>
      </c>
      <c r="B45" s="495">
        <v>1100</v>
      </c>
      <c r="C45" s="495">
        <v>1110</v>
      </c>
      <c r="D45" s="495">
        <v>1130</v>
      </c>
      <c r="E45" s="495">
        <v>1880</v>
      </c>
      <c r="F45" s="495">
        <v>1930</v>
      </c>
      <c r="G45" s="495">
        <v>1960</v>
      </c>
      <c r="H45" s="495">
        <v>3020</v>
      </c>
      <c r="I45" s="495">
        <v>2960</v>
      </c>
      <c r="J45" s="495">
        <v>2910</v>
      </c>
      <c r="K45" s="495">
        <v>3080</v>
      </c>
      <c r="L45" s="495">
        <v>3000</v>
      </c>
      <c r="M45" s="495">
        <v>3150</v>
      </c>
      <c r="N45" s="495">
        <v>3410</v>
      </c>
      <c r="O45" s="495">
        <v>4210</v>
      </c>
      <c r="P45" s="495">
        <v>4060</v>
      </c>
      <c r="Q45" s="495">
        <v>3990</v>
      </c>
      <c r="R45" s="495">
        <v>4330</v>
      </c>
      <c r="S45" s="495">
        <v>4110</v>
      </c>
      <c r="T45" s="495">
        <v>4450</v>
      </c>
      <c r="U45" s="495">
        <v>4840</v>
      </c>
      <c r="V45" s="495">
        <v>4470</v>
      </c>
      <c r="W45" s="495">
        <v>4400</v>
      </c>
      <c r="X45" s="495">
        <v>4980</v>
      </c>
      <c r="Y45" s="495">
        <v>4530</v>
      </c>
      <c r="Z45" s="495">
        <v>5100</v>
      </c>
      <c r="AA45" s="495">
        <v>7700</v>
      </c>
      <c r="AB45" s="495">
        <v>8030</v>
      </c>
      <c r="AC45" s="495">
        <v>8340</v>
      </c>
      <c r="AD45" s="495" t="s">
        <v>531</v>
      </c>
      <c r="AE45" s="495" t="s">
        <v>531</v>
      </c>
      <c r="AF45" s="495" t="s">
        <v>531</v>
      </c>
      <c r="AG45" s="495" t="s">
        <v>531</v>
      </c>
      <c r="AH45" s="495" t="s">
        <v>531</v>
      </c>
      <c r="AI45" s="495" t="s">
        <v>531</v>
      </c>
      <c r="AJ45" s="495" t="s">
        <v>531</v>
      </c>
      <c r="AK45" s="495" t="s">
        <v>531</v>
      </c>
      <c r="AL45" s="495" t="s">
        <v>531</v>
      </c>
      <c r="AM45" s="495">
        <v>780</v>
      </c>
      <c r="AN45" s="495">
        <v>790</v>
      </c>
      <c r="AO45" s="495">
        <v>800</v>
      </c>
      <c r="AP45" s="495">
        <v>1100</v>
      </c>
      <c r="AQ45" s="495">
        <v>1110</v>
      </c>
      <c r="AR45" s="495">
        <v>1190</v>
      </c>
      <c r="AS45" s="495">
        <v>1880</v>
      </c>
      <c r="AT45" s="495">
        <v>1930</v>
      </c>
      <c r="AU45" s="495">
        <v>1960</v>
      </c>
      <c r="AV45" s="495">
        <v>3020</v>
      </c>
      <c r="AW45" s="495">
        <v>3080</v>
      </c>
      <c r="AX45" s="495">
        <v>3150</v>
      </c>
      <c r="AY45" s="495">
        <v>3410</v>
      </c>
      <c r="AZ45" s="495">
        <v>4210</v>
      </c>
      <c r="BA45" s="495">
        <v>4330</v>
      </c>
      <c r="BB45" s="495">
        <v>4450</v>
      </c>
      <c r="BC45" s="495">
        <v>4840</v>
      </c>
      <c r="BD45" s="495">
        <v>4980</v>
      </c>
      <c r="BE45" s="495">
        <v>5100</v>
      </c>
      <c r="BF45" s="495">
        <v>6570</v>
      </c>
      <c r="BG45" s="495">
        <v>6760</v>
      </c>
      <c r="BH45" s="495">
        <v>6940</v>
      </c>
      <c r="BI45" s="495">
        <v>7700</v>
      </c>
      <c r="BJ45" s="495">
        <v>8030</v>
      </c>
      <c r="BK45" s="495">
        <v>8340</v>
      </c>
      <c r="BL45" s="495">
        <v>10370</v>
      </c>
      <c r="BM45" s="495">
        <v>10800</v>
      </c>
      <c r="BN45" s="495">
        <v>11230</v>
      </c>
      <c r="BO45" s="495">
        <v>11670</v>
      </c>
      <c r="BP45" s="495">
        <v>12150</v>
      </c>
      <c r="BQ45" s="495">
        <v>12630</v>
      </c>
      <c r="BR45" s="495">
        <v>14940</v>
      </c>
      <c r="BS45" s="495">
        <v>15740</v>
      </c>
      <c r="BT45" s="495">
        <v>16530</v>
      </c>
      <c r="BU45" s="495"/>
      <c r="BV45" s="495"/>
      <c r="BW45" s="495"/>
      <c r="BX45" s="495"/>
      <c r="BY45" s="495"/>
      <c r="BZ45" s="495"/>
      <c r="CA45" s="495"/>
    </row>
    <row r="46" spans="1:79">
      <c r="A46" s="499">
        <v>1800</v>
      </c>
      <c r="B46" s="495" t="s">
        <v>531</v>
      </c>
      <c r="C46" s="495" t="s">
        <v>531</v>
      </c>
      <c r="D46" s="495" t="s">
        <v>531</v>
      </c>
      <c r="E46" s="495">
        <v>1930</v>
      </c>
      <c r="F46" s="495">
        <v>1970</v>
      </c>
      <c r="G46" s="495">
        <v>2010</v>
      </c>
      <c r="H46" s="495">
        <v>3090</v>
      </c>
      <c r="I46" s="495">
        <v>3030</v>
      </c>
      <c r="J46" s="495">
        <v>2990</v>
      </c>
      <c r="K46" s="495">
        <v>3150</v>
      </c>
      <c r="L46" s="495">
        <v>3070</v>
      </c>
      <c r="M46" s="495">
        <v>3220</v>
      </c>
      <c r="N46" s="495">
        <v>3490</v>
      </c>
      <c r="O46" s="495">
        <v>4310</v>
      </c>
      <c r="P46" s="495">
        <v>4160</v>
      </c>
      <c r="Q46" s="495">
        <v>4090</v>
      </c>
      <c r="R46" s="495">
        <v>4430</v>
      </c>
      <c r="S46" s="495">
        <v>4210</v>
      </c>
      <c r="T46" s="495">
        <v>4550</v>
      </c>
      <c r="U46" s="495">
        <v>4950</v>
      </c>
      <c r="V46" s="495">
        <v>4580</v>
      </c>
      <c r="W46" s="495">
        <v>4510</v>
      </c>
      <c r="X46" s="495">
        <v>5090</v>
      </c>
      <c r="Y46" s="495">
        <v>4640</v>
      </c>
      <c r="Z46" s="495">
        <v>5210</v>
      </c>
      <c r="AA46" s="495">
        <v>7880</v>
      </c>
      <c r="AB46" s="495">
        <v>8200</v>
      </c>
      <c r="AC46" s="495">
        <v>8520</v>
      </c>
      <c r="AD46" s="495" t="s">
        <v>531</v>
      </c>
      <c r="AE46" s="495" t="s">
        <v>531</v>
      </c>
      <c r="AF46" s="495" t="s">
        <v>531</v>
      </c>
      <c r="AG46" s="495" t="s">
        <v>531</v>
      </c>
      <c r="AH46" s="495" t="s">
        <v>531</v>
      </c>
      <c r="AI46" s="495" t="s">
        <v>531</v>
      </c>
      <c r="AJ46" s="495" t="s">
        <v>531</v>
      </c>
      <c r="AK46" s="495" t="s">
        <v>531</v>
      </c>
      <c r="AL46" s="495" t="s">
        <v>531</v>
      </c>
      <c r="AM46" s="495" t="s">
        <v>531</v>
      </c>
      <c r="AN46" s="495" t="s">
        <v>531</v>
      </c>
      <c r="AO46" s="495" t="s">
        <v>531</v>
      </c>
      <c r="AP46" s="495" t="s">
        <v>531</v>
      </c>
      <c r="AQ46" s="495" t="s">
        <v>531</v>
      </c>
      <c r="AR46" s="495" t="s">
        <v>531</v>
      </c>
      <c r="AS46" s="495">
        <v>1930</v>
      </c>
      <c r="AT46" s="495">
        <v>1970</v>
      </c>
      <c r="AU46" s="495">
        <v>2010</v>
      </c>
      <c r="AV46" s="495">
        <v>3090</v>
      </c>
      <c r="AW46" s="495">
        <v>3150</v>
      </c>
      <c r="AX46" s="495">
        <v>3220</v>
      </c>
      <c r="AY46" s="495">
        <v>3490</v>
      </c>
      <c r="AZ46" s="495">
        <v>4310</v>
      </c>
      <c r="BA46" s="495">
        <v>4430</v>
      </c>
      <c r="BB46" s="495">
        <v>4550</v>
      </c>
      <c r="BC46" s="495">
        <v>4950</v>
      </c>
      <c r="BD46" s="495">
        <v>5090</v>
      </c>
      <c r="BE46" s="495">
        <v>5210</v>
      </c>
      <c r="BF46" s="495">
        <v>6720</v>
      </c>
      <c r="BG46" s="495">
        <v>6910</v>
      </c>
      <c r="BH46" s="495">
        <v>7100</v>
      </c>
      <c r="BI46" s="495">
        <v>7880</v>
      </c>
      <c r="BJ46" s="495">
        <v>8200</v>
      </c>
      <c r="BK46" s="495">
        <v>8520</v>
      </c>
      <c r="BL46" s="495">
        <v>10610</v>
      </c>
      <c r="BM46" s="495">
        <v>11040</v>
      </c>
      <c r="BN46" s="495">
        <v>11470</v>
      </c>
      <c r="BO46" s="495">
        <v>11930</v>
      </c>
      <c r="BP46" s="495">
        <v>12420</v>
      </c>
      <c r="BQ46" s="495">
        <v>12900</v>
      </c>
      <c r="BR46" s="495">
        <v>15280</v>
      </c>
      <c r="BS46" s="495">
        <v>16070</v>
      </c>
      <c r="BT46" s="495">
        <v>16860</v>
      </c>
      <c r="BU46" s="495"/>
      <c r="BV46" s="495"/>
      <c r="BW46" s="495"/>
      <c r="BX46" s="495"/>
      <c r="BY46" s="495"/>
      <c r="BZ46" s="495"/>
      <c r="CA46" s="495"/>
    </row>
    <row r="47" spans="1:79">
      <c r="A47" s="499">
        <v>1850</v>
      </c>
      <c r="B47" s="495" t="s">
        <v>531</v>
      </c>
      <c r="C47" s="495" t="s">
        <v>531</v>
      </c>
      <c r="D47" s="495" t="s">
        <v>531</v>
      </c>
      <c r="E47" s="495">
        <v>1980</v>
      </c>
      <c r="F47" s="495">
        <v>2020</v>
      </c>
      <c r="G47" s="495">
        <v>2060</v>
      </c>
      <c r="H47" s="495">
        <v>3170</v>
      </c>
      <c r="I47" s="495">
        <v>3110</v>
      </c>
      <c r="J47" s="495">
        <v>3060</v>
      </c>
      <c r="K47" s="495">
        <v>3230</v>
      </c>
      <c r="L47" s="495">
        <v>3140</v>
      </c>
      <c r="M47" s="495">
        <v>3300</v>
      </c>
      <c r="N47" s="495">
        <v>3560</v>
      </c>
      <c r="O47" s="495">
        <v>4410</v>
      </c>
      <c r="P47" s="495">
        <v>4260</v>
      </c>
      <c r="Q47" s="495">
        <v>4190</v>
      </c>
      <c r="R47" s="495">
        <v>4530</v>
      </c>
      <c r="S47" s="495">
        <v>4310</v>
      </c>
      <c r="T47" s="495">
        <v>4650</v>
      </c>
      <c r="U47" s="495">
        <v>5060</v>
      </c>
      <c r="V47" s="495">
        <v>4690</v>
      </c>
      <c r="W47" s="495">
        <v>4620</v>
      </c>
      <c r="X47" s="495">
        <v>5200</v>
      </c>
      <c r="Y47" s="495">
        <v>4750</v>
      </c>
      <c r="Z47" s="495">
        <v>5320</v>
      </c>
      <c r="AA47" s="495">
        <v>8060</v>
      </c>
      <c r="AB47" s="495">
        <v>8380</v>
      </c>
      <c r="AC47" s="495">
        <v>8700</v>
      </c>
      <c r="AD47" s="495" t="s">
        <v>531</v>
      </c>
      <c r="AE47" s="495" t="s">
        <v>531</v>
      </c>
      <c r="AF47" s="495" t="s">
        <v>531</v>
      </c>
      <c r="AG47" s="495" t="s">
        <v>531</v>
      </c>
      <c r="AH47" s="495" t="s">
        <v>531</v>
      </c>
      <c r="AI47" s="495" t="s">
        <v>531</v>
      </c>
      <c r="AJ47" s="495" t="s">
        <v>531</v>
      </c>
      <c r="AK47" s="495" t="s">
        <v>531</v>
      </c>
      <c r="AL47" s="495" t="s">
        <v>531</v>
      </c>
      <c r="AM47" s="495" t="s">
        <v>531</v>
      </c>
      <c r="AN47" s="495" t="s">
        <v>531</v>
      </c>
      <c r="AO47" s="495" t="s">
        <v>531</v>
      </c>
      <c r="AP47" s="495" t="s">
        <v>531</v>
      </c>
      <c r="AQ47" s="495" t="s">
        <v>531</v>
      </c>
      <c r="AR47" s="495" t="s">
        <v>531</v>
      </c>
      <c r="AS47" s="495">
        <v>1980</v>
      </c>
      <c r="AT47" s="495">
        <v>2020</v>
      </c>
      <c r="AU47" s="495">
        <v>2060</v>
      </c>
      <c r="AV47" s="495">
        <v>3170</v>
      </c>
      <c r="AW47" s="495">
        <v>3230</v>
      </c>
      <c r="AX47" s="495">
        <v>3300</v>
      </c>
      <c r="AY47" s="495">
        <v>3560</v>
      </c>
      <c r="AZ47" s="495">
        <v>4410</v>
      </c>
      <c r="BA47" s="495">
        <v>4530</v>
      </c>
      <c r="BB47" s="495">
        <v>4650</v>
      </c>
      <c r="BC47" s="495">
        <v>5060</v>
      </c>
      <c r="BD47" s="495">
        <v>5200</v>
      </c>
      <c r="BE47" s="495">
        <v>5320</v>
      </c>
      <c r="BF47" s="495">
        <v>6880</v>
      </c>
      <c r="BG47" s="495">
        <v>7070</v>
      </c>
      <c r="BH47" s="495">
        <v>7250</v>
      </c>
      <c r="BI47" s="495">
        <v>8060</v>
      </c>
      <c r="BJ47" s="495">
        <v>8380</v>
      </c>
      <c r="BK47" s="495">
        <v>8700</v>
      </c>
      <c r="BL47" s="495">
        <v>10850</v>
      </c>
      <c r="BM47" s="495">
        <v>11280</v>
      </c>
      <c r="BN47" s="495">
        <v>11700</v>
      </c>
      <c r="BO47" s="495">
        <v>12200</v>
      </c>
      <c r="BP47" s="495">
        <v>12680</v>
      </c>
      <c r="BQ47" s="495">
        <v>13160</v>
      </c>
      <c r="BR47" s="495">
        <v>15610</v>
      </c>
      <c r="BS47" s="495">
        <v>16400</v>
      </c>
      <c r="BT47" s="495">
        <v>17190</v>
      </c>
      <c r="BU47" s="495"/>
      <c r="BV47" s="495"/>
      <c r="BW47" s="495"/>
      <c r="BX47" s="495"/>
      <c r="BY47" s="495"/>
      <c r="BZ47" s="495"/>
      <c r="CA47" s="495"/>
    </row>
    <row r="48" spans="1:79">
      <c r="A48" s="499">
        <v>1900</v>
      </c>
      <c r="B48" s="495" t="s">
        <v>531</v>
      </c>
      <c r="C48" s="495" t="s">
        <v>531</v>
      </c>
      <c r="D48" s="495" t="s">
        <v>531</v>
      </c>
      <c r="E48" s="495">
        <v>2030</v>
      </c>
      <c r="F48" s="495">
        <v>2070</v>
      </c>
      <c r="G48" s="495">
        <v>2100</v>
      </c>
      <c r="H48" s="495">
        <v>3240</v>
      </c>
      <c r="I48" s="495">
        <v>3180</v>
      </c>
      <c r="J48" s="495">
        <v>3130</v>
      </c>
      <c r="K48" s="495">
        <v>3300</v>
      </c>
      <c r="L48" s="495">
        <v>3220</v>
      </c>
      <c r="M48" s="495">
        <v>3370</v>
      </c>
      <c r="N48" s="495">
        <v>3630</v>
      </c>
      <c r="O48" s="495">
        <v>4510</v>
      </c>
      <c r="P48" s="495">
        <v>4350</v>
      </c>
      <c r="Q48" s="495">
        <v>4290</v>
      </c>
      <c r="R48" s="495">
        <v>4630</v>
      </c>
      <c r="S48" s="495">
        <v>4410</v>
      </c>
      <c r="T48" s="495">
        <v>4750</v>
      </c>
      <c r="U48" s="495">
        <v>5170</v>
      </c>
      <c r="V48" s="495">
        <v>4800</v>
      </c>
      <c r="W48" s="495">
        <v>4730</v>
      </c>
      <c r="X48" s="495">
        <v>5310</v>
      </c>
      <c r="Y48" s="495">
        <v>4860</v>
      </c>
      <c r="Z48" s="495">
        <v>5430</v>
      </c>
      <c r="AA48" s="495">
        <v>8240</v>
      </c>
      <c r="AB48" s="495">
        <v>8560</v>
      </c>
      <c r="AC48" s="495">
        <v>8870</v>
      </c>
      <c r="AD48" s="495" t="s">
        <v>531</v>
      </c>
      <c r="AE48" s="495" t="s">
        <v>531</v>
      </c>
      <c r="AF48" s="495" t="s">
        <v>531</v>
      </c>
      <c r="AG48" s="495" t="s">
        <v>531</v>
      </c>
      <c r="AH48" s="495" t="s">
        <v>531</v>
      </c>
      <c r="AI48" s="495" t="s">
        <v>531</v>
      </c>
      <c r="AJ48" s="495" t="s">
        <v>531</v>
      </c>
      <c r="AK48" s="495" t="s">
        <v>531</v>
      </c>
      <c r="AL48" s="495" t="s">
        <v>531</v>
      </c>
      <c r="AM48" s="495" t="s">
        <v>531</v>
      </c>
      <c r="AN48" s="495" t="s">
        <v>531</v>
      </c>
      <c r="AO48" s="495" t="s">
        <v>531</v>
      </c>
      <c r="AP48" s="495" t="s">
        <v>531</v>
      </c>
      <c r="AQ48" s="495" t="s">
        <v>531</v>
      </c>
      <c r="AR48" s="495" t="s">
        <v>531</v>
      </c>
      <c r="AS48" s="495">
        <v>2030</v>
      </c>
      <c r="AT48" s="495">
        <v>2070</v>
      </c>
      <c r="AU48" s="495">
        <v>2100</v>
      </c>
      <c r="AV48" s="495">
        <v>3240</v>
      </c>
      <c r="AW48" s="495">
        <v>3300</v>
      </c>
      <c r="AX48" s="495">
        <v>3370</v>
      </c>
      <c r="AY48" s="495">
        <v>3630</v>
      </c>
      <c r="AZ48" s="495">
        <v>4510</v>
      </c>
      <c r="BA48" s="495">
        <v>4630</v>
      </c>
      <c r="BB48" s="495">
        <v>4750</v>
      </c>
      <c r="BC48" s="495">
        <v>5170</v>
      </c>
      <c r="BD48" s="495">
        <v>5310</v>
      </c>
      <c r="BE48" s="495">
        <v>5430</v>
      </c>
      <c r="BF48" s="495">
        <v>7040</v>
      </c>
      <c r="BG48" s="495">
        <v>7220</v>
      </c>
      <c r="BH48" s="495">
        <v>7410</v>
      </c>
      <c r="BI48" s="495">
        <v>8240</v>
      </c>
      <c r="BJ48" s="495">
        <v>8560</v>
      </c>
      <c r="BK48" s="495">
        <v>8870</v>
      </c>
      <c r="BL48" s="495">
        <v>11080</v>
      </c>
      <c r="BM48" s="495">
        <v>11520</v>
      </c>
      <c r="BN48" s="495">
        <v>11940</v>
      </c>
      <c r="BO48" s="495">
        <v>12470</v>
      </c>
      <c r="BP48" s="495">
        <v>12950</v>
      </c>
      <c r="BQ48" s="495">
        <v>13430</v>
      </c>
      <c r="BR48" s="495">
        <v>15940</v>
      </c>
      <c r="BS48" s="495">
        <v>16730</v>
      </c>
      <c r="BT48" s="495">
        <v>17520</v>
      </c>
      <c r="BU48" s="495"/>
      <c r="BV48" s="495"/>
      <c r="BW48" s="495"/>
      <c r="BX48" s="495"/>
      <c r="BY48" s="495"/>
      <c r="BZ48" s="495"/>
      <c r="CA48" s="495"/>
    </row>
    <row r="49" spans="1:79">
      <c r="A49" s="499">
        <v>1950</v>
      </c>
      <c r="B49" s="495" t="s">
        <v>531</v>
      </c>
      <c r="C49" s="495" t="s">
        <v>531</v>
      </c>
      <c r="D49" s="495" t="s">
        <v>531</v>
      </c>
      <c r="E49" s="495">
        <v>2080</v>
      </c>
      <c r="F49" s="495">
        <v>2120</v>
      </c>
      <c r="G49" s="495">
        <v>2150</v>
      </c>
      <c r="H49" s="495">
        <v>3310</v>
      </c>
      <c r="I49" s="495">
        <v>3250</v>
      </c>
      <c r="J49" s="495">
        <v>3210</v>
      </c>
      <c r="K49" s="495">
        <v>3370</v>
      </c>
      <c r="L49" s="495">
        <v>3290</v>
      </c>
      <c r="M49" s="495">
        <v>3440</v>
      </c>
      <c r="N49" s="495">
        <v>3700</v>
      </c>
      <c r="O49" s="495">
        <v>4610</v>
      </c>
      <c r="P49" s="495">
        <v>4450</v>
      </c>
      <c r="Q49" s="495">
        <v>4390</v>
      </c>
      <c r="R49" s="495">
        <v>4730</v>
      </c>
      <c r="S49" s="495">
        <v>4510</v>
      </c>
      <c r="T49" s="495">
        <v>4850</v>
      </c>
      <c r="U49" s="495">
        <v>5280</v>
      </c>
      <c r="V49" s="495">
        <v>4910</v>
      </c>
      <c r="W49" s="495">
        <v>4840</v>
      </c>
      <c r="X49" s="495">
        <v>5420</v>
      </c>
      <c r="Y49" s="495">
        <v>4970</v>
      </c>
      <c r="Z49" s="495">
        <v>5540</v>
      </c>
      <c r="AA49" s="495">
        <v>8410</v>
      </c>
      <c r="AB49" s="495">
        <v>8740</v>
      </c>
      <c r="AC49" s="495">
        <v>9050</v>
      </c>
      <c r="AD49" s="495" t="s">
        <v>531</v>
      </c>
      <c r="AE49" s="495" t="s">
        <v>531</v>
      </c>
      <c r="AF49" s="495" t="s">
        <v>531</v>
      </c>
      <c r="AG49" s="495" t="s">
        <v>531</v>
      </c>
      <c r="AH49" s="495" t="s">
        <v>531</v>
      </c>
      <c r="AI49" s="495" t="s">
        <v>531</v>
      </c>
      <c r="AJ49" s="495" t="s">
        <v>531</v>
      </c>
      <c r="AK49" s="495" t="s">
        <v>531</v>
      </c>
      <c r="AL49" s="495" t="s">
        <v>531</v>
      </c>
      <c r="AM49" s="495" t="s">
        <v>531</v>
      </c>
      <c r="AN49" s="495" t="s">
        <v>531</v>
      </c>
      <c r="AO49" s="495" t="s">
        <v>531</v>
      </c>
      <c r="AP49" s="495" t="s">
        <v>531</v>
      </c>
      <c r="AQ49" s="495" t="s">
        <v>531</v>
      </c>
      <c r="AR49" s="495" t="s">
        <v>531</v>
      </c>
      <c r="AS49" s="495">
        <v>2080</v>
      </c>
      <c r="AT49" s="495">
        <v>2120</v>
      </c>
      <c r="AU49" s="495">
        <v>2150</v>
      </c>
      <c r="AV49" s="495">
        <v>3310</v>
      </c>
      <c r="AW49" s="495">
        <v>3370</v>
      </c>
      <c r="AX49" s="495">
        <v>3440</v>
      </c>
      <c r="AY49" s="495">
        <v>3700</v>
      </c>
      <c r="AZ49" s="495">
        <v>4610</v>
      </c>
      <c r="BA49" s="495">
        <v>4730</v>
      </c>
      <c r="BB49" s="495">
        <v>4850</v>
      </c>
      <c r="BC49" s="495">
        <v>5280</v>
      </c>
      <c r="BD49" s="495">
        <v>5420</v>
      </c>
      <c r="BE49" s="495">
        <v>5540</v>
      </c>
      <c r="BF49" s="495">
        <v>7190</v>
      </c>
      <c r="BG49" s="495">
        <v>7380</v>
      </c>
      <c r="BH49" s="495">
        <v>7560</v>
      </c>
      <c r="BI49" s="495">
        <v>8410</v>
      </c>
      <c r="BJ49" s="495">
        <v>8740</v>
      </c>
      <c r="BK49" s="495">
        <v>9050</v>
      </c>
      <c r="BL49" s="495">
        <v>11320</v>
      </c>
      <c r="BM49" s="495">
        <v>11760</v>
      </c>
      <c r="BN49" s="495">
        <v>12180</v>
      </c>
      <c r="BO49" s="495">
        <v>12730</v>
      </c>
      <c r="BP49" s="495">
        <v>13220</v>
      </c>
      <c r="BQ49" s="495">
        <v>13700</v>
      </c>
      <c r="BR49" s="495">
        <v>16270</v>
      </c>
      <c r="BS49" s="495">
        <v>17060</v>
      </c>
      <c r="BT49" s="495">
        <v>17850</v>
      </c>
      <c r="BU49" s="495"/>
      <c r="BV49" s="495"/>
      <c r="BW49" s="495"/>
      <c r="BX49" s="495"/>
      <c r="BY49" s="495"/>
      <c r="BZ49" s="495"/>
      <c r="CA49" s="495"/>
    </row>
    <row r="50" spans="1:79">
      <c r="A50" s="499">
        <v>2000</v>
      </c>
      <c r="B50" s="495" t="s">
        <v>531</v>
      </c>
      <c r="C50" s="495" t="s">
        <v>531</v>
      </c>
      <c r="D50" s="495" t="s">
        <v>531</v>
      </c>
      <c r="E50" s="495">
        <v>2120</v>
      </c>
      <c r="F50" s="495">
        <v>2170</v>
      </c>
      <c r="G50" s="495">
        <v>2200</v>
      </c>
      <c r="H50" s="495">
        <v>3380</v>
      </c>
      <c r="I50" s="495">
        <v>3320</v>
      </c>
      <c r="J50" s="495">
        <v>3280</v>
      </c>
      <c r="K50" s="495">
        <v>3440</v>
      </c>
      <c r="L50" s="495">
        <v>3360</v>
      </c>
      <c r="M50" s="495">
        <v>3510</v>
      </c>
      <c r="N50" s="495">
        <v>3780</v>
      </c>
      <c r="O50" s="495">
        <v>4710</v>
      </c>
      <c r="P50" s="495">
        <v>4550</v>
      </c>
      <c r="Q50" s="495">
        <v>4490</v>
      </c>
      <c r="R50" s="495">
        <v>4830</v>
      </c>
      <c r="S50" s="495">
        <v>4610</v>
      </c>
      <c r="T50" s="495">
        <v>4950</v>
      </c>
      <c r="U50" s="495">
        <v>5390</v>
      </c>
      <c r="V50" s="495">
        <v>5020</v>
      </c>
      <c r="W50" s="495">
        <v>4950</v>
      </c>
      <c r="X50" s="495">
        <v>5530</v>
      </c>
      <c r="Y50" s="495">
        <v>5080</v>
      </c>
      <c r="Z50" s="495">
        <v>5650</v>
      </c>
      <c r="AA50" s="495">
        <v>8590</v>
      </c>
      <c r="AB50" s="495">
        <v>8910</v>
      </c>
      <c r="AC50" s="495">
        <v>9230</v>
      </c>
      <c r="AD50" s="495" t="s">
        <v>531</v>
      </c>
      <c r="AE50" s="495" t="s">
        <v>531</v>
      </c>
      <c r="AF50" s="495" t="s">
        <v>531</v>
      </c>
      <c r="AG50" s="495" t="s">
        <v>531</v>
      </c>
      <c r="AH50" s="495" t="s">
        <v>531</v>
      </c>
      <c r="AI50" s="495" t="s">
        <v>531</v>
      </c>
      <c r="AJ50" s="495" t="s">
        <v>531</v>
      </c>
      <c r="AK50" s="495" t="s">
        <v>531</v>
      </c>
      <c r="AL50" s="495" t="s">
        <v>531</v>
      </c>
      <c r="AM50" s="495" t="s">
        <v>531</v>
      </c>
      <c r="AN50" s="495" t="s">
        <v>531</v>
      </c>
      <c r="AO50" s="495" t="s">
        <v>531</v>
      </c>
      <c r="AP50" s="495" t="s">
        <v>531</v>
      </c>
      <c r="AQ50" s="495" t="s">
        <v>531</v>
      </c>
      <c r="AR50" s="495" t="s">
        <v>531</v>
      </c>
      <c r="AS50" s="495">
        <v>2120</v>
      </c>
      <c r="AT50" s="495">
        <v>2170</v>
      </c>
      <c r="AU50" s="495">
        <v>2200</v>
      </c>
      <c r="AV50" s="495">
        <v>3380</v>
      </c>
      <c r="AW50" s="495">
        <v>3440</v>
      </c>
      <c r="AX50" s="495">
        <v>3510</v>
      </c>
      <c r="AY50" s="495">
        <v>3780</v>
      </c>
      <c r="AZ50" s="495">
        <v>4710</v>
      </c>
      <c r="BA50" s="495">
        <v>4830</v>
      </c>
      <c r="BB50" s="495">
        <v>4950</v>
      </c>
      <c r="BC50" s="495">
        <v>5390</v>
      </c>
      <c r="BD50" s="495">
        <v>5530</v>
      </c>
      <c r="BE50" s="495">
        <v>5650</v>
      </c>
      <c r="BF50" s="495">
        <v>7350</v>
      </c>
      <c r="BG50" s="495">
        <v>7530</v>
      </c>
      <c r="BH50" s="495">
        <v>7720</v>
      </c>
      <c r="BI50" s="495">
        <v>8590</v>
      </c>
      <c r="BJ50" s="495">
        <v>8910</v>
      </c>
      <c r="BK50" s="495">
        <v>9230</v>
      </c>
      <c r="BL50" s="495">
        <v>11560</v>
      </c>
      <c r="BM50" s="495">
        <v>12000</v>
      </c>
      <c r="BN50" s="495">
        <v>12420</v>
      </c>
      <c r="BO50" s="495">
        <v>13000</v>
      </c>
      <c r="BP50" s="495">
        <v>13480</v>
      </c>
      <c r="BQ50" s="495">
        <v>13960</v>
      </c>
      <c r="BR50" s="495">
        <v>16600</v>
      </c>
      <c r="BS50" s="495">
        <v>17390</v>
      </c>
      <c r="BT50" s="495">
        <v>18180</v>
      </c>
      <c r="BU50" s="495"/>
      <c r="BV50" s="495"/>
      <c r="BW50" s="495"/>
      <c r="BX50" s="495"/>
      <c r="BY50" s="495"/>
      <c r="BZ50" s="495"/>
      <c r="CA50" s="495"/>
    </row>
    <row r="51" spans="1:79">
      <c r="A51" s="499">
        <v>2050</v>
      </c>
      <c r="B51" s="495" t="s">
        <v>531</v>
      </c>
      <c r="C51" s="495" t="s">
        <v>531</v>
      </c>
      <c r="D51" s="495" t="s">
        <v>531</v>
      </c>
      <c r="E51" s="495">
        <v>2170</v>
      </c>
      <c r="F51" s="495">
        <v>2210</v>
      </c>
      <c r="G51" s="495">
        <v>2250</v>
      </c>
      <c r="H51" s="495">
        <v>3460</v>
      </c>
      <c r="I51" s="495">
        <v>3400</v>
      </c>
      <c r="J51" s="495">
        <v>3350</v>
      </c>
      <c r="K51" s="495">
        <v>3520</v>
      </c>
      <c r="L51" s="495">
        <v>3430</v>
      </c>
      <c r="M51" s="495">
        <v>3590</v>
      </c>
      <c r="N51" s="495">
        <v>3850</v>
      </c>
      <c r="O51" s="495">
        <v>4810</v>
      </c>
      <c r="P51" s="495">
        <v>4650</v>
      </c>
      <c r="Q51" s="495">
        <v>4590</v>
      </c>
      <c r="R51" s="495">
        <v>4930</v>
      </c>
      <c r="S51" s="495">
        <v>4710</v>
      </c>
      <c r="T51" s="495">
        <v>5050</v>
      </c>
      <c r="U51" s="495">
        <v>5500</v>
      </c>
      <c r="V51" s="495">
        <v>5130</v>
      </c>
      <c r="W51" s="495">
        <v>5060</v>
      </c>
      <c r="X51" s="495">
        <v>5640</v>
      </c>
      <c r="Y51" s="495">
        <v>5190</v>
      </c>
      <c r="Z51" s="495">
        <v>5760</v>
      </c>
      <c r="AA51" s="495">
        <v>8770</v>
      </c>
      <c r="AB51" s="495">
        <v>9090</v>
      </c>
      <c r="AC51" s="495">
        <v>9410</v>
      </c>
      <c r="AD51" s="495" t="s">
        <v>531</v>
      </c>
      <c r="AE51" s="495" t="s">
        <v>531</v>
      </c>
      <c r="AF51" s="495" t="s">
        <v>531</v>
      </c>
      <c r="AG51" s="495" t="s">
        <v>531</v>
      </c>
      <c r="AH51" s="495" t="s">
        <v>531</v>
      </c>
      <c r="AI51" s="495" t="s">
        <v>531</v>
      </c>
      <c r="AJ51" s="495" t="s">
        <v>531</v>
      </c>
      <c r="AK51" s="495" t="s">
        <v>531</v>
      </c>
      <c r="AL51" s="495" t="s">
        <v>531</v>
      </c>
      <c r="AM51" s="495" t="s">
        <v>531</v>
      </c>
      <c r="AN51" s="495" t="s">
        <v>531</v>
      </c>
      <c r="AO51" s="495" t="s">
        <v>531</v>
      </c>
      <c r="AP51" s="495" t="s">
        <v>531</v>
      </c>
      <c r="AQ51" s="495" t="s">
        <v>531</v>
      </c>
      <c r="AR51" s="495" t="s">
        <v>531</v>
      </c>
      <c r="AS51" s="495">
        <v>2170</v>
      </c>
      <c r="AT51" s="495">
        <v>2210</v>
      </c>
      <c r="AU51" s="495">
        <v>2250</v>
      </c>
      <c r="AV51" s="495">
        <v>3460</v>
      </c>
      <c r="AW51" s="495">
        <v>3520</v>
      </c>
      <c r="AX51" s="495">
        <v>3590</v>
      </c>
      <c r="AY51" s="495">
        <v>3850</v>
      </c>
      <c r="AZ51" s="495">
        <v>4810</v>
      </c>
      <c r="BA51" s="495">
        <v>4930</v>
      </c>
      <c r="BB51" s="495">
        <v>5050</v>
      </c>
      <c r="BC51" s="495">
        <v>5500</v>
      </c>
      <c r="BD51" s="495">
        <v>5640</v>
      </c>
      <c r="BE51" s="495">
        <v>5760</v>
      </c>
      <c r="BF51" s="495">
        <v>7500</v>
      </c>
      <c r="BG51" s="495">
        <v>7690</v>
      </c>
      <c r="BH51" s="495">
        <v>7880</v>
      </c>
      <c r="BI51" s="495">
        <v>8770</v>
      </c>
      <c r="BJ51" s="495">
        <v>9090</v>
      </c>
      <c r="BK51" s="495">
        <v>9410</v>
      </c>
      <c r="BL51" s="495">
        <v>11800</v>
      </c>
      <c r="BM51" s="495">
        <v>12230</v>
      </c>
      <c r="BN51" s="495">
        <v>12660</v>
      </c>
      <c r="BO51" s="495">
        <v>13270</v>
      </c>
      <c r="BP51" s="495">
        <v>13750</v>
      </c>
      <c r="BQ51" s="495">
        <v>14230</v>
      </c>
      <c r="BR51" s="495">
        <v>16930</v>
      </c>
      <c r="BS51" s="495">
        <v>17720</v>
      </c>
      <c r="BT51" s="495">
        <v>18520</v>
      </c>
      <c r="BU51" s="495"/>
      <c r="BV51" s="495"/>
      <c r="BW51" s="495"/>
      <c r="BX51" s="495"/>
      <c r="BY51" s="495"/>
      <c r="BZ51" s="495"/>
      <c r="CA51" s="495"/>
    </row>
    <row r="52" spans="1:79">
      <c r="A52" s="499">
        <v>2100</v>
      </c>
      <c r="B52" s="495" t="s">
        <v>531</v>
      </c>
      <c r="C52" s="495" t="s">
        <v>531</v>
      </c>
      <c r="D52" s="495" t="s">
        <v>531</v>
      </c>
      <c r="E52" s="495">
        <v>2220</v>
      </c>
      <c r="F52" s="495">
        <v>2260</v>
      </c>
      <c r="G52" s="495">
        <v>2300</v>
      </c>
      <c r="H52" s="495">
        <v>3530</v>
      </c>
      <c r="I52" s="495">
        <v>3470</v>
      </c>
      <c r="J52" s="495">
        <v>3420</v>
      </c>
      <c r="K52" s="495">
        <v>3590</v>
      </c>
      <c r="L52" s="495">
        <v>3510</v>
      </c>
      <c r="M52" s="495">
        <v>3660</v>
      </c>
      <c r="N52" s="495">
        <v>3920</v>
      </c>
      <c r="O52" s="495">
        <v>4910</v>
      </c>
      <c r="P52" s="495">
        <v>4750</v>
      </c>
      <c r="Q52" s="495">
        <v>4690</v>
      </c>
      <c r="R52" s="495">
        <v>5030</v>
      </c>
      <c r="S52" s="495">
        <v>4810</v>
      </c>
      <c r="T52" s="495">
        <v>5150</v>
      </c>
      <c r="U52" s="495">
        <v>5610</v>
      </c>
      <c r="V52" s="495">
        <v>5240</v>
      </c>
      <c r="W52" s="495">
        <v>5170</v>
      </c>
      <c r="X52" s="495">
        <v>5750</v>
      </c>
      <c r="Y52" s="495">
        <v>5300</v>
      </c>
      <c r="Z52" s="495">
        <v>5870</v>
      </c>
      <c r="AA52" s="495">
        <v>8950</v>
      </c>
      <c r="AB52" s="495">
        <v>9270</v>
      </c>
      <c r="AC52" s="495">
        <v>9580</v>
      </c>
      <c r="AD52" s="495" t="s">
        <v>531</v>
      </c>
      <c r="AE52" s="495" t="s">
        <v>531</v>
      </c>
      <c r="AF52" s="495" t="s">
        <v>531</v>
      </c>
      <c r="AG52" s="495" t="s">
        <v>531</v>
      </c>
      <c r="AH52" s="495" t="s">
        <v>531</v>
      </c>
      <c r="AI52" s="495" t="s">
        <v>531</v>
      </c>
      <c r="AJ52" s="495" t="s">
        <v>531</v>
      </c>
      <c r="AK52" s="495" t="s">
        <v>531</v>
      </c>
      <c r="AL52" s="495" t="s">
        <v>531</v>
      </c>
      <c r="AM52" s="495" t="s">
        <v>531</v>
      </c>
      <c r="AN52" s="495" t="s">
        <v>531</v>
      </c>
      <c r="AO52" s="495" t="s">
        <v>531</v>
      </c>
      <c r="AP52" s="495" t="s">
        <v>531</v>
      </c>
      <c r="AQ52" s="495" t="s">
        <v>531</v>
      </c>
      <c r="AR52" s="495" t="s">
        <v>531</v>
      </c>
      <c r="AS52" s="495">
        <v>2220</v>
      </c>
      <c r="AT52" s="495">
        <v>2260</v>
      </c>
      <c r="AU52" s="495">
        <v>2300</v>
      </c>
      <c r="AV52" s="495">
        <v>3530</v>
      </c>
      <c r="AW52" s="495">
        <v>3590</v>
      </c>
      <c r="AX52" s="495">
        <v>3660</v>
      </c>
      <c r="AY52" s="495">
        <v>3920</v>
      </c>
      <c r="AZ52" s="495">
        <v>4910</v>
      </c>
      <c r="BA52" s="495">
        <v>5030</v>
      </c>
      <c r="BB52" s="495">
        <v>5150</v>
      </c>
      <c r="BC52" s="495">
        <v>5610</v>
      </c>
      <c r="BD52" s="495">
        <v>5750</v>
      </c>
      <c r="BE52" s="495">
        <v>5870</v>
      </c>
      <c r="BF52" s="495">
        <v>7660</v>
      </c>
      <c r="BG52" s="495">
        <v>7840</v>
      </c>
      <c r="BH52" s="495">
        <v>8030</v>
      </c>
      <c r="BI52" s="495">
        <v>8950</v>
      </c>
      <c r="BJ52" s="495">
        <v>9270</v>
      </c>
      <c r="BK52" s="495">
        <v>9580</v>
      </c>
      <c r="BL52" s="495">
        <v>12040</v>
      </c>
      <c r="BM52" s="495">
        <v>12470</v>
      </c>
      <c r="BN52" s="495">
        <v>12900</v>
      </c>
      <c r="BO52" s="495">
        <v>13530</v>
      </c>
      <c r="BP52" s="495">
        <v>14010</v>
      </c>
      <c r="BQ52" s="495">
        <v>14490</v>
      </c>
      <c r="BR52" s="495">
        <v>17260</v>
      </c>
      <c r="BS52" s="495">
        <v>18050</v>
      </c>
      <c r="BT52" s="495">
        <v>18850</v>
      </c>
      <c r="BU52" s="495"/>
      <c r="BV52" s="495"/>
      <c r="BW52" s="495"/>
      <c r="BX52" s="495"/>
      <c r="BY52" s="495"/>
      <c r="BZ52" s="495"/>
      <c r="CA52" s="495"/>
    </row>
    <row r="53" spans="1:79">
      <c r="A53" s="499">
        <v>2150</v>
      </c>
      <c r="B53" s="495" t="s">
        <v>531</v>
      </c>
      <c r="C53" s="495" t="s">
        <v>531</v>
      </c>
      <c r="D53" s="495" t="s">
        <v>531</v>
      </c>
      <c r="E53" s="495">
        <v>2270</v>
      </c>
      <c r="F53" s="495">
        <v>2310</v>
      </c>
      <c r="G53" s="495">
        <v>2340</v>
      </c>
      <c r="H53" s="495">
        <v>3600</v>
      </c>
      <c r="I53" s="495">
        <v>3540</v>
      </c>
      <c r="J53" s="495">
        <v>3500</v>
      </c>
      <c r="K53" s="495">
        <v>3660</v>
      </c>
      <c r="L53" s="495">
        <v>3580</v>
      </c>
      <c r="M53" s="495">
        <v>3730</v>
      </c>
      <c r="N53" s="495">
        <v>4000</v>
      </c>
      <c r="O53" s="495">
        <v>5010</v>
      </c>
      <c r="P53" s="495">
        <v>4850</v>
      </c>
      <c r="Q53" s="495">
        <v>4790</v>
      </c>
      <c r="R53" s="495">
        <v>5130</v>
      </c>
      <c r="S53" s="495">
        <v>4910</v>
      </c>
      <c r="T53" s="495">
        <v>5250</v>
      </c>
      <c r="U53" s="495">
        <v>5720</v>
      </c>
      <c r="V53" s="495">
        <v>5350</v>
      </c>
      <c r="W53" s="495">
        <v>5280</v>
      </c>
      <c r="X53" s="495">
        <v>5860</v>
      </c>
      <c r="Y53" s="495">
        <v>5410</v>
      </c>
      <c r="Z53" s="495">
        <v>5980</v>
      </c>
      <c r="AA53" s="495">
        <v>9120</v>
      </c>
      <c r="AB53" s="495">
        <v>9450</v>
      </c>
      <c r="AC53" s="495">
        <v>9760</v>
      </c>
      <c r="AD53" s="495" t="s">
        <v>531</v>
      </c>
      <c r="AE53" s="495" t="s">
        <v>531</v>
      </c>
      <c r="AF53" s="495" t="s">
        <v>531</v>
      </c>
      <c r="AG53" s="495" t="s">
        <v>531</v>
      </c>
      <c r="AH53" s="495" t="s">
        <v>531</v>
      </c>
      <c r="AI53" s="495" t="s">
        <v>531</v>
      </c>
      <c r="AJ53" s="495" t="s">
        <v>531</v>
      </c>
      <c r="AK53" s="495" t="s">
        <v>531</v>
      </c>
      <c r="AL53" s="495" t="s">
        <v>531</v>
      </c>
      <c r="AM53" s="495" t="s">
        <v>531</v>
      </c>
      <c r="AN53" s="495" t="s">
        <v>531</v>
      </c>
      <c r="AO53" s="495" t="s">
        <v>531</v>
      </c>
      <c r="AP53" s="495" t="s">
        <v>531</v>
      </c>
      <c r="AQ53" s="495" t="s">
        <v>531</v>
      </c>
      <c r="AR53" s="495" t="s">
        <v>531</v>
      </c>
      <c r="AS53" s="495">
        <v>2270</v>
      </c>
      <c r="AT53" s="495">
        <v>2310</v>
      </c>
      <c r="AU53" s="495">
        <v>2340</v>
      </c>
      <c r="AV53" s="495">
        <v>3600</v>
      </c>
      <c r="AW53" s="495">
        <v>3660</v>
      </c>
      <c r="AX53" s="495">
        <v>3730</v>
      </c>
      <c r="AY53" s="495">
        <v>4000</v>
      </c>
      <c r="AZ53" s="495">
        <v>5010</v>
      </c>
      <c r="BA53" s="495">
        <v>5130</v>
      </c>
      <c r="BB53" s="495">
        <v>5250</v>
      </c>
      <c r="BC53" s="495">
        <v>5720</v>
      </c>
      <c r="BD53" s="495">
        <v>5860</v>
      </c>
      <c r="BE53" s="495">
        <v>5980</v>
      </c>
      <c r="BF53" s="495">
        <v>7810</v>
      </c>
      <c r="BG53" s="495">
        <v>8000</v>
      </c>
      <c r="BH53" s="495">
        <v>8190</v>
      </c>
      <c r="BI53" s="495">
        <v>9120</v>
      </c>
      <c r="BJ53" s="495">
        <v>9450</v>
      </c>
      <c r="BK53" s="495">
        <v>9760</v>
      </c>
      <c r="BL53" s="495">
        <v>12280</v>
      </c>
      <c r="BM53" s="495">
        <v>12710</v>
      </c>
      <c r="BN53" s="495">
        <v>13140</v>
      </c>
      <c r="BO53" s="495">
        <v>13800</v>
      </c>
      <c r="BP53" s="495">
        <v>14280</v>
      </c>
      <c r="BQ53" s="495">
        <v>14760</v>
      </c>
      <c r="BR53" s="495">
        <v>17590</v>
      </c>
      <c r="BS53" s="495">
        <v>18380</v>
      </c>
      <c r="BT53" s="495">
        <v>19180</v>
      </c>
      <c r="BU53" s="495"/>
      <c r="BV53" s="495"/>
      <c r="BW53" s="495"/>
      <c r="BX53" s="495"/>
      <c r="BY53" s="495"/>
      <c r="BZ53" s="495"/>
      <c r="CA53" s="495"/>
    </row>
    <row r="54" spans="1:79">
      <c r="A54" s="499">
        <v>2200</v>
      </c>
      <c r="B54" s="495" t="s">
        <v>531</v>
      </c>
      <c r="C54" s="495" t="s">
        <v>531</v>
      </c>
      <c r="D54" s="495" t="s">
        <v>531</v>
      </c>
      <c r="E54" s="495">
        <v>2320</v>
      </c>
      <c r="F54" s="495">
        <v>2360</v>
      </c>
      <c r="G54" s="495">
        <v>2390</v>
      </c>
      <c r="H54" s="495">
        <v>3670</v>
      </c>
      <c r="I54" s="495">
        <v>3620</v>
      </c>
      <c r="J54" s="495">
        <v>3570</v>
      </c>
      <c r="K54" s="495">
        <v>3740</v>
      </c>
      <c r="L54" s="495">
        <v>3650</v>
      </c>
      <c r="M54" s="495">
        <v>3810</v>
      </c>
      <c r="N54" s="495">
        <v>4070</v>
      </c>
      <c r="O54" s="495">
        <v>5110</v>
      </c>
      <c r="P54" s="495">
        <v>4950</v>
      </c>
      <c r="Q54" s="495">
        <v>4890</v>
      </c>
      <c r="R54" s="495">
        <v>5220</v>
      </c>
      <c r="S54" s="495">
        <v>5010</v>
      </c>
      <c r="T54" s="495">
        <v>5350</v>
      </c>
      <c r="U54" s="495">
        <v>5830</v>
      </c>
      <c r="V54" s="495">
        <v>5460</v>
      </c>
      <c r="W54" s="495">
        <v>5390</v>
      </c>
      <c r="X54" s="495">
        <v>5970</v>
      </c>
      <c r="Y54" s="495">
        <v>5520</v>
      </c>
      <c r="Z54" s="495">
        <v>6090</v>
      </c>
      <c r="AA54" s="495">
        <v>9300</v>
      </c>
      <c r="AB54" s="495">
        <v>9620</v>
      </c>
      <c r="AC54" s="495">
        <v>9940</v>
      </c>
      <c r="AD54" s="495" t="s">
        <v>531</v>
      </c>
      <c r="AE54" s="495" t="s">
        <v>531</v>
      </c>
      <c r="AF54" s="495" t="s">
        <v>531</v>
      </c>
      <c r="AG54" s="495" t="s">
        <v>531</v>
      </c>
      <c r="AH54" s="495" t="s">
        <v>531</v>
      </c>
      <c r="AI54" s="495" t="s">
        <v>531</v>
      </c>
      <c r="AJ54" s="495" t="s">
        <v>531</v>
      </c>
      <c r="AK54" s="495" t="s">
        <v>531</v>
      </c>
      <c r="AL54" s="495" t="s">
        <v>531</v>
      </c>
      <c r="AM54" s="495" t="s">
        <v>531</v>
      </c>
      <c r="AN54" s="495" t="s">
        <v>531</v>
      </c>
      <c r="AO54" s="495" t="s">
        <v>531</v>
      </c>
      <c r="AP54" s="495" t="s">
        <v>531</v>
      </c>
      <c r="AQ54" s="495" t="s">
        <v>531</v>
      </c>
      <c r="AR54" s="495" t="s">
        <v>531</v>
      </c>
      <c r="AS54" s="495">
        <v>2320</v>
      </c>
      <c r="AT54" s="495">
        <v>2360</v>
      </c>
      <c r="AU54" s="495">
        <v>2390</v>
      </c>
      <c r="AV54" s="495">
        <v>3670</v>
      </c>
      <c r="AW54" s="495">
        <v>3740</v>
      </c>
      <c r="AX54" s="495">
        <v>3810</v>
      </c>
      <c r="AY54" s="495">
        <v>4070</v>
      </c>
      <c r="AZ54" s="495">
        <v>5110</v>
      </c>
      <c r="BA54" s="495">
        <v>5220</v>
      </c>
      <c r="BB54" s="495">
        <v>5350</v>
      </c>
      <c r="BC54" s="495">
        <v>5830</v>
      </c>
      <c r="BD54" s="495">
        <v>5970</v>
      </c>
      <c r="BE54" s="495">
        <v>6090</v>
      </c>
      <c r="BF54" s="495">
        <v>7970</v>
      </c>
      <c r="BG54" s="495">
        <v>8160</v>
      </c>
      <c r="BH54" s="495">
        <v>8340</v>
      </c>
      <c r="BI54" s="495">
        <v>9300</v>
      </c>
      <c r="BJ54" s="495">
        <v>9620</v>
      </c>
      <c r="BK54" s="495">
        <v>9940</v>
      </c>
      <c r="BL54" s="495">
        <v>12520</v>
      </c>
      <c r="BM54" s="495">
        <v>12950</v>
      </c>
      <c r="BN54" s="495">
        <v>13380</v>
      </c>
      <c r="BO54" s="495">
        <v>14070</v>
      </c>
      <c r="BP54" s="495">
        <v>14550</v>
      </c>
      <c r="BQ54" s="495">
        <v>15030</v>
      </c>
      <c r="BR54" s="495">
        <v>17920</v>
      </c>
      <c r="BS54" s="495">
        <v>18710</v>
      </c>
      <c r="BT54" s="495">
        <v>19510</v>
      </c>
      <c r="BU54" s="495"/>
      <c r="BV54" s="495"/>
      <c r="BW54" s="495"/>
      <c r="BX54" s="495"/>
      <c r="BY54" s="495"/>
      <c r="BZ54" s="495"/>
      <c r="CA54" s="495"/>
    </row>
    <row r="55" spans="1:79">
      <c r="A55" s="499">
        <v>2250</v>
      </c>
      <c r="B55" s="495" t="s">
        <v>531</v>
      </c>
      <c r="C55" s="495" t="s">
        <v>531</v>
      </c>
      <c r="D55" s="495" t="s">
        <v>531</v>
      </c>
      <c r="E55" s="495">
        <v>2360</v>
      </c>
      <c r="F55" s="495">
        <v>2410</v>
      </c>
      <c r="G55" s="495">
        <v>2440</v>
      </c>
      <c r="H55" s="495">
        <v>3750</v>
      </c>
      <c r="I55" s="495">
        <v>3690</v>
      </c>
      <c r="J55" s="495">
        <v>3640</v>
      </c>
      <c r="K55" s="495">
        <v>3810</v>
      </c>
      <c r="L55" s="495">
        <v>3730</v>
      </c>
      <c r="M55" s="495">
        <v>3880</v>
      </c>
      <c r="N55" s="495">
        <v>4140</v>
      </c>
      <c r="O55" s="495">
        <v>5210</v>
      </c>
      <c r="P55" s="495">
        <v>5050</v>
      </c>
      <c r="Q55" s="495">
        <v>4990</v>
      </c>
      <c r="R55" s="495">
        <v>5320</v>
      </c>
      <c r="S55" s="495">
        <v>5110</v>
      </c>
      <c r="T55" s="495">
        <v>5450</v>
      </c>
      <c r="U55" s="495">
        <v>5940</v>
      </c>
      <c r="V55" s="495">
        <v>5570</v>
      </c>
      <c r="W55" s="495">
        <v>5500</v>
      </c>
      <c r="X55" s="495">
        <v>6080</v>
      </c>
      <c r="Y55" s="495">
        <v>5630</v>
      </c>
      <c r="Z55" s="495">
        <v>6200</v>
      </c>
      <c r="AA55" s="495">
        <v>9480</v>
      </c>
      <c r="AB55" s="495">
        <v>9800</v>
      </c>
      <c r="AC55" s="495">
        <v>10120</v>
      </c>
      <c r="AD55" s="495" t="s">
        <v>531</v>
      </c>
      <c r="AE55" s="495" t="s">
        <v>531</v>
      </c>
      <c r="AF55" s="495" t="s">
        <v>531</v>
      </c>
      <c r="AG55" s="495" t="s">
        <v>531</v>
      </c>
      <c r="AH55" s="495" t="s">
        <v>531</v>
      </c>
      <c r="AI55" s="495" t="s">
        <v>531</v>
      </c>
      <c r="AJ55" s="495" t="s">
        <v>531</v>
      </c>
      <c r="AK55" s="495" t="s">
        <v>531</v>
      </c>
      <c r="AL55" s="495" t="s">
        <v>531</v>
      </c>
      <c r="AM55" s="495" t="s">
        <v>531</v>
      </c>
      <c r="AN55" s="495" t="s">
        <v>531</v>
      </c>
      <c r="AO55" s="495" t="s">
        <v>531</v>
      </c>
      <c r="AP55" s="495" t="s">
        <v>531</v>
      </c>
      <c r="AQ55" s="495" t="s">
        <v>531</v>
      </c>
      <c r="AR55" s="495" t="s">
        <v>531</v>
      </c>
      <c r="AS55" s="495">
        <v>2360</v>
      </c>
      <c r="AT55" s="495">
        <v>2410</v>
      </c>
      <c r="AU55" s="495">
        <v>2440</v>
      </c>
      <c r="AV55" s="495">
        <v>3750</v>
      </c>
      <c r="AW55" s="495">
        <v>3810</v>
      </c>
      <c r="AX55" s="495">
        <v>3880</v>
      </c>
      <c r="AY55" s="495">
        <v>4140</v>
      </c>
      <c r="AZ55" s="495">
        <v>5210</v>
      </c>
      <c r="BA55" s="495">
        <v>5320</v>
      </c>
      <c r="BB55" s="495">
        <v>5450</v>
      </c>
      <c r="BC55" s="495">
        <v>5940</v>
      </c>
      <c r="BD55" s="495">
        <v>6080</v>
      </c>
      <c r="BE55" s="495">
        <v>6200</v>
      </c>
      <c r="BF55" s="495">
        <v>8120</v>
      </c>
      <c r="BG55" s="495">
        <v>8310</v>
      </c>
      <c r="BH55" s="495">
        <v>8500</v>
      </c>
      <c r="BI55" s="495">
        <v>9480</v>
      </c>
      <c r="BJ55" s="495">
        <v>9800</v>
      </c>
      <c r="BK55" s="495">
        <v>10120</v>
      </c>
      <c r="BL55" s="495">
        <v>12760</v>
      </c>
      <c r="BM55" s="495">
        <v>13190</v>
      </c>
      <c r="BN55" s="495">
        <v>13620</v>
      </c>
      <c r="BO55" s="495">
        <v>14330</v>
      </c>
      <c r="BP55" s="495">
        <v>14810</v>
      </c>
      <c r="BQ55" s="495">
        <v>15290</v>
      </c>
      <c r="BR55" s="495">
        <v>18250</v>
      </c>
      <c r="BS55" s="495">
        <v>19050</v>
      </c>
      <c r="BT55" s="495">
        <v>19840</v>
      </c>
      <c r="BU55" s="495"/>
      <c r="BV55" s="495"/>
      <c r="BW55" s="495"/>
      <c r="BX55" s="495"/>
      <c r="BY55" s="495"/>
      <c r="BZ55" s="495"/>
      <c r="CA55" s="495"/>
    </row>
    <row r="56" spans="1:79">
      <c r="A56" s="499">
        <v>2300</v>
      </c>
      <c r="B56" s="495" t="s">
        <v>531</v>
      </c>
      <c r="C56" s="495" t="s">
        <v>531</v>
      </c>
      <c r="D56" s="495" t="s">
        <v>531</v>
      </c>
      <c r="E56" s="495">
        <v>2410</v>
      </c>
      <c r="F56" s="495">
        <v>2450</v>
      </c>
      <c r="G56" s="495">
        <v>2490</v>
      </c>
      <c r="H56" s="495">
        <v>3820</v>
      </c>
      <c r="I56" s="495">
        <v>3760</v>
      </c>
      <c r="J56" s="495">
        <v>3720</v>
      </c>
      <c r="K56" s="495">
        <v>3880</v>
      </c>
      <c r="L56" s="495">
        <v>3800</v>
      </c>
      <c r="M56" s="495">
        <v>3950</v>
      </c>
      <c r="N56" s="495">
        <v>4210</v>
      </c>
      <c r="O56" s="495">
        <v>5310</v>
      </c>
      <c r="P56" s="495">
        <v>5150</v>
      </c>
      <c r="Q56" s="495">
        <v>5090</v>
      </c>
      <c r="R56" s="495">
        <v>5420</v>
      </c>
      <c r="S56" s="495">
        <v>5210</v>
      </c>
      <c r="T56" s="495">
        <v>5550</v>
      </c>
      <c r="U56" s="495">
        <v>6050</v>
      </c>
      <c r="V56" s="495">
        <v>5680</v>
      </c>
      <c r="W56" s="495">
        <v>5610</v>
      </c>
      <c r="X56" s="495">
        <v>6190</v>
      </c>
      <c r="Y56" s="495">
        <v>5740</v>
      </c>
      <c r="Z56" s="495">
        <v>6310</v>
      </c>
      <c r="AA56" s="495">
        <v>9660</v>
      </c>
      <c r="AB56" s="495">
        <v>9980</v>
      </c>
      <c r="AC56" s="495">
        <v>10290</v>
      </c>
      <c r="AD56" s="495" t="s">
        <v>531</v>
      </c>
      <c r="AE56" s="495" t="s">
        <v>531</v>
      </c>
      <c r="AF56" s="495" t="s">
        <v>531</v>
      </c>
      <c r="AG56" s="495" t="s">
        <v>531</v>
      </c>
      <c r="AH56" s="495" t="s">
        <v>531</v>
      </c>
      <c r="AI56" s="495" t="s">
        <v>531</v>
      </c>
      <c r="AJ56" s="495" t="s">
        <v>531</v>
      </c>
      <c r="AK56" s="495" t="s">
        <v>531</v>
      </c>
      <c r="AL56" s="495" t="s">
        <v>531</v>
      </c>
      <c r="AM56" s="495" t="s">
        <v>531</v>
      </c>
      <c r="AN56" s="495" t="s">
        <v>531</v>
      </c>
      <c r="AO56" s="495" t="s">
        <v>531</v>
      </c>
      <c r="AP56" s="495" t="s">
        <v>531</v>
      </c>
      <c r="AQ56" s="495" t="s">
        <v>531</v>
      </c>
      <c r="AR56" s="495" t="s">
        <v>531</v>
      </c>
      <c r="AS56" s="495">
        <v>2410</v>
      </c>
      <c r="AT56" s="495">
        <v>2450</v>
      </c>
      <c r="AU56" s="495">
        <v>2490</v>
      </c>
      <c r="AV56" s="495">
        <v>3820</v>
      </c>
      <c r="AW56" s="495">
        <v>3880</v>
      </c>
      <c r="AX56" s="495">
        <v>3950</v>
      </c>
      <c r="AY56" s="495">
        <v>4210</v>
      </c>
      <c r="AZ56" s="495">
        <v>5310</v>
      </c>
      <c r="BA56" s="495">
        <v>5420</v>
      </c>
      <c r="BB56" s="495">
        <v>5550</v>
      </c>
      <c r="BC56" s="495">
        <v>6050</v>
      </c>
      <c r="BD56" s="495">
        <v>6190</v>
      </c>
      <c r="BE56" s="495">
        <v>6310</v>
      </c>
      <c r="BF56" s="495">
        <v>8280</v>
      </c>
      <c r="BG56" s="495">
        <v>8470</v>
      </c>
      <c r="BH56" s="495">
        <v>8650</v>
      </c>
      <c r="BI56" s="495">
        <v>9660</v>
      </c>
      <c r="BJ56" s="495">
        <v>9980</v>
      </c>
      <c r="BK56" s="495">
        <v>10290</v>
      </c>
      <c r="BL56" s="495">
        <v>13000</v>
      </c>
      <c r="BM56" s="495">
        <v>13430</v>
      </c>
      <c r="BN56" s="495">
        <v>13850</v>
      </c>
      <c r="BO56" s="495">
        <v>14600</v>
      </c>
      <c r="BP56" s="495">
        <v>15080</v>
      </c>
      <c r="BQ56" s="495">
        <v>15560</v>
      </c>
      <c r="BR56" s="495">
        <v>18580</v>
      </c>
      <c r="BS56" s="495">
        <v>19380</v>
      </c>
      <c r="BT56" s="495">
        <v>20170</v>
      </c>
      <c r="BU56" s="495"/>
      <c r="BV56" s="495"/>
      <c r="BW56" s="495"/>
      <c r="BX56" s="495"/>
      <c r="BY56" s="495"/>
      <c r="BZ56" s="495"/>
      <c r="CA56" s="495"/>
    </row>
    <row r="57" spans="1:79">
      <c r="A57" s="499">
        <v>2350</v>
      </c>
      <c r="B57" s="495" t="s">
        <v>531</v>
      </c>
      <c r="C57" s="495" t="s">
        <v>531</v>
      </c>
      <c r="D57" s="495" t="s">
        <v>531</v>
      </c>
      <c r="E57" s="495">
        <v>2460</v>
      </c>
      <c r="F57" s="495">
        <v>2500</v>
      </c>
      <c r="G57" s="495">
        <v>2540</v>
      </c>
      <c r="H57" s="495">
        <v>3890</v>
      </c>
      <c r="I57" s="495">
        <v>3830</v>
      </c>
      <c r="J57" s="495">
        <v>3790</v>
      </c>
      <c r="K57" s="495">
        <v>3950</v>
      </c>
      <c r="L57" s="495">
        <v>3870</v>
      </c>
      <c r="M57" s="495">
        <v>4020</v>
      </c>
      <c r="N57" s="495">
        <v>4290</v>
      </c>
      <c r="O57" s="495">
        <v>5410</v>
      </c>
      <c r="P57" s="495">
        <v>5250</v>
      </c>
      <c r="Q57" s="495">
        <v>5190</v>
      </c>
      <c r="R57" s="495">
        <v>5520</v>
      </c>
      <c r="S57" s="495">
        <v>5310</v>
      </c>
      <c r="T57" s="495">
        <v>5640</v>
      </c>
      <c r="U57" s="495">
        <v>6160</v>
      </c>
      <c r="V57" s="495">
        <v>5790</v>
      </c>
      <c r="W57" s="495">
        <v>5720</v>
      </c>
      <c r="X57" s="495">
        <v>6300</v>
      </c>
      <c r="Y57" s="495">
        <v>5850</v>
      </c>
      <c r="Z57" s="495">
        <v>6420</v>
      </c>
      <c r="AA57" s="495">
        <v>9830</v>
      </c>
      <c r="AB57" s="495">
        <v>10150</v>
      </c>
      <c r="AC57" s="495">
        <v>10470</v>
      </c>
      <c r="AD57" s="495" t="s">
        <v>531</v>
      </c>
      <c r="AE57" s="495" t="s">
        <v>531</v>
      </c>
      <c r="AF57" s="495" t="s">
        <v>531</v>
      </c>
      <c r="AG57" s="495" t="s">
        <v>531</v>
      </c>
      <c r="AH57" s="495" t="s">
        <v>531</v>
      </c>
      <c r="AI57" s="495" t="s">
        <v>531</v>
      </c>
      <c r="AJ57" s="495" t="s">
        <v>531</v>
      </c>
      <c r="AK57" s="495" t="s">
        <v>531</v>
      </c>
      <c r="AL57" s="495" t="s">
        <v>531</v>
      </c>
      <c r="AM57" s="495" t="s">
        <v>531</v>
      </c>
      <c r="AN57" s="495" t="s">
        <v>531</v>
      </c>
      <c r="AO57" s="495" t="s">
        <v>531</v>
      </c>
      <c r="AP57" s="495" t="s">
        <v>531</v>
      </c>
      <c r="AQ57" s="495" t="s">
        <v>531</v>
      </c>
      <c r="AR57" s="495" t="s">
        <v>531</v>
      </c>
      <c r="AS57" s="495">
        <v>2460</v>
      </c>
      <c r="AT57" s="495">
        <v>2500</v>
      </c>
      <c r="AU57" s="495">
        <v>2540</v>
      </c>
      <c r="AV57" s="495">
        <v>3890</v>
      </c>
      <c r="AW57" s="495">
        <v>3950</v>
      </c>
      <c r="AX57" s="495">
        <v>4020</v>
      </c>
      <c r="AY57" s="495">
        <v>4290</v>
      </c>
      <c r="AZ57" s="495">
        <v>5410</v>
      </c>
      <c r="BA57" s="495">
        <v>5520</v>
      </c>
      <c r="BB57" s="495">
        <v>5640</v>
      </c>
      <c r="BC57" s="495">
        <v>6160</v>
      </c>
      <c r="BD57" s="495">
        <v>6300</v>
      </c>
      <c r="BE57" s="495">
        <v>6420</v>
      </c>
      <c r="BF57" s="495">
        <v>8440</v>
      </c>
      <c r="BG57" s="495">
        <v>8620</v>
      </c>
      <c r="BH57" s="495">
        <v>8810</v>
      </c>
      <c r="BI57" s="495">
        <v>9830</v>
      </c>
      <c r="BJ57" s="495">
        <v>10150</v>
      </c>
      <c r="BK57" s="495">
        <v>10470</v>
      </c>
      <c r="BL57" s="495">
        <v>13230</v>
      </c>
      <c r="BM57" s="495">
        <v>13670</v>
      </c>
      <c r="BN57" s="495">
        <v>14090</v>
      </c>
      <c r="BO57" s="495">
        <v>14860</v>
      </c>
      <c r="BP57" s="495">
        <v>15350</v>
      </c>
      <c r="BQ57" s="495">
        <v>15830</v>
      </c>
      <c r="BR57" s="495">
        <v>18910</v>
      </c>
      <c r="BS57" s="495">
        <v>19710</v>
      </c>
      <c r="BT57" s="495">
        <v>20500</v>
      </c>
      <c r="BU57" s="495"/>
      <c r="BV57" s="495"/>
      <c r="BW57" s="495"/>
      <c r="BX57" s="495"/>
      <c r="BY57" s="495"/>
      <c r="BZ57" s="495"/>
      <c r="CA57" s="495"/>
    </row>
    <row r="58" spans="1:79">
      <c r="A58" s="499">
        <v>2400</v>
      </c>
      <c r="B58" s="495" t="s">
        <v>531</v>
      </c>
      <c r="C58" s="495" t="s">
        <v>531</v>
      </c>
      <c r="D58" s="495" t="s">
        <v>531</v>
      </c>
      <c r="E58" s="495">
        <v>2510</v>
      </c>
      <c r="F58" s="495">
        <v>2550</v>
      </c>
      <c r="G58" s="495">
        <v>2580</v>
      </c>
      <c r="H58" s="495">
        <v>3970</v>
      </c>
      <c r="I58" s="495">
        <v>3910</v>
      </c>
      <c r="J58" s="495">
        <v>3860</v>
      </c>
      <c r="K58" s="495">
        <v>4030</v>
      </c>
      <c r="L58" s="495">
        <v>3940</v>
      </c>
      <c r="M58" s="495">
        <v>4100</v>
      </c>
      <c r="N58" s="495">
        <v>4360</v>
      </c>
      <c r="O58" s="495">
        <v>5510</v>
      </c>
      <c r="P58" s="495">
        <v>5350</v>
      </c>
      <c r="Q58" s="495">
        <v>5290</v>
      </c>
      <c r="R58" s="495">
        <v>5620</v>
      </c>
      <c r="S58" s="495">
        <v>5410</v>
      </c>
      <c r="T58" s="495">
        <v>5740</v>
      </c>
      <c r="U58" s="495">
        <v>6270</v>
      </c>
      <c r="V58" s="495">
        <v>5900</v>
      </c>
      <c r="W58" s="495">
        <v>5830</v>
      </c>
      <c r="X58" s="495">
        <v>6410</v>
      </c>
      <c r="Y58" s="495">
        <v>5960</v>
      </c>
      <c r="Z58" s="495">
        <v>6530</v>
      </c>
      <c r="AA58" s="495">
        <v>10010</v>
      </c>
      <c r="AB58" s="495">
        <v>10330</v>
      </c>
      <c r="AC58" s="495">
        <v>10650</v>
      </c>
      <c r="AD58" s="495" t="s">
        <v>531</v>
      </c>
      <c r="AE58" s="495" t="s">
        <v>531</v>
      </c>
      <c r="AF58" s="495" t="s">
        <v>531</v>
      </c>
      <c r="AG58" s="495" t="s">
        <v>531</v>
      </c>
      <c r="AH58" s="495" t="s">
        <v>531</v>
      </c>
      <c r="AI58" s="495" t="s">
        <v>531</v>
      </c>
      <c r="AJ58" s="495" t="s">
        <v>531</v>
      </c>
      <c r="AK58" s="495" t="s">
        <v>531</v>
      </c>
      <c r="AL58" s="495" t="s">
        <v>531</v>
      </c>
      <c r="AM58" s="495" t="s">
        <v>531</v>
      </c>
      <c r="AN58" s="495" t="s">
        <v>531</v>
      </c>
      <c r="AO58" s="495" t="s">
        <v>531</v>
      </c>
      <c r="AP58" s="495" t="s">
        <v>531</v>
      </c>
      <c r="AQ58" s="495" t="s">
        <v>531</v>
      </c>
      <c r="AR58" s="495" t="s">
        <v>531</v>
      </c>
      <c r="AS58" s="495">
        <v>2510</v>
      </c>
      <c r="AT58" s="495">
        <v>2550</v>
      </c>
      <c r="AU58" s="495">
        <v>2580</v>
      </c>
      <c r="AV58" s="495">
        <v>3970</v>
      </c>
      <c r="AW58" s="495">
        <v>4030</v>
      </c>
      <c r="AX58" s="495">
        <v>4100</v>
      </c>
      <c r="AY58" s="495">
        <v>4360</v>
      </c>
      <c r="AZ58" s="495">
        <v>5510</v>
      </c>
      <c r="BA58" s="495">
        <v>5620</v>
      </c>
      <c r="BB58" s="495">
        <v>5740</v>
      </c>
      <c r="BC58" s="495">
        <v>6270</v>
      </c>
      <c r="BD58" s="495">
        <v>6410</v>
      </c>
      <c r="BE58" s="495">
        <v>6530</v>
      </c>
      <c r="BF58" s="495">
        <v>8590</v>
      </c>
      <c r="BG58" s="495">
        <v>8780</v>
      </c>
      <c r="BH58" s="495">
        <v>8960</v>
      </c>
      <c r="BI58" s="495">
        <v>10010</v>
      </c>
      <c r="BJ58" s="495">
        <v>10330</v>
      </c>
      <c r="BK58" s="495">
        <v>10650</v>
      </c>
      <c r="BL58" s="495">
        <v>13470</v>
      </c>
      <c r="BM58" s="495">
        <v>13910</v>
      </c>
      <c r="BN58" s="495">
        <v>14330</v>
      </c>
      <c r="BO58" s="495">
        <v>15130</v>
      </c>
      <c r="BP58" s="495">
        <v>15610</v>
      </c>
      <c r="BQ58" s="495">
        <v>16090</v>
      </c>
      <c r="BR58" s="495">
        <v>19240</v>
      </c>
      <c r="BS58" s="495">
        <v>20040</v>
      </c>
      <c r="BT58" s="495">
        <v>20830</v>
      </c>
      <c r="BU58" s="495"/>
      <c r="BV58" s="495"/>
      <c r="BW58" s="495"/>
      <c r="BX58" s="495"/>
      <c r="BY58" s="495"/>
      <c r="BZ58" s="495"/>
      <c r="CA58" s="495"/>
    </row>
    <row r="59" spans="1:79">
      <c r="A59" s="499">
        <v>2450</v>
      </c>
      <c r="B59" s="495" t="s">
        <v>531</v>
      </c>
      <c r="C59" s="495" t="s">
        <v>531</v>
      </c>
      <c r="D59" s="495" t="s">
        <v>531</v>
      </c>
      <c r="E59" s="495">
        <v>2560</v>
      </c>
      <c r="F59" s="495">
        <v>2600</v>
      </c>
      <c r="G59" s="495">
        <v>2630</v>
      </c>
      <c r="H59" s="495">
        <v>4040</v>
      </c>
      <c r="I59" s="495">
        <v>3980</v>
      </c>
      <c r="J59" s="495">
        <v>3930</v>
      </c>
      <c r="K59" s="495">
        <v>4100</v>
      </c>
      <c r="L59" s="495">
        <v>4020</v>
      </c>
      <c r="M59" s="495">
        <v>4170</v>
      </c>
      <c r="N59" s="495">
        <v>4430</v>
      </c>
      <c r="O59" s="495">
        <v>5610</v>
      </c>
      <c r="P59" s="495">
        <v>5450</v>
      </c>
      <c r="Q59" s="495">
        <v>5390</v>
      </c>
      <c r="R59" s="495">
        <v>5720</v>
      </c>
      <c r="S59" s="495">
        <v>5510</v>
      </c>
      <c r="T59" s="495">
        <v>5840</v>
      </c>
      <c r="U59" s="495">
        <v>6380</v>
      </c>
      <c r="V59" s="495">
        <v>6010</v>
      </c>
      <c r="W59" s="495">
        <v>5940</v>
      </c>
      <c r="X59" s="495">
        <v>6520</v>
      </c>
      <c r="Y59" s="495">
        <v>6070</v>
      </c>
      <c r="Z59" s="495">
        <v>6640</v>
      </c>
      <c r="AA59" s="495">
        <v>10190</v>
      </c>
      <c r="AB59" s="495">
        <v>10510</v>
      </c>
      <c r="AC59" s="495">
        <v>10830</v>
      </c>
      <c r="AD59" s="495" t="s">
        <v>531</v>
      </c>
      <c r="AE59" s="495" t="s">
        <v>531</v>
      </c>
      <c r="AF59" s="495" t="s">
        <v>531</v>
      </c>
      <c r="AG59" s="495" t="s">
        <v>531</v>
      </c>
      <c r="AH59" s="495" t="s">
        <v>531</v>
      </c>
      <c r="AI59" s="495" t="s">
        <v>531</v>
      </c>
      <c r="AJ59" s="495" t="s">
        <v>531</v>
      </c>
      <c r="AK59" s="495" t="s">
        <v>531</v>
      </c>
      <c r="AL59" s="495" t="s">
        <v>531</v>
      </c>
      <c r="AM59" s="495" t="s">
        <v>531</v>
      </c>
      <c r="AN59" s="495" t="s">
        <v>531</v>
      </c>
      <c r="AO59" s="495" t="s">
        <v>531</v>
      </c>
      <c r="AP59" s="495" t="s">
        <v>531</v>
      </c>
      <c r="AQ59" s="495" t="s">
        <v>531</v>
      </c>
      <c r="AR59" s="495" t="s">
        <v>531</v>
      </c>
      <c r="AS59" s="495">
        <v>2560</v>
      </c>
      <c r="AT59" s="495">
        <v>2600</v>
      </c>
      <c r="AU59" s="495">
        <v>2630</v>
      </c>
      <c r="AV59" s="495">
        <v>4040</v>
      </c>
      <c r="AW59" s="495">
        <v>4100</v>
      </c>
      <c r="AX59" s="495">
        <v>4170</v>
      </c>
      <c r="AY59" s="495">
        <v>4430</v>
      </c>
      <c r="AZ59" s="495">
        <v>5610</v>
      </c>
      <c r="BA59" s="495">
        <v>5720</v>
      </c>
      <c r="BB59" s="495">
        <v>5840</v>
      </c>
      <c r="BC59" s="495">
        <v>6380</v>
      </c>
      <c r="BD59" s="495">
        <v>6520</v>
      </c>
      <c r="BE59" s="495">
        <v>6640</v>
      </c>
      <c r="BF59" s="495">
        <v>8750</v>
      </c>
      <c r="BG59" s="495">
        <v>8930</v>
      </c>
      <c r="BH59" s="495">
        <v>9120</v>
      </c>
      <c r="BI59" s="495">
        <v>10190</v>
      </c>
      <c r="BJ59" s="495">
        <v>10510</v>
      </c>
      <c r="BK59" s="495">
        <v>10830</v>
      </c>
      <c r="BL59" s="495">
        <v>13710</v>
      </c>
      <c r="BM59" s="495">
        <v>14150</v>
      </c>
      <c r="BN59" s="495">
        <v>14570</v>
      </c>
      <c r="BO59" s="495">
        <v>15400</v>
      </c>
      <c r="BP59" s="495">
        <v>15880</v>
      </c>
      <c r="BQ59" s="495">
        <v>16360</v>
      </c>
      <c r="BR59" s="495">
        <v>19570</v>
      </c>
      <c r="BS59" s="495">
        <v>20370</v>
      </c>
      <c r="BT59" s="495">
        <v>21160</v>
      </c>
      <c r="BU59" s="495"/>
      <c r="BV59" s="495"/>
      <c r="BW59" s="495"/>
      <c r="BX59" s="495"/>
      <c r="BY59" s="495"/>
      <c r="BZ59" s="495"/>
      <c r="CA59" s="495"/>
    </row>
    <row r="60" spans="1:79">
      <c r="A60" s="499">
        <v>2500</v>
      </c>
      <c r="B60" s="495" t="s">
        <v>531</v>
      </c>
      <c r="C60" s="495" t="s">
        <v>531</v>
      </c>
      <c r="D60" s="495" t="s">
        <v>531</v>
      </c>
      <c r="E60" s="495">
        <v>2600</v>
      </c>
      <c r="F60" s="495">
        <v>2650</v>
      </c>
      <c r="G60" s="495">
        <v>2680</v>
      </c>
      <c r="H60" s="495">
        <v>4110</v>
      </c>
      <c r="I60" s="495">
        <v>4050</v>
      </c>
      <c r="J60" s="495">
        <v>4010</v>
      </c>
      <c r="K60" s="495">
        <v>4170</v>
      </c>
      <c r="L60" s="495">
        <v>4090</v>
      </c>
      <c r="M60" s="495">
        <v>4240</v>
      </c>
      <c r="N60" s="495">
        <v>4510</v>
      </c>
      <c r="O60" s="495">
        <v>5710</v>
      </c>
      <c r="P60" s="495">
        <v>5550</v>
      </c>
      <c r="Q60" s="495">
        <v>5490</v>
      </c>
      <c r="R60" s="495">
        <v>5820</v>
      </c>
      <c r="S60" s="495">
        <v>5610</v>
      </c>
      <c r="T60" s="495">
        <v>5940</v>
      </c>
      <c r="U60" s="495">
        <v>6490</v>
      </c>
      <c r="V60" s="495">
        <v>6120</v>
      </c>
      <c r="W60" s="495">
        <v>6050</v>
      </c>
      <c r="X60" s="495">
        <v>6630</v>
      </c>
      <c r="Y60" s="495">
        <v>6180</v>
      </c>
      <c r="Z60" s="495">
        <v>6750</v>
      </c>
      <c r="AA60" s="495">
        <v>10360</v>
      </c>
      <c r="AB60" s="495">
        <v>10690</v>
      </c>
      <c r="AC60" s="495">
        <v>11000</v>
      </c>
      <c r="AD60" s="495" t="s">
        <v>531</v>
      </c>
      <c r="AE60" s="495" t="s">
        <v>531</v>
      </c>
      <c r="AF60" s="495" t="s">
        <v>531</v>
      </c>
      <c r="AG60" s="495" t="s">
        <v>531</v>
      </c>
      <c r="AH60" s="495" t="s">
        <v>531</v>
      </c>
      <c r="AI60" s="495" t="s">
        <v>531</v>
      </c>
      <c r="AJ60" s="495" t="s">
        <v>531</v>
      </c>
      <c r="AK60" s="495" t="s">
        <v>531</v>
      </c>
      <c r="AL60" s="495" t="s">
        <v>531</v>
      </c>
      <c r="AM60" s="495" t="s">
        <v>531</v>
      </c>
      <c r="AN60" s="495" t="s">
        <v>531</v>
      </c>
      <c r="AO60" s="495" t="s">
        <v>531</v>
      </c>
      <c r="AP60" s="495" t="s">
        <v>531</v>
      </c>
      <c r="AQ60" s="495" t="s">
        <v>531</v>
      </c>
      <c r="AR60" s="495" t="s">
        <v>531</v>
      </c>
      <c r="AS60" s="495">
        <v>2600</v>
      </c>
      <c r="AT60" s="495">
        <v>2650</v>
      </c>
      <c r="AU60" s="495">
        <v>2680</v>
      </c>
      <c r="AV60" s="495">
        <v>4110</v>
      </c>
      <c r="AW60" s="495">
        <v>4170</v>
      </c>
      <c r="AX60" s="495">
        <v>4240</v>
      </c>
      <c r="AY60" s="495">
        <v>4510</v>
      </c>
      <c r="AZ60" s="495">
        <v>5710</v>
      </c>
      <c r="BA60" s="495">
        <v>5820</v>
      </c>
      <c r="BB60" s="495">
        <v>5940</v>
      </c>
      <c r="BC60" s="495">
        <v>6490</v>
      </c>
      <c r="BD60" s="495">
        <v>6630</v>
      </c>
      <c r="BE60" s="495">
        <v>6750</v>
      </c>
      <c r="BF60" s="495">
        <v>8900</v>
      </c>
      <c r="BG60" s="495">
        <v>9090</v>
      </c>
      <c r="BH60" s="495">
        <v>9280</v>
      </c>
      <c r="BI60" s="495">
        <v>10360</v>
      </c>
      <c r="BJ60" s="495">
        <v>10690</v>
      </c>
      <c r="BK60" s="495">
        <v>11000</v>
      </c>
      <c r="BL60" s="495">
        <v>13950</v>
      </c>
      <c r="BM60" s="495">
        <v>14380</v>
      </c>
      <c r="BN60" s="495">
        <v>14810</v>
      </c>
      <c r="BO60" s="495">
        <v>15660</v>
      </c>
      <c r="BP60" s="495">
        <v>16150</v>
      </c>
      <c r="BQ60" s="495">
        <v>16630</v>
      </c>
      <c r="BR60" s="495">
        <v>19900</v>
      </c>
      <c r="BS60" s="495">
        <v>20700</v>
      </c>
      <c r="BT60" s="495">
        <v>21490</v>
      </c>
      <c r="BU60" s="495"/>
      <c r="BV60" s="495"/>
      <c r="BW60" s="495"/>
      <c r="BX60" s="495"/>
      <c r="BY60" s="495"/>
      <c r="BZ60" s="495"/>
      <c r="CA60" s="495"/>
    </row>
    <row r="61" spans="1:79">
      <c r="A61" s="499">
        <v>2550</v>
      </c>
      <c r="B61" s="495" t="s">
        <v>531</v>
      </c>
      <c r="C61" s="495" t="s">
        <v>531</v>
      </c>
      <c r="D61" s="495" t="s">
        <v>531</v>
      </c>
      <c r="E61" s="495">
        <v>2650</v>
      </c>
      <c r="F61" s="495">
        <v>2690</v>
      </c>
      <c r="G61" s="495">
        <v>2730</v>
      </c>
      <c r="H61" s="495">
        <v>4180</v>
      </c>
      <c r="I61" s="495" t="s">
        <v>531</v>
      </c>
      <c r="J61" s="495" t="s">
        <v>531</v>
      </c>
      <c r="K61" s="495">
        <v>4250</v>
      </c>
      <c r="L61" s="495" t="s">
        <v>531</v>
      </c>
      <c r="M61" s="495">
        <v>4320</v>
      </c>
      <c r="N61" s="495">
        <v>4580</v>
      </c>
      <c r="O61" s="495">
        <v>5810</v>
      </c>
      <c r="P61" s="495" t="s">
        <v>531</v>
      </c>
      <c r="Q61" s="495" t="s">
        <v>531</v>
      </c>
      <c r="R61" s="495">
        <v>5920</v>
      </c>
      <c r="S61" s="495" t="s">
        <v>531</v>
      </c>
      <c r="T61" s="495">
        <v>6040</v>
      </c>
      <c r="U61" s="495" t="s">
        <v>531</v>
      </c>
      <c r="V61" s="495" t="s">
        <v>531</v>
      </c>
      <c r="W61" s="495" t="s">
        <v>531</v>
      </c>
      <c r="X61" s="495" t="s">
        <v>531</v>
      </c>
      <c r="Y61" s="495" t="s">
        <v>531</v>
      </c>
      <c r="Z61" s="495" t="s">
        <v>531</v>
      </c>
      <c r="AA61" s="495">
        <v>10540</v>
      </c>
      <c r="AB61" s="495">
        <v>10860</v>
      </c>
      <c r="AC61" s="495">
        <v>11180</v>
      </c>
      <c r="AD61" s="495" t="s">
        <v>531</v>
      </c>
      <c r="AE61" s="495" t="s">
        <v>531</v>
      </c>
      <c r="AF61" s="495" t="s">
        <v>531</v>
      </c>
      <c r="AG61" s="495" t="s">
        <v>531</v>
      </c>
      <c r="AH61" s="495" t="s">
        <v>531</v>
      </c>
      <c r="AI61" s="495" t="s">
        <v>531</v>
      </c>
      <c r="AJ61" s="495" t="s">
        <v>531</v>
      </c>
      <c r="AK61" s="495" t="s">
        <v>531</v>
      </c>
      <c r="AL61" s="495" t="s">
        <v>531</v>
      </c>
      <c r="AM61" s="495" t="s">
        <v>531</v>
      </c>
      <c r="AN61" s="495" t="s">
        <v>531</v>
      </c>
      <c r="AO61" s="495" t="s">
        <v>531</v>
      </c>
      <c r="AP61" s="495" t="s">
        <v>531</v>
      </c>
      <c r="AQ61" s="495" t="s">
        <v>531</v>
      </c>
      <c r="AR61" s="495" t="s">
        <v>531</v>
      </c>
      <c r="AS61" s="495">
        <v>2650</v>
      </c>
      <c r="AT61" s="495">
        <v>2690</v>
      </c>
      <c r="AU61" s="495">
        <v>2730</v>
      </c>
      <c r="AV61" s="495">
        <v>4180</v>
      </c>
      <c r="AW61" s="495">
        <v>4250</v>
      </c>
      <c r="AX61" s="495">
        <v>4320</v>
      </c>
      <c r="AY61" s="495">
        <v>4580</v>
      </c>
      <c r="AZ61" s="495">
        <v>5810</v>
      </c>
      <c r="BA61" s="495">
        <v>5920</v>
      </c>
      <c r="BB61" s="495">
        <v>6040</v>
      </c>
      <c r="BC61" s="495" t="s">
        <v>531</v>
      </c>
      <c r="BD61" s="495" t="s">
        <v>531</v>
      </c>
      <c r="BE61" s="495" t="s">
        <v>531</v>
      </c>
      <c r="BF61" s="495" t="s">
        <v>531</v>
      </c>
      <c r="BG61" s="495" t="s">
        <v>531</v>
      </c>
      <c r="BH61" s="495" t="s">
        <v>531</v>
      </c>
      <c r="BI61" s="495">
        <v>10540</v>
      </c>
      <c r="BJ61" s="495">
        <v>10860</v>
      </c>
      <c r="BK61" s="495">
        <v>11180</v>
      </c>
      <c r="BL61" s="495">
        <v>14190</v>
      </c>
      <c r="BM61" s="495">
        <v>14620</v>
      </c>
      <c r="BN61" s="495">
        <v>15050</v>
      </c>
      <c r="BO61" s="495">
        <v>15930</v>
      </c>
      <c r="BP61" s="495">
        <v>16410</v>
      </c>
      <c r="BQ61" s="495">
        <v>16890</v>
      </c>
      <c r="BR61" s="495">
        <v>20240</v>
      </c>
      <c r="BS61" s="495">
        <v>21030</v>
      </c>
      <c r="BT61" s="495">
        <v>21820</v>
      </c>
      <c r="BU61" s="495"/>
      <c r="BV61" s="495"/>
      <c r="BW61" s="495"/>
      <c r="BX61" s="495"/>
      <c r="BY61" s="495"/>
      <c r="BZ61" s="495"/>
      <c r="CA61" s="495"/>
    </row>
    <row r="62" spans="1:79">
      <c r="A62" s="499">
        <v>2600</v>
      </c>
      <c r="B62" s="495" t="s">
        <v>531</v>
      </c>
      <c r="C62" s="495" t="s">
        <v>531</v>
      </c>
      <c r="D62" s="495" t="s">
        <v>531</v>
      </c>
      <c r="E62" s="495">
        <v>2700</v>
      </c>
      <c r="F62" s="495">
        <v>2740</v>
      </c>
      <c r="G62" s="495">
        <v>2780</v>
      </c>
      <c r="H62" s="495">
        <v>4260</v>
      </c>
      <c r="I62" s="495" t="s">
        <v>531</v>
      </c>
      <c r="J62" s="495" t="s">
        <v>531</v>
      </c>
      <c r="K62" s="495">
        <v>4320</v>
      </c>
      <c r="L62" s="495" t="s">
        <v>531</v>
      </c>
      <c r="M62" s="495">
        <v>4390</v>
      </c>
      <c r="N62" s="495">
        <v>4650</v>
      </c>
      <c r="O62" s="495">
        <v>5910</v>
      </c>
      <c r="P62" s="495" t="s">
        <v>531</v>
      </c>
      <c r="Q62" s="495" t="s">
        <v>531</v>
      </c>
      <c r="R62" s="495">
        <v>6020</v>
      </c>
      <c r="S62" s="495" t="s">
        <v>531</v>
      </c>
      <c r="T62" s="495">
        <v>6140</v>
      </c>
      <c r="U62" s="495" t="s">
        <v>531</v>
      </c>
      <c r="V62" s="495" t="s">
        <v>531</v>
      </c>
      <c r="W62" s="495" t="s">
        <v>531</v>
      </c>
      <c r="X62" s="495" t="s">
        <v>531</v>
      </c>
      <c r="Y62" s="495" t="s">
        <v>531</v>
      </c>
      <c r="Z62" s="495" t="s">
        <v>531</v>
      </c>
      <c r="AA62" s="495">
        <v>10720</v>
      </c>
      <c r="AB62" s="495">
        <v>11040</v>
      </c>
      <c r="AC62" s="495">
        <v>11360</v>
      </c>
      <c r="AD62" s="495" t="s">
        <v>531</v>
      </c>
      <c r="AE62" s="495" t="s">
        <v>531</v>
      </c>
      <c r="AF62" s="495" t="s">
        <v>531</v>
      </c>
      <c r="AG62" s="495" t="s">
        <v>531</v>
      </c>
      <c r="AH62" s="495" t="s">
        <v>531</v>
      </c>
      <c r="AI62" s="495" t="s">
        <v>531</v>
      </c>
      <c r="AJ62" s="495" t="s">
        <v>531</v>
      </c>
      <c r="AK62" s="495" t="s">
        <v>531</v>
      </c>
      <c r="AL62" s="495" t="s">
        <v>531</v>
      </c>
      <c r="AM62" s="495" t="s">
        <v>531</v>
      </c>
      <c r="AN62" s="495" t="s">
        <v>531</v>
      </c>
      <c r="AO62" s="495" t="s">
        <v>531</v>
      </c>
      <c r="AP62" s="495" t="s">
        <v>531</v>
      </c>
      <c r="AQ62" s="495" t="s">
        <v>531</v>
      </c>
      <c r="AR62" s="495" t="s">
        <v>531</v>
      </c>
      <c r="AS62" s="495">
        <v>2700</v>
      </c>
      <c r="AT62" s="495">
        <v>2740</v>
      </c>
      <c r="AU62" s="495">
        <v>2780</v>
      </c>
      <c r="AV62" s="495" t="s">
        <v>531</v>
      </c>
      <c r="AW62" s="495" t="s">
        <v>531</v>
      </c>
      <c r="AX62" s="495" t="s">
        <v>531</v>
      </c>
      <c r="AY62" s="495" t="s">
        <v>531</v>
      </c>
      <c r="AZ62" s="495">
        <v>5910</v>
      </c>
      <c r="BA62" s="495">
        <v>6020</v>
      </c>
      <c r="BB62" s="495">
        <v>6140</v>
      </c>
      <c r="BC62" s="495" t="s">
        <v>531</v>
      </c>
      <c r="BD62" s="495" t="s">
        <v>531</v>
      </c>
      <c r="BE62" s="495" t="s">
        <v>531</v>
      </c>
      <c r="BF62" s="495" t="s">
        <v>531</v>
      </c>
      <c r="BG62" s="495" t="s">
        <v>531</v>
      </c>
      <c r="BH62" s="495" t="s">
        <v>531</v>
      </c>
      <c r="BI62" s="495">
        <v>10720</v>
      </c>
      <c r="BJ62" s="495">
        <v>11040</v>
      </c>
      <c r="BK62" s="495">
        <v>11360</v>
      </c>
      <c r="BL62" s="495">
        <v>14430</v>
      </c>
      <c r="BM62" s="495">
        <v>14860</v>
      </c>
      <c r="BN62" s="495">
        <v>15290</v>
      </c>
      <c r="BO62" s="495">
        <v>16200</v>
      </c>
      <c r="BP62" s="495">
        <v>16680</v>
      </c>
      <c r="BQ62" s="495">
        <v>17160</v>
      </c>
      <c r="BR62" s="495">
        <v>20570</v>
      </c>
      <c r="BS62" s="495">
        <v>21360</v>
      </c>
      <c r="BT62" s="495">
        <v>22150</v>
      </c>
      <c r="BU62" s="495"/>
      <c r="BV62" s="495"/>
      <c r="BW62" s="495"/>
      <c r="BX62" s="495"/>
      <c r="BY62" s="495"/>
      <c r="BZ62" s="495"/>
      <c r="CA62" s="495"/>
    </row>
    <row r="63" spans="1:79">
      <c r="A63" s="499">
        <v>2650</v>
      </c>
      <c r="B63" s="495" t="s">
        <v>531</v>
      </c>
      <c r="C63" s="495" t="s">
        <v>531</v>
      </c>
      <c r="D63" s="495" t="s">
        <v>531</v>
      </c>
      <c r="E63" s="495">
        <v>2750</v>
      </c>
      <c r="F63" s="495">
        <v>2790</v>
      </c>
      <c r="G63" s="495">
        <v>2820</v>
      </c>
      <c r="H63" s="495">
        <v>4330</v>
      </c>
      <c r="I63" s="495" t="s">
        <v>531</v>
      </c>
      <c r="J63" s="495" t="s">
        <v>531</v>
      </c>
      <c r="K63" s="495">
        <v>4390</v>
      </c>
      <c r="L63" s="495" t="s">
        <v>531</v>
      </c>
      <c r="M63" s="495">
        <v>4460</v>
      </c>
      <c r="N63" s="495">
        <v>4720</v>
      </c>
      <c r="O63" s="495">
        <v>6010</v>
      </c>
      <c r="P63" s="495" t="s">
        <v>531</v>
      </c>
      <c r="Q63" s="495" t="s">
        <v>531</v>
      </c>
      <c r="R63" s="495">
        <v>6120</v>
      </c>
      <c r="S63" s="495" t="s">
        <v>531</v>
      </c>
      <c r="T63" s="495">
        <v>6240</v>
      </c>
      <c r="U63" s="495" t="s">
        <v>531</v>
      </c>
      <c r="V63" s="495" t="s">
        <v>531</v>
      </c>
      <c r="W63" s="495" t="s">
        <v>531</v>
      </c>
      <c r="X63" s="495" t="s">
        <v>531</v>
      </c>
      <c r="Y63" s="495" t="s">
        <v>531</v>
      </c>
      <c r="Z63" s="495" t="s">
        <v>531</v>
      </c>
      <c r="AA63" s="495">
        <v>10900</v>
      </c>
      <c r="AB63" s="495">
        <v>11220</v>
      </c>
      <c r="AC63" s="495">
        <v>11540</v>
      </c>
      <c r="AD63" s="495" t="s">
        <v>531</v>
      </c>
      <c r="AE63" s="495" t="s">
        <v>531</v>
      </c>
      <c r="AF63" s="495" t="s">
        <v>531</v>
      </c>
      <c r="AG63" s="495" t="s">
        <v>531</v>
      </c>
      <c r="AH63" s="495" t="s">
        <v>531</v>
      </c>
      <c r="AI63" s="495" t="s">
        <v>531</v>
      </c>
      <c r="AJ63" s="495" t="s">
        <v>531</v>
      </c>
      <c r="AK63" s="495" t="s">
        <v>531</v>
      </c>
      <c r="AL63" s="495" t="s">
        <v>531</v>
      </c>
      <c r="AM63" s="495" t="s">
        <v>531</v>
      </c>
      <c r="AN63" s="495" t="s">
        <v>531</v>
      </c>
      <c r="AO63" s="495" t="s">
        <v>531</v>
      </c>
      <c r="AP63" s="495" t="s">
        <v>531</v>
      </c>
      <c r="AQ63" s="495" t="s">
        <v>531</v>
      </c>
      <c r="AR63" s="495" t="s">
        <v>531</v>
      </c>
      <c r="AS63" s="495">
        <v>2750</v>
      </c>
      <c r="AT63" s="495">
        <v>2790</v>
      </c>
      <c r="AU63" s="495">
        <v>2820</v>
      </c>
      <c r="AV63" s="495" t="s">
        <v>531</v>
      </c>
      <c r="AW63" s="495" t="s">
        <v>531</v>
      </c>
      <c r="AX63" s="495" t="s">
        <v>531</v>
      </c>
      <c r="AY63" s="495" t="s">
        <v>531</v>
      </c>
      <c r="AZ63" s="495">
        <v>6010</v>
      </c>
      <c r="BA63" s="495">
        <v>6120</v>
      </c>
      <c r="BB63" s="495">
        <v>6240</v>
      </c>
      <c r="BC63" s="495" t="s">
        <v>531</v>
      </c>
      <c r="BD63" s="495" t="s">
        <v>531</v>
      </c>
      <c r="BE63" s="495" t="s">
        <v>531</v>
      </c>
      <c r="BF63" s="495" t="s">
        <v>531</v>
      </c>
      <c r="BG63" s="495" t="s">
        <v>531</v>
      </c>
      <c r="BH63" s="495" t="s">
        <v>531</v>
      </c>
      <c r="BI63" s="495">
        <v>10900</v>
      </c>
      <c r="BJ63" s="495">
        <v>11220</v>
      </c>
      <c r="BK63" s="495">
        <v>11540</v>
      </c>
      <c r="BL63" s="495" t="s">
        <v>531</v>
      </c>
      <c r="BM63" s="495" t="s">
        <v>531</v>
      </c>
      <c r="BN63" s="495" t="s">
        <v>531</v>
      </c>
      <c r="BO63" s="495">
        <v>16460</v>
      </c>
      <c r="BP63" s="495">
        <v>16940</v>
      </c>
      <c r="BQ63" s="495">
        <v>17420</v>
      </c>
      <c r="BR63" s="495">
        <v>20900</v>
      </c>
      <c r="BS63" s="495">
        <v>21690</v>
      </c>
      <c r="BT63" s="495">
        <v>22480</v>
      </c>
      <c r="BU63" s="495"/>
      <c r="BV63" s="495"/>
      <c r="BW63" s="495"/>
      <c r="BX63" s="495"/>
      <c r="BY63" s="495"/>
      <c r="BZ63" s="495"/>
      <c r="CA63" s="495"/>
    </row>
    <row r="64" spans="1:79">
      <c r="A64" s="499">
        <v>2700</v>
      </c>
      <c r="B64" s="495" t="s">
        <v>531</v>
      </c>
      <c r="C64" s="495" t="s">
        <v>531</v>
      </c>
      <c r="D64" s="495" t="s">
        <v>531</v>
      </c>
      <c r="E64" s="495">
        <v>2800</v>
      </c>
      <c r="F64" s="495">
        <v>2840</v>
      </c>
      <c r="G64" s="495">
        <v>2870</v>
      </c>
      <c r="H64" s="495">
        <v>4400</v>
      </c>
      <c r="I64" s="495" t="s">
        <v>531</v>
      </c>
      <c r="J64" s="495" t="s">
        <v>531</v>
      </c>
      <c r="K64" s="495">
        <v>4460</v>
      </c>
      <c r="L64" s="495" t="s">
        <v>531</v>
      </c>
      <c r="M64" s="495">
        <v>4530</v>
      </c>
      <c r="N64" s="495">
        <v>4800</v>
      </c>
      <c r="O64" s="495">
        <v>6110</v>
      </c>
      <c r="P64" s="495" t="s">
        <v>531</v>
      </c>
      <c r="Q64" s="495" t="s">
        <v>531</v>
      </c>
      <c r="R64" s="495">
        <v>6220</v>
      </c>
      <c r="S64" s="495" t="s">
        <v>531</v>
      </c>
      <c r="T64" s="495">
        <v>6340</v>
      </c>
      <c r="U64" s="495" t="s">
        <v>531</v>
      </c>
      <c r="V64" s="495" t="s">
        <v>531</v>
      </c>
      <c r="W64" s="495" t="s">
        <v>531</v>
      </c>
      <c r="X64" s="495" t="s">
        <v>531</v>
      </c>
      <c r="Y64" s="495" t="s">
        <v>531</v>
      </c>
      <c r="Z64" s="495" t="s">
        <v>531</v>
      </c>
      <c r="AA64" s="495">
        <v>11070</v>
      </c>
      <c r="AB64" s="495">
        <v>11400</v>
      </c>
      <c r="AC64" s="495">
        <v>11710</v>
      </c>
      <c r="AD64" s="495" t="s">
        <v>531</v>
      </c>
      <c r="AE64" s="495" t="s">
        <v>531</v>
      </c>
      <c r="AF64" s="495" t="s">
        <v>531</v>
      </c>
      <c r="AG64" s="495" t="s">
        <v>531</v>
      </c>
      <c r="AH64" s="495" t="s">
        <v>531</v>
      </c>
      <c r="AI64" s="495" t="s">
        <v>531</v>
      </c>
      <c r="AJ64" s="495" t="s">
        <v>531</v>
      </c>
      <c r="AK64" s="495" t="s">
        <v>531</v>
      </c>
      <c r="AL64" s="495" t="s">
        <v>531</v>
      </c>
      <c r="AM64" s="495" t="s">
        <v>531</v>
      </c>
      <c r="AN64" s="495" t="s">
        <v>531</v>
      </c>
      <c r="AO64" s="495" t="s">
        <v>531</v>
      </c>
      <c r="AP64" s="495" t="s">
        <v>531</v>
      </c>
      <c r="AQ64" s="495" t="s">
        <v>531</v>
      </c>
      <c r="AR64" s="495" t="s">
        <v>531</v>
      </c>
      <c r="AS64" s="495">
        <v>2800</v>
      </c>
      <c r="AT64" s="495">
        <v>2840</v>
      </c>
      <c r="AU64" s="495">
        <v>2870</v>
      </c>
      <c r="AV64" s="495" t="s">
        <v>531</v>
      </c>
      <c r="AW64" s="495" t="s">
        <v>531</v>
      </c>
      <c r="AX64" s="495" t="s">
        <v>531</v>
      </c>
      <c r="AY64" s="495" t="s">
        <v>531</v>
      </c>
      <c r="AZ64" s="495">
        <v>6110</v>
      </c>
      <c r="BA64" s="495">
        <v>6220</v>
      </c>
      <c r="BB64" s="495">
        <v>6340</v>
      </c>
      <c r="BC64" s="495" t="s">
        <v>531</v>
      </c>
      <c r="BD64" s="495" t="s">
        <v>531</v>
      </c>
      <c r="BE64" s="495" t="s">
        <v>531</v>
      </c>
      <c r="BF64" s="495" t="s">
        <v>531</v>
      </c>
      <c r="BG64" s="495" t="s">
        <v>531</v>
      </c>
      <c r="BH64" s="495" t="s">
        <v>531</v>
      </c>
      <c r="BI64" s="495">
        <v>11070</v>
      </c>
      <c r="BJ64" s="495">
        <v>11400</v>
      </c>
      <c r="BK64" s="495">
        <v>11710</v>
      </c>
      <c r="BL64" s="495" t="s">
        <v>531</v>
      </c>
      <c r="BM64" s="495" t="s">
        <v>531</v>
      </c>
      <c r="BN64" s="495" t="s">
        <v>531</v>
      </c>
      <c r="BO64" s="495">
        <v>16730</v>
      </c>
      <c r="BP64" s="495">
        <v>17210</v>
      </c>
      <c r="BQ64" s="495">
        <v>17690</v>
      </c>
      <c r="BR64" s="495">
        <v>21230</v>
      </c>
      <c r="BS64" s="495">
        <v>22020</v>
      </c>
      <c r="BT64" s="495">
        <v>22810</v>
      </c>
      <c r="BU64" s="495"/>
      <c r="BV64" s="495"/>
      <c r="BW64" s="495"/>
      <c r="BX64" s="495"/>
      <c r="BY64" s="495"/>
      <c r="BZ64" s="495"/>
      <c r="CA64" s="495"/>
    </row>
    <row r="65" spans="1:79">
      <c r="A65" s="499">
        <v>2750</v>
      </c>
      <c r="B65" s="495" t="s">
        <v>531</v>
      </c>
      <c r="C65" s="495" t="s">
        <v>531</v>
      </c>
      <c r="D65" s="495" t="s">
        <v>531</v>
      </c>
      <c r="E65" s="495" t="s">
        <v>531</v>
      </c>
      <c r="F65" s="495" t="s">
        <v>531</v>
      </c>
      <c r="G65" s="495" t="s">
        <v>531</v>
      </c>
      <c r="H65" s="495">
        <v>4480</v>
      </c>
      <c r="I65" s="495" t="s">
        <v>531</v>
      </c>
      <c r="J65" s="495" t="s">
        <v>531</v>
      </c>
      <c r="K65" s="495">
        <v>4540</v>
      </c>
      <c r="L65" s="495" t="s">
        <v>531</v>
      </c>
      <c r="M65" s="495">
        <v>4610</v>
      </c>
      <c r="N65" s="495">
        <v>4870</v>
      </c>
      <c r="O65" s="495">
        <v>6210</v>
      </c>
      <c r="P65" s="495" t="s">
        <v>531</v>
      </c>
      <c r="Q65" s="495" t="s">
        <v>531</v>
      </c>
      <c r="R65" s="495">
        <v>6320</v>
      </c>
      <c r="S65" s="495" t="s">
        <v>531</v>
      </c>
      <c r="T65" s="495">
        <v>6440</v>
      </c>
      <c r="U65" s="495" t="s">
        <v>531</v>
      </c>
      <c r="V65" s="495" t="s">
        <v>531</v>
      </c>
      <c r="W65" s="495" t="s">
        <v>531</v>
      </c>
      <c r="X65" s="495" t="s">
        <v>531</v>
      </c>
      <c r="Y65" s="495" t="s">
        <v>531</v>
      </c>
      <c r="Z65" s="495" t="s">
        <v>531</v>
      </c>
      <c r="AA65" s="495">
        <v>11250</v>
      </c>
      <c r="AB65" s="495">
        <v>11570</v>
      </c>
      <c r="AC65" s="495">
        <v>11890</v>
      </c>
      <c r="AD65" s="495" t="s">
        <v>531</v>
      </c>
      <c r="AE65" s="495" t="s">
        <v>531</v>
      </c>
      <c r="AF65" s="495" t="s">
        <v>531</v>
      </c>
      <c r="AG65" s="495" t="s">
        <v>531</v>
      </c>
      <c r="AH65" s="495" t="s">
        <v>531</v>
      </c>
      <c r="AI65" s="495" t="s">
        <v>531</v>
      </c>
      <c r="AJ65" s="495" t="s">
        <v>531</v>
      </c>
      <c r="AK65" s="495" t="s">
        <v>531</v>
      </c>
      <c r="AL65" s="495" t="s">
        <v>531</v>
      </c>
      <c r="AM65" s="495" t="s">
        <v>531</v>
      </c>
      <c r="AN65" s="495" t="s">
        <v>531</v>
      </c>
      <c r="AO65" s="495" t="s">
        <v>531</v>
      </c>
      <c r="AP65" s="495" t="s">
        <v>531</v>
      </c>
      <c r="AQ65" s="495" t="s">
        <v>531</v>
      </c>
      <c r="AR65" s="495" t="s">
        <v>531</v>
      </c>
      <c r="AS65" s="495" t="s">
        <v>531</v>
      </c>
      <c r="AT65" s="495" t="s">
        <v>531</v>
      </c>
      <c r="AU65" s="495" t="s">
        <v>531</v>
      </c>
      <c r="AV65" s="495" t="s">
        <v>531</v>
      </c>
      <c r="AW65" s="495" t="s">
        <v>531</v>
      </c>
      <c r="AX65" s="495" t="s">
        <v>531</v>
      </c>
      <c r="AY65" s="495" t="s">
        <v>531</v>
      </c>
      <c r="AZ65" s="495" t="s">
        <v>531</v>
      </c>
      <c r="BA65" s="495" t="s">
        <v>531</v>
      </c>
      <c r="BB65" s="495" t="s">
        <v>531</v>
      </c>
      <c r="BC65" s="495" t="s">
        <v>531</v>
      </c>
      <c r="BD65" s="495" t="s">
        <v>531</v>
      </c>
      <c r="BE65" s="495" t="s">
        <v>531</v>
      </c>
      <c r="BF65" s="495" t="s">
        <v>531</v>
      </c>
      <c r="BG65" s="495" t="s">
        <v>531</v>
      </c>
      <c r="BH65" s="495" t="s">
        <v>531</v>
      </c>
      <c r="BI65" s="495">
        <v>11250</v>
      </c>
      <c r="BJ65" s="495">
        <v>11570</v>
      </c>
      <c r="BK65" s="495">
        <v>11890</v>
      </c>
      <c r="BL65" s="495" t="s">
        <v>531</v>
      </c>
      <c r="BM65" s="495" t="s">
        <v>531</v>
      </c>
      <c r="BN65" s="495" t="s">
        <v>531</v>
      </c>
      <c r="BO65" s="495">
        <v>17000</v>
      </c>
      <c r="BP65" s="495">
        <v>17480</v>
      </c>
      <c r="BQ65" s="495">
        <v>17960</v>
      </c>
      <c r="BR65" s="495">
        <v>21560</v>
      </c>
      <c r="BS65" s="495">
        <v>22350</v>
      </c>
      <c r="BT65" s="495">
        <v>23140</v>
      </c>
      <c r="BU65" s="495"/>
      <c r="BV65" s="495"/>
      <c r="BW65" s="495"/>
      <c r="BX65" s="495"/>
      <c r="BY65" s="495"/>
      <c r="BZ65" s="495"/>
      <c r="CA65" s="495"/>
    </row>
    <row r="66" spans="1:79">
      <c r="A66" s="499">
        <v>2800</v>
      </c>
      <c r="B66" s="495" t="s">
        <v>531</v>
      </c>
      <c r="C66" s="495" t="s">
        <v>531</v>
      </c>
      <c r="D66" s="495" t="s">
        <v>531</v>
      </c>
      <c r="E66" s="495" t="s">
        <v>531</v>
      </c>
      <c r="F66" s="495" t="s">
        <v>531</v>
      </c>
      <c r="G66" s="495" t="s">
        <v>531</v>
      </c>
      <c r="H66" s="495">
        <v>4550</v>
      </c>
      <c r="I66" s="495" t="s">
        <v>531</v>
      </c>
      <c r="J66" s="495" t="s">
        <v>531</v>
      </c>
      <c r="K66" s="495">
        <v>4610</v>
      </c>
      <c r="L66" s="495" t="s">
        <v>531</v>
      </c>
      <c r="M66" s="495">
        <v>4680</v>
      </c>
      <c r="N66" s="495">
        <v>4940</v>
      </c>
      <c r="O66" s="495">
        <v>6310</v>
      </c>
      <c r="P66" s="495" t="s">
        <v>531</v>
      </c>
      <c r="Q66" s="495" t="s">
        <v>531</v>
      </c>
      <c r="R66" s="495">
        <v>6420</v>
      </c>
      <c r="S66" s="495" t="s">
        <v>531</v>
      </c>
      <c r="T66" s="495">
        <v>6540</v>
      </c>
      <c r="U66" s="495" t="s">
        <v>531</v>
      </c>
      <c r="V66" s="495" t="s">
        <v>531</v>
      </c>
      <c r="W66" s="495" t="s">
        <v>531</v>
      </c>
      <c r="X66" s="495" t="s">
        <v>531</v>
      </c>
      <c r="Y66" s="495" t="s">
        <v>531</v>
      </c>
      <c r="Z66" s="495" t="s">
        <v>531</v>
      </c>
      <c r="AA66" s="495">
        <v>11430</v>
      </c>
      <c r="AB66" s="495">
        <v>11750</v>
      </c>
      <c r="AC66" s="495">
        <v>12070</v>
      </c>
      <c r="AD66" s="495" t="s">
        <v>531</v>
      </c>
      <c r="AE66" s="495" t="s">
        <v>531</v>
      </c>
      <c r="AF66" s="495" t="s">
        <v>531</v>
      </c>
      <c r="AG66" s="495" t="s">
        <v>531</v>
      </c>
      <c r="AH66" s="495" t="s">
        <v>531</v>
      </c>
      <c r="AI66" s="495" t="s">
        <v>531</v>
      </c>
      <c r="AJ66" s="495" t="s">
        <v>531</v>
      </c>
      <c r="AK66" s="495" t="s">
        <v>531</v>
      </c>
      <c r="AL66" s="495" t="s">
        <v>531</v>
      </c>
      <c r="AM66" s="495" t="s">
        <v>531</v>
      </c>
      <c r="AN66" s="495" t="s">
        <v>531</v>
      </c>
      <c r="AO66" s="495" t="s">
        <v>531</v>
      </c>
      <c r="AP66" s="495" t="s">
        <v>531</v>
      </c>
      <c r="AQ66" s="495" t="s">
        <v>531</v>
      </c>
      <c r="AR66" s="495" t="s">
        <v>531</v>
      </c>
      <c r="AS66" s="495" t="s">
        <v>531</v>
      </c>
      <c r="AT66" s="495" t="s">
        <v>531</v>
      </c>
      <c r="AU66" s="495" t="s">
        <v>531</v>
      </c>
      <c r="AV66" s="495" t="s">
        <v>531</v>
      </c>
      <c r="AW66" s="495" t="s">
        <v>531</v>
      </c>
      <c r="AX66" s="495" t="s">
        <v>531</v>
      </c>
      <c r="AY66" s="495" t="s">
        <v>531</v>
      </c>
      <c r="AZ66" s="495" t="s">
        <v>531</v>
      </c>
      <c r="BA66" s="495" t="s">
        <v>531</v>
      </c>
      <c r="BB66" s="495" t="s">
        <v>531</v>
      </c>
      <c r="BC66" s="495" t="s">
        <v>531</v>
      </c>
      <c r="BD66" s="495" t="s">
        <v>531</v>
      </c>
      <c r="BE66" s="495" t="s">
        <v>531</v>
      </c>
      <c r="BF66" s="495" t="s">
        <v>531</v>
      </c>
      <c r="BG66" s="495" t="s">
        <v>531</v>
      </c>
      <c r="BH66" s="495" t="s">
        <v>531</v>
      </c>
      <c r="BI66" s="495">
        <v>11430</v>
      </c>
      <c r="BJ66" s="495">
        <v>11750</v>
      </c>
      <c r="BK66" s="495">
        <v>12070</v>
      </c>
      <c r="BL66" s="495" t="s">
        <v>531</v>
      </c>
      <c r="BM66" s="495" t="s">
        <v>531</v>
      </c>
      <c r="BN66" s="495" t="s">
        <v>531</v>
      </c>
      <c r="BO66" s="495">
        <v>17260</v>
      </c>
      <c r="BP66" s="495">
        <v>17740</v>
      </c>
      <c r="BQ66" s="495">
        <v>18220</v>
      </c>
      <c r="BR66" s="495">
        <v>21890</v>
      </c>
      <c r="BS66" s="495">
        <v>22680</v>
      </c>
      <c r="BT66" s="495">
        <v>23480</v>
      </c>
      <c r="BU66" s="495"/>
      <c r="BV66" s="495"/>
      <c r="BW66" s="495"/>
      <c r="BX66" s="495"/>
      <c r="BY66" s="495"/>
      <c r="BZ66" s="495"/>
      <c r="CA66" s="495"/>
    </row>
    <row r="67" spans="1:79">
      <c r="A67" s="499">
        <v>2850</v>
      </c>
      <c r="B67" s="495" t="s">
        <v>531</v>
      </c>
      <c r="C67" s="495" t="s">
        <v>531</v>
      </c>
      <c r="D67" s="495" t="s">
        <v>531</v>
      </c>
      <c r="E67" s="495" t="s">
        <v>531</v>
      </c>
      <c r="F67" s="495" t="s">
        <v>531</v>
      </c>
      <c r="G67" s="495" t="s">
        <v>531</v>
      </c>
      <c r="H67" s="495">
        <v>4620</v>
      </c>
      <c r="I67" s="495" t="s">
        <v>531</v>
      </c>
      <c r="J67" s="495" t="s">
        <v>531</v>
      </c>
      <c r="K67" s="495">
        <v>4680</v>
      </c>
      <c r="L67" s="495" t="s">
        <v>531</v>
      </c>
      <c r="M67" s="495">
        <v>4750</v>
      </c>
      <c r="N67" s="495">
        <v>5010</v>
      </c>
      <c r="O67" s="495">
        <v>6410</v>
      </c>
      <c r="P67" s="495" t="s">
        <v>531</v>
      </c>
      <c r="Q67" s="495" t="s">
        <v>531</v>
      </c>
      <c r="R67" s="495">
        <v>6520</v>
      </c>
      <c r="S67" s="495" t="s">
        <v>531</v>
      </c>
      <c r="T67" s="495">
        <v>6640</v>
      </c>
      <c r="U67" s="495" t="s">
        <v>531</v>
      </c>
      <c r="V67" s="495" t="s">
        <v>531</v>
      </c>
      <c r="W67" s="495" t="s">
        <v>531</v>
      </c>
      <c r="X67" s="495" t="s">
        <v>531</v>
      </c>
      <c r="Y67" s="495" t="s">
        <v>531</v>
      </c>
      <c r="Z67" s="495" t="s">
        <v>531</v>
      </c>
      <c r="AA67" s="495">
        <v>11610</v>
      </c>
      <c r="AB67" s="495">
        <v>11930</v>
      </c>
      <c r="AC67" s="495">
        <v>12240</v>
      </c>
      <c r="AD67" s="495" t="s">
        <v>531</v>
      </c>
      <c r="AE67" s="495" t="s">
        <v>531</v>
      </c>
      <c r="AF67" s="495" t="s">
        <v>531</v>
      </c>
      <c r="AG67" s="495" t="s">
        <v>531</v>
      </c>
      <c r="AH67" s="495" t="s">
        <v>531</v>
      </c>
      <c r="AI67" s="495" t="s">
        <v>531</v>
      </c>
      <c r="AJ67" s="495" t="s">
        <v>531</v>
      </c>
      <c r="AK67" s="495" t="s">
        <v>531</v>
      </c>
      <c r="AL67" s="495" t="s">
        <v>531</v>
      </c>
      <c r="AM67" s="495" t="s">
        <v>531</v>
      </c>
      <c r="AN67" s="495" t="s">
        <v>531</v>
      </c>
      <c r="AO67" s="495" t="s">
        <v>531</v>
      </c>
      <c r="AP67" s="495" t="s">
        <v>531</v>
      </c>
      <c r="AQ67" s="495" t="s">
        <v>531</v>
      </c>
      <c r="AR67" s="495" t="s">
        <v>531</v>
      </c>
      <c r="AS67" s="495" t="s">
        <v>531</v>
      </c>
      <c r="AT67" s="495" t="s">
        <v>531</v>
      </c>
      <c r="AU67" s="495" t="s">
        <v>531</v>
      </c>
      <c r="AV67" s="495" t="s">
        <v>531</v>
      </c>
      <c r="AW67" s="495" t="s">
        <v>531</v>
      </c>
      <c r="AX67" s="495" t="s">
        <v>531</v>
      </c>
      <c r="AY67" s="495" t="s">
        <v>531</v>
      </c>
      <c r="AZ67" s="495" t="s">
        <v>531</v>
      </c>
      <c r="BA67" s="495" t="s">
        <v>531</v>
      </c>
      <c r="BB67" s="495" t="s">
        <v>531</v>
      </c>
      <c r="BC67" s="495" t="s">
        <v>531</v>
      </c>
      <c r="BD67" s="495" t="s">
        <v>531</v>
      </c>
      <c r="BE67" s="495" t="s">
        <v>531</v>
      </c>
      <c r="BF67" s="495" t="s">
        <v>531</v>
      </c>
      <c r="BG67" s="495" t="s">
        <v>531</v>
      </c>
      <c r="BH67" s="495" t="s">
        <v>531</v>
      </c>
      <c r="BI67" s="495">
        <v>11610</v>
      </c>
      <c r="BJ67" s="495">
        <v>11930</v>
      </c>
      <c r="BK67" s="495">
        <v>12240</v>
      </c>
      <c r="BL67" s="495" t="s">
        <v>531</v>
      </c>
      <c r="BM67" s="495" t="s">
        <v>531</v>
      </c>
      <c r="BN67" s="495" t="s">
        <v>531</v>
      </c>
      <c r="BO67" s="495">
        <v>17530</v>
      </c>
      <c r="BP67" s="495">
        <v>18010</v>
      </c>
      <c r="BQ67" s="495">
        <v>18490</v>
      </c>
      <c r="BR67" s="495">
        <v>22220</v>
      </c>
      <c r="BS67" s="495">
        <v>23010</v>
      </c>
      <c r="BT67" s="495">
        <v>23810</v>
      </c>
      <c r="BU67" s="495"/>
      <c r="BV67" s="495"/>
      <c r="BW67" s="495"/>
      <c r="BX67" s="495"/>
      <c r="BY67" s="495"/>
      <c r="BZ67" s="495"/>
      <c r="CA67" s="495"/>
    </row>
    <row r="68" spans="1:79">
      <c r="A68" s="499">
        <v>2900</v>
      </c>
      <c r="B68" s="495" t="s">
        <v>531</v>
      </c>
      <c r="C68" s="495" t="s">
        <v>531</v>
      </c>
      <c r="D68" s="495" t="s">
        <v>531</v>
      </c>
      <c r="E68" s="495" t="s">
        <v>531</v>
      </c>
      <c r="F68" s="495" t="s">
        <v>531</v>
      </c>
      <c r="G68" s="495" t="s">
        <v>531</v>
      </c>
      <c r="H68" s="495">
        <v>4690</v>
      </c>
      <c r="I68" s="495" t="s">
        <v>531</v>
      </c>
      <c r="J68" s="495" t="s">
        <v>531</v>
      </c>
      <c r="K68" s="495">
        <v>4750</v>
      </c>
      <c r="L68" s="495" t="s">
        <v>531</v>
      </c>
      <c r="M68" s="495">
        <v>4830</v>
      </c>
      <c r="N68" s="495">
        <v>5090</v>
      </c>
      <c r="O68" s="495">
        <v>6510</v>
      </c>
      <c r="P68" s="495" t="s">
        <v>531</v>
      </c>
      <c r="Q68" s="495" t="s">
        <v>531</v>
      </c>
      <c r="R68" s="495">
        <v>6620</v>
      </c>
      <c r="S68" s="495" t="s">
        <v>531</v>
      </c>
      <c r="T68" s="495">
        <v>6740</v>
      </c>
      <c r="U68" s="495" t="s">
        <v>531</v>
      </c>
      <c r="V68" s="495" t="s">
        <v>531</v>
      </c>
      <c r="W68" s="495" t="s">
        <v>531</v>
      </c>
      <c r="X68" s="495" t="s">
        <v>531</v>
      </c>
      <c r="Y68" s="495" t="s">
        <v>531</v>
      </c>
      <c r="Z68" s="495" t="s">
        <v>531</v>
      </c>
      <c r="AA68" s="495">
        <v>11780</v>
      </c>
      <c r="AB68" s="495">
        <v>12110</v>
      </c>
      <c r="AC68" s="495">
        <v>12420</v>
      </c>
      <c r="AD68" s="495" t="s">
        <v>531</v>
      </c>
      <c r="AE68" s="495" t="s">
        <v>531</v>
      </c>
      <c r="AF68" s="495" t="s">
        <v>531</v>
      </c>
      <c r="AG68" s="495" t="s">
        <v>531</v>
      </c>
      <c r="AH68" s="495" t="s">
        <v>531</v>
      </c>
      <c r="AI68" s="495" t="s">
        <v>531</v>
      </c>
      <c r="AJ68" s="495" t="s">
        <v>531</v>
      </c>
      <c r="AK68" s="495" t="s">
        <v>531</v>
      </c>
      <c r="AL68" s="495" t="s">
        <v>531</v>
      </c>
      <c r="AM68" s="495" t="s">
        <v>531</v>
      </c>
      <c r="AN68" s="495" t="s">
        <v>531</v>
      </c>
      <c r="AO68" s="495" t="s">
        <v>531</v>
      </c>
      <c r="AP68" s="495" t="s">
        <v>531</v>
      </c>
      <c r="AQ68" s="495" t="s">
        <v>531</v>
      </c>
      <c r="AR68" s="495" t="s">
        <v>531</v>
      </c>
      <c r="AS68" s="495" t="s">
        <v>531</v>
      </c>
      <c r="AT68" s="495" t="s">
        <v>531</v>
      </c>
      <c r="AU68" s="495" t="s">
        <v>531</v>
      </c>
      <c r="AV68" s="495" t="s">
        <v>531</v>
      </c>
      <c r="AW68" s="495" t="s">
        <v>531</v>
      </c>
      <c r="AX68" s="495" t="s">
        <v>531</v>
      </c>
      <c r="AY68" s="495" t="s">
        <v>531</v>
      </c>
      <c r="AZ68" s="495" t="s">
        <v>531</v>
      </c>
      <c r="BA68" s="495" t="s">
        <v>531</v>
      </c>
      <c r="BB68" s="495" t="s">
        <v>531</v>
      </c>
      <c r="BC68" s="495" t="s">
        <v>531</v>
      </c>
      <c r="BD68" s="495" t="s">
        <v>531</v>
      </c>
      <c r="BE68" s="495" t="s">
        <v>531</v>
      </c>
      <c r="BF68" s="495" t="s">
        <v>531</v>
      </c>
      <c r="BG68" s="495" t="s">
        <v>531</v>
      </c>
      <c r="BH68" s="495" t="s">
        <v>531</v>
      </c>
      <c r="BI68" s="495">
        <v>11780</v>
      </c>
      <c r="BJ68" s="495">
        <v>12110</v>
      </c>
      <c r="BK68" s="495">
        <v>12420</v>
      </c>
      <c r="BL68" s="495" t="s">
        <v>531</v>
      </c>
      <c r="BM68" s="495" t="s">
        <v>531</v>
      </c>
      <c r="BN68" s="495" t="s">
        <v>531</v>
      </c>
      <c r="BO68" s="495">
        <v>17790</v>
      </c>
      <c r="BP68" s="495">
        <v>18280</v>
      </c>
      <c r="BQ68" s="495">
        <v>18760</v>
      </c>
      <c r="BR68" s="495">
        <v>22550</v>
      </c>
      <c r="BS68" s="495">
        <v>23340</v>
      </c>
      <c r="BT68" s="495">
        <v>24140</v>
      </c>
      <c r="BU68" s="495"/>
      <c r="BV68" s="495"/>
      <c r="BW68" s="495"/>
      <c r="BX68" s="495"/>
      <c r="BY68" s="495"/>
      <c r="BZ68" s="495"/>
      <c r="CA68" s="495"/>
    </row>
    <row r="69" spans="1:79">
      <c r="A69" s="499">
        <v>2950</v>
      </c>
      <c r="B69" s="495" t="s">
        <v>531</v>
      </c>
      <c r="C69" s="495" t="s">
        <v>531</v>
      </c>
      <c r="D69" s="495" t="s">
        <v>531</v>
      </c>
      <c r="E69" s="495" t="s">
        <v>531</v>
      </c>
      <c r="F69" s="495" t="s">
        <v>531</v>
      </c>
      <c r="G69" s="495" t="s">
        <v>531</v>
      </c>
      <c r="H69" s="495">
        <v>4770</v>
      </c>
      <c r="I69" s="495" t="s">
        <v>531</v>
      </c>
      <c r="J69" s="495" t="s">
        <v>531</v>
      </c>
      <c r="K69" s="495">
        <v>4830</v>
      </c>
      <c r="L69" s="495" t="s">
        <v>531</v>
      </c>
      <c r="M69" s="495">
        <v>4900</v>
      </c>
      <c r="N69" s="495">
        <v>5160</v>
      </c>
      <c r="O69" s="495">
        <v>6610</v>
      </c>
      <c r="P69" s="495" t="s">
        <v>531</v>
      </c>
      <c r="Q69" s="495" t="s">
        <v>531</v>
      </c>
      <c r="R69" s="495">
        <v>6720</v>
      </c>
      <c r="S69" s="495" t="s">
        <v>531</v>
      </c>
      <c r="T69" s="495">
        <v>6840</v>
      </c>
      <c r="U69" s="495" t="s">
        <v>531</v>
      </c>
      <c r="V69" s="495" t="s">
        <v>531</v>
      </c>
      <c r="W69" s="495" t="s">
        <v>531</v>
      </c>
      <c r="X69" s="495" t="s">
        <v>531</v>
      </c>
      <c r="Y69" s="495" t="s">
        <v>531</v>
      </c>
      <c r="Z69" s="495" t="s">
        <v>531</v>
      </c>
      <c r="AA69" s="495">
        <v>11960</v>
      </c>
      <c r="AB69" s="495">
        <v>12280</v>
      </c>
      <c r="AC69" s="495">
        <v>12600</v>
      </c>
      <c r="AD69" s="495" t="s">
        <v>531</v>
      </c>
      <c r="AE69" s="495" t="s">
        <v>531</v>
      </c>
      <c r="AF69" s="495" t="s">
        <v>531</v>
      </c>
      <c r="AG69" s="495" t="s">
        <v>531</v>
      </c>
      <c r="AH69" s="495" t="s">
        <v>531</v>
      </c>
      <c r="AI69" s="495" t="s">
        <v>531</v>
      </c>
      <c r="AJ69" s="495" t="s">
        <v>531</v>
      </c>
      <c r="AK69" s="495" t="s">
        <v>531</v>
      </c>
      <c r="AL69" s="495" t="s">
        <v>531</v>
      </c>
      <c r="AM69" s="495" t="s">
        <v>531</v>
      </c>
      <c r="AN69" s="495" t="s">
        <v>531</v>
      </c>
      <c r="AO69" s="495" t="s">
        <v>531</v>
      </c>
      <c r="AP69" s="495" t="s">
        <v>531</v>
      </c>
      <c r="AQ69" s="495" t="s">
        <v>531</v>
      </c>
      <c r="AR69" s="495" t="s">
        <v>531</v>
      </c>
      <c r="AS69" s="495" t="s">
        <v>531</v>
      </c>
      <c r="AT69" s="495" t="s">
        <v>531</v>
      </c>
      <c r="AU69" s="495" t="s">
        <v>531</v>
      </c>
      <c r="AV69" s="495" t="s">
        <v>531</v>
      </c>
      <c r="AW69" s="495" t="s">
        <v>531</v>
      </c>
      <c r="AX69" s="495" t="s">
        <v>531</v>
      </c>
      <c r="AY69" s="495" t="s">
        <v>531</v>
      </c>
      <c r="AZ69" s="495" t="s">
        <v>531</v>
      </c>
      <c r="BA69" s="495" t="s">
        <v>531</v>
      </c>
      <c r="BB69" s="495" t="s">
        <v>531</v>
      </c>
      <c r="BC69" s="495" t="s">
        <v>531</v>
      </c>
      <c r="BD69" s="495" t="s">
        <v>531</v>
      </c>
      <c r="BE69" s="495" t="s">
        <v>531</v>
      </c>
      <c r="BF69" s="495" t="s">
        <v>531</v>
      </c>
      <c r="BG69" s="495" t="s">
        <v>531</v>
      </c>
      <c r="BH69" s="495" t="s">
        <v>531</v>
      </c>
      <c r="BI69" s="495">
        <v>11960</v>
      </c>
      <c r="BJ69" s="495">
        <v>12280</v>
      </c>
      <c r="BK69" s="495">
        <v>12600</v>
      </c>
      <c r="BL69" s="495" t="s">
        <v>531</v>
      </c>
      <c r="BM69" s="495" t="s">
        <v>531</v>
      </c>
      <c r="BN69" s="495" t="s">
        <v>531</v>
      </c>
      <c r="BO69" s="495">
        <v>18060</v>
      </c>
      <c r="BP69" s="495">
        <v>18540</v>
      </c>
      <c r="BQ69" s="495">
        <v>19020</v>
      </c>
      <c r="BR69" s="495">
        <v>22880</v>
      </c>
      <c r="BS69" s="495">
        <v>23670</v>
      </c>
      <c r="BT69" s="495">
        <v>24470</v>
      </c>
      <c r="BU69" s="495"/>
      <c r="BV69" s="495"/>
      <c r="BW69" s="495"/>
      <c r="BX69" s="495"/>
      <c r="BY69" s="495"/>
      <c r="BZ69" s="495"/>
      <c r="CA69" s="495"/>
    </row>
    <row r="70" spans="1:79">
      <c r="A70" s="499">
        <v>3000</v>
      </c>
      <c r="B70" s="495" t="s">
        <v>531</v>
      </c>
      <c r="C70" s="495" t="s">
        <v>531</v>
      </c>
      <c r="D70" s="495" t="s">
        <v>531</v>
      </c>
      <c r="E70" s="495" t="s">
        <v>531</v>
      </c>
      <c r="F70" s="495" t="s">
        <v>531</v>
      </c>
      <c r="G70" s="495" t="s">
        <v>531</v>
      </c>
      <c r="H70" s="495">
        <v>4840</v>
      </c>
      <c r="I70" s="495" t="s">
        <v>531</v>
      </c>
      <c r="J70" s="495" t="s">
        <v>531</v>
      </c>
      <c r="K70" s="495">
        <v>4900</v>
      </c>
      <c r="L70" s="495" t="s">
        <v>531</v>
      </c>
      <c r="M70" s="495">
        <v>4970</v>
      </c>
      <c r="N70" s="495">
        <v>5230</v>
      </c>
      <c r="O70" s="495">
        <v>6710</v>
      </c>
      <c r="P70" s="495" t="s">
        <v>531</v>
      </c>
      <c r="Q70" s="495" t="s">
        <v>531</v>
      </c>
      <c r="R70" s="495">
        <v>6820</v>
      </c>
      <c r="S70" s="495" t="s">
        <v>531</v>
      </c>
      <c r="T70" s="495">
        <v>6940</v>
      </c>
      <c r="U70" s="495" t="s">
        <v>531</v>
      </c>
      <c r="V70" s="495" t="s">
        <v>531</v>
      </c>
      <c r="W70" s="495" t="s">
        <v>531</v>
      </c>
      <c r="X70" s="495" t="s">
        <v>531</v>
      </c>
      <c r="Y70" s="495" t="s">
        <v>531</v>
      </c>
      <c r="Z70" s="495" t="s">
        <v>531</v>
      </c>
      <c r="AA70" s="495">
        <v>12140</v>
      </c>
      <c r="AB70" s="495">
        <v>12460</v>
      </c>
      <c r="AC70" s="495">
        <v>12780</v>
      </c>
      <c r="AD70" s="495" t="s">
        <v>531</v>
      </c>
      <c r="AE70" s="495" t="s">
        <v>531</v>
      </c>
      <c r="AF70" s="495" t="s">
        <v>531</v>
      </c>
      <c r="AG70" s="495" t="s">
        <v>531</v>
      </c>
      <c r="AH70" s="495" t="s">
        <v>531</v>
      </c>
      <c r="AI70" s="495" t="s">
        <v>531</v>
      </c>
      <c r="AJ70" s="495" t="s">
        <v>531</v>
      </c>
      <c r="AK70" s="495" t="s">
        <v>531</v>
      </c>
      <c r="AL70" s="495" t="s">
        <v>531</v>
      </c>
      <c r="AM70" s="495" t="s">
        <v>531</v>
      </c>
      <c r="AN70" s="495" t="s">
        <v>531</v>
      </c>
      <c r="AO70" s="495" t="s">
        <v>531</v>
      </c>
      <c r="AP70" s="495" t="s">
        <v>531</v>
      </c>
      <c r="AQ70" s="495" t="s">
        <v>531</v>
      </c>
      <c r="AR70" s="495" t="s">
        <v>531</v>
      </c>
      <c r="AS70" s="495" t="s">
        <v>531</v>
      </c>
      <c r="AT70" s="495" t="s">
        <v>531</v>
      </c>
      <c r="AU70" s="495" t="s">
        <v>531</v>
      </c>
      <c r="AV70" s="495" t="s">
        <v>531</v>
      </c>
      <c r="AW70" s="495" t="s">
        <v>531</v>
      </c>
      <c r="AX70" s="495" t="s">
        <v>531</v>
      </c>
      <c r="AY70" s="495" t="s">
        <v>531</v>
      </c>
      <c r="AZ70" s="495" t="s">
        <v>531</v>
      </c>
      <c r="BA70" s="495" t="s">
        <v>531</v>
      </c>
      <c r="BB70" s="495" t="s">
        <v>531</v>
      </c>
      <c r="BC70" s="495" t="s">
        <v>531</v>
      </c>
      <c r="BD70" s="495" t="s">
        <v>531</v>
      </c>
      <c r="BE70" s="495" t="s">
        <v>531</v>
      </c>
      <c r="BF70" s="495" t="s">
        <v>531</v>
      </c>
      <c r="BG70" s="495" t="s">
        <v>531</v>
      </c>
      <c r="BH70" s="495" t="s">
        <v>531</v>
      </c>
      <c r="BI70" s="495">
        <v>12140</v>
      </c>
      <c r="BJ70" s="495">
        <v>12460</v>
      </c>
      <c r="BK70" s="495">
        <v>12780</v>
      </c>
      <c r="BL70" s="495" t="s">
        <v>531</v>
      </c>
      <c r="BM70" s="495" t="s">
        <v>531</v>
      </c>
      <c r="BN70" s="495" t="s">
        <v>531</v>
      </c>
      <c r="BO70" s="495">
        <v>18330</v>
      </c>
      <c r="BP70" s="495">
        <v>18810</v>
      </c>
      <c r="BQ70" s="495">
        <v>19290</v>
      </c>
      <c r="BR70" s="495">
        <v>23210</v>
      </c>
      <c r="BS70" s="495">
        <v>24010</v>
      </c>
      <c r="BT70" s="495">
        <v>24800</v>
      </c>
      <c r="BU70" s="495"/>
      <c r="BV70" s="495"/>
      <c r="BW70" s="495"/>
      <c r="BX70" s="495"/>
      <c r="BY70" s="495"/>
      <c r="BZ70" s="495"/>
      <c r="CA70" s="495"/>
    </row>
    <row r="71" spans="1:79">
      <c r="A71" s="499">
        <v>3050</v>
      </c>
      <c r="B71" s="495" t="s">
        <v>531</v>
      </c>
      <c r="C71" s="495" t="s">
        <v>531</v>
      </c>
      <c r="D71" s="495" t="s">
        <v>531</v>
      </c>
      <c r="E71" s="495" t="s">
        <v>531</v>
      </c>
      <c r="F71" s="495" t="s">
        <v>531</v>
      </c>
      <c r="G71" s="495" t="s">
        <v>531</v>
      </c>
      <c r="H71" s="495">
        <v>4910</v>
      </c>
      <c r="I71" s="495" t="s">
        <v>531</v>
      </c>
      <c r="J71" s="495" t="s">
        <v>531</v>
      </c>
      <c r="K71" s="495">
        <v>4970</v>
      </c>
      <c r="L71" s="495" t="s">
        <v>531</v>
      </c>
      <c r="M71" s="495">
        <v>5040</v>
      </c>
      <c r="N71" s="495">
        <v>5310</v>
      </c>
      <c r="O71" s="495">
        <v>6810</v>
      </c>
      <c r="P71" s="495" t="s">
        <v>531</v>
      </c>
      <c r="Q71" s="495" t="s">
        <v>531</v>
      </c>
      <c r="R71" s="495">
        <v>6920</v>
      </c>
      <c r="S71" s="495" t="s">
        <v>531</v>
      </c>
      <c r="T71" s="495">
        <v>7040</v>
      </c>
      <c r="U71" s="495" t="s">
        <v>531</v>
      </c>
      <c r="V71" s="495" t="s">
        <v>531</v>
      </c>
      <c r="W71" s="495" t="s">
        <v>531</v>
      </c>
      <c r="X71" s="495" t="s">
        <v>531</v>
      </c>
      <c r="Y71" s="495" t="s">
        <v>531</v>
      </c>
      <c r="Z71" s="495" t="s">
        <v>531</v>
      </c>
      <c r="AA71" s="495">
        <v>12320</v>
      </c>
      <c r="AB71" s="495">
        <v>12640</v>
      </c>
      <c r="AC71" s="495">
        <v>12950</v>
      </c>
      <c r="AD71" s="495" t="s">
        <v>531</v>
      </c>
      <c r="AE71" s="495" t="s">
        <v>531</v>
      </c>
      <c r="AF71" s="495" t="s">
        <v>531</v>
      </c>
      <c r="AG71" s="495" t="s">
        <v>531</v>
      </c>
      <c r="AH71" s="495" t="s">
        <v>531</v>
      </c>
      <c r="AI71" s="495" t="s">
        <v>531</v>
      </c>
      <c r="AJ71" s="495" t="s">
        <v>531</v>
      </c>
      <c r="AK71" s="495" t="s">
        <v>531</v>
      </c>
      <c r="AL71" s="495" t="s">
        <v>531</v>
      </c>
      <c r="AM71" s="495" t="s">
        <v>531</v>
      </c>
      <c r="AN71" s="495" t="s">
        <v>531</v>
      </c>
      <c r="AO71" s="495" t="s">
        <v>531</v>
      </c>
      <c r="AP71" s="495" t="s">
        <v>531</v>
      </c>
      <c r="AQ71" s="495" t="s">
        <v>531</v>
      </c>
      <c r="AR71" s="495" t="s">
        <v>531</v>
      </c>
      <c r="AS71" s="495" t="s">
        <v>531</v>
      </c>
      <c r="AT71" s="495" t="s">
        <v>531</v>
      </c>
      <c r="AU71" s="495" t="s">
        <v>531</v>
      </c>
      <c r="AV71" s="495" t="s">
        <v>531</v>
      </c>
      <c r="AW71" s="495" t="s">
        <v>531</v>
      </c>
      <c r="AX71" s="495" t="s">
        <v>531</v>
      </c>
      <c r="AY71" s="495" t="s">
        <v>531</v>
      </c>
      <c r="AZ71" s="495" t="s">
        <v>531</v>
      </c>
      <c r="BA71" s="495" t="s">
        <v>531</v>
      </c>
      <c r="BB71" s="495" t="s">
        <v>531</v>
      </c>
      <c r="BC71" s="495" t="s">
        <v>531</v>
      </c>
      <c r="BD71" s="495" t="s">
        <v>531</v>
      </c>
      <c r="BE71" s="495" t="s">
        <v>531</v>
      </c>
      <c r="BF71" s="495" t="s">
        <v>531</v>
      </c>
      <c r="BG71" s="495" t="s">
        <v>531</v>
      </c>
      <c r="BH71" s="495" t="s">
        <v>531</v>
      </c>
      <c r="BI71" s="495">
        <v>12320</v>
      </c>
      <c r="BJ71" s="495">
        <v>12640</v>
      </c>
      <c r="BK71" s="495">
        <v>12950</v>
      </c>
      <c r="BL71" s="495" t="s">
        <v>531</v>
      </c>
      <c r="BM71" s="495" t="s">
        <v>531</v>
      </c>
      <c r="BN71" s="495" t="s">
        <v>531</v>
      </c>
      <c r="BO71" s="495">
        <v>18590</v>
      </c>
      <c r="BP71" s="495">
        <v>19070</v>
      </c>
      <c r="BQ71" s="495">
        <v>19560</v>
      </c>
      <c r="BR71" s="495" t="s">
        <v>531</v>
      </c>
      <c r="BS71" s="495" t="s">
        <v>531</v>
      </c>
      <c r="BT71" s="495" t="s">
        <v>531</v>
      </c>
      <c r="BU71" s="495"/>
      <c r="BV71" s="495"/>
      <c r="BW71" s="495"/>
      <c r="BX71" s="495"/>
      <c r="BY71" s="495"/>
      <c r="BZ71" s="495"/>
      <c r="CA71" s="495"/>
    </row>
    <row r="72" spans="1:79">
      <c r="A72" s="499">
        <v>3100</v>
      </c>
      <c r="B72" s="495" t="s">
        <v>531</v>
      </c>
      <c r="C72" s="495" t="s">
        <v>531</v>
      </c>
      <c r="D72" s="495" t="s">
        <v>531</v>
      </c>
      <c r="E72" s="495" t="s">
        <v>531</v>
      </c>
      <c r="F72" s="495" t="s">
        <v>531</v>
      </c>
      <c r="G72" s="495" t="s">
        <v>531</v>
      </c>
      <c r="H72" s="495">
        <v>4990</v>
      </c>
      <c r="I72" s="495" t="s">
        <v>531</v>
      </c>
      <c r="J72" s="495" t="s">
        <v>531</v>
      </c>
      <c r="K72" s="495">
        <v>5050</v>
      </c>
      <c r="L72" s="495" t="s">
        <v>531</v>
      </c>
      <c r="M72" s="495">
        <v>5120</v>
      </c>
      <c r="N72" s="495">
        <v>5380</v>
      </c>
      <c r="O72" s="495">
        <v>6910</v>
      </c>
      <c r="P72" s="495" t="s">
        <v>531</v>
      </c>
      <c r="Q72" s="495" t="s">
        <v>531</v>
      </c>
      <c r="R72" s="495">
        <v>7020</v>
      </c>
      <c r="S72" s="495" t="s">
        <v>531</v>
      </c>
      <c r="T72" s="495">
        <v>7140</v>
      </c>
      <c r="U72" s="495" t="s">
        <v>531</v>
      </c>
      <c r="V72" s="495" t="s">
        <v>531</v>
      </c>
      <c r="W72" s="495" t="s">
        <v>531</v>
      </c>
      <c r="X72" s="495" t="s">
        <v>531</v>
      </c>
      <c r="Y72" s="495" t="s">
        <v>531</v>
      </c>
      <c r="Z72" s="495" t="s">
        <v>531</v>
      </c>
      <c r="AA72" s="495">
        <v>12490</v>
      </c>
      <c r="AB72" s="495">
        <v>12820</v>
      </c>
      <c r="AC72" s="495">
        <v>13130</v>
      </c>
      <c r="AD72" s="495" t="s">
        <v>531</v>
      </c>
      <c r="AE72" s="495" t="s">
        <v>531</v>
      </c>
      <c r="AF72" s="495" t="s">
        <v>531</v>
      </c>
      <c r="AG72" s="495" t="s">
        <v>531</v>
      </c>
      <c r="AH72" s="495" t="s">
        <v>531</v>
      </c>
      <c r="AI72" s="495" t="s">
        <v>531</v>
      </c>
      <c r="AJ72" s="495" t="s">
        <v>531</v>
      </c>
      <c r="AK72" s="495" t="s">
        <v>531</v>
      </c>
      <c r="AL72" s="495" t="s">
        <v>531</v>
      </c>
      <c r="AM72" s="495" t="s">
        <v>531</v>
      </c>
      <c r="AN72" s="495" t="s">
        <v>531</v>
      </c>
      <c r="AO72" s="495" t="s">
        <v>531</v>
      </c>
      <c r="AP72" s="495" t="s">
        <v>531</v>
      </c>
      <c r="AQ72" s="495" t="s">
        <v>531</v>
      </c>
      <c r="AR72" s="495" t="s">
        <v>531</v>
      </c>
      <c r="AS72" s="495" t="s">
        <v>531</v>
      </c>
      <c r="AT72" s="495" t="s">
        <v>531</v>
      </c>
      <c r="AU72" s="495" t="s">
        <v>531</v>
      </c>
      <c r="AV72" s="495" t="s">
        <v>531</v>
      </c>
      <c r="AW72" s="495" t="s">
        <v>531</v>
      </c>
      <c r="AX72" s="495" t="s">
        <v>531</v>
      </c>
      <c r="AY72" s="495" t="s">
        <v>531</v>
      </c>
      <c r="AZ72" s="495" t="s">
        <v>531</v>
      </c>
      <c r="BA72" s="495" t="s">
        <v>531</v>
      </c>
      <c r="BB72" s="495" t="s">
        <v>531</v>
      </c>
      <c r="BC72" s="495" t="s">
        <v>531</v>
      </c>
      <c r="BD72" s="495" t="s">
        <v>531</v>
      </c>
      <c r="BE72" s="495" t="s">
        <v>531</v>
      </c>
      <c r="BF72" s="495" t="s">
        <v>531</v>
      </c>
      <c r="BG72" s="495" t="s">
        <v>531</v>
      </c>
      <c r="BH72" s="495" t="s">
        <v>531</v>
      </c>
      <c r="BI72" s="495">
        <v>12490</v>
      </c>
      <c r="BJ72" s="495">
        <v>12820</v>
      </c>
      <c r="BK72" s="495">
        <v>13130</v>
      </c>
      <c r="BL72" s="495" t="s">
        <v>531</v>
      </c>
      <c r="BM72" s="495" t="s">
        <v>531</v>
      </c>
      <c r="BN72" s="495" t="s">
        <v>531</v>
      </c>
      <c r="BO72" s="495">
        <v>18860</v>
      </c>
      <c r="BP72" s="495">
        <v>19340</v>
      </c>
      <c r="BQ72" s="495">
        <v>19820</v>
      </c>
      <c r="BR72" s="495" t="s">
        <v>531</v>
      </c>
      <c r="BS72" s="495" t="s">
        <v>531</v>
      </c>
      <c r="BT72" s="495" t="s">
        <v>531</v>
      </c>
      <c r="BU72" s="495"/>
      <c r="BV72" s="495"/>
      <c r="BW72" s="495"/>
      <c r="BX72" s="495"/>
      <c r="BY72" s="495"/>
      <c r="BZ72" s="495"/>
      <c r="CA72" s="495"/>
    </row>
    <row r="73" spans="1:79">
      <c r="A73" s="499">
        <v>3150</v>
      </c>
      <c r="B73" s="495" t="s">
        <v>531</v>
      </c>
      <c r="C73" s="495" t="s">
        <v>531</v>
      </c>
      <c r="D73" s="495" t="s">
        <v>531</v>
      </c>
      <c r="E73" s="495" t="s">
        <v>531</v>
      </c>
      <c r="F73" s="495" t="s">
        <v>531</v>
      </c>
      <c r="G73" s="495" t="s">
        <v>531</v>
      </c>
      <c r="H73" s="495">
        <v>5060</v>
      </c>
      <c r="I73" s="495" t="s">
        <v>531</v>
      </c>
      <c r="J73" s="495" t="s">
        <v>531</v>
      </c>
      <c r="K73" s="495">
        <v>5120</v>
      </c>
      <c r="L73" s="495" t="s">
        <v>531</v>
      </c>
      <c r="M73" s="495">
        <v>5190</v>
      </c>
      <c r="N73" s="495">
        <v>5450</v>
      </c>
      <c r="O73" s="495">
        <v>7010</v>
      </c>
      <c r="P73" s="495" t="s">
        <v>531</v>
      </c>
      <c r="Q73" s="495" t="s">
        <v>531</v>
      </c>
      <c r="R73" s="495">
        <v>7120</v>
      </c>
      <c r="S73" s="495" t="s">
        <v>531</v>
      </c>
      <c r="T73" s="495">
        <v>7240</v>
      </c>
      <c r="U73" s="495" t="s">
        <v>531</v>
      </c>
      <c r="V73" s="495" t="s">
        <v>531</v>
      </c>
      <c r="W73" s="495" t="s">
        <v>531</v>
      </c>
      <c r="X73" s="495" t="s">
        <v>531</v>
      </c>
      <c r="Y73" s="495" t="s">
        <v>531</v>
      </c>
      <c r="Z73" s="495" t="s">
        <v>531</v>
      </c>
      <c r="AA73" s="495">
        <v>12670</v>
      </c>
      <c r="AB73" s="495">
        <v>12990</v>
      </c>
      <c r="AC73" s="495">
        <v>13310</v>
      </c>
      <c r="AD73" s="495" t="s">
        <v>531</v>
      </c>
      <c r="AE73" s="495" t="s">
        <v>531</v>
      </c>
      <c r="AF73" s="495" t="s">
        <v>531</v>
      </c>
      <c r="AG73" s="495" t="s">
        <v>531</v>
      </c>
      <c r="AH73" s="495" t="s">
        <v>531</v>
      </c>
      <c r="AI73" s="495" t="s">
        <v>531</v>
      </c>
      <c r="AJ73" s="495" t="s">
        <v>531</v>
      </c>
      <c r="AK73" s="495" t="s">
        <v>531</v>
      </c>
      <c r="AL73" s="495" t="s">
        <v>531</v>
      </c>
      <c r="AM73" s="495" t="s">
        <v>531</v>
      </c>
      <c r="AN73" s="495" t="s">
        <v>531</v>
      </c>
      <c r="AO73" s="495" t="s">
        <v>531</v>
      </c>
      <c r="AP73" s="495" t="s">
        <v>531</v>
      </c>
      <c r="AQ73" s="495" t="s">
        <v>531</v>
      </c>
      <c r="AR73" s="495" t="s">
        <v>531</v>
      </c>
      <c r="AS73" s="495" t="s">
        <v>531</v>
      </c>
      <c r="AT73" s="495" t="s">
        <v>531</v>
      </c>
      <c r="AU73" s="495" t="s">
        <v>531</v>
      </c>
      <c r="AV73" s="495" t="s">
        <v>531</v>
      </c>
      <c r="AW73" s="495" t="s">
        <v>531</v>
      </c>
      <c r="AX73" s="495" t="s">
        <v>531</v>
      </c>
      <c r="AY73" s="495" t="s">
        <v>531</v>
      </c>
      <c r="AZ73" s="495" t="s">
        <v>531</v>
      </c>
      <c r="BA73" s="495" t="s">
        <v>531</v>
      </c>
      <c r="BB73" s="495" t="s">
        <v>531</v>
      </c>
      <c r="BC73" s="495" t="s">
        <v>531</v>
      </c>
      <c r="BD73" s="495" t="s">
        <v>531</v>
      </c>
      <c r="BE73" s="495" t="s">
        <v>531</v>
      </c>
      <c r="BF73" s="495" t="s">
        <v>531</v>
      </c>
      <c r="BG73" s="495" t="s">
        <v>531</v>
      </c>
      <c r="BH73" s="495" t="s">
        <v>531</v>
      </c>
      <c r="BI73" s="495">
        <v>12670</v>
      </c>
      <c r="BJ73" s="495">
        <v>12990</v>
      </c>
      <c r="BK73" s="495">
        <v>13310</v>
      </c>
      <c r="BL73" s="495" t="s">
        <v>531</v>
      </c>
      <c r="BM73" s="495" t="s">
        <v>531</v>
      </c>
      <c r="BN73" s="495" t="s">
        <v>531</v>
      </c>
      <c r="BO73" s="495">
        <v>19130</v>
      </c>
      <c r="BP73" s="495">
        <v>19610</v>
      </c>
      <c r="BQ73" s="495">
        <v>20090</v>
      </c>
      <c r="BR73" s="495" t="s">
        <v>531</v>
      </c>
      <c r="BS73" s="495" t="s">
        <v>531</v>
      </c>
      <c r="BT73" s="495" t="s">
        <v>531</v>
      </c>
      <c r="BU73" s="495"/>
      <c r="BV73" s="495"/>
      <c r="BW73" s="495"/>
      <c r="BX73" s="495"/>
      <c r="BY73" s="495"/>
      <c r="BZ73" s="495"/>
      <c r="CA73" s="495"/>
    </row>
    <row r="74" spans="1:79">
      <c r="A74" s="499">
        <v>3200</v>
      </c>
      <c r="B74" s="495" t="s">
        <v>531</v>
      </c>
      <c r="C74" s="495" t="s">
        <v>531</v>
      </c>
      <c r="D74" s="495" t="s">
        <v>531</v>
      </c>
      <c r="E74" s="495" t="s">
        <v>531</v>
      </c>
      <c r="F74" s="495" t="s">
        <v>531</v>
      </c>
      <c r="G74" s="495" t="s">
        <v>531</v>
      </c>
      <c r="H74" s="495">
        <v>5130</v>
      </c>
      <c r="I74" s="495" t="s">
        <v>531</v>
      </c>
      <c r="J74" s="495" t="s">
        <v>531</v>
      </c>
      <c r="K74" s="495">
        <v>5190</v>
      </c>
      <c r="L74" s="495" t="s">
        <v>531</v>
      </c>
      <c r="M74" s="495">
        <v>5260</v>
      </c>
      <c r="N74" s="495">
        <v>5520</v>
      </c>
      <c r="O74" s="495">
        <v>7110</v>
      </c>
      <c r="P74" s="495" t="s">
        <v>531</v>
      </c>
      <c r="Q74" s="495" t="s">
        <v>531</v>
      </c>
      <c r="R74" s="495">
        <v>7220</v>
      </c>
      <c r="S74" s="495" t="s">
        <v>531</v>
      </c>
      <c r="T74" s="495">
        <v>7340</v>
      </c>
      <c r="U74" s="495" t="s">
        <v>531</v>
      </c>
      <c r="V74" s="495" t="s">
        <v>531</v>
      </c>
      <c r="W74" s="495" t="s">
        <v>531</v>
      </c>
      <c r="X74" s="495" t="s">
        <v>531</v>
      </c>
      <c r="Y74" s="495" t="s">
        <v>531</v>
      </c>
      <c r="Z74" s="495" t="s">
        <v>531</v>
      </c>
      <c r="AA74" s="495">
        <v>12850</v>
      </c>
      <c r="AB74" s="495">
        <v>13170</v>
      </c>
      <c r="AC74" s="495">
        <v>13490</v>
      </c>
      <c r="AD74" s="495" t="s">
        <v>531</v>
      </c>
      <c r="AE74" s="495" t="s">
        <v>531</v>
      </c>
      <c r="AF74" s="495" t="s">
        <v>531</v>
      </c>
      <c r="AG74" s="495" t="s">
        <v>531</v>
      </c>
      <c r="AH74" s="495" t="s">
        <v>531</v>
      </c>
      <c r="AI74" s="495" t="s">
        <v>531</v>
      </c>
      <c r="AJ74" s="495" t="s">
        <v>531</v>
      </c>
      <c r="AK74" s="495" t="s">
        <v>531</v>
      </c>
      <c r="AL74" s="495" t="s">
        <v>531</v>
      </c>
      <c r="AM74" s="495" t="s">
        <v>531</v>
      </c>
      <c r="AN74" s="495" t="s">
        <v>531</v>
      </c>
      <c r="AO74" s="495" t="s">
        <v>531</v>
      </c>
      <c r="AP74" s="495" t="s">
        <v>531</v>
      </c>
      <c r="AQ74" s="495" t="s">
        <v>531</v>
      </c>
      <c r="AR74" s="495" t="s">
        <v>531</v>
      </c>
      <c r="AS74" s="495" t="s">
        <v>531</v>
      </c>
      <c r="AT74" s="495" t="s">
        <v>531</v>
      </c>
      <c r="AU74" s="495" t="s">
        <v>531</v>
      </c>
      <c r="AV74" s="495" t="s">
        <v>531</v>
      </c>
      <c r="AW74" s="495" t="s">
        <v>531</v>
      </c>
      <c r="AX74" s="495" t="s">
        <v>531</v>
      </c>
      <c r="AY74" s="495" t="s">
        <v>531</v>
      </c>
      <c r="AZ74" s="495" t="s">
        <v>531</v>
      </c>
      <c r="BA74" s="495" t="s">
        <v>531</v>
      </c>
      <c r="BB74" s="495" t="s">
        <v>531</v>
      </c>
      <c r="BC74" s="495" t="s">
        <v>531</v>
      </c>
      <c r="BD74" s="495" t="s">
        <v>531</v>
      </c>
      <c r="BE74" s="495" t="s">
        <v>531</v>
      </c>
      <c r="BF74" s="495" t="s">
        <v>531</v>
      </c>
      <c r="BG74" s="495" t="s">
        <v>531</v>
      </c>
      <c r="BH74" s="495" t="s">
        <v>531</v>
      </c>
      <c r="BI74" s="495">
        <v>12850</v>
      </c>
      <c r="BJ74" s="495">
        <v>13170</v>
      </c>
      <c r="BK74" s="495">
        <v>13490</v>
      </c>
      <c r="BL74" s="495" t="s">
        <v>531</v>
      </c>
      <c r="BM74" s="495" t="s">
        <v>531</v>
      </c>
      <c r="BN74" s="495" t="s">
        <v>531</v>
      </c>
      <c r="BO74" s="495">
        <v>19390</v>
      </c>
      <c r="BP74" s="495">
        <v>19870</v>
      </c>
      <c r="BQ74" s="495">
        <v>20350</v>
      </c>
      <c r="BR74" s="495" t="s">
        <v>531</v>
      </c>
      <c r="BS74" s="495" t="s">
        <v>531</v>
      </c>
      <c r="BT74" s="495" t="s">
        <v>531</v>
      </c>
      <c r="BU74" s="495"/>
      <c r="BV74" s="495"/>
      <c r="BW74" s="495"/>
      <c r="BX74" s="495"/>
      <c r="BY74" s="495"/>
      <c r="BZ74" s="495"/>
      <c r="CA74" s="495"/>
    </row>
    <row r="75" spans="1:79">
      <c r="A75" s="499">
        <v>3250</v>
      </c>
      <c r="B75" s="495" t="s">
        <v>531</v>
      </c>
      <c r="C75" s="495" t="s">
        <v>531</v>
      </c>
      <c r="D75" s="495" t="s">
        <v>531</v>
      </c>
      <c r="E75" s="495" t="s">
        <v>531</v>
      </c>
      <c r="F75" s="495" t="s">
        <v>531</v>
      </c>
      <c r="G75" s="495" t="s">
        <v>531</v>
      </c>
      <c r="H75" s="495">
        <v>5200</v>
      </c>
      <c r="I75" s="495" t="s">
        <v>531</v>
      </c>
      <c r="J75" s="495" t="s">
        <v>531</v>
      </c>
      <c r="K75" s="495">
        <v>5260</v>
      </c>
      <c r="L75" s="495" t="s">
        <v>531</v>
      </c>
      <c r="M75" s="495">
        <v>5340</v>
      </c>
      <c r="N75" s="495">
        <v>5600</v>
      </c>
      <c r="O75" s="495">
        <v>7210</v>
      </c>
      <c r="P75" s="495" t="s">
        <v>531</v>
      </c>
      <c r="Q75" s="495" t="s">
        <v>531</v>
      </c>
      <c r="R75" s="495">
        <v>7320</v>
      </c>
      <c r="S75" s="495" t="s">
        <v>531</v>
      </c>
      <c r="T75" s="495">
        <v>7440</v>
      </c>
      <c r="U75" s="495" t="s">
        <v>531</v>
      </c>
      <c r="V75" s="495" t="s">
        <v>531</v>
      </c>
      <c r="W75" s="495" t="s">
        <v>531</v>
      </c>
      <c r="X75" s="495" t="s">
        <v>531</v>
      </c>
      <c r="Y75" s="495" t="s">
        <v>531</v>
      </c>
      <c r="Z75" s="495" t="s">
        <v>531</v>
      </c>
      <c r="AA75" s="495">
        <v>13030</v>
      </c>
      <c r="AB75" s="495">
        <v>13350</v>
      </c>
      <c r="AC75" s="495">
        <v>13660</v>
      </c>
      <c r="AD75" s="495" t="s">
        <v>531</v>
      </c>
      <c r="AE75" s="495" t="s">
        <v>531</v>
      </c>
      <c r="AF75" s="495" t="s">
        <v>531</v>
      </c>
      <c r="AG75" s="495" t="s">
        <v>531</v>
      </c>
      <c r="AH75" s="495" t="s">
        <v>531</v>
      </c>
      <c r="AI75" s="495" t="s">
        <v>531</v>
      </c>
      <c r="AJ75" s="495" t="s">
        <v>531</v>
      </c>
      <c r="AK75" s="495" t="s">
        <v>531</v>
      </c>
      <c r="AL75" s="495" t="s">
        <v>531</v>
      </c>
      <c r="AM75" s="495" t="s">
        <v>531</v>
      </c>
      <c r="AN75" s="495" t="s">
        <v>531</v>
      </c>
      <c r="AO75" s="495" t="s">
        <v>531</v>
      </c>
      <c r="AP75" s="495" t="s">
        <v>531</v>
      </c>
      <c r="AQ75" s="495" t="s">
        <v>531</v>
      </c>
      <c r="AR75" s="495" t="s">
        <v>531</v>
      </c>
      <c r="AS75" s="495" t="s">
        <v>531</v>
      </c>
      <c r="AT75" s="495" t="s">
        <v>531</v>
      </c>
      <c r="AU75" s="495" t="s">
        <v>531</v>
      </c>
      <c r="AV75" s="495" t="s">
        <v>531</v>
      </c>
      <c r="AW75" s="495" t="s">
        <v>531</v>
      </c>
      <c r="AX75" s="495" t="s">
        <v>531</v>
      </c>
      <c r="AY75" s="495" t="s">
        <v>531</v>
      </c>
      <c r="AZ75" s="495" t="s">
        <v>531</v>
      </c>
      <c r="BA75" s="495" t="s">
        <v>531</v>
      </c>
      <c r="BB75" s="495" t="s">
        <v>531</v>
      </c>
      <c r="BC75" s="495" t="s">
        <v>531</v>
      </c>
      <c r="BD75" s="495" t="s">
        <v>531</v>
      </c>
      <c r="BE75" s="495" t="s">
        <v>531</v>
      </c>
      <c r="BF75" s="495" t="s">
        <v>531</v>
      </c>
      <c r="BG75" s="495" t="s">
        <v>531</v>
      </c>
      <c r="BH75" s="495" t="s">
        <v>531</v>
      </c>
      <c r="BI75" s="495">
        <v>13030</v>
      </c>
      <c r="BJ75" s="495">
        <v>13350</v>
      </c>
      <c r="BK75" s="495">
        <v>13660</v>
      </c>
      <c r="BL75" s="495" t="s">
        <v>531</v>
      </c>
      <c r="BM75" s="495" t="s">
        <v>531</v>
      </c>
      <c r="BN75" s="495" t="s">
        <v>531</v>
      </c>
      <c r="BO75" s="495">
        <v>19660</v>
      </c>
      <c r="BP75" s="495">
        <v>20140</v>
      </c>
      <c r="BQ75" s="495">
        <v>20620</v>
      </c>
      <c r="BR75" s="495" t="s">
        <v>531</v>
      </c>
      <c r="BS75" s="495" t="s">
        <v>531</v>
      </c>
      <c r="BT75" s="495" t="s">
        <v>531</v>
      </c>
      <c r="BU75" s="495"/>
      <c r="BV75" s="495"/>
      <c r="BW75" s="495"/>
      <c r="BX75" s="495"/>
      <c r="BY75" s="495"/>
      <c r="BZ75" s="495"/>
      <c r="CA75" s="495"/>
    </row>
    <row r="76" spans="1:79">
      <c r="A76" s="499">
        <v>3300</v>
      </c>
      <c r="B76" s="495" t="s">
        <v>531</v>
      </c>
      <c r="C76" s="495" t="s">
        <v>531</v>
      </c>
      <c r="D76" s="495" t="s">
        <v>531</v>
      </c>
      <c r="E76" s="495" t="s">
        <v>531</v>
      </c>
      <c r="F76" s="495" t="s">
        <v>531</v>
      </c>
      <c r="G76" s="495" t="s">
        <v>531</v>
      </c>
      <c r="H76" s="495">
        <v>5280</v>
      </c>
      <c r="I76" s="495" t="s">
        <v>531</v>
      </c>
      <c r="J76" s="495" t="s">
        <v>531</v>
      </c>
      <c r="K76" s="495">
        <v>5340</v>
      </c>
      <c r="L76" s="495" t="s">
        <v>531</v>
      </c>
      <c r="M76" s="495">
        <v>5410</v>
      </c>
      <c r="N76" s="495">
        <v>5670</v>
      </c>
      <c r="O76" s="495">
        <v>7310</v>
      </c>
      <c r="P76" s="495" t="s">
        <v>531</v>
      </c>
      <c r="Q76" s="495" t="s">
        <v>531</v>
      </c>
      <c r="R76" s="495">
        <v>7420</v>
      </c>
      <c r="S76" s="495" t="s">
        <v>531</v>
      </c>
      <c r="T76" s="495">
        <v>7540</v>
      </c>
      <c r="U76" s="495" t="s">
        <v>531</v>
      </c>
      <c r="V76" s="495" t="s">
        <v>531</v>
      </c>
      <c r="W76" s="495" t="s">
        <v>531</v>
      </c>
      <c r="X76" s="495" t="s">
        <v>531</v>
      </c>
      <c r="Y76" s="495" t="s">
        <v>531</v>
      </c>
      <c r="Z76" s="495" t="s">
        <v>531</v>
      </c>
      <c r="AA76" s="495">
        <v>13200</v>
      </c>
      <c r="AB76" s="495">
        <v>13530</v>
      </c>
      <c r="AC76" s="495">
        <v>13840</v>
      </c>
      <c r="AD76" s="495" t="s">
        <v>531</v>
      </c>
      <c r="AE76" s="495" t="s">
        <v>531</v>
      </c>
      <c r="AF76" s="495" t="s">
        <v>531</v>
      </c>
      <c r="AG76" s="495" t="s">
        <v>531</v>
      </c>
      <c r="AH76" s="495" t="s">
        <v>531</v>
      </c>
      <c r="AI76" s="495" t="s">
        <v>531</v>
      </c>
      <c r="AJ76" s="495" t="s">
        <v>531</v>
      </c>
      <c r="AK76" s="495" t="s">
        <v>531</v>
      </c>
      <c r="AL76" s="495" t="s">
        <v>531</v>
      </c>
      <c r="AM76" s="495" t="s">
        <v>531</v>
      </c>
      <c r="AN76" s="495" t="s">
        <v>531</v>
      </c>
      <c r="AO76" s="495" t="s">
        <v>531</v>
      </c>
      <c r="AP76" s="495" t="s">
        <v>531</v>
      </c>
      <c r="AQ76" s="495" t="s">
        <v>531</v>
      </c>
      <c r="AR76" s="495" t="s">
        <v>531</v>
      </c>
      <c r="AS76" s="495" t="s">
        <v>531</v>
      </c>
      <c r="AT76" s="495" t="s">
        <v>531</v>
      </c>
      <c r="AU76" s="495" t="s">
        <v>531</v>
      </c>
      <c r="AV76" s="495" t="s">
        <v>531</v>
      </c>
      <c r="AW76" s="495" t="s">
        <v>531</v>
      </c>
      <c r="AX76" s="495" t="s">
        <v>531</v>
      </c>
      <c r="AY76" s="495" t="s">
        <v>531</v>
      </c>
      <c r="AZ76" s="495" t="s">
        <v>531</v>
      </c>
      <c r="BA76" s="495" t="s">
        <v>531</v>
      </c>
      <c r="BB76" s="495" t="s">
        <v>531</v>
      </c>
      <c r="BC76" s="495" t="s">
        <v>531</v>
      </c>
      <c r="BD76" s="495" t="s">
        <v>531</v>
      </c>
      <c r="BE76" s="495" t="s">
        <v>531</v>
      </c>
      <c r="BF76" s="495" t="s">
        <v>531</v>
      </c>
      <c r="BG76" s="495" t="s">
        <v>531</v>
      </c>
      <c r="BH76" s="495" t="s">
        <v>531</v>
      </c>
      <c r="BI76" s="495">
        <v>13200</v>
      </c>
      <c r="BJ76" s="495">
        <v>13530</v>
      </c>
      <c r="BK76" s="495">
        <v>13840</v>
      </c>
      <c r="BL76" s="495" t="s">
        <v>531</v>
      </c>
      <c r="BM76" s="495" t="s">
        <v>531</v>
      </c>
      <c r="BN76" s="495" t="s">
        <v>531</v>
      </c>
      <c r="BO76" s="495">
        <v>19930</v>
      </c>
      <c r="BP76" s="495">
        <v>20410</v>
      </c>
      <c r="BQ76" s="495">
        <v>20890</v>
      </c>
      <c r="BR76" s="495" t="s">
        <v>531</v>
      </c>
      <c r="BS76" s="495" t="s">
        <v>531</v>
      </c>
      <c r="BT76" s="495" t="s">
        <v>531</v>
      </c>
      <c r="BU76" s="495"/>
      <c r="BV76" s="495"/>
      <c r="BW76" s="495"/>
      <c r="BX76" s="495"/>
      <c r="BY76" s="495"/>
      <c r="BZ76" s="495"/>
      <c r="CA76" s="495"/>
    </row>
    <row r="77" spans="1:79">
      <c r="A77" s="499">
        <v>3350</v>
      </c>
      <c r="B77" s="495" t="s">
        <v>531</v>
      </c>
      <c r="C77" s="495" t="s">
        <v>531</v>
      </c>
      <c r="D77" s="495" t="s">
        <v>531</v>
      </c>
      <c r="E77" s="495" t="s">
        <v>531</v>
      </c>
      <c r="F77" s="495" t="s">
        <v>531</v>
      </c>
      <c r="G77" s="495" t="s">
        <v>531</v>
      </c>
      <c r="H77" s="495">
        <v>5350</v>
      </c>
      <c r="I77" s="495" t="s">
        <v>531</v>
      </c>
      <c r="J77" s="495" t="s">
        <v>531</v>
      </c>
      <c r="K77" s="495">
        <v>5410</v>
      </c>
      <c r="L77" s="495" t="s">
        <v>531</v>
      </c>
      <c r="M77" s="495">
        <v>5480</v>
      </c>
      <c r="N77" s="495">
        <v>5740</v>
      </c>
      <c r="O77" s="495">
        <v>7410</v>
      </c>
      <c r="P77" s="495" t="s">
        <v>531</v>
      </c>
      <c r="Q77" s="495" t="s">
        <v>531</v>
      </c>
      <c r="R77" s="495">
        <v>7520</v>
      </c>
      <c r="S77" s="495" t="s">
        <v>531</v>
      </c>
      <c r="T77" s="495">
        <v>7640</v>
      </c>
      <c r="U77" s="495" t="s">
        <v>531</v>
      </c>
      <c r="V77" s="495" t="s">
        <v>531</v>
      </c>
      <c r="W77" s="495" t="s">
        <v>531</v>
      </c>
      <c r="X77" s="495" t="s">
        <v>531</v>
      </c>
      <c r="Y77" s="495" t="s">
        <v>531</v>
      </c>
      <c r="Z77" s="495" t="s">
        <v>531</v>
      </c>
      <c r="AA77" s="495">
        <v>13380</v>
      </c>
      <c r="AB77" s="495">
        <v>13700</v>
      </c>
      <c r="AC77" s="495">
        <v>14020</v>
      </c>
      <c r="AD77" s="495" t="s">
        <v>531</v>
      </c>
      <c r="AE77" s="495" t="s">
        <v>531</v>
      </c>
      <c r="AF77" s="495" t="s">
        <v>531</v>
      </c>
      <c r="AG77" s="495" t="s">
        <v>531</v>
      </c>
      <c r="AH77" s="495" t="s">
        <v>531</v>
      </c>
      <c r="AI77" s="495" t="s">
        <v>531</v>
      </c>
      <c r="AJ77" s="495" t="s">
        <v>531</v>
      </c>
      <c r="AK77" s="495" t="s">
        <v>531</v>
      </c>
      <c r="AL77" s="495" t="s">
        <v>531</v>
      </c>
      <c r="AM77" s="495" t="s">
        <v>531</v>
      </c>
      <c r="AN77" s="495" t="s">
        <v>531</v>
      </c>
      <c r="AO77" s="495" t="s">
        <v>531</v>
      </c>
      <c r="AP77" s="495" t="s">
        <v>531</v>
      </c>
      <c r="AQ77" s="495" t="s">
        <v>531</v>
      </c>
      <c r="AR77" s="495" t="s">
        <v>531</v>
      </c>
      <c r="AS77" s="495" t="s">
        <v>531</v>
      </c>
      <c r="AT77" s="495" t="s">
        <v>531</v>
      </c>
      <c r="AU77" s="495" t="s">
        <v>531</v>
      </c>
      <c r="AV77" s="495" t="s">
        <v>531</v>
      </c>
      <c r="AW77" s="495" t="s">
        <v>531</v>
      </c>
      <c r="AX77" s="495" t="s">
        <v>531</v>
      </c>
      <c r="AY77" s="495" t="s">
        <v>531</v>
      </c>
      <c r="AZ77" s="495" t="s">
        <v>531</v>
      </c>
      <c r="BA77" s="495" t="s">
        <v>531</v>
      </c>
      <c r="BB77" s="495" t="s">
        <v>531</v>
      </c>
      <c r="BC77" s="495" t="s">
        <v>531</v>
      </c>
      <c r="BD77" s="495" t="s">
        <v>531</v>
      </c>
      <c r="BE77" s="495" t="s">
        <v>531</v>
      </c>
      <c r="BF77" s="495" t="s">
        <v>531</v>
      </c>
      <c r="BG77" s="495" t="s">
        <v>531</v>
      </c>
      <c r="BH77" s="495" t="s">
        <v>531</v>
      </c>
      <c r="BI77" s="495">
        <v>13380</v>
      </c>
      <c r="BJ77" s="495">
        <v>13700</v>
      </c>
      <c r="BK77" s="495">
        <v>14020</v>
      </c>
      <c r="BL77" s="495" t="s">
        <v>531</v>
      </c>
      <c r="BM77" s="495" t="s">
        <v>531</v>
      </c>
      <c r="BN77" s="495" t="s">
        <v>531</v>
      </c>
      <c r="BO77" s="495">
        <v>20190</v>
      </c>
      <c r="BP77" s="495">
        <v>20670</v>
      </c>
      <c r="BQ77" s="495">
        <v>21150</v>
      </c>
      <c r="BR77" s="495" t="s">
        <v>531</v>
      </c>
      <c r="BS77" s="495" t="s">
        <v>531</v>
      </c>
      <c r="BT77" s="495" t="s">
        <v>531</v>
      </c>
      <c r="BU77" s="495"/>
      <c r="BV77" s="495"/>
      <c r="BW77" s="495"/>
      <c r="BX77" s="495"/>
      <c r="BY77" s="495"/>
      <c r="BZ77" s="495"/>
      <c r="CA77" s="495"/>
    </row>
    <row r="78" spans="1:79">
      <c r="A78" s="499">
        <v>3400</v>
      </c>
      <c r="B78" s="495" t="s">
        <v>531</v>
      </c>
      <c r="C78" s="495" t="s">
        <v>531</v>
      </c>
      <c r="D78" s="495" t="s">
        <v>531</v>
      </c>
      <c r="E78" s="495" t="s">
        <v>531</v>
      </c>
      <c r="F78" s="495" t="s">
        <v>531</v>
      </c>
      <c r="G78" s="495" t="s">
        <v>531</v>
      </c>
      <c r="H78" s="495">
        <v>5420</v>
      </c>
      <c r="I78" s="495" t="s">
        <v>531</v>
      </c>
      <c r="J78" s="495" t="s">
        <v>531</v>
      </c>
      <c r="K78" s="495">
        <v>5480</v>
      </c>
      <c r="L78" s="495" t="s">
        <v>531</v>
      </c>
      <c r="M78" s="495">
        <v>5550</v>
      </c>
      <c r="N78" s="495">
        <v>5820</v>
      </c>
      <c r="O78" s="495">
        <v>7510</v>
      </c>
      <c r="P78" s="495" t="s">
        <v>531</v>
      </c>
      <c r="Q78" s="495" t="s">
        <v>531</v>
      </c>
      <c r="R78" s="495">
        <v>7620</v>
      </c>
      <c r="S78" s="495" t="s">
        <v>531</v>
      </c>
      <c r="T78" s="495">
        <v>7740</v>
      </c>
      <c r="U78" s="495" t="s">
        <v>531</v>
      </c>
      <c r="V78" s="495" t="s">
        <v>531</v>
      </c>
      <c r="W78" s="495" t="s">
        <v>531</v>
      </c>
      <c r="X78" s="495" t="s">
        <v>531</v>
      </c>
      <c r="Y78" s="495" t="s">
        <v>531</v>
      </c>
      <c r="Z78" s="495" t="s">
        <v>531</v>
      </c>
      <c r="AA78" s="495">
        <v>13560</v>
      </c>
      <c r="AB78" s="495">
        <v>13880</v>
      </c>
      <c r="AC78" s="495">
        <v>14200</v>
      </c>
      <c r="AD78" s="495" t="s">
        <v>531</v>
      </c>
      <c r="AE78" s="495" t="s">
        <v>531</v>
      </c>
      <c r="AF78" s="495" t="s">
        <v>531</v>
      </c>
      <c r="AG78" s="495" t="s">
        <v>531</v>
      </c>
      <c r="AH78" s="495" t="s">
        <v>531</v>
      </c>
      <c r="AI78" s="495" t="s">
        <v>531</v>
      </c>
      <c r="AJ78" s="495" t="s">
        <v>531</v>
      </c>
      <c r="AK78" s="495" t="s">
        <v>531</v>
      </c>
      <c r="AL78" s="495" t="s">
        <v>531</v>
      </c>
      <c r="AM78" s="495" t="s">
        <v>531</v>
      </c>
      <c r="AN78" s="495" t="s">
        <v>531</v>
      </c>
      <c r="AO78" s="495" t="s">
        <v>531</v>
      </c>
      <c r="AP78" s="495" t="s">
        <v>531</v>
      </c>
      <c r="AQ78" s="495" t="s">
        <v>531</v>
      </c>
      <c r="AR78" s="495" t="s">
        <v>531</v>
      </c>
      <c r="AS78" s="495" t="s">
        <v>531</v>
      </c>
      <c r="AT78" s="495" t="s">
        <v>531</v>
      </c>
      <c r="AU78" s="495" t="s">
        <v>531</v>
      </c>
      <c r="AV78" s="495" t="s">
        <v>531</v>
      </c>
      <c r="AW78" s="495" t="s">
        <v>531</v>
      </c>
      <c r="AX78" s="495" t="s">
        <v>531</v>
      </c>
      <c r="AY78" s="495" t="s">
        <v>531</v>
      </c>
      <c r="AZ78" s="495" t="s">
        <v>531</v>
      </c>
      <c r="BA78" s="495" t="s">
        <v>531</v>
      </c>
      <c r="BB78" s="495" t="s">
        <v>531</v>
      </c>
      <c r="BC78" s="495" t="s">
        <v>531</v>
      </c>
      <c r="BD78" s="495" t="s">
        <v>531</v>
      </c>
      <c r="BE78" s="495" t="s">
        <v>531</v>
      </c>
      <c r="BF78" s="495" t="s">
        <v>531</v>
      </c>
      <c r="BG78" s="495" t="s">
        <v>531</v>
      </c>
      <c r="BH78" s="495" t="s">
        <v>531</v>
      </c>
      <c r="BI78" s="495">
        <v>13560</v>
      </c>
      <c r="BJ78" s="495">
        <v>13880</v>
      </c>
      <c r="BK78" s="495">
        <v>14200</v>
      </c>
      <c r="BL78" s="495" t="s">
        <v>531</v>
      </c>
      <c r="BM78" s="495" t="s">
        <v>531</v>
      </c>
      <c r="BN78" s="495" t="s">
        <v>531</v>
      </c>
      <c r="BO78" s="495">
        <v>20460</v>
      </c>
      <c r="BP78" s="495">
        <v>20940</v>
      </c>
      <c r="BQ78" s="495">
        <v>21420</v>
      </c>
      <c r="BR78" s="495" t="s">
        <v>531</v>
      </c>
      <c r="BS78" s="495" t="s">
        <v>531</v>
      </c>
      <c r="BT78" s="495" t="s">
        <v>531</v>
      </c>
      <c r="BU78" s="495"/>
      <c r="BV78" s="495"/>
      <c r="BW78" s="495"/>
      <c r="BX78" s="495"/>
      <c r="BY78" s="495"/>
      <c r="BZ78" s="495"/>
      <c r="CA78" s="495"/>
    </row>
    <row r="79" spans="1:79">
      <c r="A79" s="499">
        <v>3450</v>
      </c>
      <c r="B79" s="495" t="s">
        <v>531</v>
      </c>
      <c r="C79" s="495" t="s">
        <v>531</v>
      </c>
      <c r="D79" s="495" t="s">
        <v>531</v>
      </c>
      <c r="E79" s="495" t="s">
        <v>531</v>
      </c>
      <c r="F79" s="495" t="s">
        <v>531</v>
      </c>
      <c r="G79" s="495" t="s">
        <v>531</v>
      </c>
      <c r="H79" s="495">
        <v>5500</v>
      </c>
      <c r="I79" s="495" t="s">
        <v>531</v>
      </c>
      <c r="J79" s="495" t="s">
        <v>531</v>
      </c>
      <c r="K79" s="495">
        <v>5560</v>
      </c>
      <c r="L79" s="495" t="s">
        <v>531</v>
      </c>
      <c r="M79" s="495">
        <v>5630</v>
      </c>
      <c r="N79" s="495">
        <v>5890</v>
      </c>
      <c r="O79" s="495">
        <v>7610</v>
      </c>
      <c r="P79" s="495" t="s">
        <v>531</v>
      </c>
      <c r="Q79" s="495" t="s">
        <v>531</v>
      </c>
      <c r="R79" s="495">
        <v>7720</v>
      </c>
      <c r="S79" s="495" t="s">
        <v>531</v>
      </c>
      <c r="T79" s="495">
        <v>7840</v>
      </c>
      <c r="U79" s="495" t="s">
        <v>531</v>
      </c>
      <c r="V79" s="495" t="s">
        <v>531</v>
      </c>
      <c r="W79" s="495" t="s">
        <v>531</v>
      </c>
      <c r="X79" s="495" t="s">
        <v>531</v>
      </c>
      <c r="Y79" s="495" t="s">
        <v>531</v>
      </c>
      <c r="Z79" s="495" t="s">
        <v>531</v>
      </c>
      <c r="AA79" s="495">
        <v>13740</v>
      </c>
      <c r="AB79" s="495">
        <v>14060</v>
      </c>
      <c r="AC79" s="495">
        <v>14370</v>
      </c>
      <c r="AD79" s="495" t="s">
        <v>531</v>
      </c>
      <c r="AE79" s="495" t="s">
        <v>531</v>
      </c>
      <c r="AF79" s="495" t="s">
        <v>531</v>
      </c>
      <c r="AG79" s="495" t="s">
        <v>531</v>
      </c>
      <c r="AH79" s="495" t="s">
        <v>531</v>
      </c>
      <c r="AI79" s="495" t="s">
        <v>531</v>
      </c>
      <c r="AJ79" s="495" t="s">
        <v>531</v>
      </c>
      <c r="AK79" s="495" t="s">
        <v>531</v>
      </c>
      <c r="AL79" s="495" t="s">
        <v>531</v>
      </c>
      <c r="AM79" s="495" t="s">
        <v>531</v>
      </c>
      <c r="AN79" s="495" t="s">
        <v>531</v>
      </c>
      <c r="AO79" s="495" t="s">
        <v>531</v>
      </c>
      <c r="AP79" s="495" t="s">
        <v>531</v>
      </c>
      <c r="AQ79" s="495" t="s">
        <v>531</v>
      </c>
      <c r="AR79" s="495" t="s">
        <v>531</v>
      </c>
      <c r="AS79" s="495" t="s">
        <v>531</v>
      </c>
      <c r="AT79" s="495" t="s">
        <v>531</v>
      </c>
      <c r="AU79" s="495" t="s">
        <v>531</v>
      </c>
      <c r="AV79" s="495" t="s">
        <v>531</v>
      </c>
      <c r="AW79" s="495" t="s">
        <v>531</v>
      </c>
      <c r="AX79" s="495" t="s">
        <v>531</v>
      </c>
      <c r="AY79" s="495" t="s">
        <v>531</v>
      </c>
      <c r="AZ79" s="495" t="s">
        <v>531</v>
      </c>
      <c r="BA79" s="495" t="s">
        <v>531</v>
      </c>
      <c r="BB79" s="495" t="s">
        <v>531</v>
      </c>
      <c r="BC79" s="495" t="s">
        <v>531</v>
      </c>
      <c r="BD79" s="495" t="s">
        <v>531</v>
      </c>
      <c r="BE79" s="495" t="s">
        <v>531</v>
      </c>
      <c r="BF79" s="495" t="s">
        <v>531</v>
      </c>
      <c r="BG79" s="495" t="s">
        <v>531</v>
      </c>
      <c r="BH79" s="495" t="s">
        <v>531</v>
      </c>
      <c r="BI79" s="495">
        <v>13740</v>
      </c>
      <c r="BJ79" s="495">
        <v>14060</v>
      </c>
      <c r="BK79" s="495">
        <v>14370</v>
      </c>
      <c r="BL79" s="495" t="s">
        <v>531</v>
      </c>
      <c r="BM79" s="495" t="s">
        <v>531</v>
      </c>
      <c r="BN79" s="495" t="s">
        <v>531</v>
      </c>
      <c r="BO79" s="495">
        <v>20720</v>
      </c>
      <c r="BP79" s="495">
        <v>21210</v>
      </c>
      <c r="BQ79" s="495">
        <v>21690</v>
      </c>
      <c r="BR79" s="495" t="s">
        <v>531</v>
      </c>
      <c r="BS79" s="495" t="s">
        <v>531</v>
      </c>
      <c r="BT79" s="495" t="s">
        <v>531</v>
      </c>
      <c r="BU79" s="495"/>
      <c r="BV79" s="495"/>
      <c r="BW79" s="495"/>
      <c r="BX79" s="495"/>
      <c r="BY79" s="495"/>
      <c r="BZ79" s="495"/>
      <c r="CA79" s="495"/>
    </row>
    <row r="80" spans="1:79">
      <c r="A80" s="499">
        <v>3500</v>
      </c>
      <c r="B80" s="495" t="s">
        <v>531</v>
      </c>
      <c r="C80" s="495" t="s">
        <v>531</v>
      </c>
      <c r="D80" s="495" t="s">
        <v>531</v>
      </c>
      <c r="E80" s="495" t="s">
        <v>531</v>
      </c>
      <c r="F80" s="495" t="s">
        <v>531</v>
      </c>
      <c r="G80" s="495" t="s">
        <v>531</v>
      </c>
      <c r="H80" s="495">
        <v>5570</v>
      </c>
      <c r="I80" s="495" t="s">
        <v>531</v>
      </c>
      <c r="J80" s="495" t="s">
        <v>531</v>
      </c>
      <c r="K80" s="495">
        <v>5630</v>
      </c>
      <c r="L80" s="495" t="s">
        <v>531</v>
      </c>
      <c r="M80" s="495">
        <v>5700</v>
      </c>
      <c r="N80" s="495">
        <v>5960</v>
      </c>
      <c r="O80" s="495">
        <v>7710</v>
      </c>
      <c r="P80" s="495" t="s">
        <v>531</v>
      </c>
      <c r="Q80" s="495" t="s">
        <v>531</v>
      </c>
      <c r="R80" s="495">
        <v>7820</v>
      </c>
      <c r="S80" s="495" t="s">
        <v>531</v>
      </c>
      <c r="T80" s="495">
        <v>7940</v>
      </c>
      <c r="U80" s="495" t="s">
        <v>531</v>
      </c>
      <c r="V80" s="495" t="s">
        <v>531</v>
      </c>
      <c r="W80" s="495" t="s">
        <v>531</v>
      </c>
      <c r="X80" s="495" t="s">
        <v>531</v>
      </c>
      <c r="Y80" s="495" t="s">
        <v>531</v>
      </c>
      <c r="Z80" s="495" t="s">
        <v>531</v>
      </c>
      <c r="AA80" s="495">
        <v>13910</v>
      </c>
      <c r="AB80" s="495">
        <v>14240</v>
      </c>
      <c r="AC80" s="495">
        <v>14550</v>
      </c>
      <c r="AD80" s="495" t="s">
        <v>531</v>
      </c>
      <c r="AE80" s="495" t="s">
        <v>531</v>
      </c>
      <c r="AF80" s="495" t="s">
        <v>531</v>
      </c>
      <c r="AG80" s="495" t="s">
        <v>531</v>
      </c>
      <c r="AH80" s="495" t="s">
        <v>531</v>
      </c>
      <c r="AI80" s="495" t="s">
        <v>531</v>
      </c>
      <c r="AJ80" s="495" t="s">
        <v>531</v>
      </c>
      <c r="AK80" s="495" t="s">
        <v>531</v>
      </c>
      <c r="AL80" s="495" t="s">
        <v>531</v>
      </c>
      <c r="AM80" s="495" t="s">
        <v>531</v>
      </c>
      <c r="AN80" s="495" t="s">
        <v>531</v>
      </c>
      <c r="AO80" s="495" t="s">
        <v>531</v>
      </c>
      <c r="AP80" s="495" t="s">
        <v>531</v>
      </c>
      <c r="AQ80" s="495" t="s">
        <v>531</v>
      </c>
      <c r="AR80" s="495" t="s">
        <v>531</v>
      </c>
      <c r="AS80" s="495" t="s">
        <v>531</v>
      </c>
      <c r="AT80" s="495" t="s">
        <v>531</v>
      </c>
      <c r="AU80" s="495" t="s">
        <v>531</v>
      </c>
      <c r="AV80" s="495" t="s">
        <v>531</v>
      </c>
      <c r="AW80" s="495" t="s">
        <v>531</v>
      </c>
      <c r="AX80" s="495" t="s">
        <v>531</v>
      </c>
      <c r="AY80" s="495" t="s">
        <v>531</v>
      </c>
      <c r="AZ80" s="495" t="s">
        <v>531</v>
      </c>
      <c r="BA80" s="495" t="s">
        <v>531</v>
      </c>
      <c r="BB80" s="495" t="s">
        <v>531</v>
      </c>
      <c r="BC80" s="495" t="s">
        <v>531</v>
      </c>
      <c r="BD80" s="495" t="s">
        <v>531</v>
      </c>
      <c r="BE80" s="495" t="s">
        <v>531</v>
      </c>
      <c r="BF80" s="495" t="s">
        <v>531</v>
      </c>
      <c r="BG80" s="495" t="s">
        <v>531</v>
      </c>
      <c r="BH80" s="495" t="s">
        <v>531</v>
      </c>
      <c r="BI80" s="495">
        <v>13910</v>
      </c>
      <c r="BJ80" s="495">
        <v>14240</v>
      </c>
      <c r="BK80" s="495">
        <v>14550</v>
      </c>
      <c r="BL80" s="495" t="s">
        <v>531</v>
      </c>
      <c r="BM80" s="495" t="s">
        <v>531</v>
      </c>
      <c r="BN80" s="495" t="s">
        <v>531</v>
      </c>
      <c r="BO80" s="495">
        <v>20990</v>
      </c>
      <c r="BP80" s="495">
        <v>21470</v>
      </c>
      <c r="BQ80" s="495">
        <v>21950</v>
      </c>
      <c r="BR80" s="495" t="s">
        <v>531</v>
      </c>
      <c r="BS80" s="495" t="s">
        <v>531</v>
      </c>
      <c r="BT80" s="495" t="s">
        <v>531</v>
      </c>
      <c r="BU80" s="495"/>
      <c r="BV80" s="495"/>
      <c r="BW80" s="495"/>
      <c r="BX80" s="495"/>
      <c r="BY80" s="495"/>
      <c r="BZ80" s="495"/>
      <c r="CA80" s="495"/>
    </row>
    <row r="81" spans="1:79">
      <c r="A81" s="499">
        <v>3550</v>
      </c>
      <c r="B81" s="495" t="s">
        <v>531</v>
      </c>
      <c r="C81" s="495" t="s">
        <v>531</v>
      </c>
      <c r="D81" s="495" t="s">
        <v>531</v>
      </c>
      <c r="E81" s="495" t="s">
        <v>531</v>
      </c>
      <c r="F81" s="495" t="s">
        <v>531</v>
      </c>
      <c r="G81" s="495" t="s">
        <v>531</v>
      </c>
      <c r="H81" s="495">
        <v>5640</v>
      </c>
      <c r="I81" s="495" t="s">
        <v>531</v>
      </c>
      <c r="J81" s="495" t="s">
        <v>531</v>
      </c>
      <c r="K81" s="495">
        <v>5700</v>
      </c>
      <c r="L81" s="495" t="s">
        <v>531</v>
      </c>
      <c r="M81" s="495" t="s">
        <v>531</v>
      </c>
      <c r="N81" s="495" t="s">
        <v>531</v>
      </c>
      <c r="O81" s="495">
        <v>7800</v>
      </c>
      <c r="P81" s="495" t="s">
        <v>531</v>
      </c>
      <c r="Q81" s="495" t="s">
        <v>531</v>
      </c>
      <c r="R81" s="495">
        <v>7920</v>
      </c>
      <c r="S81" s="495" t="s">
        <v>531</v>
      </c>
      <c r="T81" s="495">
        <v>8040</v>
      </c>
      <c r="U81" s="495" t="s">
        <v>531</v>
      </c>
      <c r="V81" s="495" t="s">
        <v>531</v>
      </c>
      <c r="W81" s="495" t="s">
        <v>531</v>
      </c>
      <c r="X81" s="495" t="s">
        <v>531</v>
      </c>
      <c r="Y81" s="495" t="s">
        <v>531</v>
      </c>
      <c r="Z81" s="495" t="s">
        <v>531</v>
      </c>
      <c r="AA81" s="495">
        <v>14090</v>
      </c>
      <c r="AB81" s="495">
        <v>14410</v>
      </c>
      <c r="AC81" s="495">
        <v>14730</v>
      </c>
      <c r="AD81" s="495" t="s">
        <v>531</v>
      </c>
      <c r="AE81" s="495" t="s">
        <v>531</v>
      </c>
      <c r="AF81" s="495" t="s">
        <v>531</v>
      </c>
      <c r="AG81" s="495" t="s">
        <v>531</v>
      </c>
      <c r="AH81" s="495" t="s">
        <v>531</v>
      </c>
      <c r="AI81" s="495" t="s">
        <v>531</v>
      </c>
      <c r="AJ81" s="495" t="s">
        <v>531</v>
      </c>
      <c r="AK81" s="495" t="s">
        <v>531</v>
      </c>
      <c r="AL81" s="495" t="s">
        <v>531</v>
      </c>
      <c r="AM81" s="495" t="s">
        <v>531</v>
      </c>
      <c r="AN81" s="495" t="s">
        <v>531</v>
      </c>
      <c r="AO81" s="495" t="s">
        <v>531</v>
      </c>
      <c r="AP81" s="495" t="s">
        <v>531</v>
      </c>
      <c r="AQ81" s="495" t="s">
        <v>531</v>
      </c>
      <c r="AR81" s="495" t="s">
        <v>531</v>
      </c>
      <c r="AS81" s="495" t="s">
        <v>531</v>
      </c>
      <c r="AT81" s="495" t="s">
        <v>531</v>
      </c>
      <c r="AU81" s="495" t="s">
        <v>531</v>
      </c>
      <c r="AV81" s="495" t="s">
        <v>531</v>
      </c>
      <c r="AW81" s="495" t="s">
        <v>531</v>
      </c>
      <c r="AX81" s="495" t="s">
        <v>531</v>
      </c>
      <c r="AY81" s="495" t="s">
        <v>531</v>
      </c>
      <c r="AZ81" s="495" t="s">
        <v>531</v>
      </c>
      <c r="BA81" s="495" t="s">
        <v>531</v>
      </c>
      <c r="BB81" s="495" t="s">
        <v>531</v>
      </c>
      <c r="BC81" s="495" t="s">
        <v>531</v>
      </c>
      <c r="BD81" s="495" t="s">
        <v>531</v>
      </c>
      <c r="BE81" s="495" t="s">
        <v>531</v>
      </c>
      <c r="BF81" s="495" t="s">
        <v>531</v>
      </c>
      <c r="BG81" s="495" t="s">
        <v>531</v>
      </c>
      <c r="BH81" s="495" t="s">
        <v>531</v>
      </c>
      <c r="BI81" s="495">
        <v>14090</v>
      </c>
      <c r="BJ81" s="495">
        <v>14410</v>
      </c>
      <c r="BK81" s="495">
        <v>14730</v>
      </c>
      <c r="BL81" s="495" t="s">
        <v>531</v>
      </c>
      <c r="BM81" s="495" t="s">
        <v>531</v>
      </c>
      <c r="BN81" s="495" t="s">
        <v>531</v>
      </c>
      <c r="BO81" s="495">
        <v>21260</v>
      </c>
      <c r="BP81" s="495">
        <v>21740</v>
      </c>
      <c r="BQ81" s="495">
        <v>22220</v>
      </c>
      <c r="BR81" s="495" t="s">
        <v>531</v>
      </c>
      <c r="BS81" s="495" t="s">
        <v>531</v>
      </c>
      <c r="BT81" s="495" t="s">
        <v>531</v>
      </c>
      <c r="BU81" s="495"/>
      <c r="BV81" s="495"/>
      <c r="BW81" s="495"/>
      <c r="BX81" s="495"/>
      <c r="BY81" s="495"/>
      <c r="BZ81" s="495"/>
      <c r="CA81" s="495"/>
    </row>
    <row r="82" spans="1:79">
      <c r="A82" s="499">
        <v>3600</v>
      </c>
      <c r="B82" s="495" t="s">
        <v>531</v>
      </c>
      <c r="C82" s="495" t="s">
        <v>531</v>
      </c>
      <c r="D82" s="495" t="s">
        <v>531</v>
      </c>
      <c r="E82" s="495" t="s">
        <v>531</v>
      </c>
      <c r="F82" s="495" t="s">
        <v>531</v>
      </c>
      <c r="G82" s="495" t="s">
        <v>531</v>
      </c>
      <c r="H82" s="495">
        <v>5710</v>
      </c>
      <c r="I82" s="495" t="s">
        <v>531</v>
      </c>
      <c r="J82" s="495" t="s">
        <v>531</v>
      </c>
      <c r="K82" s="495">
        <v>5770</v>
      </c>
      <c r="L82" s="495" t="s">
        <v>531</v>
      </c>
      <c r="M82" s="495" t="s">
        <v>531</v>
      </c>
      <c r="N82" s="495" t="s">
        <v>531</v>
      </c>
      <c r="O82" s="495">
        <v>7900</v>
      </c>
      <c r="P82" s="495" t="s">
        <v>531</v>
      </c>
      <c r="Q82" s="495" t="s">
        <v>531</v>
      </c>
      <c r="R82" s="495">
        <v>8020</v>
      </c>
      <c r="S82" s="495" t="s">
        <v>531</v>
      </c>
      <c r="T82" s="495" t="s">
        <v>531</v>
      </c>
      <c r="U82" s="495" t="s">
        <v>531</v>
      </c>
      <c r="V82" s="495" t="s">
        <v>531</v>
      </c>
      <c r="W82" s="495" t="s">
        <v>531</v>
      </c>
      <c r="X82" s="495" t="s">
        <v>531</v>
      </c>
      <c r="Y82" s="495" t="s">
        <v>531</v>
      </c>
      <c r="Z82" s="495" t="s">
        <v>531</v>
      </c>
      <c r="AA82" s="495">
        <v>14270</v>
      </c>
      <c r="AB82" s="495">
        <v>14590</v>
      </c>
      <c r="AC82" s="495">
        <v>14910</v>
      </c>
      <c r="AD82" s="495" t="s">
        <v>531</v>
      </c>
      <c r="AE82" s="495" t="s">
        <v>531</v>
      </c>
      <c r="AF82" s="495" t="s">
        <v>531</v>
      </c>
      <c r="AG82" s="495" t="s">
        <v>531</v>
      </c>
      <c r="AH82" s="495" t="s">
        <v>531</v>
      </c>
      <c r="AI82" s="495" t="s">
        <v>531</v>
      </c>
      <c r="AJ82" s="495" t="s">
        <v>531</v>
      </c>
      <c r="AK82" s="495" t="s">
        <v>531</v>
      </c>
      <c r="AL82" s="495" t="s">
        <v>531</v>
      </c>
      <c r="AM82" s="495" t="s">
        <v>531</v>
      </c>
      <c r="AN82" s="495" t="s">
        <v>531</v>
      </c>
      <c r="AO82" s="495" t="s">
        <v>531</v>
      </c>
      <c r="AP82" s="495" t="s">
        <v>531</v>
      </c>
      <c r="AQ82" s="495" t="s">
        <v>531</v>
      </c>
      <c r="AR82" s="495" t="s">
        <v>531</v>
      </c>
      <c r="AS82" s="495" t="s">
        <v>531</v>
      </c>
      <c r="AT82" s="495" t="s">
        <v>531</v>
      </c>
      <c r="AU82" s="495" t="s">
        <v>531</v>
      </c>
      <c r="AV82" s="495" t="s">
        <v>531</v>
      </c>
      <c r="AW82" s="495" t="s">
        <v>531</v>
      </c>
      <c r="AX82" s="495" t="s">
        <v>531</v>
      </c>
      <c r="AY82" s="495" t="s">
        <v>531</v>
      </c>
      <c r="AZ82" s="495" t="s">
        <v>531</v>
      </c>
      <c r="BA82" s="495" t="s">
        <v>531</v>
      </c>
      <c r="BB82" s="495" t="s">
        <v>531</v>
      </c>
      <c r="BC82" s="495" t="s">
        <v>531</v>
      </c>
      <c r="BD82" s="495" t="s">
        <v>531</v>
      </c>
      <c r="BE82" s="495" t="s">
        <v>531</v>
      </c>
      <c r="BF82" s="495" t="s">
        <v>531</v>
      </c>
      <c r="BG82" s="495" t="s">
        <v>531</v>
      </c>
      <c r="BH82" s="495" t="s">
        <v>531</v>
      </c>
      <c r="BI82" s="495">
        <v>14270</v>
      </c>
      <c r="BJ82" s="495">
        <v>14590</v>
      </c>
      <c r="BK82" s="495">
        <v>14910</v>
      </c>
      <c r="BL82" s="495" t="s">
        <v>531</v>
      </c>
      <c r="BM82" s="495" t="s">
        <v>531</v>
      </c>
      <c r="BN82" s="495" t="s">
        <v>531</v>
      </c>
      <c r="BO82" s="495">
        <v>21520</v>
      </c>
      <c r="BP82" s="495">
        <v>22000</v>
      </c>
      <c r="BQ82" s="495">
        <v>22490</v>
      </c>
      <c r="BR82" s="495" t="s">
        <v>531</v>
      </c>
      <c r="BS82" s="495" t="s">
        <v>531</v>
      </c>
      <c r="BT82" s="495" t="s">
        <v>531</v>
      </c>
      <c r="BU82" s="495"/>
      <c r="BV82" s="495"/>
      <c r="BW82" s="495"/>
      <c r="BX82" s="495"/>
      <c r="BY82" s="495"/>
      <c r="BZ82" s="495"/>
      <c r="CA82" s="495"/>
    </row>
    <row r="83" spans="1:79">
      <c r="A83" s="499">
        <v>3650</v>
      </c>
      <c r="B83" s="495" t="s">
        <v>531</v>
      </c>
      <c r="C83" s="495" t="s">
        <v>531</v>
      </c>
      <c r="D83" s="495" t="s">
        <v>531</v>
      </c>
      <c r="E83" s="495" t="s">
        <v>531</v>
      </c>
      <c r="F83" s="495" t="s">
        <v>531</v>
      </c>
      <c r="G83" s="495" t="s">
        <v>531</v>
      </c>
      <c r="H83" s="495">
        <v>5790</v>
      </c>
      <c r="I83" s="495" t="s">
        <v>531</v>
      </c>
      <c r="J83" s="495" t="s">
        <v>531</v>
      </c>
      <c r="K83" s="495" t="s">
        <v>531</v>
      </c>
      <c r="L83" s="495" t="s">
        <v>531</v>
      </c>
      <c r="M83" s="495" t="s">
        <v>531</v>
      </c>
      <c r="N83" s="495" t="s">
        <v>531</v>
      </c>
      <c r="O83" s="495">
        <v>8000</v>
      </c>
      <c r="P83" s="495" t="s">
        <v>531</v>
      </c>
      <c r="Q83" s="495" t="s">
        <v>531</v>
      </c>
      <c r="R83" s="495" t="s">
        <v>531</v>
      </c>
      <c r="S83" s="495" t="s">
        <v>531</v>
      </c>
      <c r="T83" s="495" t="s">
        <v>531</v>
      </c>
      <c r="U83" s="495" t="s">
        <v>531</v>
      </c>
      <c r="V83" s="495" t="s">
        <v>531</v>
      </c>
      <c r="W83" s="495" t="s">
        <v>531</v>
      </c>
      <c r="X83" s="495" t="s">
        <v>531</v>
      </c>
      <c r="Y83" s="495" t="s">
        <v>531</v>
      </c>
      <c r="Z83" s="495" t="s">
        <v>531</v>
      </c>
      <c r="AA83" s="495">
        <v>14450</v>
      </c>
      <c r="AB83" s="495">
        <v>14770</v>
      </c>
      <c r="AC83" s="495">
        <v>15080</v>
      </c>
      <c r="AD83" s="495" t="s">
        <v>531</v>
      </c>
      <c r="AE83" s="495" t="s">
        <v>531</v>
      </c>
      <c r="AF83" s="495" t="s">
        <v>531</v>
      </c>
      <c r="AG83" s="495" t="s">
        <v>531</v>
      </c>
      <c r="AH83" s="495" t="s">
        <v>531</v>
      </c>
      <c r="AI83" s="495" t="s">
        <v>531</v>
      </c>
      <c r="AJ83" s="495" t="s">
        <v>531</v>
      </c>
      <c r="AK83" s="495" t="s">
        <v>531</v>
      </c>
      <c r="AL83" s="495" t="s">
        <v>531</v>
      </c>
      <c r="AM83" s="495" t="s">
        <v>531</v>
      </c>
      <c r="AN83" s="495" t="s">
        <v>531</v>
      </c>
      <c r="AO83" s="495" t="s">
        <v>531</v>
      </c>
      <c r="AP83" s="495" t="s">
        <v>531</v>
      </c>
      <c r="AQ83" s="495" t="s">
        <v>531</v>
      </c>
      <c r="AR83" s="495" t="s">
        <v>531</v>
      </c>
      <c r="AS83" s="495" t="s">
        <v>531</v>
      </c>
      <c r="AT83" s="495" t="s">
        <v>531</v>
      </c>
      <c r="AU83" s="495" t="s">
        <v>531</v>
      </c>
      <c r="AV83" s="495" t="s">
        <v>531</v>
      </c>
      <c r="AW83" s="495" t="s">
        <v>531</v>
      </c>
      <c r="AX83" s="495" t="s">
        <v>531</v>
      </c>
      <c r="AY83" s="495" t="s">
        <v>531</v>
      </c>
      <c r="AZ83" s="495" t="s">
        <v>531</v>
      </c>
      <c r="BA83" s="495" t="s">
        <v>531</v>
      </c>
      <c r="BB83" s="495" t="s">
        <v>531</v>
      </c>
      <c r="BC83" s="495" t="s">
        <v>531</v>
      </c>
      <c r="BD83" s="495" t="s">
        <v>531</v>
      </c>
      <c r="BE83" s="495" t="s">
        <v>531</v>
      </c>
      <c r="BF83" s="495" t="s">
        <v>531</v>
      </c>
      <c r="BG83" s="495" t="s">
        <v>531</v>
      </c>
      <c r="BH83" s="495" t="s">
        <v>531</v>
      </c>
      <c r="BI83" s="495" t="s">
        <v>531</v>
      </c>
      <c r="BJ83" s="495" t="s">
        <v>531</v>
      </c>
      <c r="BK83" s="495" t="s">
        <v>531</v>
      </c>
      <c r="BL83" s="495" t="s">
        <v>531</v>
      </c>
      <c r="BM83" s="495" t="s">
        <v>531</v>
      </c>
      <c r="BN83" s="495" t="s">
        <v>531</v>
      </c>
      <c r="BO83" s="495">
        <v>21790</v>
      </c>
      <c r="BP83" s="495">
        <v>22270</v>
      </c>
      <c r="BQ83" s="495">
        <v>22750</v>
      </c>
      <c r="BR83" s="495" t="s">
        <v>531</v>
      </c>
      <c r="BS83" s="495" t="s">
        <v>531</v>
      </c>
      <c r="BT83" s="495" t="s">
        <v>531</v>
      </c>
      <c r="BU83" s="495"/>
      <c r="BV83" s="495"/>
      <c r="BW83" s="495"/>
      <c r="BX83" s="495"/>
      <c r="BY83" s="495"/>
      <c r="BZ83" s="495"/>
      <c r="CA83" s="495"/>
    </row>
    <row r="84" spans="1:79">
      <c r="A84" s="499">
        <v>3700</v>
      </c>
      <c r="B84" s="495" t="s">
        <v>531</v>
      </c>
      <c r="C84" s="495" t="s">
        <v>531</v>
      </c>
      <c r="D84" s="495" t="s">
        <v>531</v>
      </c>
      <c r="E84" s="495" t="s">
        <v>531</v>
      </c>
      <c r="F84" s="495" t="s">
        <v>531</v>
      </c>
      <c r="G84" s="495" t="s">
        <v>531</v>
      </c>
      <c r="H84" s="495">
        <v>5860</v>
      </c>
      <c r="I84" s="495" t="s">
        <v>531</v>
      </c>
      <c r="J84" s="495" t="s">
        <v>531</v>
      </c>
      <c r="K84" s="495" t="s">
        <v>531</v>
      </c>
      <c r="L84" s="495" t="s">
        <v>531</v>
      </c>
      <c r="M84" s="495" t="s">
        <v>531</v>
      </c>
      <c r="N84" s="495" t="s">
        <v>531</v>
      </c>
      <c r="O84" s="495" t="s">
        <v>531</v>
      </c>
      <c r="P84" s="495" t="s">
        <v>531</v>
      </c>
      <c r="Q84" s="495" t="s">
        <v>531</v>
      </c>
      <c r="R84" s="495" t="s">
        <v>531</v>
      </c>
      <c r="S84" s="495" t="s">
        <v>531</v>
      </c>
      <c r="T84" s="495" t="s">
        <v>531</v>
      </c>
      <c r="U84" s="495" t="s">
        <v>531</v>
      </c>
      <c r="V84" s="495" t="s">
        <v>531</v>
      </c>
      <c r="W84" s="495" t="s">
        <v>531</v>
      </c>
      <c r="X84" s="495" t="s">
        <v>531</v>
      </c>
      <c r="Y84" s="495" t="s">
        <v>531</v>
      </c>
      <c r="Z84" s="495" t="s">
        <v>531</v>
      </c>
      <c r="AA84" s="495">
        <v>14620</v>
      </c>
      <c r="AB84" s="495">
        <v>14950</v>
      </c>
      <c r="AC84" s="495">
        <v>15260</v>
      </c>
      <c r="AD84" s="495" t="s">
        <v>531</v>
      </c>
      <c r="AE84" s="495" t="s">
        <v>531</v>
      </c>
      <c r="AF84" s="495" t="s">
        <v>531</v>
      </c>
      <c r="AG84" s="495" t="s">
        <v>531</v>
      </c>
      <c r="AH84" s="495" t="s">
        <v>531</v>
      </c>
      <c r="AI84" s="495" t="s">
        <v>531</v>
      </c>
      <c r="AJ84" s="495" t="s">
        <v>531</v>
      </c>
      <c r="AK84" s="495" t="s">
        <v>531</v>
      </c>
      <c r="AL84" s="495" t="s">
        <v>531</v>
      </c>
      <c r="AM84" s="495" t="s">
        <v>531</v>
      </c>
      <c r="AN84" s="495" t="s">
        <v>531</v>
      </c>
      <c r="AO84" s="495" t="s">
        <v>531</v>
      </c>
      <c r="AP84" s="495" t="s">
        <v>531</v>
      </c>
      <c r="AQ84" s="495" t="s">
        <v>531</v>
      </c>
      <c r="AR84" s="495" t="s">
        <v>531</v>
      </c>
      <c r="AS84" s="495" t="s">
        <v>531</v>
      </c>
      <c r="AT84" s="495" t="s">
        <v>531</v>
      </c>
      <c r="AU84" s="495" t="s">
        <v>531</v>
      </c>
      <c r="AV84" s="495" t="s">
        <v>531</v>
      </c>
      <c r="AW84" s="495" t="s">
        <v>531</v>
      </c>
      <c r="AX84" s="495" t="s">
        <v>531</v>
      </c>
      <c r="AY84" s="495" t="s">
        <v>531</v>
      </c>
      <c r="AZ84" s="495" t="s">
        <v>531</v>
      </c>
      <c r="BA84" s="495" t="s">
        <v>531</v>
      </c>
      <c r="BB84" s="495" t="s">
        <v>531</v>
      </c>
      <c r="BC84" s="495" t="s">
        <v>531</v>
      </c>
      <c r="BD84" s="495" t="s">
        <v>531</v>
      </c>
      <c r="BE84" s="495" t="s">
        <v>531</v>
      </c>
      <c r="BF84" s="495" t="s">
        <v>531</v>
      </c>
      <c r="BG84" s="495" t="s">
        <v>531</v>
      </c>
      <c r="BH84" s="495" t="s">
        <v>531</v>
      </c>
      <c r="BI84" s="495" t="s">
        <v>531</v>
      </c>
      <c r="BJ84" s="495" t="s">
        <v>531</v>
      </c>
      <c r="BK84" s="495" t="s">
        <v>531</v>
      </c>
      <c r="BL84" s="495" t="s">
        <v>531</v>
      </c>
      <c r="BM84" s="495" t="s">
        <v>531</v>
      </c>
      <c r="BN84" s="495" t="s">
        <v>531</v>
      </c>
      <c r="BO84" s="495">
        <v>22060</v>
      </c>
      <c r="BP84" s="495">
        <v>22540</v>
      </c>
      <c r="BQ84" s="495">
        <v>23020</v>
      </c>
      <c r="BR84" s="495" t="s">
        <v>531</v>
      </c>
      <c r="BS84" s="495" t="s">
        <v>531</v>
      </c>
      <c r="BT84" s="495" t="s">
        <v>531</v>
      </c>
      <c r="BU84" s="495"/>
      <c r="BV84" s="495"/>
      <c r="BW84" s="495"/>
      <c r="BX84" s="495"/>
      <c r="BY84" s="495"/>
      <c r="BZ84" s="495"/>
      <c r="CA84" s="495"/>
    </row>
    <row r="85" spans="1:79">
      <c r="A85" s="499">
        <v>3750</v>
      </c>
      <c r="B85" s="495" t="s">
        <v>531</v>
      </c>
      <c r="C85" s="495" t="s">
        <v>531</v>
      </c>
      <c r="D85" s="495" t="s">
        <v>531</v>
      </c>
      <c r="E85" s="495" t="s">
        <v>531</v>
      </c>
      <c r="F85" s="495" t="s">
        <v>531</v>
      </c>
      <c r="G85" s="495" t="s">
        <v>531</v>
      </c>
      <c r="H85" s="495" t="s">
        <v>531</v>
      </c>
      <c r="I85" s="495" t="s">
        <v>531</v>
      </c>
      <c r="J85" s="495" t="s">
        <v>531</v>
      </c>
      <c r="K85" s="495" t="s">
        <v>531</v>
      </c>
      <c r="L85" s="495" t="s">
        <v>531</v>
      </c>
      <c r="M85" s="495" t="s">
        <v>531</v>
      </c>
      <c r="N85" s="495" t="s">
        <v>531</v>
      </c>
      <c r="O85" s="495" t="s">
        <v>531</v>
      </c>
      <c r="P85" s="495" t="s">
        <v>531</v>
      </c>
      <c r="Q85" s="495" t="s">
        <v>531</v>
      </c>
      <c r="R85" s="495" t="s">
        <v>531</v>
      </c>
      <c r="S85" s="495" t="s">
        <v>531</v>
      </c>
      <c r="T85" s="495" t="s">
        <v>531</v>
      </c>
      <c r="U85" s="495" t="s">
        <v>531</v>
      </c>
      <c r="V85" s="495" t="s">
        <v>531</v>
      </c>
      <c r="W85" s="495" t="s">
        <v>531</v>
      </c>
      <c r="X85" s="495" t="s">
        <v>531</v>
      </c>
      <c r="Y85" s="495" t="s">
        <v>531</v>
      </c>
      <c r="Z85" s="495" t="s">
        <v>531</v>
      </c>
      <c r="AA85" s="495">
        <v>14800</v>
      </c>
      <c r="AB85" s="495">
        <v>15120</v>
      </c>
      <c r="AC85" s="495">
        <v>15440</v>
      </c>
      <c r="AD85" s="495" t="s">
        <v>531</v>
      </c>
      <c r="AE85" s="495" t="s">
        <v>531</v>
      </c>
      <c r="AF85" s="495" t="s">
        <v>531</v>
      </c>
      <c r="AG85" s="495" t="s">
        <v>531</v>
      </c>
      <c r="AH85" s="495" t="s">
        <v>531</v>
      </c>
      <c r="AI85" s="495" t="s">
        <v>531</v>
      </c>
      <c r="AJ85" s="495" t="s">
        <v>531</v>
      </c>
      <c r="AK85" s="495" t="s">
        <v>531</v>
      </c>
      <c r="AL85" s="495" t="s">
        <v>531</v>
      </c>
      <c r="AM85" s="495" t="s">
        <v>531</v>
      </c>
      <c r="AN85" s="495" t="s">
        <v>531</v>
      </c>
      <c r="AO85" s="495" t="s">
        <v>531</v>
      </c>
      <c r="AP85" s="495" t="s">
        <v>531</v>
      </c>
      <c r="AQ85" s="495" t="s">
        <v>531</v>
      </c>
      <c r="AR85" s="495" t="s">
        <v>531</v>
      </c>
      <c r="AS85" s="495" t="s">
        <v>531</v>
      </c>
      <c r="AT85" s="495" t="s">
        <v>531</v>
      </c>
      <c r="AU85" s="495" t="s">
        <v>531</v>
      </c>
      <c r="AV85" s="495" t="s">
        <v>531</v>
      </c>
      <c r="AW85" s="495" t="s">
        <v>531</v>
      </c>
      <c r="AX85" s="495" t="s">
        <v>531</v>
      </c>
      <c r="AY85" s="495" t="s">
        <v>531</v>
      </c>
      <c r="AZ85" s="495" t="s">
        <v>531</v>
      </c>
      <c r="BA85" s="495" t="s">
        <v>531</v>
      </c>
      <c r="BB85" s="495" t="s">
        <v>531</v>
      </c>
      <c r="BC85" s="495" t="s">
        <v>531</v>
      </c>
      <c r="BD85" s="495" t="s">
        <v>531</v>
      </c>
      <c r="BE85" s="495" t="s">
        <v>531</v>
      </c>
      <c r="BF85" s="495" t="s">
        <v>531</v>
      </c>
      <c r="BG85" s="495" t="s">
        <v>531</v>
      </c>
      <c r="BH85" s="495" t="s">
        <v>531</v>
      </c>
      <c r="BI85" s="495" t="s">
        <v>531</v>
      </c>
      <c r="BJ85" s="495" t="s">
        <v>531</v>
      </c>
      <c r="BK85" s="495" t="s">
        <v>531</v>
      </c>
      <c r="BL85" s="495" t="s">
        <v>531</v>
      </c>
      <c r="BM85" s="495" t="s">
        <v>531</v>
      </c>
      <c r="BN85" s="495" t="s">
        <v>531</v>
      </c>
      <c r="BO85" s="495">
        <v>22320</v>
      </c>
      <c r="BP85" s="495">
        <v>22800</v>
      </c>
      <c r="BQ85" s="495">
        <v>23280</v>
      </c>
      <c r="BR85" s="495" t="s">
        <v>531</v>
      </c>
      <c r="BS85" s="495" t="s">
        <v>531</v>
      </c>
      <c r="BT85" s="495" t="s">
        <v>531</v>
      </c>
      <c r="BU85" s="495"/>
      <c r="BV85" s="495"/>
      <c r="BW85" s="495"/>
      <c r="BX85" s="495"/>
      <c r="BY85" s="495"/>
      <c r="BZ85" s="495"/>
      <c r="CA85" s="495"/>
    </row>
    <row r="86" spans="1:79">
      <c r="A86" s="499">
        <v>3800</v>
      </c>
      <c r="B86" s="495" t="s">
        <v>531</v>
      </c>
      <c r="C86" s="495" t="s">
        <v>531</v>
      </c>
      <c r="D86" s="495" t="s">
        <v>531</v>
      </c>
      <c r="E86" s="495" t="s">
        <v>531</v>
      </c>
      <c r="F86" s="495" t="s">
        <v>531</v>
      </c>
      <c r="G86" s="495" t="s">
        <v>531</v>
      </c>
      <c r="H86" s="495" t="s">
        <v>531</v>
      </c>
      <c r="I86" s="495" t="s">
        <v>531</v>
      </c>
      <c r="J86" s="495" t="s">
        <v>531</v>
      </c>
      <c r="K86" s="495" t="s">
        <v>531</v>
      </c>
      <c r="L86" s="495" t="s">
        <v>531</v>
      </c>
      <c r="M86" s="495" t="s">
        <v>531</v>
      </c>
      <c r="N86" s="495" t="s">
        <v>531</v>
      </c>
      <c r="O86" s="495" t="s">
        <v>531</v>
      </c>
      <c r="P86" s="495" t="s">
        <v>531</v>
      </c>
      <c r="Q86" s="495" t="s">
        <v>531</v>
      </c>
      <c r="R86" s="495" t="s">
        <v>531</v>
      </c>
      <c r="S86" s="495" t="s">
        <v>531</v>
      </c>
      <c r="T86" s="495" t="s">
        <v>531</v>
      </c>
      <c r="U86" s="495" t="s">
        <v>531</v>
      </c>
      <c r="V86" s="495" t="s">
        <v>531</v>
      </c>
      <c r="W86" s="495" t="s">
        <v>531</v>
      </c>
      <c r="X86" s="495" t="s">
        <v>531</v>
      </c>
      <c r="Y86" s="495" t="s">
        <v>531</v>
      </c>
      <c r="Z86" s="495" t="s">
        <v>531</v>
      </c>
      <c r="AA86" s="495">
        <v>14980</v>
      </c>
      <c r="AB86" s="495">
        <v>15300</v>
      </c>
      <c r="AC86" s="495">
        <v>15620</v>
      </c>
      <c r="AD86" s="495" t="s">
        <v>531</v>
      </c>
      <c r="AE86" s="495" t="s">
        <v>531</v>
      </c>
      <c r="AF86" s="495" t="s">
        <v>531</v>
      </c>
      <c r="AG86" s="495" t="s">
        <v>531</v>
      </c>
      <c r="AH86" s="495" t="s">
        <v>531</v>
      </c>
      <c r="AI86" s="495" t="s">
        <v>531</v>
      </c>
      <c r="AJ86" s="495" t="s">
        <v>531</v>
      </c>
      <c r="AK86" s="495" t="s">
        <v>531</v>
      </c>
      <c r="AL86" s="495" t="s">
        <v>531</v>
      </c>
      <c r="AM86" s="495" t="s">
        <v>531</v>
      </c>
      <c r="AN86" s="495" t="s">
        <v>531</v>
      </c>
      <c r="AO86" s="495" t="s">
        <v>531</v>
      </c>
      <c r="AP86" s="495" t="s">
        <v>531</v>
      </c>
      <c r="AQ86" s="495" t="s">
        <v>531</v>
      </c>
      <c r="AR86" s="495" t="s">
        <v>531</v>
      </c>
      <c r="AS86" s="495" t="s">
        <v>531</v>
      </c>
      <c r="AT86" s="495" t="s">
        <v>531</v>
      </c>
      <c r="AU86" s="495" t="s">
        <v>531</v>
      </c>
      <c r="AV86" s="495" t="s">
        <v>531</v>
      </c>
      <c r="AW86" s="495" t="s">
        <v>531</v>
      </c>
      <c r="AX86" s="495" t="s">
        <v>531</v>
      </c>
      <c r="AY86" s="495" t="s">
        <v>531</v>
      </c>
      <c r="AZ86" s="495" t="s">
        <v>531</v>
      </c>
      <c r="BA86" s="495" t="s">
        <v>531</v>
      </c>
      <c r="BB86" s="495" t="s">
        <v>531</v>
      </c>
      <c r="BC86" s="495" t="s">
        <v>531</v>
      </c>
      <c r="BD86" s="495" t="s">
        <v>531</v>
      </c>
      <c r="BE86" s="495" t="s">
        <v>531</v>
      </c>
      <c r="BF86" s="495" t="s">
        <v>531</v>
      </c>
      <c r="BG86" s="495" t="s">
        <v>531</v>
      </c>
      <c r="BH86" s="495" t="s">
        <v>531</v>
      </c>
      <c r="BI86" s="495" t="s">
        <v>531</v>
      </c>
      <c r="BJ86" s="495" t="s">
        <v>531</v>
      </c>
      <c r="BK86" s="495" t="s">
        <v>531</v>
      </c>
      <c r="BL86" s="495" t="s">
        <v>531</v>
      </c>
      <c r="BM86" s="495" t="s">
        <v>531</v>
      </c>
      <c r="BN86" s="495" t="s">
        <v>531</v>
      </c>
      <c r="BO86" s="495">
        <v>22590</v>
      </c>
      <c r="BP86" s="495">
        <v>23070</v>
      </c>
      <c r="BQ86" s="495">
        <v>23550</v>
      </c>
      <c r="BR86" s="495" t="s">
        <v>531</v>
      </c>
      <c r="BS86" s="495" t="s">
        <v>531</v>
      </c>
      <c r="BT86" s="495" t="s">
        <v>531</v>
      </c>
      <c r="BU86" s="495"/>
      <c r="BV86" s="495"/>
      <c r="BW86" s="495"/>
      <c r="BX86" s="495"/>
      <c r="BY86" s="495"/>
      <c r="BZ86" s="495"/>
      <c r="CA86" s="495"/>
    </row>
    <row r="87" spans="1:79">
      <c r="A87" s="499">
        <v>3850</v>
      </c>
      <c r="B87" s="495" t="s">
        <v>531</v>
      </c>
      <c r="C87" s="495" t="s">
        <v>531</v>
      </c>
      <c r="D87" s="495" t="s">
        <v>531</v>
      </c>
      <c r="E87" s="495" t="s">
        <v>531</v>
      </c>
      <c r="F87" s="495" t="s">
        <v>531</v>
      </c>
      <c r="G87" s="495" t="s">
        <v>531</v>
      </c>
      <c r="H87" s="495" t="s">
        <v>531</v>
      </c>
      <c r="I87" s="495" t="s">
        <v>531</v>
      </c>
      <c r="J87" s="495" t="s">
        <v>531</v>
      </c>
      <c r="K87" s="495" t="s">
        <v>531</v>
      </c>
      <c r="L87" s="495" t="s">
        <v>531</v>
      </c>
      <c r="M87" s="495" t="s">
        <v>531</v>
      </c>
      <c r="N87" s="495" t="s">
        <v>531</v>
      </c>
      <c r="O87" s="495" t="s">
        <v>531</v>
      </c>
      <c r="P87" s="495" t="s">
        <v>531</v>
      </c>
      <c r="Q87" s="495" t="s">
        <v>531</v>
      </c>
      <c r="R87" s="495" t="s">
        <v>531</v>
      </c>
      <c r="S87" s="495" t="s">
        <v>531</v>
      </c>
      <c r="T87" s="495" t="s">
        <v>531</v>
      </c>
      <c r="U87" s="495" t="s">
        <v>531</v>
      </c>
      <c r="V87" s="495" t="s">
        <v>531</v>
      </c>
      <c r="W87" s="495" t="s">
        <v>531</v>
      </c>
      <c r="X87" s="495" t="s">
        <v>531</v>
      </c>
      <c r="Y87" s="495" t="s">
        <v>531</v>
      </c>
      <c r="Z87" s="495" t="s">
        <v>531</v>
      </c>
      <c r="AA87" s="495">
        <v>15160</v>
      </c>
      <c r="AB87" s="495">
        <v>15480</v>
      </c>
      <c r="AC87" s="495">
        <v>15790</v>
      </c>
      <c r="AD87" s="495" t="s">
        <v>531</v>
      </c>
      <c r="AE87" s="495" t="s">
        <v>531</v>
      </c>
      <c r="AF87" s="495" t="s">
        <v>531</v>
      </c>
      <c r="AG87" s="495" t="s">
        <v>531</v>
      </c>
      <c r="AH87" s="495" t="s">
        <v>531</v>
      </c>
      <c r="AI87" s="495" t="s">
        <v>531</v>
      </c>
      <c r="AJ87" s="495" t="s">
        <v>531</v>
      </c>
      <c r="AK87" s="495" t="s">
        <v>531</v>
      </c>
      <c r="AL87" s="495" t="s">
        <v>531</v>
      </c>
      <c r="AM87" s="495" t="s">
        <v>531</v>
      </c>
      <c r="AN87" s="495" t="s">
        <v>531</v>
      </c>
      <c r="AO87" s="495" t="s">
        <v>531</v>
      </c>
      <c r="AP87" s="495" t="s">
        <v>531</v>
      </c>
      <c r="AQ87" s="495" t="s">
        <v>531</v>
      </c>
      <c r="AR87" s="495" t="s">
        <v>531</v>
      </c>
      <c r="AS87" s="495" t="s">
        <v>531</v>
      </c>
      <c r="AT87" s="495" t="s">
        <v>531</v>
      </c>
      <c r="AU87" s="495" t="s">
        <v>531</v>
      </c>
      <c r="AV87" s="495" t="s">
        <v>531</v>
      </c>
      <c r="AW87" s="495" t="s">
        <v>531</v>
      </c>
      <c r="AX87" s="495" t="s">
        <v>531</v>
      </c>
      <c r="AY87" s="495" t="s">
        <v>531</v>
      </c>
      <c r="AZ87" s="495" t="s">
        <v>531</v>
      </c>
      <c r="BA87" s="495" t="s">
        <v>531</v>
      </c>
      <c r="BB87" s="495" t="s">
        <v>531</v>
      </c>
      <c r="BC87" s="495" t="s">
        <v>531</v>
      </c>
      <c r="BD87" s="495" t="s">
        <v>531</v>
      </c>
      <c r="BE87" s="495" t="s">
        <v>531</v>
      </c>
      <c r="BF87" s="495" t="s">
        <v>531</v>
      </c>
      <c r="BG87" s="495" t="s">
        <v>531</v>
      </c>
      <c r="BH87" s="495" t="s">
        <v>531</v>
      </c>
      <c r="BI87" s="495" t="s">
        <v>531</v>
      </c>
      <c r="BJ87" s="495" t="s">
        <v>531</v>
      </c>
      <c r="BK87" s="495" t="s">
        <v>531</v>
      </c>
      <c r="BL87" s="495" t="s">
        <v>531</v>
      </c>
      <c r="BM87" s="495" t="s">
        <v>531</v>
      </c>
      <c r="BN87" s="495" t="s">
        <v>531</v>
      </c>
      <c r="BO87" s="495">
        <v>22860</v>
      </c>
      <c r="BP87" s="495">
        <v>23340</v>
      </c>
      <c r="BQ87" s="495">
        <v>23820</v>
      </c>
      <c r="BR87" s="495" t="s">
        <v>531</v>
      </c>
      <c r="BS87" s="495" t="s">
        <v>531</v>
      </c>
      <c r="BT87" s="495" t="s">
        <v>531</v>
      </c>
      <c r="BU87" s="495"/>
      <c r="BV87" s="495"/>
      <c r="BW87" s="495"/>
      <c r="BX87" s="495"/>
      <c r="BY87" s="495"/>
      <c r="BZ87" s="495"/>
      <c r="CA87" s="495"/>
    </row>
    <row r="88" spans="1:79">
      <c r="A88" s="499">
        <v>3900</v>
      </c>
      <c r="B88" s="495" t="s">
        <v>531</v>
      </c>
      <c r="C88" s="495" t="s">
        <v>531</v>
      </c>
      <c r="D88" s="495" t="s">
        <v>531</v>
      </c>
      <c r="E88" s="495" t="s">
        <v>531</v>
      </c>
      <c r="F88" s="495" t="s">
        <v>531</v>
      </c>
      <c r="G88" s="495" t="s">
        <v>531</v>
      </c>
      <c r="H88" s="495" t="s">
        <v>531</v>
      </c>
      <c r="I88" s="495" t="s">
        <v>531</v>
      </c>
      <c r="J88" s="495" t="s">
        <v>531</v>
      </c>
      <c r="K88" s="495" t="s">
        <v>531</v>
      </c>
      <c r="L88" s="495" t="s">
        <v>531</v>
      </c>
      <c r="M88" s="495" t="s">
        <v>531</v>
      </c>
      <c r="N88" s="495" t="s">
        <v>531</v>
      </c>
      <c r="O88" s="495" t="s">
        <v>531</v>
      </c>
      <c r="P88" s="495" t="s">
        <v>531</v>
      </c>
      <c r="Q88" s="495" t="s">
        <v>531</v>
      </c>
      <c r="R88" s="495" t="s">
        <v>531</v>
      </c>
      <c r="S88" s="495" t="s">
        <v>531</v>
      </c>
      <c r="T88" s="495" t="s">
        <v>531</v>
      </c>
      <c r="U88" s="495" t="s">
        <v>531</v>
      </c>
      <c r="V88" s="495" t="s">
        <v>531</v>
      </c>
      <c r="W88" s="495" t="s">
        <v>531</v>
      </c>
      <c r="X88" s="495" t="s">
        <v>531</v>
      </c>
      <c r="Y88" s="495" t="s">
        <v>531</v>
      </c>
      <c r="Z88" s="495" t="s">
        <v>531</v>
      </c>
      <c r="AA88" s="495">
        <v>15330</v>
      </c>
      <c r="AB88" s="495">
        <v>15660</v>
      </c>
      <c r="AC88" s="495">
        <v>15970</v>
      </c>
      <c r="AD88" s="495" t="s">
        <v>531</v>
      </c>
      <c r="AE88" s="495" t="s">
        <v>531</v>
      </c>
      <c r="AF88" s="495" t="s">
        <v>531</v>
      </c>
      <c r="AG88" s="495" t="s">
        <v>531</v>
      </c>
      <c r="AH88" s="495" t="s">
        <v>531</v>
      </c>
      <c r="AI88" s="495" t="s">
        <v>531</v>
      </c>
      <c r="AJ88" s="495" t="s">
        <v>531</v>
      </c>
      <c r="AK88" s="495" t="s">
        <v>531</v>
      </c>
      <c r="AL88" s="495" t="s">
        <v>531</v>
      </c>
      <c r="AM88" s="495" t="s">
        <v>531</v>
      </c>
      <c r="AN88" s="495" t="s">
        <v>531</v>
      </c>
      <c r="AO88" s="495" t="s">
        <v>531</v>
      </c>
      <c r="AP88" s="495" t="s">
        <v>531</v>
      </c>
      <c r="AQ88" s="495" t="s">
        <v>531</v>
      </c>
      <c r="AR88" s="495" t="s">
        <v>531</v>
      </c>
      <c r="AS88" s="495" t="s">
        <v>531</v>
      </c>
      <c r="AT88" s="495" t="s">
        <v>531</v>
      </c>
      <c r="AU88" s="495" t="s">
        <v>531</v>
      </c>
      <c r="AV88" s="495" t="s">
        <v>531</v>
      </c>
      <c r="AW88" s="495" t="s">
        <v>531</v>
      </c>
      <c r="AX88" s="495" t="s">
        <v>531</v>
      </c>
      <c r="AY88" s="495" t="s">
        <v>531</v>
      </c>
      <c r="AZ88" s="495" t="s">
        <v>531</v>
      </c>
      <c r="BA88" s="495" t="s">
        <v>531</v>
      </c>
      <c r="BB88" s="495" t="s">
        <v>531</v>
      </c>
      <c r="BC88" s="495" t="s">
        <v>531</v>
      </c>
      <c r="BD88" s="495" t="s">
        <v>531</v>
      </c>
      <c r="BE88" s="495" t="s">
        <v>531</v>
      </c>
      <c r="BF88" s="495" t="s">
        <v>531</v>
      </c>
      <c r="BG88" s="495" t="s">
        <v>531</v>
      </c>
      <c r="BH88" s="495" t="s">
        <v>531</v>
      </c>
      <c r="BI88" s="495" t="s">
        <v>531</v>
      </c>
      <c r="BJ88" s="495" t="s">
        <v>531</v>
      </c>
      <c r="BK88" s="495" t="s">
        <v>531</v>
      </c>
      <c r="BL88" s="495" t="s">
        <v>531</v>
      </c>
      <c r="BM88" s="495" t="s">
        <v>531</v>
      </c>
      <c r="BN88" s="495" t="s">
        <v>531</v>
      </c>
      <c r="BO88" s="495" t="s">
        <v>531</v>
      </c>
      <c r="BP88" s="495" t="s">
        <v>531</v>
      </c>
      <c r="BQ88" s="495" t="s">
        <v>531</v>
      </c>
      <c r="BR88" s="495" t="s">
        <v>531</v>
      </c>
      <c r="BS88" s="495" t="s">
        <v>531</v>
      </c>
      <c r="BT88" s="495" t="s">
        <v>531</v>
      </c>
      <c r="BU88" s="495"/>
      <c r="BV88" s="495"/>
      <c r="BW88" s="495"/>
      <c r="BX88" s="495"/>
      <c r="BY88" s="495"/>
      <c r="BZ88" s="495"/>
      <c r="CA88" s="495"/>
    </row>
    <row r="89" spans="1:79">
      <c r="A89" s="499">
        <v>3950</v>
      </c>
      <c r="B89" s="495" t="s">
        <v>531</v>
      </c>
      <c r="C89" s="495" t="s">
        <v>531</v>
      </c>
      <c r="D89" s="495" t="s">
        <v>531</v>
      </c>
      <c r="E89" s="495" t="s">
        <v>531</v>
      </c>
      <c r="F89" s="495" t="s">
        <v>531</v>
      </c>
      <c r="G89" s="495" t="s">
        <v>531</v>
      </c>
      <c r="H89" s="495" t="s">
        <v>531</v>
      </c>
      <c r="I89" s="495" t="s">
        <v>531</v>
      </c>
      <c r="J89" s="495" t="s">
        <v>531</v>
      </c>
      <c r="K89" s="495" t="s">
        <v>531</v>
      </c>
      <c r="L89" s="495" t="s">
        <v>531</v>
      </c>
      <c r="M89" s="495" t="s">
        <v>531</v>
      </c>
      <c r="N89" s="495" t="s">
        <v>531</v>
      </c>
      <c r="O89" s="495" t="s">
        <v>531</v>
      </c>
      <c r="P89" s="495" t="s">
        <v>531</v>
      </c>
      <c r="Q89" s="495" t="s">
        <v>531</v>
      </c>
      <c r="R89" s="495" t="s">
        <v>531</v>
      </c>
      <c r="S89" s="495" t="s">
        <v>531</v>
      </c>
      <c r="T89" s="495" t="s">
        <v>531</v>
      </c>
      <c r="U89" s="495" t="s">
        <v>531</v>
      </c>
      <c r="V89" s="495" t="s">
        <v>531</v>
      </c>
      <c r="W89" s="495" t="s">
        <v>531</v>
      </c>
      <c r="X89" s="495" t="s">
        <v>531</v>
      </c>
      <c r="Y89" s="495" t="s">
        <v>531</v>
      </c>
      <c r="Z89" s="495" t="s">
        <v>531</v>
      </c>
      <c r="AA89" s="495">
        <v>15510</v>
      </c>
      <c r="AB89" s="495">
        <v>15830</v>
      </c>
      <c r="AC89" s="495">
        <v>16150</v>
      </c>
      <c r="AD89" s="495" t="s">
        <v>531</v>
      </c>
      <c r="AE89" s="495" t="s">
        <v>531</v>
      </c>
      <c r="AF89" s="495" t="s">
        <v>531</v>
      </c>
      <c r="AG89" s="495" t="s">
        <v>531</v>
      </c>
      <c r="AH89" s="495" t="s">
        <v>531</v>
      </c>
      <c r="AI89" s="495" t="s">
        <v>531</v>
      </c>
      <c r="AJ89" s="495" t="s">
        <v>531</v>
      </c>
      <c r="AK89" s="495" t="s">
        <v>531</v>
      </c>
      <c r="AL89" s="495" t="s">
        <v>531</v>
      </c>
      <c r="AM89" s="495" t="s">
        <v>531</v>
      </c>
      <c r="AN89" s="495" t="s">
        <v>531</v>
      </c>
      <c r="AO89" s="495" t="s">
        <v>531</v>
      </c>
      <c r="AP89" s="495" t="s">
        <v>531</v>
      </c>
      <c r="AQ89" s="495" t="s">
        <v>531</v>
      </c>
      <c r="AR89" s="495" t="s">
        <v>531</v>
      </c>
      <c r="AS89" s="495" t="s">
        <v>531</v>
      </c>
      <c r="AT89" s="495" t="s">
        <v>531</v>
      </c>
      <c r="AU89" s="495" t="s">
        <v>531</v>
      </c>
      <c r="AV89" s="495" t="s">
        <v>531</v>
      </c>
      <c r="AW89" s="495" t="s">
        <v>531</v>
      </c>
      <c r="AX89" s="495" t="s">
        <v>531</v>
      </c>
      <c r="AY89" s="495" t="s">
        <v>531</v>
      </c>
      <c r="AZ89" s="495" t="s">
        <v>531</v>
      </c>
      <c r="BA89" s="495" t="s">
        <v>531</v>
      </c>
      <c r="BB89" s="495" t="s">
        <v>531</v>
      </c>
      <c r="BC89" s="495" t="s">
        <v>531</v>
      </c>
      <c r="BD89" s="495" t="s">
        <v>531</v>
      </c>
      <c r="BE89" s="495" t="s">
        <v>531</v>
      </c>
      <c r="BF89" s="495" t="s">
        <v>531</v>
      </c>
      <c r="BG89" s="495" t="s">
        <v>531</v>
      </c>
      <c r="BH89" s="495" t="s">
        <v>531</v>
      </c>
      <c r="BI89" s="495" t="s">
        <v>531</v>
      </c>
      <c r="BJ89" s="495" t="s">
        <v>531</v>
      </c>
      <c r="BK89" s="495" t="s">
        <v>531</v>
      </c>
      <c r="BL89" s="495" t="s">
        <v>531</v>
      </c>
      <c r="BM89" s="495" t="s">
        <v>531</v>
      </c>
      <c r="BN89" s="495" t="s">
        <v>531</v>
      </c>
      <c r="BO89" s="495" t="s">
        <v>531</v>
      </c>
      <c r="BP89" s="495" t="s">
        <v>531</v>
      </c>
      <c r="BQ89" s="495" t="s">
        <v>531</v>
      </c>
      <c r="BR89" s="495" t="s">
        <v>531</v>
      </c>
      <c r="BS89" s="495" t="s">
        <v>531</v>
      </c>
      <c r="BT89" s="495" t="s">
        <v>531</v>
      </c>
      <c r="BU89" s="495"/>
      <c r="BV89" s="495"/>
      <c r="BW89" s="495"/>
      <c r="BX89" s="495"/>
      <c r="BY89" s="495"/>
      <c r="BZ89" s="495"/>
      <c r="CA89" s="495"/>
    </row>
    <row r="90" spans="1:79">
      <c r="A90" s="499">
        <v>4000</v>
      </c>
      <c r="B90" s="495" t="s">
        <v>531</v>
      </c>
      <c r="C90" s="495" t="s">
        <v>531</v>
      </c>
      <c r="D90" s="495" t="s">
        <v>531</v>
      </c>
      <c r="E90" s="495" t="s">
        <v>531</v>
      </c>
      <c r="F90" s="495" t="s">
        <v>531</v>
      </c>
      <c r="G90" s="495" t="s">
        <v>531</v>
      </c>
      <c r="H90" s="495" t="s">
        <v>531</v>
      </c>
      <c r="I90" s="495" t="s">
        <v>531</v>
      </c>
      <c r="J90" s="495" t="s">
        <v>531</v>
      </c>
      <c r="K90" s="495" t="s">
        <v>531</v>
      </c>
      <c r="L90" s="495" t="s">
        <v>531</v>
      </c>
      <c r="M90" s="495" t="s">
        <v>531</v>
      </c>
      <c r="N90" s="495" t="s">
        <v>531</v>
      </c>
      <c r="O90" s="495" t="s">
        <v>531</v>
      </c>
      <c r="P90" s="495" t="s">
        <v>531</v>
      </c>
      <c r="Q90" s="495" t="s">
        <v>531</v>
      </c>
      <c r="R90" s="495" t="s">
        <v>531</v>
      </c>
      <c r="S90" s="495" t="s">
        <v>531</v>
      </c>
      <c r="T90" s="495" t="s">
        <v>531</v>
      </c>
      <c r="U90" s="495" t="s">
        <v>531</v>
      </c>
      <c r="V90" s="495" t="s">
        <v>531</v>
      </c>
      <c r="W90" s="495" t="s">
        <v>531</v>
      </c>
      <c r="X90" s="495" t="s">
        <v>531</v>
      </c>
      <c r="Y90" s="495" t="s">
        <v>531</v>
      </c>
      <c r="Z90" s="495" t="s">
        <v>531</v>
      </c>
      <c r="AA90" s="495">
        <v>15690</v>
      </c>
      <c r="AB90" s="495">
        <v>16010</v>
      </c>
      <c r="AC90" s="495">
        <v>16330</v>
      </c>
      <c r="AD90" s="495" t="s">
        <v>531</v>
      </c>
      <c r="AE90" s="495" t="s">
        <v>531</v>
      </c>
      <c r="AF90" s="495" t="s">
        <v>531</v>
      </c>
      <c r="AG90" s="495" t="s">
        <v>531</v>
      </c>
      <c r="AH90" s="495" t="s">
        <v>531</v>
      </c>
      <c r="AI90" s="495" t="s">
        <v>531</v>
      </c>
      <c r="AJ90" s="495" t="s">
        <v>531</v>
      </c>
      <c r="AK90" s="495" t="s">
        <v>531</v>
      </c>
      <c r="AL90" s="495" t="s">
        <v>531</v>
      </c>
      <c r="AM90" s="495" t="s">
        <v>531</v>
      </c>
      <c r="AN90" s="495" t="s">
        <v>531</v>
      </c>
      <c r="AO90" s="495" t="s">
        <v>531</v>
      </c>
      <c r="AP90" s="495" t="s">
        <v>531</v>
      </c>
      <c r="AQ90" s="495" t="s">
        <v>531</v>
      </c>
      <c r="AR90" s="495" t="s">
        <v>531</v>
      </c>
      <c r="AS90" s="495" t="s">
        <v>531</v>
      </c>
      <c r="AT90" s="495" t="s">
        <v>531</v>
      </c>
      <c r="AU90" s="495" t="s">
        <v>531</v>
      </c>
      <c r="AV90" s="495" t="s">
        <v>531</v>
      </c>
      <c r="AW90" s="495" t="s">
        <v>531</v>
      </c>
      <c r="AX90" s="495" t="s">
        <v>531</v>
      </c>
      <c r="AY90" s="495" t="s">
        <v>531</v>
      </c>
      <c r="AZ90" s="495" t="s">
        <v>531</v>
      </c>
      <c r="BA90" s="495" t="s">
        <v>531</v>
      </c>
      <c r="BB90" s="495" t="s">
        <v>531</v>
      </c>
      <c r="BC90" s="495" t="s">
        <v>531</v>
      </c>
      <c r="BD90" s="495" t="s">
        <v>531</v>
      </c>
      <c r="BE90" s="495" t="s">
        <v>531</v>
      </c>
      <c r="BF90" s="495" t="s">
        <v>531</v>
      </c>
      <c r="BG90" s="495" t="s">
        <v>531</v>
      </c>
      <c r="BH90" s="495" t="s">
        <v>531</v>
      </c>
      <c r="BI90" s="495" t="s">
        <v>531</v>
      </c>
      <c r="BJ90" s="495" t="s">
        <v>531</v>
      </c>
      <c r="BK90" s="495" t="s">
        <v>531</v>
      </c>
      <c r="BL90" s="495" t="s">
        <v>531</v>
      </c>
      <c r="BM90" s="495" t="s">
        <v>531</v>
      </c>
      <c r="BN90" s="495" t="s">
        <v>531</v>
      </c>
      <c r="BO90" s="495" t="s">
        <v>531</v>
      </c>
      <c r="BP90" s="495" t="s">
        <v>531</v>
      </c>
      <c r="BQ90" s="495" t="s">
        <v>531</v>
      </c>
      <c r="BR90" s="495" t="s">
        <v>531</v>
      </c>
      <c r="BS90" s="495" t="s">
        <v>531</v>
      </c>
      <c r="BT90" s="495" t="s">
        <v>531</v>
      </c>
      <c r="BU90" s="495"/>
      <c r="BV90" s="495"/>
      <c r="BW90" s="495"/>
      <c r="BX90" s="495"/>
      <c r="BY90" s="495"/>
      <c r="BZ90" s="495"/>
      <c r="CA90" s="495"/>
    </row>
    <row r="91" spans="1:79">
      <c r="A91" s="499">
        <v>4050</v>
      </c>
      <c r="B91" s="495" t="s">
        <v>531</v>
      </c>
      <c r="C91" s="495" t="s">
        <v>531</v>
      </c>
      <c r="D91" s="495" t="s">
        <v>531</v>
      </c>
      <c r="E91" s="495" t="s">
        <v>531</v>
      </c>
      <c r="F91" s="495" t="s">
        <v>531</v>
      </c>
      <c r="G91" s="495" t="s">
        <v>531</v>
      </c>
      <c r="H91" s="495" t="s">
        <v>531</v>
      </c>
      <c r="I91" s="495" t="s">
        <v>531</v>
      </c>
      <c r="J91" s="495" t="s">
        <v>531</v>
      </c>
      <c r="K91" s="495" t="s">
        <v>531</v>
      </c>
      <c r="L91" s="495" t="s">
        <v>531</v>
      </c>
      <c r="M91" s="495" t="s">
        <v>531</v>
      </c>
      <c r="N91" s="495" t="s">
        <v>531</v>
      </c>
      <c r="O91" s="495" t="s">
        <v>531</v>
      </c>
      <c r="P91" s="495" t="s">
        <v>531</v>
      </c>
      <c r="Q91" s="495" t="s">
        <v>531</v>
      </c>
      <c r="R91" s="495" t="s">
        <v>531</v>
      </c>
      <c r="S91" s="495" t="s">
        <v>531</v>
      </c>
      <c r="T91" s="495" t="s">
        <v>531</v>
      </c>
      <c r="U91" s="495" t="s">
        <v>531</v>
      </c>
      <c r="V91" s="495" t="s">
        <v>531</v>
      </c>
      <c r="W91" s="495" t="s">
        <v>531</v>
      </c>
      <c r="X91" s="495" t="s">
        <v>531</v>
      </c>
      <c r="Y91" s="495" t="s">
        <v>531</v>
      </c>
      <c r="Z91" s="495" t="s">
        <v>531</v>
      </c>
      <c r="AA91" s="495">
        <v>15870</v>
      </c>
      <c r="AB91" s="495">
        <v>16190</v>
      </c>
      <c r="AC91" s="495">
        <v>16500</v>
      </c>
      <c r="AD91" s="495" t="s">
        <v>531</v>
      </c>
      <c r="AE91" s="495" t="s">
        <v>531</v>
      </c>
      <c r="AF91" s="495" t="s">
        <v>531</v>
      </c>
      <c r="AG91" s="495" t="s">
        <v>531</v>
      </c>
      <c r="AH91" s="495" t="s">
        <v>531</v>
      </c>
      <c r="AI91" s="495" t="s">
        <v>531</v>
      </c>
      <c r="AJ91" s="495" t="s">
        <v>531</v>
      </c>
      <c r="AK91" s="495" t="s">
        <v>531</v>
      </c>
      <c r="AL91" s="495" t="s">
        <v>531</v>
      </c>
      <c r="AM91" s="495" t="s">
        <v>531</v>
      </c>
      <c r="AN91" s="495" t="s">
        <v>531</v>
      </c>
      <c r="AO91" s="495" t="s">
        <v>531</v>
      </c>
      <c r="AP91" s="495" t="s">
        <v>531</v>
      </c>
      <c r="AQ91" s="495" t="s">
        <v>531</v>
      </c>
      <c r="AR91" s="495" t="s">
        <v>531</v>
      </c>
      <c r="AS91" s="495" t="s">
        <v>531</v>
      </c>
      <c r="AT91" s="495" t="s">
        <v>531</v>
      </c>
      <c r="AU91" s="495" t="s">
        <v>531</v>
      </c>
      <c r="AV91" s="495" t="s">
        <v>531</v>
      </c>
      <c r="AW91" s="495" t="s">
        <v>531</v>
      </c>
      <c r="AX91" s="495" t="s">
        <v>531</v>
      </c>
      <c r="AY91" s="495" t="s">
        <v>531</v>
      </c>
      <c r="AZ91" s="495" t="s">
        <v>531</v>
      </c>
      <c r="BA91" s="495" t="s">
        <v>531</v>
      </c>
      <c r="BB91" s="495" t="s">
        <v>531</v>
      </c>
      <c r="BC91" s="495" t="s">
        <v>531</v>
      </c>
      <c r="BD91" s="495" t="s">
        <v>531</v>
      </c>
      <c r="BE91" s="495" t="s">
        <v>531</v>
      </c>
      <c r="BF91" s="495" t="s">
        <v>531</v>
      </c>
      <c r="BG91" s="495" t="s">
        <v>531</v>
      </c>
      <c r="BH91" s="495" t="s">
        <v>531</v>
      </c>
      <c r="BI91" s="495" t="s">
        <v>531</v>
      </c>
      <c r="BJ91" s="495" t="s">
        <v>531</v>
      </c>
      <c r="BK91" s="495" t="s">
        <v>531</v>
      </c>
      <c r="BL91" s="495" t="s">
        <v>531</v>
      </c>
      <c r="BM91" s="495" t="s">
        <v>531</v>
      </c>
      <c r="BN91" s="495" t="s">
        <v>531</v>
      </c>
      <c r="BO91" s="495" t="s">
        <v>531</v>
      </c>
      <c r="BP91" s="495" t="s">
        <v>531</v>
      </c>
      <c r="BQ91" s="495" t="s">
        <v>531</v>
      </c>
      <c r="BR91" s="495" t="s">
        <v>531</v>
      </c>
      <c r="BS91" s="495" t="s">
        <v>531</v>
      </c>
      <c r="BT91" s="495" t="s">
        <v>531</v>
      </c>
      <c r="BU91" s="495"/>
      <c r="BV91" s="495"/>
      <c r="BW91" s="495"/>
      <c r="BX91" s="495"/>
      <c r="BY91" s="495"/>
      <c r="BZ91" s="495"/>
      <c r="CA91" s="495"/>
    </row>
    <row r="92" spans="1:79">
      <c r="A92" s="499">
        <v>4100</v>
      </c>
      <c r="B92" s="495" t="s">
        <v>531</v>
      </c>
      <c r="C92" s="495" t="s">
        <v>531</v>
      </c>
      <c r="D92" s="495" t="s">
        <v>531</v>
      </c>
      <c r="E92" s="495" t="s">
        <v>531</v>
      </c>
      <c r="F92" s="495" t="s">
        <v>531</v>
      </c>
      <c r="G92" s="495" t="s">
        <v>531</v>
      </c>
      <c r="H92" s="495" t="s">
        <v>531</v>
      </c>
      <c r="I92" s="495" t="s">
        <v>531</v>
      </c>
      <c r="J92" s="495" t="s">
        <v>531</v>
      </c>
      <c r="K92" s="495" t="s">
        <v>531</v>
      </c>
      <c r="L92" s="495" t="s">
        <v>531</v>
      </c>
      <c r="M92" s="495" t="s">
        <v>531</v>
      </c>
      <c r="N92" s="495" t="s">
        <v>531</v>
      </c>
      <c r="O92" s="495" t="s">
        <v>531</v>
      </c>
      <c r="P92" s="495" t="s">
        <v>531</v>
      </c>
      <c r="Q92" s="495" t="s">
        <v>531</v>
      </c>
      <c r="R92" s="495" t="s">
        <v>531</v>
      </c>
      <c r="S92" s="495" t="s">
        <v>531</v>
      </c>
      <c r="T92" s="495" t="s">
        <v>531</v>
      </c>
      <c r="U92" s="495" t="s">
        <v>531</v>
      </c>
      <c r="V92" s="495" t="s">
        <v>531</v>
      </c>
      <c r="W92" s="495" t="s">
        <v>531</v>
      </c>
      <c r="X92" s="495" t="s">
        <v>531</v>
      </c>
      <c r="Y92" s="495" t="s">
        <v>531</v>
      </c>
      <c r="Z92" s="495" t="s">
        <v>531</v>
      </c>
      <c r="AA92" s="495">
        <v>16040</v>
      </c>
      <c r="AB92" s="495">
        <v>16370</v>
      </c>
      <c r="AC92" s="495">
        <v>16680</v>
      </c>
      <c r="AD92" s="495" t="s">
        <v>531</v>
      </c>
      <c r="AE92" s="495" t="s">
        <v>531</v>
      </c>
      <c r="AF92" s="495" t="s">
        <v>531</v>
      </c>
      <c r="AG92" s="495" t="s">
        <v>531</v>
      </c>
      <c r="AH92" s="495" t="s">
        <v>531</v>
      </c>
      <c r="AI92" s="495" t="s">
        <v>531</v>
      </c>
      <c r="AJ92" s="495" t="s">
        <v>531</v>
      </c>
      <c r="AK92" s="495" t="s">
        <v>531</v>
      </c>
      <c r="AL92" s="495" t="s">
        <v>531</v>
      </c>
      <c r="AM92" s="495" t="s">
        <v>531</v>
      </c>
      <c r="AN92" s="495" t="s">
        <v>531</v>
      </c>
      <c r="AO92" s="495" t="s">
        <v>531</v>
      </c>
      <c r="AP92" s="495" t="s">
        <v>531</v>
      </c>
      <c r="AQ92" s="495" t="s">
        <v>531</v>
      </c>
      <c r="AR92" s="495" t="s">
        <v>531</v>
      </c>
      <c r="AS92" s="495" t="s">
        <v>531</v>
      </c>
      <c r="AT92" s="495" t="s">
        <v>531</v>
      </c>
      <c r="AU92" s="495" t="s">
        <v>531</v>
      </c>
      <c r="AV92" s="495" t="s">
        <v>531</v>
      </c>
      <c r="AW92" s="495" t="s">
        <v>531</v>
      </c>
      <c r="AX92" s="495" t="s">
        <v>531</v>
      </c>
      <c r="AY92" s="495" t="s">
        <v>531</v>
      </c>
      <c r="AZ92" s="495" t="s">
        <v>531</v>
      </c>
      <c r="BA92" s="495" t="s">
        <v>531</v>
      </c>
      <c r="BB92" s="495" t="s">
        <v>531</v>
      </c>
      <c r="BC92" s="495" t="s">
        <v>531</v>
      </c>
      <c r="BD92" s="495" t="s">
        <v>531</v>
      </c>
      <c r="BE92" s="495" t="s">
        <v>531</v>
      </c>
      <c r="BF92" s="495" t="s">
        <v>531</v>
      </c>
      <c r="BG92" s="495" t="s">
        <v>531</v>
      </c>
      <c r="BH92" s="495" t="s">
        <v>531</v>
      </c>
      <c r="BI92" s="495" t="s">
        <v>531</v>
      </c>
      <c r="BJ92" s="495" t="s">
        <v>531</v>
      </c>
      <c r="BK92" s="495" t="s">
        <v>531</v>
      </c>
      <c r="BL92" s="495" t="s">
        <v>531</v>
      </c>
      <c r="BM92" s="495" t="s">
        <v>531</v>
      </c>
      <c r="BN92" s="495" t="s">
        <v>531</v>
      </c>
      <c r="BO92" s="495" t="s">
        <v>531</v>
      </c>
      <c r="BP92" s="495" t="s">
        <v>531</v>
      </c>
      <c r="BQ92" s="495" t="s">
        <v>531</v>
      </c>
      <c r="BR92" s="495" t="s">
        <v>531</v>
      </c>
      <c r="BS92" s="495" t="s">
        <v>531</v>
      </c>
      <c r="BT92" s="495" t="s">
        <v>531</v>
      </c>
      <c r="BU92" s="495"/>
      <c r="BV92" s="495"/>
      <c r="BW92" s="495"/>
      <c r="BX92" s="495"/>
      <c r="BY92" s="495"/>
      <c r="BZ92" s="495"/>
      <c r="CA92" s="495"/>
    </row>
    <row r="93" spans="1:79">
      <c r="A93" s="499">
        <v>4150</v>
      </c>
      <c r="B93" s="495" t="s">
        <v>531</v>
      </c>
      <c r="C93" s="495" t="s">
        <v>531</v>
      </c>
      <c r="D93" s="495" t="s">
        <v>531</v>
      </c>
      <c r="E93" s="495" t="s">
        <v>531</v>
      </c>
      <c r="F93" s="495" t="s">
        <v>531</v>
      </c>
      <c r="G93" s="495" t="s">
        <v>531</v>
      </c>
      <c r="H93" s="495" t="s">
        <v>531</v>
      </c>
      <c r="I93" s="495" t="s">
        <v>531</v>
      </c>
      <c r="J93" s="495" t="s">
        <v>531</v>
      </c>
      <c r="K93" s="495" t="s">
        <v>531</v>
      </c>
      <c r="L93" s="495" t="s">
        <v>531</v>
      </c>
      <c r="M93" s="495" t="s">
        <v>531</v>
      </c>
      <c r="N93" s="495" t="s">
        <v>531</v>
      </c>
      <c r="O93" s="495" t="s">
        <v>531</v>
      </c>
      <c r="P93" s="495" t="s">
        <v>531</v>
      </c>
      <c r="Q93" s="495" t="s">
        <v>531</v>
      </c>
      <c r="R93" s="495" t="s">
        <v>531</v>
      </c>
      <c r="S93" s="495" t="s">
        <v>531</v>
      </c>
      <c r="T93" s="495" t="s">
        <v>531</v>
      </c>
      <c r="U93" s="495" t="s">
        <v>531</v>
      </c>
      <c r="V93" s="495" t="s">
        <v>531</v>
      </c>
      <c r="W93" s="495" t="s">
        <v>531</v>
      </c>
      <c r="X93" s="495" t="s">
        <v>531</v>
      </c>
      <c r="Y93" s="495" t="s">
        <v>531</v>
      </c>
      <c r="Z93" s="495" t="s">
        <v>531</v>
      </c>
      <c r="AA93" s="495">
        <v>16220</v>
      </c>
      <c r="AB93" s="495">
        <v>16540</v>
      </c>
      <c r="AC93" s="495">
        <v>16860</v>
      </c>
      <c r="AD93" s="495" t="s">
        <v>531</v>
      </c>
      <c r="AE93" s="495" t="s">
        <v>531</v>
      </c>
      <c r="AF93" s="495" t="s">
        <v>531</v>
      </c>
      <c r="AG93" s="495" t="s">
        <v>531</v>
      </c>
      <c r="AH93" s="495" t="s">
        <v>531</v>
      </c>
      <c r="AI93" s="495" t="s">
        <v>531</v>
      </c>
      <c r="AJ93" s="495" t="s">
        <v>531</v>
      </c>
      <c r="AK93" s="495" t="s">
        <v>531</v>
      </c>
      <c r="AL93" s="495" t="s">
        <v>531</v>
      </c>
      <c r="AM93" s="495" t="s">
        <v>531</v>
      </c>
      <c r="AN93" s="495" t="s">
        <v>531</v>
      </c>
      <c r="AO93" s="495" t="s">
        <v>531</v>
      </c>
      <c r="AP93" s="495" t="s">
        <v>531</v>
      </c>
      <c r="AQ93" s="495" t="s">
        <v>531</v>
      </c>
      <c r="AR93" s="495" t="s">
        <v>531</v>
      </c>
      <c r="AS93" s="495" t="s">
        <v>531</v>
      </c>
      <c r="AT93" s="495" t="s">
        <v>531</v>
      </c>
      <c r="AU93" s="495" t="s">
        <v>531</v>
      </c>
      <c r="AV93" s="495" t="s">
        <v>531</v>
      </c>
      <c r="AW93" s="495" t="s">
        <v>531</v>
      </c>
      <c r="AX93" s="495" t="s">
        <v>531</v>
      </c>
      <c r="AY93" s="495" t="s">
        <v>531</v>
      </c>
      <c r="AZ93" s="495" t="s">
        <v>531</v>
      </c>
      <c r="BA93" s="495" t="s">
        <v>531</v>
      </c>
      <c r="BB93" s="495" t="s">
        <v>531</v>
      </c>
      <c r="BC93" s="495" t="s">
        <v>531</v>
      </c>
      <c r="BD93" s="495" t="s">
        <v>531</v>
      </c>
      <c r="BE93" s="495" t="s">
        <v>531</v>
      </c>
      <c r="BF93" s="495" t="s">
        <v>531</v>
      </c>
      <c r="BG93" s="495" t="s">
        <v>531</v>
      </c>
      <c r="BH93" s="495" t="s">
        <v>531</v>
      </c>
      <c r="BI93" s="495" t="s">
        <v>531</v>
      </c>
      <c r="BJ93" s="495" t="s">
        <v>531</v>
      </c>
      <c r="BK93" s="495" t="s">
        <v>531</v>
      </c>
      <c r="BL93" s="495" t="s">
        <v>531</v>
      </c>
      <c r="BM93" s="495" t="s">
        <v>531</v>
      </c>
      <c r="BN93" s="495" t="s">
        <v>531</v>
      </c>
      <c r="BO93" s="495" t="s">
        <v>531</v>
      </c>
      <c r="BP93" s="495" t="s">
        <v>531</v>
      </c>
      <c r="BQ93" s="495" t="s">
        <v>531</v>
      </c>
      <c r="BR93" s="495" t="s">
        <v>531</v>
      </c>
      <c r="BS93" s="495" t="s">
        <v>531</v>
      </c>
      <c r="BT93" s="495" t="s">
        <v>531</v>
      </c>
      <c r="BU93" s="495"/>
      <c r="BV93" s="495"/>
      <c r="BW93" s="495"/>
      <c r="BX93" s="495"/>
      <c r="BY93" s="495"/>
      <c r="BZ93" s="495"/>
      <c r="CA93" s="495"/>
    </row>
    <row r="94" spans="1:79">
      <c r="A94" s="499">
        <v>4200</v>
      </c>
      <c r="B94" s="495" t="s">
        <v>531</v>
      </c>
      <c r="C94" s="495" t="s">
        <v>531</v>
      </c>
      <c r="D94" s="495" t="s">
        <v>531</v>
      </c>
      <c r="E94" s="495" t="s">
        <v>531</v>
      </c>
      <c r="F94" s="495" t="s">
        <v>531</v>
      </c>
      <c r="G94" s="495" t="s">
        <v>531</v>
      </c>
      <c r="H94" s="495" t="s">
        <v>531</v>
      </c>
      <c r="I94" s="495" t="s">
        <v>531</v>
      </c>
      <c r="J94" s="495" t="s">
        <v>531</v>
      </c>
      <c r="K94" s="495" t="s">
        <v>531</v>
      </c>
      <c r="L94" s="495" t="s">
        <v>531</v>
      </c>
      <c r="M94" s="495" t="s">
        <v>531</v>
      </c>
      <c r="N94" s="495" t="s">
        <v>531</v>
      </c>
      <c r="O94" s="495" t="s">
        <v>531</v>
      </c>
      <c r="P94" s="495" t="s">
        <v>531</v>
      </c>
      <c r="Q94" s="495" t="s">
        <v>531</v>
      </c>
      <c r="R94" s="495" t="s">
        <v>531</v>
      </c>
      <c r="S94" s="495" t="s">
        <v>531</v>
      </c>
      <c r="T94" s="495" t="s">
        <v>531</v>
      </c>
      <c r="U94" s="495" t="s">
        <v>531</v>
      </c>
      <c r="V94" s="495" t="s">
        <v>531</v>
      </c>
      <c r="W94" s="495" t="s">
        <v>531</v>
      </c>
      <c r="X94" s="495" t="s">
        <v>531</v>
      </c>
      <c r="Y94" s="495" t="s">
        <v>531</v>
      </c>
      <c r="Z94" s="495" t="s">
        <v>531</v>
      </c>
      <c r="AA94" s="495">
        <v>16400</v>
      </c>
      <c r="AB94" s="495">
        <v>16720</v>
      </c>
      <c r="AC94" s="495">
        <v>17040</v>
      </c>
      <c r="AD94" s="495" t="s">
        <v>531</v>
      </c>
      <c r="AE94" s="495" t="s">
        <v>531</v>
      </c>
      <c r="AF94" s="495" t="s">
        <v>531</v>
      </c>
      <c r="AG94" s="495" t="s">
        <v>531</v>
      </c>
      <c r="AH94" s="495" t="s">
        <v>531</v>
      </c>
      <c r="AI94" s="495" t="s">
        <v>531</v>
      </c>
      <c r="AJ94" s="495" t="s">
        <v>531</v>
      </c>
      <c r="AK94" s="495" t="s">
        <v>531</v>
      </c>
      <c r="AL94" s="495" t="s">
        <v>531</v>
      </c>
      <c r="AM94" s="495" t="s">
        <v>531</v>
      </c>
      <c r="AN94" s="495" t="s">
        <v>531</v>
      </c>
      <c r="AO94" s="495" t="s">
        <v>531</v>
      </c>
      <c r="AP94" s="495" t="s">
        <v>531</v>
      </c>
      <c r="AQ94" s="495" t="s">
        <v>531</v>
      </c>
      <c r="AR94" s="495" t="s">
        <v>531</v>
      </c>
      <c r="AS94" s="495" t="s">
        <v>531</v>
      </c>
      <c r="AT94" s="495" t="s">
        <v>531</v>
      </c>
      <c r="AU94" s="495" t="s">
        <v>531</v>
      </c>
      <c r="AV94" s="495" t="s">
        <v>531</v>
      </c>
      <c r="AW94" s="495" t="s">
        <v>531</v>
      </c>
      <c r="AX94" s="495" t="s">
        <v>531</v>
      </c>
      <c r="AY94" s="495" t="s">
        <v>531</v>
      </c>
      <c r="AZ94" s="495" t="s">
        <v>531</v>
      </c>
      <c r="BA94" s="495" t="s">
        <v>531</v>
      </c>
      <c r="BB94" s="495" t="s">
        <v>531</v>
      </c>
      <c r="BC94" s="495" t="s">
        <v>531</v>
      </c>
      <c r="BD94" s="495" t="s">
        <v>531</v>
      </c>
      <c r="BE94" s="495" t="s">
        <v>531</v>
      </c>
      <c r="BF94" s="495" t="s">
        <v>531</v>
      </c>
      <c r="BG94" s="495" t="s">
        <v>531</v>
      </c>
      <c r="BH94" s="495" t="s">
        <v>531</v>
      </c>
      <c r="BI94" s="495" t="s">
        <v>531</v>
      </c>
      <c r="BJ94" s="495" t="s">
        <v>531</v>
      </c>
      <c r="BK94" s="495" t="s">
        <v>531</v>
      </c>
      <c r="BL94" s="495" t="s">
        <v>531</v>
      </c>
      <c r="BM94" s="495" t="s">
        <v>531</v>
      </c>
      <c r="BN94" s="495" t="s">
        <v>531</v>
      </c>
      <c r="BO94" s="495" t="s">
        <v>531</v>
      </c>
      <c r="BP94" s="495" t="s">
        <v>531</v>
      </c>
      <c r="BQ94" s="495" t="s">
        <v>531</v>
      </c>
      <c r="BR94" s="495" t="s">
        <v>531</v>
      </c>
      <c r="BS94" s="495" t="s">
        <v>531</v>
      </c>
      <c r="BT94" s="495" t="s">
        <v>531</v>
      </c>
      <c r="BU94" s="495"/>
      <c r="BV94" s="495"/>
      <c r="BW94" s="495"/>
      <c r="BX94" s="495"/>
      <c r="BY94" s="495"/>
      <c r="BZ94" s="495"/>
      <c r="CA94" s="495"/>
    </row>
    <row r="95" spans="1:79">
      <c r="A95" s="499">
        <v>4250</v>
      </c>
      <c r="B95" s="495" t="s">
        <v>531</v>
      </c>
      <c r="C95" s="495" t="s">
        <v>531</v>
      </c>
      <c r="D95" s="495" t="s">
        <v>531</v>
      </c>
      <c r="E95" s="495" t="s">
        <v>531</v>
      </c>
      <c r="F95" s="495" t="s">
        <v>531</v>
      </c>
      <c r="G95" s="495" t="s">
        <v>531</v>
      </c>
      <c r="H95" s="495" t="s">
        <v>531</v>
      </c>
      <c r="I95" s="495" t="s">
        <v>531</v>
      </c>
      <c r="J95" s="495" t="s">
        <v>531</v>
      </c>
      <c r="K95" s="495" t="s">
        <v>531</v>
      </c>
      <c r="L95" s="495" t="s">
        <v>531</v>
      </c>
      <c r="M95" s="495" t="s">
        <v>531</v>
      </c>
      <c r="N95" s="495" t="s">
        <v>531</v>
      </c>
      <c r="O95" s="495" t="s">
        <v>531</v>
      </c>
      <c r="P95" s="495" t="s">
        <v>531</v>
      </c>
      <c r="Q95" s="495" t="s">
        <v>531</v>
      </c>
      <c r="R95" s="495" t="s">
        <v>531</v>
      </c>
      <c r="S95" s="495" t="s">
        <v>531</v>
      </c>
      <c r="T95" s="495" t="s">
        <v>531</v>
      </c>
      <c r="U95" s="495" t="s">
        <v>531</v>
      </c>
      <c r="V95" s="495" t="s">
        <v>531</v>
      </c>
      <c r="W95" s="495" t="s">
        <v>531</v>
      </c>
      <c r="X95" s="495" t="s">
        <v>531</v>
      </c>
      <c r="Y95" s="495" t="s">
        <v>531</v>
      </c>
      <c r="Z95" s="495" t="s">
        <v>531</v>
      </c>
      <c r="AA95" s="495">
        <v>16580</v>
      </c>
      <c r="AB95" s="495">
        <v>16900</v>
      </c>
      <c r="AC95" s="495">
        <v>17210</v>
      </c>
      <c r="AD95" s="495" t="s">
        <v>531</v>
      </c>
      <c r="AE95" s="495" t="s">
        <v>531</v>
      </c>
      <c r="AF95" s="495" t="s">
        <v>531</v>
      </c>
      <c r="AG95" s="495" t="s">
        <v>531</v>
      </c>
      <c r="AH95" s="495" t="s">
        <v>531</v>
      </c>
      <c r="AI95" s="495" t="s">
        <v>531</v>
      </c>
      <c r="AJ95" s="495" t="s">
        <v>531</v>
      </c>
      <c r="AK95" s="495" t="s">
        <v>531</v>
      </c>
      <c r="AL95" s="495" t="s">
        <v>531</v>
      </c>
      <c r="AM95" s="495" t="s">
        <v>531</v>
      </c>
      <c r="AN95" s="495" t="s">
        <v>531</v>
      </c>
      <c r="AO95" s="495" t="s">
        <v>531</v>
      </c>
      <c r="AP95" s="495" t="s">
        <v>531</v>
      </c>
      <c r="AQ95" s="495" t="s">
        <v>531</v>
      </c>
      <c r="AR95" s="495" t="s">
        <v>531</v>
      </c>
      <c r="AS95" s="495" t="s">
        <v>531</v>
      </c>
      <c r="AT95" s="495" t="s">
        <v>531</v>
      </c>
      <c r="AU95" s="495" t="s">
        <v>531</v>
      </c>
      <c r="AV95" s="495" t="s">
        <v>531</v>
      </c>
      <c r="AW95" s="495" t="s">
        <v>531</v>
      </c>
      <c r="AX95" s="495" t="s">
        <v>531</v>
      </c>
      <c r="AY95" s="495" t="s">
        <v>531</v>
      </c>
      <c r="AZ95" s="495" t="s">
        <v>531</v>
      </c>
      <c r="BA95" s="495" t="s">
        <v>531</v>
      </c>
      <c r="BB95" s="495" t="s">
        <v>531</v>
      </c>
      <c r="BC95" s="495" t="s">
        <v>531</v>
      </c>
      <c r="BD95" s="495" t="s">
        <v>531</v>
      </c>
      <c r="BE95" s="495" t="s">
        <v>531</v>
      </c>
      <c r="BF95" s="495" t="s">
        <v>531</v>
      </c>
      <c r="BG95" s="495" t="s">
        <v>531</v>
      </c>
      <c r="BH95" s="495" t="s">
        <v>531</v>
      </c>
      <c r="BI95" s="495" t="s">
        <v>531</v>
      </c>
      <c r="BJ95" s="495" t="s">
        <v>531</v>
      </c>
      <c r="BK95" s="495" t="s">
        <v>531</v>
      </c>
      <c r="BL95" s="495" t="s">
        <v>531</v>
      </c>
      <c r="BM95" s="495" t="s">
        <v>531</v>
      </c>
      <c r="BN95" s="495" t="s">
        <v>531</v>
      </c>
      <c r="BO95" s="495" t="s">
        <v>531</v>
      </c>
      <c r="BP95" s="495" t="s">
        <v>531</v>
      </c>
      <c r="BQ95" s="495" t="s">
        <v>531</v>
      </c>
      <c r="BR95" s="495" t="s">
        <v>531</v>
      </c>
      <c r="BS95" s="495" t="s">
        <v>531</v>
      </c>
      <c r="BT95" s="495" t="s">
        <v>531</v>
      </c>
      <c r="BU95" s="495"/>
      <c r="BV95" s="495"/>
      <c r="BW95" s="495"/>
      <c r="BX95" s="495"/>
      <c r="BY95" s="495"/>
      <c r="BZ95" s="495"/>
      <c r="CA95" s="495"/>
    </row>
    <row r="96" spans="1:79">
      <c r="A96" s="499">
        <v>4300</v>
      </c>
      <c r="B96" s="495" t="s">
        <v>531</v>
      </c>
      <c r="C96" s="495" t="s">
        <v>531</v>
      </c>
      <c r="D96" s="495" t="s">
        <v>531</v>
      </c>
      <c r="E96" s="495" t="s">
        <v>531</v>
      </c>
      <c r="F96" s="495" t="s">
        <v>531</v>
      </c>
      <c r="G96" s="495" t="s">
        <v>531</v>
      </c>
      <c r="H96" s="495" t="s">
        <v>531</v>
      </c>
      <c r="I96" s="495" t="s">
        <v>531</v>
      </c>
      <c r="J96" s="495" t="s">
        <v>531</v>
      </c>
      <c r="K96" s="495" t="s">
        <v>531</v>
      </c>
      <c r="L96" s="495" t="s">
        <v>531</v>
      </c>
      <c r="M96" s="495" t="s">
        <v>531</v>
      </c>
      <c r="N96" s="495" t="s">
        <v>531</v>
      </c>
      <c r="O96" s="495" t="s">
        <v>531</v>
      </c>
      <c r="P96" s="495" t="s">
        <v>531</v>
      </c>
      <c r="Q96" s="495" t="s">
        <v>531</v>
      </c>
      <c r="R96" s="495" t="s">
        <v>531</v>
      </c>
      <c r="S96" s="495" t="s">
        <v>531</v>
      </c>
      <c r="T96" s="495" t="s">
        <v>531</v>
      </c>
      <c r="U96" s="495" t="s">
        <v>531</v>
      </c>
      <c r="V96" s="495" t="s">
        <v>531</v>
      </c>
      <c r="W96" s="495" t="s">
        <v>531</v>
      </c>
      <c r="X96" s="495" t="s">
        <v>531</v>
      </c>
      <c r="Y96" s="495" t="s">
        <v>531</v>
      </c>
      <c r="Z96" s="495" t="s">
        <v>531</v>
      </c>
      <c r="AA96" s="495">
        <v>16750</v>
      </c>
      <c r="AB96" s="495">
        <v>17080</v>
      </c>
      <c r="AC96" s="495">
        <v>17390</v>
      </c>
      <c r="AD96" s="495" t="s">
        <v>531</v>
      </c>
      <c r="AE96" s="495" t="s">
        <v>531</v>
      </c>
      <c r="AF96" s="495" t="s">
        <v>531</v>
      </c>
      <c r="AG96" s="495" t="s">
        <v>531</v>
      </c>
      <c r="AH96" s="495" t="s">
        <v>531</v>
      </c>
      <c r="AI96" s="495" t="s">
        <v>531</v>
      </c>
      <c r="AJ96" s="495" t="s">
        <v>531</v>
      </c>
      <c r="AK96" s="495" t="s">
        <v>531</v>
      </c>
      <c r="AL96" s="495" t="s">
        <v>531</v>
      </c>
      <c r="AM96" s="495" t="s">
        <v>531</v>
      </c>
      <c r="AN96" s="495" t="s">
        <v>531</v>
      </c>
      <c r="AO96" s="495" t="s">
        <v>531</v>
      </c>
      <c r="AP96" s="495" t="s">
        <v>531</v>
      </c>
      <c r="AQ96" s="495" t="s">
        <v>531</v>
      </c>
      <c r="AR96" s="495" t="s">
        <v>531</v>
      </c>
      <c r="AS96" s="495" t="s">
        <v>531</v>
      </c>
      <c r="AT96" s="495" t="s">
        <v>531</v>
      </c>
      <c r="AU96" s="495" t="s">
        <v>531</v>
      </c>
      <c r="AV96" s="495" t="s">
        <v>531</v>
      </c>
      <c r="AW96" s="495" t="s">
        <v>531</v>
      </c>
      <c r="AX96" s="495" t="s">
        <v>531</v>
      </c>
      <c r="AY96" s="495" t="s">
        <v>531</v>
      </c>
      <c r="AZ96" s="495" t="s">
        <v>531</v>
      </c>
      <c r="BA96" s="495" t="s">
        <v>531</v>
      </c>
      <c r="BB96" s="495" t="s">
        <v>531</v>
      </c>
      <c r="BC96" s="495" t="s">
        <v>531</v>
      </c>
      <c r="BD96" s="495" t="s">
        <v>531</v>
      </c>
      <c r="BE96" s="495" t="s">
        <v>531</v>
      </c>
      <c r="BF96" s="495" t="s">
        <v>531</v>
      </c>
      <c r="BG96" s="495" t="s">
        <v>531</v>
      </c>
      <c r="BH96" s="495" t="s">
        <v>531</v>
      </c>
      <c r="BI96" s="495" t="s">
        <v>531</v>
      </c>
      <c r="BJ96" s="495" t="s">
        <v>531</v>
      </c>
      <c r="BK96" s="495" t="s">
        <v>531</v>
      </c>
      <c r="BL96" s="495" t="s">
        <v>531</v>
      </c>
      <c r="BM96" s="495" t="s">
        <v>531</v>
      </c>
      <c r="BN96" s="495" t="s">
        <v>531</v>
      </c>
      <c r="BO96" s="495" t="s">
        <v>531</v>
      </c>
      <c r="BP96" s="495" t="s">
        <v>531</v>
      </c>
      <c r="BQ96" s="495" t="s">
        <v>531</v>
      </c>
      <c r="BR96" s="495" t="s">
        <v>531</v>
      </c>
      <c r="BS96" s="495" t="s">
        <v>531</v>
      </c>
      <c r="BT96" s="495" t="s">
        <v>531</v>
      </c>
      <c r="BU96" s="495"/>
      <c r="BV96" s="495"/>
      <c r="BW96" s="495"/>
      <c r="BX96" s="495"/>
      <c r="BY96" s="495"/>
      <c r="BZ96" s="495"/>
      <c r="CA96" s="495"/>
    </row>
    <row r="97" spans="1:79">
      <c r="A97" s="499">
        <v>4350</v>
      </c>
      <c r="B97" s="495" t="s">
        <v>531</v>
      </c>
      <c r="C97" s="495" t="s">
        <v>531</v>
      </c>
      <c r="D97" s="495" t="s">
        <v>531</v>
      </c>
      <c r="E97" s="495" t="s">
        <v>531</v>
      </c>
      <c r="F97" s="495" t="s">
        <v>531</v>
      </c>
      <c r="G97" s="495" t="s">
        <v>531</v>
      </c>
      <c r="H97" s="495" t="s">
        <v>531</v>
      </c>
      <c r="I97" s="495" t="s">
        <v>531</v>
      </c>
      <c r="J97" s="495" t="s">
        <v>531</v>
      </c>
      <c r="K97" s="495" t="s">
        <v>531</v>
      </c>
      <c r="L97" s="495" t="s">
        <v>531</v>
      </c>
      <c r="M97" s="495" t="s">
        <v>531</v>
      </c>
      <c r="N97" s="495" t="s">
        <v>531</v>
      </c>
      <c r="O97" s="495" t="s">
        <v>531</v>
      </c>
      <c r="P97" s="495" t="s">
        <v>531</v>
      </c>
      <c r="Q97" s="495" t="s">
        <v>531</v>
      </c>
      <c r="R97" s="495" t="s">
        <v>531</v>
      </c>
      <c r="S97" s="495" t="s">
        <v>531</v>
      </c>
      <c r="T97" s="495" t="s">
        <v>531</v>
      </c>
      <c r="U97" s="495" t="s">
        <v>531</v>
      </c>
      <c r="V97" s="495" t="s">
        <v>531</v>
      </c>
      <c r="W97" s="495" t="s">
        <v>531</v>
      </c>
      <c r="X97" s="495" t="s">
        <v>531</v>
      </c>
      <c r="Y97" s="495" t="s">
        <v>531</v>
      </c>
      <c r="Z97" s="495" t="s">
        <v>531</v>
      </c>
      <c r="AA97" s="495">
        <v>16930</v>
      </c>
      <c r="AB97" s="495">
        <v>17250</v>
      </c>
      <c r="AC97" s="495">
        <v>17570</v>
      </c>
      <c r="AD97" s="495" t="s">
        <v>531</v>
      </c>
      <c r="AE97" s="495" t="s">
        <v>531</v>
      </c>
      <c r="AF97" s="495" t="s">
        <v>531</v>
      </c>
      <c r="AG97" s="495" t="s">
        <v>531</v>
      </c>
      <c r="AH97" s="495" t="s">
        <v>531</v>
      </c>
      <c r="AI97" s="495" t="s">
        <v>531</v>
      </c>
      <c r="AJ97" s="495" t="s">
        <v>531</v>
      </c>
      <c r="AK97" s="495" t="s">
        <v>531</v>
      </c>
      <c r="AL97" s="495" t="s">
        <v>531</v>
      </c>
      <c r="AM97" s="495" t="s">
        <v>531</v>
      </c>
      <c r="AN97" s="495" t="s">
        <v>531</v>
      </c>
      <c r="AO97" s="495" t="s">
        <v>531</v>
      </c>
      <c r="AP97" s="495" t="s">
        <v>531</v>
      </c>
      <c r="AQ97" s="495" t="s">
        <v>531</v>
      </c>
      <c r="AR97" s="495" t="s">
        <v>531</v>
      </c>
      <c r="AS97" s="495" t="s">
        <v>531</v>
      </c>
      <c r="AT97" s="495" t="s">
        <v>531</v>
      </c>
      <c r="AU97" s="495" t="s">
        <v>531</v>
      </c>
      <c r="AV97" s="495" t="s">
        <v>531</v>
      </c>
      <c r="AW97" s="495" t="s">
        <v>531</v>
      </c>
      <c r="AX97" s="495" t="s">
        <v>531</v>
      </c>
      <c r="AY97" s="495" t="s">
        <v>531</v>
      </c>
      <c r="AZ97" s="495" t="s">
        <v>531</v>
      </c>
      <c r="BA97" s="495" t="s">
        <v>531</v>
      </c>
      <c r="BB97" s="495" t="s">
        <v>531</v>
      </c>
      <c r="BC97" s="495" t="s">
        <v>531</v>
      </c>
      <c r="BD97" s="495" t="s">
        <v>531</v>
      </c>
      <c r="BE97" s="495" t="s">
        <v>531</v>
      </c>
      <c r="BF97" s="495" t="s">
        <v>531</v>
      </c>
      <c r="BG97" s="495" t="s">
        <v>531</v>
      </c>
      <c r="BH97" s="495" t="s">
        <v>531</v>
      </c>
      <c r="BI97" s="495" t="s">
        <v>531</v>
      </c>
      <c r="BJ97" s="495" t="s">
        <v>531</v>
      </c>
      <c r="BK97" s="495" t="s">
        <v>531</v>
      </c>
      <c r="BL97" s="495" t="s">
        <v>531</v>
      </c>
      <c r="BM97" s="495" t="s">
        <v>531</v>
      </c>
      <c r="BN97" s="495" t="s">
        <v>531</v>
      </c>
      <c r="BO97" s="495" t="s">
        <v>531</v>
      </c>
      <c r="BP97" s="495" t="s">
        <v>531</v>
      </c>
      <c r="BQ97" s="495" t="s">
        <v>531</v>
      </c>
      <c r="BR97" s="495" t="s">
        <v>531</v>
      </c>
      <c r="BS97" s="495" t="s">
        <v>531</v>
      </c>
      <c r="BT97" s="495" t="s">
        <v>531</v>
      </c>
      <c r="BU97" s="495"/>
      <c r="BV97" s="495"/>
      <c r="BW97" s="495"/>
      <c r="BX97" s="495"/>
      <c r="BY97" s="495"/>
      <c r="BZ97" s="495"/>
      <c r="CA97" s="495"/>
    </row>
    <row r="98" spans="1:79">
      <c r="A98" s="499">
        <v>4400</v>
      </c>
      <c r="B98" s="495" t="s">
        <v>531</v>
      </c>
      <c r="C98" s="495" t="s">
        <v>531</v>
      </c>
      <c r="D98" s="495" t="s">
        <v>531</v>
      </c>
      <c r="E98" s="495" t="s">
        <v>531</v>
      </c>
      <c r="F98" s="495" t="s">
        <v>531</v>
      </c>
      <c r="G98" s="495" t="s">
        <v>531</v>
      </c>
      <c r="H98" s="495" t="s">
        <v>531</v>
      </c>
      <c r="I98" s="495" t="s">
        <v>531</v>
      </c>
      <c r="J98" s="495" t="s">
        <v>531</v>
      </c>
      <c r="K98" s="495" t="s">
        <v>531</v>
      </c>
      <c r="L98" s="495" t="s">
        <v>531</v>
      </c>
      <c r="M98" s="495" t="s">
        <v>531</v>
      </c>
      <c r="N98" s="495" t="s">
        <v>531</v>
      </c>
      <c r="O98" s="495" t="s">
        <v>531</v>
      </c>
      <c r="P98" s="495" t="s">
        <v>531</v>
      </c>
      <c r="Q98" s="495" t="s">
        <v>531</v>
      </c>
      <c r="R98" s="495" t="s">
        <v>531</v>
      </c>
      <c r="S98" s="495" t="s">
        <v>531</v>
      </c>
      <c r="T98" s="495" t="s">
        <v>531</v>
      </c>
      <c r="U98" s="495" t="s">
        <v>531</v>
      </c>
      <c r="V98" s="495" t="s">
        <v>531</v>
      </c>
      <c r="W98" s="495" t="s">
        <v>531</v>
      </c>
      <c r="X98" s="495" t="s">
        <v>531</v>
      </c>
      <c r="Y98" s="495" t="s">
        <v>531</v>
      </c>
      <c r="Z98" s="495" t="s">
        <v>531</v>
      </c>
      <c r="AA98" s="495">
        <v>17110</v>
      </c>
      <c r="AB98" s="495">
        <v>17430</v>
      </c>
      <c r="AC98" s="495">
        <v>17750</v>
      </c>
      <c r="AD98" s="495" t="s">
        <v>531</v>
      </c>
      <c r="AE98" s="495" t="s">
        <v>531</v>
      </c>
      <c r="AF98" s="495" t="s">
        <v>531</v>
      </c>
      <c r="AG98" s="495" t="s">
        <v>531</v>
      </c>
      <c r="AH98" s="495" t="s">
        <v>531</v>
      </c>
      <c r="AI98" s="495" t="s">
        <v>531</v>
      </c>
      <c r="AJ98" s="495" t="s">
        <v>531</v>
      </c>
      <c r="AK98" s="495" t="s">
        <v>531</v>
      </c>
      <c r="AL98" s="495" t="s">
        <v>531</v>
      </c>
      <c r="AM98" s="495" t="s">
        <v>531</v>
      </c>
      <c r="AN98" s="495" t="s">
        <v>531</v>
      </c>
      <c r="AO98" s="495" t="s">
        <v>531</v>
      </c>
      <c r="AP98" s="495" t="s">
        <v>531</v>
      </c>
      <c r="AQ98" s="495" t="s">
        <v>531</v>
      </c>
      <c r="AR98" s="495" t="s">
        <v>531</v>
      </c>
      <c r="AS98" s="495" t="s">
        <v>531</v>
      </c>
      <c r="AT98" s="495" t="s">
        <v>531</v>
      </c>
      <c r="AU98" s="495" t="s">
        <v>531</v>
      </c>
      <c r="AV98" s="495" t="s">
        <v>531</v>
      </c>
      <c r="AW98" s="495" t="s">
        <v>531</v>
      </c>
      <c r="AX98" s="495" t="s">
        <v>531</v>
      </c>
      <c r="AY98" s="495" t="s">
        <v>531</v>
      </c>
      <c r="AZ98" s="495" t="s">
        <v>531</v>
      </c>
      <c r="BA98" s="495" t="s">
        <v>531</v>
      </c>
      <c r="BB98" s="495" t="s">
        <v>531</v>
      </c>
      <c r="BC98" s="495" t="s">
        <v>531</v>
      </c>
      <c r="BD98" s="495" t="s">
        <v>531</v>
      </c>
      <c r="BE98" s="495" t="s">
        <v>531</v>
      </c>
      <c r="BF98" s="495" t="s">
        <v>531</v>
      </c>
      <c r="BG98" s="495" t="s">
        <v>531</v>
      </c>
      <c r="BH98" s="495" t="s">
        <v>531</v>
      </c>
      <c r="BI98" s="495" t="s">
        <v>531</v>
      </c>
      <c r="BJ98" s="495" t="s">
        <v>531</v>
      </c>
      <c r="BK98" s="495" t="s">
        <v>531</v>
      </c>
      <c r="BL98" s="495" t="s">
        <v>531</v>
      </c>
      <c r="BM98" s="495" t="s">
        <v>531</v>
      </c>
      <c r="BN98" s="495" t="s">
        <v>531</v>
      </c>
      <c r="BO98" s="495" t="s">
        <v>531</v>
      </c>
      <c r="BP98" s="495" t="s">
        <v>531</v>
      </c>
      <c r="BQ98" s="495" t="s">
        <v>531</v>
      </c>
      <c r="BR98" s="495" t="s">
        <v>531</v>
      </c>
      <c r="BS98" s="495" t="s">
        <v>531</v>
      </c>
      <c r="BT98" s="495" t="s">
        <v>531</v>
      </c>
      <c r="BU98" s="495"/>
      <c r="BV98" s="495"/>
      <c r="BW98" s="495"/>
      <c r="BX98" s="495"/>
      <c r="BY98" s="495"/>
      <c r="BZ98" s="495"/>
      <c r="CA98" s="495"/>
    </row>
    <row r="99" spans="1:79">
      <c r="A99" s="499">
        <v>4450</v>
      </c>
      <c r="B99" s="495" t="s">
        <v>531</v>
      </c>
      <c r="C99" s="495" t="s">
        <v>531</v>
      </c>
      <c r="D99" s="495" t="s">
        <v>531</v>
      </c>
      <c r="E99" s="495" t="s">
        <v>531</v>
      </c>
      <c r="F99" s="495" t="s">
        <v>531</v>
      </c>
      <c r="G99" s="495" t="s">
        <v>531</v>
      </c>
      <c r="H99" s="495" t="s">
        <v>531</v>
      </c>
      <c r="I99" s="495" t="s">
        <v>531</v>
      </c>
      <c r="J99" s="495" t="s">
        <v>531</v>
      </c>
      <c r="K99" s="495" t="s">
        <v>531</v>
      </c>
      <c r="L99" s="495" t="s">
        <v>531</v>
      </c>
      <c r="M99" s="495" t="s">
        <v>531</v>
      </c>
      <c r="N99" s="495" t="s">
        <v>531</v>
      </c>
      <c r="O99" s="495" t="s">
        <v>531</v>
      </c>
      <c r="P99" s="495" t="s">
        <v>531</v>
      </c>
      <c r="Q99" s="495" t="s">
        <v>531</v>
      </c>
      <c r="R99" s="495" t="s">
        <v>531</v>
      </c>
      <c r="S99" s="495" t="s">
        <v>531</v>
      </c>
      <c r="T99" s="495" t="s">
        <v>531</v>
      </c>
      <c r="U99" s="495" t="s">
        <v>531</v>
      </c>
      <c r="V99" s="495" t="s">
        <v>531</v>
      </c>
      <c r="W99" s="495" t="s">
        <v>531</v>
      </c>
      <c r="X99" s="495" t="s">
        <v>531</v>
      </c>
      <c r="Y99" s="495" t="s">
        <v>531</v>
      </c>
      <c r="Z99" s="495" t="s">
        <v>531</v>
      </c>
      <c r="AA99" s="495">
        <v>17290</v>
      </c>
      <c r="AB99" s="495">
        <v>17610</v>
      </c>
      <c r="AC99" s="495">
        <v>17920</v>
      </c>
      <c r="AD99" s="495" t="s">
        <v>531</v>
      </c>
      <c r="AE99" s="495" t="s">
        <v>531</v>
      </c>
      <c r="AF99" s="495" t="s">
        <v>531</v>
      </c>
      <c r="AG99" s="495" t="s">
        <v>531</v>
      </c>
      <c r="AH99" s="495" t="s">
        <v>531</v>
      </c>
      <c r="AI99" s="495" t="s">
        <v>531</v>
      </c>
      <c r="AJ99" s="495" t="s">
        <v>531</v>
      </c>
      <c r="AK99" s="495" t="s">
        <v>531</v>
      </c>
      <c r="AL99" s="495" t="s">
        <v>531</v>
      </c>
      <c r="AM99" s="495" t="s">
        <v>531</v>
      </c>
      <c r="AN99" s="495" t="s">
        <v>531</v>
      </c>
      <c r="AO99" s="495" t="s">
        <v>531</v>
      </c>
      <c r="AP99" s="495" t="s">
        <v>531</v>
      </c>
      <c r="AQ99" s="495" t="s">
        <v>531</v>
      </c>
      <c r="AR99" s="495" t="s">
        <v>531</v>
      </c>
      <c r="AS99" s="495" t="s">
        <v>531</v>
      </c>
      <c r="AT99" s="495" t="s">
        <v>531</v>
      </c>
      <c r="AU99" s="495" t="s">
        <v>531</v>
      </c>
      <c r="AV99" s="495" t="s">
        <v>531</v>
      </c>
      <c r="AW99" s="495" t="s">
        <v>531</v>
      </c>
      <c r="AX99" s="495" t="s">
        <v>531</v>
      </c>
      <c r="AY99" s="495" t="s">
        <v>531</v>
      </c>
      <c r="AZ99" s="495" t="s">
        <v>531</v>
      </c>
      <c r="BA99" s="495" t="s">
        <v>531</v>
      </c>
      <c r="BB99" s="495" t="s">
        <v>531</v>
      </c>
      <c r="BC99" s="495" t="s">
        <v>531</v>
      </c>
      <c r="BD99" s="495" t="s">
        <v>531</v>
      </c>
      <c r="BE99" s="495" t="s">
        <v>531</v>
      </c>
      <c r="BF99" s="495" t="s">
        <v>531</v>
      </c>
      <c r="BG99" s="495" t="s">
        <v>531</v>
      </c>
      <c r="BH99" s="495" t="s">
        <v>531</v>
      </c>
      <c r="BI99" s="495" t="s">
        <v>531</v>
      </c>
      <c r="BJ99" s="495" t="s">
        <v>531</v>
      </c>
      <c r="BK99" s="495" t="s">
        <v>531</v>
      </c>
      <c r="BL99" s="495" t="s">
        <v>531</v>
      </c>
      <c r="BM99" s="495" t="s">
        <v>531</v>
      </c>
      <c r="BN99" s="495" t="s">
        <v>531</v>
      </c>
      <c r="BO99" s="495" t="s">
        <v>531</v>
      </c>
      <c r="BP99" s="495" t="s">
        <v>531</v>
      </c>
      <c r="BQ99" s="495" t="s">
        <v>531</v>
      </c>
      <c r="BR99" s="495" t="s">
        <v>531</v>
      </c>
      <c r="BS99" s="495" t="s">
        <v>531</v>
      </c>
      <c r="BT99" s="495" t="s">
        <v>531</v>
      </c>
      <c r="BU99" s="495"/>
      <c r="BV99" s="495"/>
      <c r="BW99" s="495"/>
      <c r="BX99" s="495"/>
      <c r="BY99" s="495"/>
      <c r="BZ99" s="495"/>
      <c r="CA99" s="495"/>
    </row>
    <row r="100" spans="1:79">
      <c r="A100" s="499">
        <v>4500</v>
      </c>
      <c r="B100" s="495" t="s">
        <v>531</v>
      </c>
      <c r="C100" s="495" t="s">
        <v>531</v>
      </c>
      <c r="D100" s="495" t="s">
        <v>531</v>
      </c>
      <c r="E100" s="495" t="s">
        <v>531</v>
      </c>
      <c r="F100" s="495" t="s">
        <v>531</v>
      </c>
      <c r="G100" s="495" t="s">
        <v>531</v>
      </c>
      <c r="H100" s="495" t="s">
        <v>531</v>
      </c>
      <c r="I100" s="495" t="s">
        <v>531</v>
      </c>
      <c r="J100" s="495" t="s">
        <v>531</v>
      </c>
      <c r="K100" s="495" t="s">
        <v>531</v>
      </c>
      <c r="L100" s="495" t="s">
        <v>531</v>
      </c>
      <c r="M100" s="495" t="s">
        <v>531</v>
      </c>
      <c r="N100" s="495" t="s">
        <v>531</v>
      </c>
      <c r="O100" s="495" t="s">
        <v>531</v>
      </c>
      <c r="P100" s="495" t="s">
        <v>531</v>
      </c>
      <c r="Q100" s="495" t="s">
        <v>531</v>
      </c>
      <c r="R100" s="495" t="s">
        <v>531</v>
      </c>
      <c r="S100" s="495" t="s">
        <v>531</v>
      </c>
      <c r="T100" s="495" t="s">
        <v>531</v>
      </c>
      <c r="U100" s="495" t="s">
        <v>531</v>
      </c>
      <c r="V100" s="495" t="s">
        <v>531</v>
      </c>
      <c r="W100" s="495" t="s">
        <v>531</v>
      </c>
      <c r="X100" s="495" t="s">
        <v>531</v>
      </c>
      <c r="Y100" s="495" t="s">
        <v>531</v>
      </c>
      <c r="Z100" s="495" t="s">
        <v>531</v>
      </c>
      <c r="AA100" s="495">
        <v>17460</v>
      </c>
      <c r="AB100" s="495">
        <v>17790</v>
      </c>
      <c r="AC100" s="495">
        <v>18100</v>
      </c>
      <c r="AD100" s="495" t="s">
        <v>531</v>
      </c>
      <c r="AE100" s="495" t="s">
        <v>531</v>
      </c>
      <c r="AF100" s="495" t="s">
        <v>531</v>
      </c>
      <c r="AG100" s="495" t="s">
        <v>531</v>
      </c>
      <c r="AH100" s="495" t="s">
        <v>531</v>
      </c>
      <c r="AI100" s="495" t="s">
        <v>531</v>
      </c>
      <c r="AJ100" s="495" t="s">
        <v>531</v>
      </c>
      <c r="AK100" s="495" t="s">
        <v>531</v>
      </c>
      <c r="AL100" s="495" t="s">
        <v>531</v>
      </c>
      <c r="AM100" s="495" t="s">
        <v>531</v>
      </c>
      <c r="AN100" s="495" t="s">
        <v>531</v>
      </c>
      <c r="AO100" s="495" t="s">
        <v>531</v>
      </c>
      <c r="AP100" s="495" t="s">
        <v>531</v>
      </c>
      <c r="AQ100" s="495" t="s">
        <v>531</v>
      </c>
      <c r="AR100" s="495" t="s">
        <v>531</v>
      </c>
      <c r="AS100" s="495" t="s">
        <v>531</v>
      </c>
      <c r="AT100" s="495" t="s">
        <v>531</v>
      </c>
      <c r="AU100" s="495" t="s">
        <v>531</v>
      </c>
      <c r="AV100" s="495" t="s">
        <v>531</v>
      </c>
      <c r="AW100" s="495" t="s">
        <v>531</v>
      </c>
      <c r="AX100" s="495" t="s">
        <v>531</v>
      </c>
      <c r="AY100" s="495" t="s">
        <v>531</v>
      </c>
      <c r="AZ100" s="495" t="s">
        <v>531</v>
      </c>
      <c r="BA100" s="495" t="s">
        <v>531</v>
      </c>
      <c r="BB100" s="495" t="s">
        <v>531</v>
      </c>
      <c r="BC100" s="495" t="s">
        <v>531</v>
      </c>
      <c r="BD100" s="495" t="s">
        <v>531</v>
      </c>
      <c r="BE100" s="495" t="s">
        <v>531</v>
      </c>
      <c r="BF100" s="495" t="s">
        <v>531</v>
      </c>
      <c r="BG100" s="495" t="s">
        <v>531</v>
      </c>
      <c r="BH100" s="495" t="s">
        <v>531</v>
      </c>
      <c r="BI100" s="495" t="s">
        <v>531</v>
      </c>
      <c r="BJ100" s="495" t="s">
        <v>531</v>
      </c>
      <c r="BK100" s="495" t="s">
        <v>531</v>
      </c>
      <c r="BL100" s="495" t="s">
        <v>531</v>
      </c>
      <c r="BM100" s="495" t="s">
        <v>531</v>
      </c>
      <c r="BN100" s="495" t="s">
        <v>531</v>
      </c>
      <c r="BO100" s="495" t="s">
        <v>531</v>
      </c>
      <c r="BP100" s="495" t="s">
        <v>531</v>
      </c>
      <c r="BQ100" s="495" t="s">
        <v>531</v>
      </c>
      <c r="BR100" s="495" t="s">
        <v>531</v>
      </c>
      <c r="BS100" s="495" t="s">
        <v>531</v>
      </c>
      <c r="BT100" s="495" t="s">
        <v>531</v>
      </c>
      <c r="BU100" s="495"/>
      <c r="BV100" s="495"/>
      <c r="BW100" s="495"/>
      <c r="BX100" s="495"/>
      <c r="BY100" s="495"/>
      <c r="BZ100" s="495"/>
      <c r="CA100" s="495"/>
    </row>
    <row r="101" spans="1:79">
      <c r="A101" s="499">
        <v>4550</v>
      </c>
      <c r="B101" s="495" t="s">
        <v>531</v>
      </c>
      <c r="C101" s="495" t="s">
        <v>531</v>
      </c>
      <c r="D101" s="495" t="s">
        <v>531</v>
      </c>
      <c r="E101" s="495" t="s">
        <v>531</v>
      </c>
      <c r="F101" s="495" t="s">
        <v>531</v>
      </c>
      <c r="G101" s="495" t="s">
        <v>531</v>
      </c>
      <c r="H101" s="495" t="s">
        <v>531</v>
      </c>
      <c r="I101" s="495" t="s">
        <v>531</v>
      </c>
      <c r="J101" s="495" t="s">
        <v>531</v>
      </c>
      <c r="K101" s="495" t="s">
        <v>531</v>
      </c>
      <c r="L101" s="495" t="s">
        <v>531</v>
      </c>
      <c r="M101" s="495" t="s">
        <v>531</v>
      </c>
      <c r="N101" s="495" t="s">
        <v>531</v>
      </c>
      <c r="O101" s="495" t="s">
        <v>531</v>
      </c>
      <c r="P101" s="495" t="s">
        <v>531</v>
      </c>
      <c r="Q101" s="495" t="s">
        <v>531</v>
      </c>
      <c r="R101" s="495" t="s">
        <v>531</v>
      </c>
      <c r="S101" s="495" t="s">
        <v>531</v>
      </c>
      <c r="T101" s="495" t="s">
        <v>531</v>
      </c>
      <c r="U101" s="495" t="s">
        <v>531</v>
      </c>
      <c r="V101" s="495" t="s">
        <v>531</v>
      </c>
      <c r="W101" s="495" t="s">
        <v>531</v>
      </c>
      <c r="X101" s="495" t="s">
        <v>531</v>
      </c>
      <c r="Y101" s="495" t="s">
        <v>531</v>
      </c>
      <c r="Z101" s="495" t="s">
        <v>531</v>
      </c>
      <c r="AA101" s="495">
        <v>17640</v>
      </c>
      <c r="AB101" s="495">
        <v>17960</v>
      </c>
      <c r="AC101" s="495">
        <v>18280</v>
      </c>
      <c r="AD101" s="495" t="s">
        <v>531</v>
      </c>
      <c r="AE101" s="495" t="s">
        <v>531</v>
      </c>
      <c r="AF101" s="495" t="s">
        <v>531</v>
      </c>
      <c r="AG101" s="495" t="s">
        <v>531</v>
      </c>
      <c r="AH101" s="495" t="s">
        <v>531</v>
      </c>
      <c r="AI101" s="495" t="s">
        <v>531</v>
      </c>
      <c r="AJ101" s="495" t="s">
        <v>531</v>
      </c>
      <c r="AK101" s="495" t="s">
        <v>531</v>
      </c>
      <c r="AL101" s="495" t="s">
        <v>531</v>
      </c>
      <c r="AM101" s="495" t="s">
        <v>531</v>
      </c>
      <c r="AN101" s="495" t="s">
        <v>531</v>
      </c>
      <c r="AO101" s="495" t="s">
        <v>531</v>
      </c>
      <c r="AP101" s="495" t="s">
        <v>531</v>
      </c>
      <c r="AQ101" s="495" t="s">
        <v>531</v>
      </c>
      <c r="AR101" s="495" t="s">
        <v>531</v>
      </c>
      <c r="AS101" s="495" t="s">
        <v>531</v>
      </c>
      <c r="AT101" s="495" t="s">
        <v>531</v>
      </c>
      <c r="AU101" s="495" t="s">
        <v>531</v>
      </c>
      <c r="AV101" s="495" t="s">
        <v>531</v>
      </c>
      <c r="AW101" s="495" t="s">
        <v>531</v>
      </c>
      <c r="AX101" s="495" t="s">
        <v>531</v>
      </c>
      <c r="AY101" s="495" t="s">
        <v>531</v>
      </c>
      <c r="AZ101" s="495" t="s">
        <v>531</v>
      </c>
      <c r="BA101" s="495" t="s">
        <v>531</v>
      </c>
      <c r="BB101" s="495" t="s">
        <v>531</v>
      </c>
      <c r="BC101" s="495" t="s">
        <v>531</v>
      </c>
      <c r="BD101" s="495" t="s">
        <v>531</v>
      </c>
      <c r="BE101" s="495" t="s">
        <v>531</v>
      </c>
      <c r="BF101" s="495" t="s">
        <v>531</v>
      </c>
      <c r="BG101" s="495" t="s">
        <v>531</v>
      </c>
      <c r="BH101" s="495" t="s">
        <v>531</v>
      </c>
      <c r="BI101" s="495" t="s">
        <v>531</v>
      </c>
      <c r="BJ101" s="495" t="s">
        <v>531</v>
      </c>
      <c r="BK101" s="495" t="s">
        <v>531</v>
      </c>
      <c r="BL101" s="495" t="s">
        <v>531</v>
      </c>
      <c r="BM101" s="495" t="s">
        <v>531</v>
      </c>
      <c r="BN101" s="495" t="s">
        <v>531</v>
      </c>
      <c r="BO101" s="495" t="s">
        <v>531</v>
      </c>
      <c r="BP101" s="495" t="s">
        <v>531</v>
      </c>
      <c r="BQ101" s="495" t="s">
        <v>531</v>
      </c>
      <c r="BR101" s="495" t="s">
        <v>531</v>
      </c>
      <c r="BS101" s="495" t="s">
        <v>531</v>
      </c>
      <c r="BT101" s="495" t="s">
        <v>531</v>
      </c>
      <c r="BU101" s="495"/>
      <c r="BV101" s="495"/>
      <c r="BW101" s="495"/>
      <c r="BX101" s="495"/>
      <c r="BY101" s="495"/>
      <c r="BZ101" s="495"/>
      <c r="CA101" s="495"/>
    </row>
    <row r="102" spans="1:79">
      <c r="A102" s="499">
        <v>4600</v>
      </c>
      <c r="B102" s="495" t="s">
        <v>531</v>
      </c>
      <c r="C102" s="495" t="s">
        <v>531</v>
      </c>
      <c r="D102" s="495" t="s">
        <v>531</v>
      </c>
      <c r="E102" s="495" t="s">
        <v>531</v>
      </c>
      <c r="F102" s="495" t="s">
        <v>531</v>
      </c>
      <c r="G102" s="495" t="s">
        <v>531</v>
      </c>
      <c r="H102" s="495" t="s">
        <v>531</v>
      </c>
      <c r="I102" s="495" t="s">
        <v>531</v>
      </c>
      <c r="J102" s="495" t="s">
        <v>531</v>
      </c>
      <c r="K102" s="495" t="s">
        <v>531</v>
      </c>
      <c r="L102" s="495" t="s">
        <v>531</v>
      </c>
      <c r="M102" s="495" t="s">
        <v>531</v>
      </c>
      <c r="N102" s="495" t="s">
        <v>531</v>
      </c>
      <c r="O102" s="495" t="s">
        <v>531</v>
      </c>
      <c r="P102" s="495" t="s">
        <v>531</v>
      </c>
      <c r="Q102" s="495" t="s">
        <v>531</v>
      </c>
      <c r="R102" s="495" t="s">
        <v>531</v>
      </c>
      <c r="S102" s="495" t="s">
        <v>531</v>
      </c>
      <c r="T102" s="495" t="s">
        <v>531</v>
      </c>
      <c r="U102" s="495" t="s">
        <v>531</v>
      </c>
      <c r="V102" s="495" t="s">
        <v>531</v>
      </c>
      <c r="W102" s="495" t="s">
        <v>531</v>
      </c>
      <c r="X102" s="495" t="s">
        <v>531</v>
      </c>
      <c r="Y102" s="495" t="s">
        <v>531</v>
      </c>
      <c r="Z102" s="495" t="s">
        <v>531</v>
      </c>
      <c r="AA102" s="495">
        <v>17820</v>
      </c>
      <c r="AB102" s="495">
        <v>18140</v>
      </c>
      <c r="AC102" s="495">
        <v>18460</v>
      </c>
      <c r="AD102" s="495" t="s">
        <v>531</v>
      </c>
      <c r="AE102" s="495" t="s">
        <v>531</v>
      </c>
      <c r="AF102" s="495" t="s">
        <v>531</v>
      </c>
      <c r="AG102" s="495" t="s">
        <v>531</v>
      </c>
      <c r="AH102" s="495" t="s">
        <v>531</v>
      </c>
      <c r="AI102" s="495" t="s">
        <v>531</v>
      </c>
      <c r="AJ102" s="495" t="s">
        <v>531</v>
      </c>
      <c r="AK102" s="495" t="s">
        <v>531</v>
      </c>
      <c r="AL102" s="495" t="s">
        <v>531</v>
      </c>
      <c r="AM102" s="495" t="s">
        <v>531</v>
      </c>
      <c r="AN102" s="495" t="s">
        <v>531</v>
      </c>
      <c r="AO102" s="495" t="s">
        <v>531</v>
      </c>
      <c r="AP102" s="495" t="s">
        <v>531</v>
      </c>
      <c r="AQ102" s="495" t="s">
        <v>531</v>
      </c>
      <c r="AR102" s="495" t="s">
        <v>531</v>
      </c>
      <c r="AS102" s="495" t="s">
        <v>531</v>
      </c>
      <c r="AT102" s="495" t="s">
        <v>531</v>
      </c>
      <c r="AU102" s="495" t="s">
        <v>531</v>
      </c>
      <c r="AV102" s="495" t="s">
        <v>531</v>
      </c>
      <c r="AW102" s="495" t="s">
        <v>531</v>
      </c>
      <c r="AX102" s="495" t="s">
        <v>531</v>
      </c>
      <c r="AY102" s="495" t="s">
        <v>531</v>
      </c>
      <c r="AZ102" s="495" t="s">
        <v>531</v>
      </c>
      <c r="BA102" s="495" t="s">
        <v>531</v>
      </c>
      <c r="BB102" s="495" t="s">
        <v>531</v>
      </c>
      <c r="BC102" s="495" t="s">
        <v>531</v>
      </c>
      <c r="BD102" s="495" t="s">
        <v>531</v>
      </c>
      <c r="BE102" s="495" t="s">
        <v>531</v>
      </c>
      <c r="BF102" s="495" t="s">
        <v>531</v>
      </c>
      <c r="BG102" s="495" t="s">
        <v>531</v>
      </c>
      <c r="BH102" s="495" t="s">
        <v>531</v>
      </c>
      <c r="BI102" s="495" t="s">
        <v>531</v>
      </c>
      <c r="BJ102" s="495" t="s">
        <v>531</v>
      </c>
      <c r="BK102" s="495" t="s">
        <v>531</v>
      </c>
      <c r="BL102" s="495" t="s">
        <v>531</v>
      </c>
      <c r="BM102" s="495" t="s">
        <v>531</v>
      </c>
      <c r="BN102" s="495" t="s">
        <v>531</v>
      </c>
      <c r="BO102" s="495" t="s">
        <v>531</v>
      </c>
      <c r="BP102" s="495" t="s">
        <v>531</v>
      </c>
      <c r="BQ102" s="495" t="s">
        <v>531</v>
      </c>
      <c r="BR102" s="495" t="s">
        <v>531</v>
      </c>
      <c r="BS102" s="495" t="s">
        <v>531</v>
      </c>
      <c r="BT102" s="495" t="s">
        <v>531</v>
      </c>
      <c r="BU102" s="495"/>
      <c r="BV102" s="495"/>
      <c r="BW102" s="495"/>
      <c r="BX102" s="495"/>
      <c r="BY102" s="495"/>
      <c r="BZ102" s="495"/>
      <c r="CA102" s="495"/>
    </row>
    <row r="103" spans="1:79">
      <c r="A103" s="497"/>
      <c r="B103" s="495" t="s">
        <v>531</v>
      </c>
      <c r="C103" s="495" t="s">
        <v>531</v>
      </c>
      <c r="D103" s="495" t="s">
        <v>531</v>
      </c>
      <c r="E103" s="495" t="s">
        <v>531</v>
      </c>
      <c r="F103" s="495" t="s">
        <v>531</v>
      </c>
      <c r="G103" s="495" t="s">
        <v>531</v>
      </c>
      <c r="H103" s="495" t="s">
        <v>531</v>
      </c>
      <c r="I103" s="495" t="s">
        <v>531</v>
      </c>
      <c r="J103" s="495" t="s">
        <v>531</v>
      </c>
      <c r="K103" s="495" t="s">
        <v>531</v>
      </c>
      <c r="L103" s="495" t="s">
        <v>531</v>
      </c>
      <c r="M103" s="495" t="s">
        <v>531</v>
      </c>
      <c r="N103" s="495" t="s">
        <v>531</v>
      </c>
      <c r="O103" s="495" t="s">
        <v>531</v>
      </c>
      <c r="P103" s="495" t="s">
        <v>531</v>
      </c>
      <c r="Q103" s="495" t="s">
        <v>531</v>
      </c>
      <c r="R103" s="495" t="s">
        <v>531</v>
      </c>
      <c r="S103" s="495" t="s">
        <v>531</v>
      </c>
      <c r="T103" s="495" t="s">
        <v>531</v>
      </c>
      <c r="U103" s="495" t="s">
        <v>531</v>
      </c>
      <c r="V103" s="495" t="s">
        <v>531</v>
      </c>
      <c r="W103" s="495" t="s">
        <v>531</v>
      </c>
      <c r="X103" s="495" t="s">
        <v>531</v>
      </c>
      <c r="Y103" s="495" t="s">
        <v>531</v>
      </c>
      <c r="Z103" s="495" t="s">
        <v>531</v>
      </c>
      <c r="AA103" s="495" t="s">
        <v>531</v>
      </c>
      <c r="AB103" s="495" t="s">
        <v>531</v>
      </c>
      <c r="AC103" s="495" t="s">
        <v>531</v>
      </c>
      <c r="AD103" s="495" t="s">
        <v>531</v>
      </c>
      <c r="AE103" s="495" t="s">
        <v>531</v>
      </c>
      <c r="AF103" s="495" t="s">
        <v>531</v>
      </c>
      <c r="AG103" s="495" t="s">
        <v>531</v>
      </c>
      <c r="AH103" s="495" t="s">
        <v>531</v>
      </c>
      <c r="AI103" s="495" t="s">
        <v>531</v>
      </c>
      <c r="AJ103" s="495" t="s">
        <v>531</v>
      </c>
      <c r="AK103" s="495" t="s">
        <v>531</v>
      </c>
      <c r="AL103" s="495" t="s">
        <v>531</v>
      </c>
      <c r="AM103" s="495" t="s">
        <v>531</v>
      </c>
      <c r="AN103" s="495" t="s">
        <v>531</v>
      </c>
      <c r="AO103" s="495" t="s">
        <v>531</v>
      </c>
      <c r="AP103" s="495" t="s">
        <v>531</v>
      </c>
      <c r="AQ103" s="495" t="s">
        <v>531</v>
      </c>
      <c r="AR103" s="495" t="s">
        <v>531</v>
      </c>
      <c r="AS103" s="495" t="s">
        <v>531</v>
      </c>
      <c r="AT103" s="495" t="s">
        <v>531</v>
      </c>
      <c r="AU103" s="495" t="s">
        <v>531</v>
      </c>
      <c r="AV103" s="495" t="s">
        <v>531</v>
      </c>
      <c r="AW103" s="495" t="s">
        <v>531</v>
      </c>
      <c r="AX103" s="495" t="s">
        <v>531</v>
      </c>
      <c r="AY103" s="495" t="s">
        <v>531</v>
      </c>
      <c r="AZ103" s="495" t="s">
        <v>531</v>
      </c>
      <c r="BA103" s="495" t="s">
        <v>531</v>
      </c>
      <c r="BB103" s="495" t="s">
        <v>531</v>
      </c>
      <c r="BC103" s="495" t="s">
        <v>531</v>
      </c>
      <c r="BD103" s="495" t="s">
        <v>531</v>
      </c>
      <c r="BE103" s="495" t="s">
        <v>531</v>
      </c>
      <c r="BF103" s="495" t="s">
        <v>531</v>
      </c>
      <c r="BG103" s="495" t="s">
        <v>531</v>
      </c>
      <c r="BH103" s="495" t="s">
        <v>531</v>
      </c>
      <c r="BI103" s="495" t="s">
        <v>531</v>
      </c>
      <c r="BJ103" s="495" t="s">
        <v>531</v>
      </c>
      <c r="BK103" s="495" t="s">
        <v>531</v>
      </c>
      <c r="BL103" s="495" t="s">
        <v>531</v>
      </c>
      <c r="BM103" s="495" t="s">
        <v>531</v>
      </c>
      <c r="BN103" s="495" t="s">
        <v>531</v>
      </c>
      <c r="BO103" s="495" t="s">
        <v>531</v>
      </c>
      <c r="BP103" s="495" t="s">
        <v>531</v>
      </c>
      <c r="BQ103" s="495" t="s">
        <v>531</v>
      </c>
      <c r="BR103" s="495" t="s">
        <v>531</v>
      </c>
      <c r="BS103" s="495" t="s">
        <v>531</v>
      </c>
      <c r="BT103" s="495" t="s">
        <v>531</v>
      </c>
      <c r="BU103" s="495"/>
      <c r="BV103" s="495"/>
      <c r="BW103" s="495"/>
      <c r="BX103" s="497"/>
      <c r="BY103" s="497"/>
    </row>
    <row r="104" spans="1:79">
      <c r="A104" s="497" t="s">
        <v>444</v>
      </c>
      <c r="B104" s="495"/>
      <c r="C104" s="495"/>
      <c r="D104" s="495"/>
      <c r="E104" s="495"/>
      <c r="F104" s="495"/>
      <c r="G104" s="495"/>
      <c r="H104" s="495"/>
      <c r="I104" s="495"/>
      <c r="J104" s="495"/>
      <c r="K104" s="495"/>
      <c r="L104" s="495"/>
      <c r="M104" s="495"/>
      <c r="N104" s="495"/>
      <c r="O104" s="495"/>
      <c r="P104" s="495"/>
      <c r="Q104" s="495"/>
      <c r="R104" s="495"/>
      <c r="S104" s="495"/>
      <c r="T104" s="495"/>
      <c r="U104" s="495"/>
      <c r="V104" s="495"/>
      <c r="W104" s="495"/>
      <c r="X104" s="495"/>
      <c r="Y104" s="495"/>
      <c r="Z104" s="495"/>
      <c r="AA104" s="495"/>
      <c r="AB104" s="495"/>
      <c r="AC104" s="495"/>
      <c r="AD104" s="495"/>
      <c r="AE104" s="495"/>
      <c r="AF104" s="495"/>
      <c r="AG104" s="495"/>
      <c r="AH104" s="495"/>
      <c r="AI104" s="495"/>
      <c r="AJ104" s="495"/>
      <c r="AK104" s="495"/>
      <c r="AL104" s="495"/>
      <c r="AM104" s="495"/>
      <c r="AN104" s="495"/>
      <c r="AO104" s="495"/>
      <c r="AP104" s="495"/>
      <c r="AQ104" s="495"/>
      <c r="AR104" s="495"/>
      <c r="AS104" s="495"/>
      <c r="AT104" s="495"/>
      <c r="AU104" s="495"/>
      <c r="AV104" s="495"/>
      <c r="AW104" s="495"/>
      <c r="AX104" s="495"/>
      <c r="AY104" s="495"/>
      <c r="AZ104" s="495"/>
      <c r="BA104" s="495"/>
      <c r="BB104" s="495"/>
      <c r="BC104" s="495"/>
      <c r="BD104" s="495"/>
      <c r="BE104" s="495"/>
      <c r="BF104" s="495"/>
      <c r="BG104" s="495"/>
      <c r="BH104" s="495"/>
      <c r="BI104" s="495"/>
      <c r="BJ104" s="495"/>
      <c r="BK104" s="495"/>
      <c r="BL104" s="495"/>
      <c r="BM104" s="495"/>
      <c r="BN104" s="495"/>
      <c r="BO104" s="495"/>
      <c r="BP104" s="495"/>
      <c r="BQ104" s="495"/>
      <c r="BR104" s="495"/>
      <c r="BS104" s="495"/>
      <c r="BT104" s="495"/>
      <c r="BU104" s="495"/>
      <c r="BV104" s="495"/>
      <c r="BW104" s="495"/>
      <c r="BX104" s="497"/>
      <c r="BY104" s="497"/>
    </row>
    <row r="105" spans="1:79">
      <c r="A105" s="497" t="s">
        <v>445</v>
      </c>
      <c r="B105" s="495">
        <v>65</v>
      </c>
      <c r="C105" s="495">
        <v>65</v>
      </c>
      <c r="D105" s="495">
        <v>65</v>
      </c>
      <c r="E105" s="495">
        <v>65</v>
      </c>
      <c r="F105" s="495">
        <v>65</v>
      </c>
      <c r="G105" s="495">
        <v>65</v>
      </c>
      <c r="H105" s="495">
        <v>65</v>
      </c>
      <c r="I105" s="495">
        <v>65</v>
      </c>
      <c r="J105" s="495">
        <v>65</v>
      </c>
      <c r="K105" s="495">
        <v>65</v>
      </c>
      <c r="L105" s="495">
        <v>65</v>
      </c>
      <c r="M105" s="495">
        <v>65</v>
      </c>
      <c r="N105" s="495">
        <v>65</v>
      </c>
      <c r="O105" s="495">
        <v>65</v>
      </c>
      <c r="P105" s="495">
        <v>65</v>
      </c>
      <c r="Q105" s="495">
        <v>65</v>
      </c>
      <c r="R105" s="495">
        <v>65</v>
      </c>
      <c r="S105" s="495">
        <v>65</v>
      </c>
      <c r="T105" s="495">
        <v>65</v>
      </c>
      <c r="U105" s="495">
        <v>65</v>
      </c>
      <c r="V105" s="495">
        <v>65</v>
      </c>
      <c r="W105" s="495">
        <v>65</v>
      </c>
      <c r="X105" s="495">
        <v>65</v>
      </c>
      <c r="Y105" s="495">
        <v>65</v>
      </c>
      <c r="Z105" s="495">
        <v>65</v>
      </c>
      <c r="AA105" s="495">
        <v>65</v>
      </c>
      <c r="AB105" s="495">
        <v>65</v>
      </c>
      <c r="AC105" s="495">
        <v>65</v>
      </c>
      <c r="AD105" s="495">
        <v>65</v>
      </c>
      <c r="AE105" s="495">
        <v>65</v>
      </c>
      <c r="AF105" s="495">
        <v>65</v>
      </c>
      <c r="AG105" s="495">
        <v>65</v>
      </c>
      <c r="AH105" s="495">
        <v>65</v>
      </c>
      <c r="AI105" s="495">
        <v>65</v>
      </c>
      <c r="AJ105" s="495">
        <v>65</v>
      </c>
      <c r="AK105" s="495">
        <v>65</v>
      </c>
      <c r="AL105" s="495">
        <v>65</v>
      </c>
      <c r="AM105" s="495">
        <v>65</v>
      </c>
      <c r="AN105" s="495">
        <v>65</v>
      </c>
      <c r="AO105" s="495">
        <v>65</v>
      </c>
      <c r="AP105" s="495">
        <v>65</v>
      </c>
      <c r="AQ105" s="495">
        <v>65</v>
      </c>
      <c r="AR105" s="495">
        <v>65</v>
      </c>
      <c r="AS105" s="495">
        <v>65</v>
      </c>
      <c r="AT105" s="495">
        <v>65</v>
      </c>
      <c r="AU105" s="495">
        <v>65</v>
      </c>
      <c r="AV105" s="495">
        <v>65</v>
      </c>
      <c r="AW105" s="495">
        <v>65</v>
      </c>
      <c r="AX105" s="495">
        <v>65</v>
      </c>
      <c r="AY105" s="495">
        <v>65</v>
      </c>
      <c r="AZ105" s="495">
        <v>65</v>
      </c>
      <c r="BA105" s="495">
        <v>65</v>
      </c>
      <c r="BB105" s="495">
        <v>65</v>
      </c>
      <c r="BC105" s="495">
        <v>65</v>
      </c>
      <c r="BD105" s="495">
        <v>65</v>
      </c>
      <c r="BE105" s="495">
        <v>65</v>
      </c>
      <c r="BF105" s="495">
        <v>65</v>
      </c>
      <c r="BG105" s="495">
        <v>65</v>
      </c>
      <c r="BH105" s="495">
        <v>65</v>
      </c>
      <c r="BI105" s="495">
        <v>65</v>
      </c>
      <c r="BJ105" s="495">
        <v>65</v>
      </c>
      <c r="BK105" s="495">
        <v>65</v>
      </c>
      <c r="BL105" s="495">
        <v>65</v>
      </c>
      <c r="BM105" s="495">
        <v>65</v>
      </c>
      <c r="BN105" s="495">
        <v>65</v>
      </c>
      <c r="BO105" s="495">
        <v>65</v>
      </c>
      <c r="BP105" s="495">
        <v>65</v>
      </c>
      <c r="BQ105" s="495">
        <v>65</v>
      </c>
      <c r="BR105" s="495">
        <v>65</v>
      </c>
      <c r="BS105" s="495">
        <v>65</v>
      </c>
      <c r="BT105" s="495">
        <v>65</v>
      </c>
      <c r="BU105" s="495"/>
      <c r="BV105" s="495"/>
      <c r="BW105" s="495"/>
      <c r="BX105" s="495"/>
      <c r="BY105" s="495"/>
      <c r="BZ105" s="495"/>
    </row>
    <row r="106" spans="1:79">
      <c r="A106" s="497" t="s">
        <v>446</v>
      </c>
      <c r="B106" s="495">
        <v>65</v>
      </c>
      <c r="C106" s="495">
        <v>65</v>
      </c>
      <c r="D106" s="495">
        <v>65</v>
      </c>
      <c r="E106" s="495">
        <v>65</v>
      </c>
      <c r="F106" s="495">
        <v>65</v>
      </c>
      <c r="G106" s="495">
        <v>65</v>
      </c>
      <c r="H106" s="495">
        <v>65</v>
      </c>
      <c r="I106" s="495">
        <v>65</v>
      </c>
      <c r="J106" s="495">
        <v>65</v>
      </c>
      <c r="K106" s="495">
        <v>65</v>
      </c>
      <c r="L106" s="495">
        <v>65</v>
      </c>
      <c r="M106" s="495">
        <v>65</v>
      </c>
      <c r="N106" s="495">
        <v>65</v>
      </c>
      <c r="O106" s="495">
        <v>65</v>
      </c>
      <c r="P106" s="495">
        <v>65</v>
      </c>
      <c r="Q106" s="495">
        <v>65</v>
      </c>
      <c r="R106" s="495">
        <v>65</v>
      </c>
      <c r="S106" s="495">
        <v>65</v>
      </c>
      <c r="T106" s="495">
        <v>65</v>
      </c>
      <c r="U106" s="495">
        <v>65</v>
      </c>
      <c r="V106" s="495">
        <v>65</v>
      </c>
      <c r="W106" s="495">
        <v>65</v>
      </c>
      <c r="X106" s="495">
        <v>65</v>
      </c>
      <c r="Y106" s="495">
        <v>65</v>
      </c>
      <c r="Z106" s="495">
        <v>65</v>
      </c>
      <c r="AA106" s="495">
        <v>65</v>
      </c>
      <c r="AB106" s="495">
        <v>65</v>
      </c>
      <c r="AC106" s="495">
        <v>65</v>
      </c>
      <c r="AD106" s="495">
        <v>65</v>
      </c>
      <c r="AE106" s="495">
        <v>65</v>
      </c>
      <c r="AF106" s="495">
        <v>65</v>
      </c>
      <c r="AG106" s="495">
        <v>65</v>
      </c>
      <c r="AH106" s="495">
        <v>65</v>
      </c>
      <c r="AI106" s="495">
        <v>65</v>
      </c>
      <c r="AJ106" s="495">
        <v>65</v>
      </c>
      <c r="AK106" s="495">
        <v>65</v>
      </c>
      <c r="AL106" s="495">
        <v>65</v>
      </c>
      <c r="AM106" s="495">
        <v>65</v>
      </c>
      <c r="AN106" s="495">
        <v>65</v>
      </c>
      <c r="AO106" s="495">
        <v>65</v>
      </c>
      <c r="AP106" s="495">
        <v>65</v>
      </c>
      <c r="AQ106" s="495">
        <v>65</v>
      </c>
      <c r="AR106" s="495">
        <v>65</v>
      </c>
      <c r="AS106" s="495">
        <v>65</v>
      </c>
      <c r="AT106" s="495">
        <v>65</v>
      </c>
      <c r="AU106" s="495">
        <v>65</v>
      </c>
      <c r="AV106" s="495">
        <v>65</v>
      </c>
      <c r="AW106" s="495">
        <v>65</v>
      </c>
      <c r="AX106" s="495">
        <v>65</v>
      </c>
      <c r="AY106" s="495">
        <v>65</v>
      </c>
      <c r="AZ106" s="495">
        <v>65</v>
      </c>
      <c r="BA106" s="495">
        <v>65</v>
      </c>
      <c r="BB106" s="495">
        <v>65</v>
      </c>
      <c r="BC106" s="495">
        <v>65</v>
      </c>
      <c r="BD106" s="495">
        <v>65</v>
      </c>
      <c r="BE106" s="495">
        <v>65</v>
      </c>
      <c r="BF106" s="495">
        <v>65</v>
      </c>
      <c r="BG106" s="495">
        <v>65</v>
      </c>
      <c r="BH106" s="495">
        <v>65</v>
      </c>
      <c r="BI106" s="495">
        <v>65</v>
      </c>
      <c r="BJ106" s="495">
        <v>65</v>
      </c>
      <c r="BK106" s="495">
        <v>65</v>
      </c>
      <c r="BL106" s="495">
        <v>65</v>
      </c>
      <c r="BM106" s="495">
        <v>65</v>
      </c>
      <c r="BN106" s="495">
        <v>65</v>
      </c>
      <c r="BO106" s="495">
        <v>65</v>
      </c>
      <c r="BP106" s="495">
        <v>65</v>
      </c>
      <c r="BQ106" s="495">
        <v>65</v>
      </c>
      <c r="BR106" s="495">
        <v>65</v>
      </c>
      <c r="BS106" s="495">
        <v>65</v>
      </c>
      <c r="BT106" s="495">
        <v>65</v>
      </c>
      <c r="BU106" s="495"/>
      <c r="BV106" s="495"/>
      <c r="BW106" s="495"/>
      <c r="BX106" s="495"/>
      <c r="BY106" s="495"/>
      <c r="BZ106" s="495"/>
    </row>
    <row r="107" spans="1:79">
      <c r="A107" s="497"/>
      <c r="C107" s="497"/>
      <c r="D107" s="497"/>
      <c r="E107" s="497"/>
      <c r="F107" s="497"/>
      <c r="G107" s="497"/>
      <c r="H107" s="497"/>
      <c r="I107" s="497"/>
      <c r="J107" s="497"/>
      <c r="K107" s="497"/>
      <c r="L107" s="497"/>
      <c r="M107" s="497"/>
      <c r="N107" s="497"/>
      <c r="O107" s="497"/>
      <c r="P107" s="497"/>
      <c r="Q107" s="497"/>
      <c r="R107" s="497"/>
      <c r="S107" s="497"/>
      <c r="T107" s="497"/>
      <c r="U107" s="497"/>
      <c r="V107" s="497"/>
      <c r="W107" s="497"/>
      <c r="X107" s="497"/>
      <c r="Y107" s="497"/>
      <c r="Z107" s="497"/>
      <c r="AA107" s="497"/>
      <c r="AB107" s="497"/>
      <c r="AC107" s="497"/>
      <c r="AD107" s="497"/>
      <c r="AE107" s="497"/>
      <c r="AF107" s="497"/>
      <c r="AG107" s="497"/>
      <c r="AH107" s="497"/>
      <c r="AI107" s="497"/>
      <c r="AJ107" s="497"/>
      <c r="AK107" s="497"/>
      <c r="AL107" s="497"/>
      <c r="AM107" s="497"/>
      <c r="AN107" s="497"/>
      <c r="AO107" s="497"/>
      <c r="AP107" s="497"/>
      <c r="AQ107" s="497"/>
      <c r="AR107" s="497"/>
      <c r="AS107" s="496"/>
      <c r="AT107" s="496"/>
      <c r="AU107" s="496"/>
      <c r="AV107" s="496"/>
      <c r="AW107" s="496"/>
      <c r="AX107" s="496"/>
      <c r="AY107" s="496"/>
      <c r="AZ107" s="497"/>
      <c r="BA107" s="497"/>
      <c r="BB107" s="497"/>
      <c r="BC107" s="497"/>
      <c r="BD107" s="497"/>
      <c r="BE107" s="497"/>
      <c r="BF107" s="497"/>
      <c r="BG107" s="497"/>
      <c r="BH107" s="497"/>
      <c r="BI107" s="497"/>
      <c r="BJ107" s="497"/>
      <c r="BK107" s="497"/>
      <c r="BL107" s="497"/>
      <c r="BM107" s="497"/>
      <c r="BN107" s="497"/>
      <c r="BO107" s="497"/>
      <c r="BP107" s="497"/>
      <c r="BQ107" s="497"/>
      <c r="BR107" s="497"/>
      <c r="BS107" s="497"/>
      <c r="BT107" s="497"/>
      <c r="BU107" s="497"/>
      <c r="BV107" s="497"/>
      <c r="BW107" s="497"/>
      <c r="BX107" s="497"/>
      <c r="BY107" s="497"/>
    </row>
  </sheetData>
  <sheetProtection selectLockedCells="1" selectUnlockedCells="1"/>
  <phoneticPr fontId="110" type="noConversion"/>
  <pageMargins left="0.75" right="0.75" top="1" bottom="1" header="0.5" footer="0.5"/>
  <pageSetup orientation="portrait" verticalDpi="30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71</vt:i4>
      </vt:variant>
    </vt:vector>
  </HeadingPairs>
  <TitlesOfParts>
    <vt:vector size="75" baseType="lpstr">
      <vt:lpstr>Smart</vt:lpstr>
      <vt:lpstr>Instructions</vt:lpstr>
      <vt:lpstr>Data Sheet</vt:lpstr>
      <vt:lpstr>Custom</vt:lpstr>
      <vt:lpstr>__dim040</vt:lpstr>
      <vt:lpstr>__dim080</vt:lpstr>
      <vt:lpstr>__dim120</vt:lpstr>
      <vt:lpstr>__dim160</vt:lpstr>
      <vt:lpstr>__dim200</vt:lpstr>
      <vt:lpstr>__dim250</vt:lpstr>
      <vt:lpstr>__dim320</vt:lpstr>
      <vt:lpstr>__dim350</vt:lpstr>
      <vt:lpstr>__dim427</vt:lpstr>
      <vt:lpstr>__dim435</vt:lpstr>
      <vt:lpstr>__dim500</vt:lpstr>
      <vt:lpstr>__dim605</vt:lpstr>
      <vt:lpstr>_dim040</vt:lpstr>
      <vt:lpstr>_dim080</vt:lpstr>
      <vt:lpstr>_dim100</vt:lpstr>
      <vt:lpstr>_dim120</vt:lpstr>
      <vt:lpstr>_dim160</vt:lpstr>
      <vt:lpstr>_dim160L</vt:lpstr>
      <vt:lpstr>_dim200</vt:lpstr>
      <vt:lpstr>_dim250</vt:lpstr>
      <vt:lpstr>_dim250L</vt:lpstr>
      <vt:lpstr>_dim250LS</vt:lpstr>
      <vt:lpstr>_dim320</vt:lpstr>
      <vt:lpstr>_dim320L</vt:lpstr>
      <vt:lpstr>_dim350</vt:lpstr>
      <vt:lpstr>_dim427</vt:lpstr>
      <vt:lpstr>_dim435</vt:lpstr>
      <vt:lpstr>_dim500</vt:lpstr>
      <vt:lpstr>_dim605</vt:lpstr>
      <vt:lpstr>_dimCR0</vt:lpstr>
      <vt:lpstr>_dimCR05</vt:lpstr>
      <vt:lpstr>_dimCR1</vt:lpstr>
      <vt:lpstr>_dimCR15</vt:lpstr>
      <vt:lpstr>_dimLP1</vt:lpstr>
      <vt:lpstr>_dimLP2</vt:lpstr>
      <vt:lpstr>_dimLP3</vt:lpstr>
      <vt:lpstr>a</vt:lpstr>
      <vt:lpstr>ACC</vt:lpstr>
      <vt:lpstr>ACCT</vt:lpstr>
      <vt:lpstr>ADvt</vt:lpstr>
      <vt:lpstr>ATvt</vt:lpstr>
      <vt:lpstr>AvMotor</vt:lpstr>
      <vt:lpstr>Avt</vt:lpstr>
      <vt:lpstr>dim250L</vt:lpstr>
      <vt:lpstr>dim320L</vt:lpstr>
      <vt:lpstr>Fl</vt:lpstr>
      <vt:lpstr>Fr</vt:lpstr>
      <vt:lpstr>Mc</vt:lpstr>
      <vt:lpstr>MDvt</vt:lpstr>
      <vt:lpstr>ML</vt:lpstr>
      <vt:lpstr>MoveT</vt:lpstr>
      <vt:lpstr>MTvt</vt:lpstr>
      <vt:lpstr>NestAcc</vt:lpstr>
      <vt:lpstr>NestVel</vt:lpstr>
      <vt:lpstr>'Data Sheet'!Print_Area</vt:lpstr>
      <vt:lpstr>Spec_Sheet!Print_Titles</vt:lpstr>
      <vt:lpstr>Select_Motor</vt:lpstr>
      <vt:lpstr>T1V</vt:lpstr>
      <vt:lpstr>T2V</vt:lpstr>
      <vt:lpstr>T3V</vt:lpstr>
      <vt:lpstr>T4V</vt:lpstr>
      <vt:lpstr>T5V</vt:lpstr>
      <vt:lpstr>T6V</vt:lpstr>
      <vt:lpstr>T7V</vt:lpstr>
      <vt:lpstr>T8V</vt:lpstr>
      <vt:lpstr>TDvt</vt:lpstr>
      <vt:lpstr>Trat</vt:lpstr>
      <vt:lpstr>TTvt</vt:lpstr>
      <vt:lpstr>u</vt:lpstr>
      <vt:lpstr>Vel</vt:lpstr>
      <vt:lpstr>Velvt</vt:lpstr>
    </vt:vector>
  </TitlesOfParts>
  <Manager>jchamberlain@nipponpulse.com</Manager>
  <Company>Nippon Pulse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Jerame Chamberlain</dc:creator>
  <cp:lastModifiedBy>Allie Kuester</cp:lastModifiedBy>
  <cp:lastPrinted>2017-07-12T14:44:39Z</cp:lastPrinted>
  <dcterms:created xsi:type="dcterms:W3CDTF">2007-12-16T07:10:06Z</dcterms:created>
  <dcterms:modified xsi:type="dcterms:W3CDTF">2018-01-15T16:19:32Z</dcterms:modified>
</cp:coreProperties>
</file>